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codeName="{AE6600E7-7A62-396C-DE95-9942FA9DD81E}"/>
  <workbookPr showInkAnnotation="0" codeName="ThisWorkbook"/>
  <mc:AlternateContent xmlns:mc="http://schemas.openxmlformats.org/markup-compatibility/2006">
    <mc:Choice Requires="x15">
      <x15ac:absPath xmlns:x15ac="http://schemas.microsoft.com/office/spreadsheetml/2010/11/ac" url="https://invias-my.sharepoint.com/personal/hraad_invias_gov_co/Documents/EVALUACIÓN CMA 2022/"/>
    </mc:Choice>
  </mc:AlternateContent>
  <xr:revisionPtr revIDLastSave="210" documentId="13_ncr:1_{DFDA8B9E-124E-4D0E-9B65-C3BCE47F200E}" xr6:coauthVersionLast="47" xr6:coauthVersionMax="47" xr10:uidLastSave="{7C0C285A-D4A3-407B-A2CE-A10C8028E57A}"/>
  <bookViews>
    <workbookView xWindow="-120" yWindow="-120" windowWidth="29040" windowHeight="15840" tabRatio="779" firstSheet="1" activeTab="7" xr2:uid="{00000000-000D-0000-FFFF-FFFF00000000}"/>
  </bookViews>
  <sheets>
    <sheet name="PRESUPUESTOS" sheetId="1" r:id="rId1"/>
    <sheet name="PROPONENTES" sheetId="2" r:id="rId2"/>
    <sheet name="INTEGRANTES" sheetId="21" r:id="rId3"/>
    <sheet name="SMMLV CTOS EXT" sheetId="41" state="veryHidden" r:id="rId4"/>
    <sheet name="EXPERIENCIA" sheetId="16" r:id="rId5"/>
    <sheet name="EQUIPO DE TRABAJO" sheetId="47" r:id="rId6"/>
    <sheet name="APOYO A IND. NAL." sheetId="25" r:id="rId7"/>
    <sheet name="VIN.PERS.DISC." sheetId="43" r:id="rId8"/>
    <sheet name="RNOCI" sheetId="48" r:id="rId9"/>
    <sheet name="RESUMEN" sheetId="27" state="hidden" r:id="rId10"/>
    <sheet name="SMMLV" sheetId="17" state="hidden" r:id="rId11"/>
    <sheet name="DEPENDENCIAS" sheetId="12" state="veryHidden" r:id="rId12"/>
    <sheet name="MULTAS Y SANCIONES" sheetId="49" r:id="rId13"/>
    <sheet name="EVAL. ECONOMICA" sheetId="50" r:id="rId14"/>
    <sheet name="HAB.GEN." sheetId="40" r:id="rId15"/>
    <sheet name="RESUMENGEN" sheetId="39" r:id="rId16"/>
    <sheet name="PONDERACION EXP." sheetId="46" r:id="rId17"/>
    <sheet name="ELEGIBILIDAD" sheetId="33" r:id="rId18"/>
    <sheet name="VERIFICACIÓN" sheetId="31" state="veryHidden" r:id="rId19"/>
    <sheet name="LISTAS" sheetId="26" state="hidden" r:id="rId20"/>
    <sheet name="CUADRO INFORME" sheetId="42" r:id="rId21"/>
  </sheets>
  <externalReferences>
    <externalReference r:id="rId22"/>
  </externalReferences>
  <definedNames>
    <definedName name="APOYONAL" localSheetId="3">[1]LISTAS!$H$2:$H$6</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 localSheetId="3">[1]PRESUPUESTOS!$H$21</definedName>
    <definedName name="FechaCierre">PRESUPUESTOS!$L$21</definedName>
    <definedName name="FMINEXP" localSheetId="3">[1]PRESUPUESTOS!$H$20</definedName>
    <definedName name="FMINEXP">PRESUPUESTOS!$L$20</definedName>
    <definedName name="HABILIDAD">LISTAS!$K$2:$K$4</definedName>
    <definedName name="METEVA">LISTAS!$T$2:$T$7</definedName>
    <definedName name="NUMMAXCONT">PRESUPUESTOS!$L$26</definedName>
    <definedName name="NUMMINCONT">PRESUPUESTOS!$K$26</definedName>
    <definedName name="NUMMOD" localSheetId="3">[1]PRESUPUESTOS!$B$16</definedName>
    <definedName name="NUMMOD">PRESUPUESTOS!$B$16</definedName>
    <definedName name="PFOMOD">PRESUPUESTOS!$L$16</definedName>
    <definedName name="PLAZOMOD" localSheetId="3">[1]PRESUPUESTOS!$F$16</definedName>
    <definedName name="PLAZOMOD">PRESUPUESTOS!$K$16</definedName>
    <definedName name="PMFOMOD" localSheetId="3">[1]PRESUPUESTOS!$G$16</definedName>
    <definedName name="PORCREQUERIDO" localSheetId="3">[1]PRESUPUESTOS!$J$16</definedName>
    <definedName name="PORPO">EXPERIENCIA!$P$17</definedName>
    <definedName name="POSMMLV">PRESUPUESTOS!$J$16</definedName>
    <definedName name="PTJEEXPESP1" localSheetId="3">[1]PRESUPUESTOS!$D$26</definedName>
    <definedName name="PTJEEXPESP2" localSheetId="3">[1]PRESUPUESTOS!$E$26</definedName>
    <definedName name="PTJETOTAL">PRESUPUESTOS!$J$26</definedName>
    <definedName name="RESULTADO">LISTAS!$C$2:$C$4</definedName>
    <definedName name="SALACTUAL" localSheetId="3">[1]SMMLV!$D$35</definedName>
    <definedName name="SALACTUAL">SMMLV!$H$10</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9">RESUMEN!$1:$20</definedName>
    <definedName name="TOTALPTJEEXES">PRESUPUESTOS!$J$26</definedName>
    <definedName name="Z_098B2E87_9C52_4BA2_B1C3_E2EE72C3347E_.wvu.Rows" localSheetId="1" hidden="1">PROPONENTES!#REF!</definedName>
    <definedName name="Z_5A13C38E_C765_461C_8416_6F71B9B5782E_.wvu.PrintArea" localSheetId="11" hidden="1">DEPENDENCIAS!#REF!</definedName>
    <definedName name="Z_5C1A9AEF_CD7F_43E2_BF95_F3A089BEC7D3_.wvu.PrintArea" localSheetId="0" hidden="1">PRESUPUESTOS!$B$1:$M$40</definedName>
    <definedName name="Z_5C1A9AEF_CD7F_43E2_BF95_F3A089BEC7D3_.wvu.PrintArea" localSheetId="1" hidden="1">PROPONENTES!$B$1:$E$110</definedName>
  </definedNames>
  <calcPr calcId="191028"/>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4" i="21" l="1"/>
  <c r="N897" i="16"/>
  <c r="J897" i="16"/>
  <c r="N896" i="16"/>
  <c r="N895" i="16"/>
  <c r="J1857" i="16"/>
  <c r="N1857" i="16"/>
  <c r="N1856" i="16"/>
  <c r="I20" i="40"/>
  <c r="I21" i="40"/>
  <c r="I22" i="40"/>
  <c r="I23" i="40"/>
  <c r="I24" i="40"/>
  <c r="I25" i="40"/>
  <c r="I26" i="40"/>
  <c r="I27" i="40"/>
  <c r="I28" i="40"/>
  <c r="I29" i="40"/>
  <c r="I30" i="40"/>
  <c r="I31" i="40"/>
  <c r="I32" i="40"/>
  <c r="I33" i="40"/>
  <c r="I34" i="40"/>
  <c r="I35" i="40"/>
  <c r="I36" i="40"/>
  <c r="I37" i="40"/>
  <c r="I38" i="40"/>
  <c r="I39" i="40"/>
  <c r="I40" i="40"/>
  <c r="I41" i="40"/>
  <c r="I42" i="40"/>
  <c r="I43" i="40"/>
  <c r="I44" i="40"/>
  <c r="I45" i="40"/>
  <c r="I46" i="40"/>
  <c r="I47" i="40"/>
  <c r="I48" i="40"/>
  <c r="I49" i="40"/>
  <c r="I50" i="40"/>
  <c r="I51" i="40"/>
  <c r="I52" i="40"/>
  <c r="I53" i="40"/>
  <c r="I54" i="40"/>
  <c r="I55" i="40"/>
  <c r="I56" i="40"/>
  <c r="I57" i="40"/>
  <c r="I58" i="40"/>
  <c r="I59" i="40"/>
  <c r="I60" i="40"/>
  <c r="I61" i="40"/>
  <c r="I62" i="40"/>
  <c r="I63" i="40"/>
  <c r="I64" i="40"/>
  <c r="I65" i="40"/>
  <c r="I66" i="40"/>
  <c r="I67" i="40"/>
  <c r="I68" i="40"/>
  <c r="I69" i="40"/>
  <c r="I70" i="40"/>
  <c r="I71" i="40"/>
  <c r="I72" i="40"/>
  <c r="I73" i="40"/>
  <c r="I74" i="40"/>
  <c r="I75" i="40"/>
  <c r="I76" i="40"/>
  <c r="I77" i="40"/>
  <c r="I78" i="40"/>
  <c r="I79" i="40"/>
  <c r="I80" i="40"/>
  <c r="I81" i="40"/>
  <c r="I82" i="40"/>
  <c r="I83" i="40"/>
  <c r="I84" i="40"/>
  <c r="I85" i="40"/>
  <c r="I86" i="40"/>
  <c r="I87" i="40"/>
  <c r="I88" i="40"/>
  <c r="I89" i="40"/>
  <c r="I90" i="40"/>
  <c r="I91" i="40"/>
  <c r="I92" i="40"/>
  <c r="I93" i="40"/>
  <c r="I94" i="40"/>
  <c r="I95" i="40"/>
  <c r="I96" i="40"/>
  <c r="I97" i="40"/>
  <c r="I98" i="40"/>
  <c r="I99" i="40"/>
  <c r="I100" i="40"/>
  <c r="I101" i="40"/>
  <c r="I102" i="40"/>
  <c r="I103" i="40"/>
  <c r="I104" i="40"/>
  <c r="I105" i="40"/>
  <c r="I106" i="40"/>
  <c r="I107" i="40"/>
  <c r="I108" i="40"/>
  <c r="H78" i="39"/>
  <c r="D46" i="25"/>
  <c r="J1136" i="16"/>
  <c r="N655" i="16"/>
  <c r="C9" i="49"/>
  <c r="N1920" i="16"/>
  <c r="N1919" i="16"/>
  <c r="N534" i="16"/>
  <c r="N1195" i="16"/>
  <c r="N654" i="16"/>
  <c r="N656" i="16"/>
  <c r="N657" i="16"/>
  <c r="P1727" i="16"/>
  <c r="B2307" i="16"/>
  <c r="N1496" i="16"/>
  <c r="N1495" i="16"/>
  <c r="N1405" i="16"/>
  <c r="N1407" i="16"/>
  <c r="N835" i="16"/>
  <c r="N834" i="16"/>
  <c r="E20" i="16"/>
  <c r="N85" i="16"/>
  <c r="F38" i="21"/>
  <c r="F188" i="21"/>
  <c r="F184" i="21"/>
  <c r="F174" i="21"/>
  <c r="F170" i="21"/>
  <c r="F166" i="21"/>
  <c r="F163" i="21"/>
  <c r="F158" i="21"/>
  <c r="F153" i="21"/>
  <c r="F150" i="21"/>
  <c r="F146" i="21"/>
  <c r="F143" i="21"/>
  <c r="F138" i="21"/>
  <c r="F134" i="21"/>
  <c r="F131" i="21"/>
  <c r="F127" i="21"/>
  <c r="F120" i="21"/>
  <c r="F116" i="21"/>
  <c r="F109" i="21"/>
  <c r="F105" i="21"/>
  <c r="F100" i="21"/>
  <c r="F97" i="21"/>
  <c r="F94" i="21"/>
  <c r="F91" i="21"/>
  <c r="F88" i="21"/>
  <c r="F85" i="21"/>
  <c r="F82" i="21"/>
  <c r="F76" i="21"/>
  <c r="F72" i="21"/>
  <c r="F67" i="21"/>
  <c r="F64" i="21"/>
  <c r="F61" i="21"/>
  <c r="F55" i="21"/>
  <c r="F50" i="21"/>
  <c r="F42" i="21"/>
  <c r="F31" i="21"/>
  <c r="F25" i="21"/>
  <c r="P2717" i="16"/>
  <c r="X2706" i="16"/>
  <c r="N2704" i="16"/>
  <c r="J2704" i="16"/>
  <c r="B2704" i="16"/>
  <c r="N2703" i="16"/>
  <c r="J2703" i="16"/>
  <c r="B2703" i="16"/>
  <c r="N2702" i="16"/>
  <c r="J2702" i="16"/>
  <c r="B2702" i="16"/>
  <c r="N2701" i="16"/>
  <c r="J2701" i="16"/>
  <c r="B2701" i="16"/>
  <c r="N2700" i="16"/>
  <c r="J2700" i="16"/>
  <c r="B2700" i="16"/>
  <c r="N2699" i="16"/>
  <c r="J2699" i="16"/>
  <c r="B2699" i="16"/>
  <c r="N2698" i="16"/>
  <c r="J2698" i="16"/>
  <c r="B2698" i="16"/>
  <c r="N2697" i="16"/>
  <c r="J2697" i="16"/>
  <c r="B2697" i="16"/>
  <c r="N2696" i="16"/>
  <c r="J2696" i="16"/>
  <c r="B2696" i="16"/>
  <c r="N2695" i="16"/>
  <c r="B2695" i="16"/>
  <c r="F2691" i="16"/>
  <c r="J2695" i="16" s="1"/>
  <c r="E2691" i="16"/>
  <c r="F2710" i="16" s="1"/>
  <c r="P2687" i="16"/>
  <c r="X2676" i="16"/>
  <c r="N2674" i="16"/>
  <c r="J2674" i="16"/>
  <c r="B2674" i="16"/>
  <c r="N2673" i="16"/>
  <c r="J2673" i="16"/>
  <c r="B2673" i="16"/>
  <c r="N2672" i="16"/>
  <c r="J2672" i="16"/>
  <c r="B2672" i="16"/>
  <c r="N2671" i="16"/>
  <c r="J2671" i="16"/>
  <c r="B2671" i="16"/>
  <c r="N2670" i="16"/>
  <c r="J2670" i="16"/>
  <c r="B2670" i="16"/>
  <c r="N2669" i="16"/>
  <c r="J2669" i="16"/>
  <c r="B2669" i="16"/>
  <c r="N2668" i="16"/>
  <c r="J2668" i="16"/>
  <c r="B2668" i="16"/>
  <c r="N2667" i="16"/>
  <c r="J2667" i="16"/>
  <c r="B2667" i="16"/>
  <c r="N2666" i="16"/>
  <c r="J2666" i="16"/>
  <c r="B2666" i="16"/>
  <c r="N2665" i="16"/>
  <c r="B2665" i="16"/>
  <c r="F2661" i="16"/>
  <c r="E2661" i="16"/>
  <c r="F2680" i="16" s="1"/>
  <c r="P2657" i="16"/>
  <c r="X2646" i="16"/>
  <c r="N2644" i="16"/>
  <c r="J2644" i="16"/>
  <c r="B2644" i="16"/>
  <c r="N2643" i="16"/>
  <c r="J2643" i="16"/>
  <c r="B2643" i="16"/>
  <c r="N2642" i="16"/>
  <c r="J2642" i="16"/>
  <c r="B2642" i="16"/>
  <c r="N2641" i="16"/>
  <c r="J2641" i="16"/>
  <c r="B2641" i="16"/>
  <c r="N2640" i="16"/>
  <c r="J2640" i="16"/>
  <c r="B2640" i="16"/>
  <c r="N2639" i="16"/>
  <c r="J2639" i="16"/>
  <c r="B2639" i="16"/>
  <c r="N2638" i="16"/>
  <c r="N2637" i="16"/>
  <c r="N2636" i="16"/>
  <c r="N2635" i="16"/>
  <c r="B2635" i="16"/>
  <c r="B2636" i="16" s="1"/>
  <c r="B2637" i="16" s="1"/>
  <c r="B2638" i="16" s="1"/>
  <c r="F2631" i="16"/>
  <c r="J2637" i="16" s="1"/>
  <c r="E2631" i="16"/>
  <c r="F2650" i="16" s="1"/>
  <c r="P2627" i="16"/>
  <c r="X2616" i="16"/>
  <c r="N2614" i="16"/>
  <c r="J2614" i="16"/>
  <c r="B2614" i="16"/>
  <c r="N2613" i="16"/>
  <c r="J2613" i="16"/>
  <c r="B2613" i="16"/>
  <c r="N2612" i="16"/>
  <c r="J2612" i="16"/>
  <c r="B2612" i="16"/>
  <c r="N2611" i="16"/>
  <c r="J2611" i="16"/>
  <c r="B2611" i="16"/>
  <c r="N2610" i="16"/>
  <c r="J2610" i="16"/>
  <c r="B2610" i="16"/>
  <c r="N2609" i="16"/>
  <c r="J2609" i="16"/>
  <c r="B2609" i="16"/>
  <c r="N2608" i="16"/>
  <c r="J2608" i="16"/>
  <c r="B2608" i="16"/>
  <c r="N2607" i="16"/>
  <c r="N2606" i="16"/>
  <c r="N2605" i="16"/>
  <c r="B2605" i="16"/>
  <c r="B2606" i="16" s="1"/>
  <c r="B2607" i="16" s="1"/>
  <c r="F2601" i="16"/>
  <c r="E2601" i="16"/>
  <c r="F2620" i="16" s="1"/>
  <c r="P2597" i="16"/>
  <c r="X2586" i="16"/>
  <c r="N2584" i="16"/>
  <c r="J2584" i="16"/>
  <c r="B2584" i="16"/>
  <c r="N2583" i="16"/>
  <c r="J2583" i="16"/>
  <c r="B2583" i="16"/>
  <c r="N2582" i="16"/>
  <c r="J2582" i="16"/>
  <c r="B2582" i="16"/>
  <c r="N2581" i="16"/>
  <c r="J2581" i="16"/>
  <c r="B2581" i="16"/>
  <c r="N2580" i="16"/>
  <c r="J2580" i="16"/>
  <c r="B2580" i="16"/>
  <c r="N2579" i="16"/>
  <c r="J2579" i="16"/>
  <c r="B2579" i="16"/>
  <c r="N2578" i="16"/>
  <c r="J2578" i="16"/>
  <c r="B2578" i="16"/>
  <c r="N2577" i="16"/>
  <c r="J2577" i="16"/>
  <c r="B2577" i="16"/>
  <c r="N2576" i="16"/>
  <c r="B2576" i="16"/>
  <c r="N2575" i="16"/>
  <c r="B2575" i="16"/>
  <c r="F2571" i="16"/>
  <c r="J2575" i="16" s="1"/>
  <c r="E2571" i="16"/>
  <c r="A2598" i="16" s="1"/>
  <c r="P2567" i="16"/>
  <c r="X2556" i="16"/>
  <c r="N2554" i="16"/>
  <c r="J2554" i="16"/>
  <c r="B2554" i="16"/>
  <c r="N2553" i="16"/>
  <c r="J2553" i="16"/>
  <c r="B2553" i="16"/>
  <c r="N2552" i="16"/>
  <c r="J2552" i="16"/>
  <c r="B2552" i="16"/>
  <c r="N2551" i="16"/>
  <c r="J2551" i="16"/>
  <c r="B2551" i="16"/>
  <c r="N2550" i="16"/>
  <c r="J2550" i="16"/>
  <c r="B2550" i="16"/>
  <c r="N2549" i="16"/>
  <c r="J2549" i="16"/>
  <c r="B2549" i="16"/>
  <c r="N2548" i="16"/>
  <c r="J2548" i="16"/>
  <c r="B2548" i="16"/>
  <c r="N2547" i="16"/>
  <c r="J2547" i="16"/>
  <c r="B2547" i="16"/>
  <c r="N2546" i="16"/>
  <c r="N2545" i="16"/>
  <c r="B2545" i="16"/>
  <c r="B2546" i="16" s="1"/>
  <c r="F2541" i="16"/>
  <c r="E2541" i="16"/>
  <c r="F2560" i="16" s="1"/>
  <c r="P2537" i="16"/>
  <c r="X2526" i="16"/>
  <c r="N2524" i="16"/>
  <c r="J2524" i="16"/>
  <c r="B2524" i="16"/>
  <c r="N2523" i="16"/>
  <c r="J2523" i="16"/>
  <c r="B2523" i="16"/>
  <c r="N2522" i="16"/>
  <c r="J2522" i="16"/>
  <c r="B2522" i="16"/>
  <c r="N2521" i="16"/>
  <c r="J2521" i="16"/>
  <c r="B2521" i="16"/>
  <c r="N2520" i="16"/>
  <c r="J2520" i="16"/>
  <c r="B2520" i="16"/>
  <c r="N2519" i="16"/>
  <c r="J2519" i="16"/>
  <c r="B2519" i="16"/>
  <c r="N2518" i="16"/>
  <c r="J2518" i="16"/>
  <c r="B2518" i="16"/>
  <c r="N2517" i="16"/>
  <c r="J2517" i="16"/>
  <c r="B2517" i="16"/>
  <c r="N2516" i="16"/>
  <c r="J2516" i="16"/>
  <c r="B2516" i="16"/>
  <c r="N2515" i="16"/>
  <c r="B2515" i="16"/>
  <c r="F2511" i="16"/>
  <c r="J2515" i="16" s="1"/>
  <c r="E2511" i="16"/>
  <c r="F2530" i="16" s="1"/>
  <c r="P2507" i="16"/>
  <c r="X2496" i="16"/>
  <c r="N2494" i="16"/>
  <c r="J2494" i="16"/>
  <c r="B2494" i="16"/>
  <c r="N2493" i="16"/>
  <c r="J2493" i="16"/>
  <c r="B2493" i="16"/>
  <c r="N2492" i="16"/>
  <c r="J2492" i="16"/>
  <c r="B2492" i="16"/>
  <c r="N2491" i="16"/>
  <c r="J2491" i="16"/>
  <c r="B2491" i="16"/>
  <c r="N2490" i="16"/>
  <c r="J2490" i="16"/>
  <c r="B2490" i="16"/>
  <c r="N2489" i="16"/>
  <c r="J2489" i="16"/>
  <c r="B2489" i="16"/>
  <c r="N2488" i="16"/>
  <c r="J2488" i="16"/>
  <c r="B2488" i="16"/>
  <c r="N2487" i="16"/>
  <c r="J2487" i="16"/>
  <c r="B2487" i="16"/>
  <c r="N2486" i="16"/>
  <c r="J2486" i="16"/>
  <c r="B2486" i="16"/>
  <c r="N2485" i="16"/>
  <c r="B2485" i="16"/>
  <c r="F2481" i="16"/>
  <c r="E2481" i="16"/>
  <c r="A2508" i="16" s="1"/>
  <c r="P2477" i="16"/>
  <c r="X2466" i="16"/>
  <c r="N2464" i="16"/>
  <c r="J2464" i="16"/>
  <c r="B2464" i="16"/>
  <c r="N2463" i="16"/>
  <c r="J2463" i="16"/>
  <c r="B2463" i="16"/>
  <c r="N2462" i="16"/>
  <c r="J2462" i="16"/>
  <c r="B2462" i="16"/>
  <c r="N2461" i="16"/>
  <c r="J2461" i="16"/>
  <c r="B2461" i="16"/>
  <c r="N2460" i="16"/>
  <c r="J2460" i="16"/>
  <c r="B2460" i="16"/>
  <c r="N2459" i="16"/>
  <c r="J2459" i="16"/>
  <c r="B2459" i="16"/>
  <c r="N2458" i="16"/>
  <c r="J2458" i="16"/>
  <c r="B2458" i="16"/>
  <c r="N2457" i="16"/>
  <c r="J2457" i="16"/>
  <c r="B2457" i="16"/>
  <c r="N2456" i="16"/>
  <c r="N2455" i="16"/>
  <c r="B2455" i="16"/>
  <c r="B2456" i="16" s="1"/>
  <c r="F2451" i="16"/>
  <c r="E2451" i="16"/>
  <c r="F2470" i="16" s="1"/>
  <c r="P2447" i="16"/>
  <c r="X2436" i="16"/>
  <c r="N2434" i="16"/>
  <c r="J2434" i="16"/>
  <c r="B2434" i="16"/>
  <c r="N2433" i="16"/>
  <c r="J2433" i="16"/>
  <c r="B2433" i="16"/>
  <c r="N2432" i="16"/>
  <c r="J2432" i="16"/>
  <c r="B2432" i="16"/>
  <c r="N2431" i="16"/>
  <c r="J2431" i="16"/>
  <c r="B2431" i="16"/>
  <c r="N2430" i="16"/>
  <c r="J2430" i="16"/>
  <c r="B2430" i="16"/>
  <c r="N2429" i="16"/>
  <c r="J2429" i="16"/>
  <c r="B2429" i="16"/>
  <c r="N2428" i="16"/>
  <c r="J2428" i="16"/>
  <c r="B2428" i="16"/>
  <c r="N2427" i="16"/>
  <c r="J2427" i="16"/>
  <c r="B2427" i="16"/>
  <c r="N2426" i="16"/>
  <c r="N2425" i="16"/>
  <c r="B2425" i="16"/>
  <c r="B2426" i="16" s="1"/>
  <c r="F2421" i="16"/>
  <c r="E2421" i="16"/>
  <c r="F2440" i="16" s="1"/>
  <c r="P2417" i="16"/>
  <c r="X2406" i="16"/>
  <c r="N2404" i="16"/>
  <c r="J2404" i="16"/>
  <c r="B2404" i="16"/>
  <c r="N2403" i="16"/>
  <c r="J2403" i="16"/>
  <c r="B2403" i="16"/>
  <c r="N2402" i="16"/>
  <c r="J2402" i="16"/>
  <c r="B2402" i="16"/>
  <c r="N2401" i="16"/>
  <c r="J2401" i="16"/>
  <c r="B2401" i="16"/>
  <c r="N2400" i="16"/>
  <c r="J2400" i="16"/>
  <c r="B2400" i="16"/>
  <c r="N2399" i="16"/>
  <c r="J2399" i="16"/>
  <c r="B2399" i="16"/>
  <c r="N2398" i="16"/>
  <c r="J2398" i="16"/>
  <c r="B2398" i="16"/>
  <c r="N2397" i="16"/>
  <c r="J2397" i="16"/>
  <c r="B2397" i="16"/>
  <c r="N2396" i="16"/>
  <c r="N2395" i="16"/>
  <c r="B2395" i="16"/>
  <c r="B2396" i="16" s="1"/>
  <c r="F2391" i="16"/>
  <c r="E2391" i="16"/>
  <c r="F2410" i="16" s="1"/>
  <c r="P2387" i="16"/>
  <c r="X2376" i="16"/>
  <c r="N2374" i="16"/>
  <c r="J2374" i="16"/>
  <c r="B2374" i="16"/>
  <c r="N2373" i="16"/>
  <c r="J2373" i="16"/>
  <c r="B2373" i="16"/>
  <c r="N2372" i="16"/>
  <c r="J2372" i="16"/>
  <c r="B2372" i="16"/>
  <c r="N2371" i="16"/>
  <c r="J2371" i="16"/>
  <c r="B2371" i="16"/>
  <c r="N2370" i="16"/>
  <c r="J2370" i="16"/>
  <c r="B2370" i="16"/>
  <c r="N2369" i="16"/>
  <c r="J2369" i="16"/>
  <c r="B2369" i="16"/>
  <c r="N2368" i="16"/>
  <c r="J2368" i="16"/>
  <c r="B2368" i="16"/>
  <c r="N2367" i="16"/>
  <c r="J2367" i="16"/>
  <c r="B2367" i="16"/>
  <c r="N2366" i="16"/>
  <c r="N2365" i="16"/>
  <c r="B2365" i="16"/>
  <c r="B2366" i="16" s="1"/>
  <c r="F2361" i="16"/>
  <c r="E2361" i="16"/>
  <c r="A2388" i="16" s="1"/>
  <c r="P2357" i="16"/>
  <c r="X2346" i="16"/>
  <c r="N2344" i="16"/>
  <c r="J2344" i="16"/>
  <c r="B2344" i="16"/>
  <c r="N2343" i="16"/>
  <c r="J2343" i="16"/>
  <c r="B2343" i="16"/>
  <c r="N2342" i="16"/>
  <c r="J2342" i="16"/>
  <c r="B2342" i="16"/>
  <c r="N2341" i="16"/>
  <c r="J2341" i="16"/>
  <c r="B2341" i="16"/>
  <c r="N2340" i="16"/>
  <c r="J2340" i="16"/>
  <c r="B2340" i="16"/>
  <c r="N2339" i="16"/>
  <c r="J2339" i="16"/>
  <c r="B2339" i="16"/>
  <c r="N2338" i="16"/>
  <c r="J2338" i="16"/>
  <c r="B2338" i="16"/>
  <c r="N2337" i="16"/>
  <c r="J2337" i="16"/>
  <c r="B2337" i="16"/>
  <c r="N2336" i="16"/>
  <c r="J2336" i="16"/>
  <c r="B2336" i="16"/>
  <c r="N2335" i="16"/>
  <c r="B2335" i="16"/>
  <c r="F2331" i="16"/>
  <c r="J2335" i="16" s="1"/>
  <c r="E2331" i="16"/>
  <c r="A2358" i="16" s="1"/>
  <c r="P2327" i="16"/>
  <c r="X2316" i="16"/>
  <c r="N2314" i="16"/>
  <c r="J2314" i="16"/>
  <c r="B2314" i="16"/>
  <c r="N2313" i="16"/>
  <c r="J2313" i="16"/>
  <c r="B2313" i="16"/>
  <c r="N2312" i="16"/>
  <c r="J2312" i="16"/>
  <c r="B2312" i="16"/>
  <c r="N2311" i="16"/>
  <c r="J2311" i="16"/>
  <c r="B2311" i="16"/>
  <c r="N2310" i="16"/>
  <c r="J2310" i="16"/>
  <c r="B2310" i="16"/>
  <c r="N2309" i="16"/>
  <c r="J2309" i="16"/>
  <c r="B2309" i="16"/>
  <c r="N2308" i="16"/>
  <c r="J2308" i="16"/>
  <c r="B2308" i="16"/>
  <c r="N2307" i="16"/>
  <c r="J2307" i="16"/>
  <c r="N2305" i="16"/>
  <c r="B2305" i="16"/>
  <c r="B2306" i="16" s="1"/>
  <c r="F2301" i="16"/>
  <c r="E2301" i="16"/>
  <c r="F2320" i="16" s="1"/>
  <c r="P2297" i="16"/>
  <c r="X2286" i="16"/>
  <c r="N2284" i="16"/>
  <c r="J2284" i="16"/>
  <c r="B2284" i="16"/>
  <c r="N2283" i="16"/>
  <c r="J2283" i="16"/>
  <c r="B2283" i="16"/>
  <c r="N2282" i="16"/>
  <c r="J2282" i="16"/>
  <c r="B2282" i="16"/>
  <c r="N2281" i="16"/>
  <c r="J2281" i="16"/>
  <c r="B2281" i="16"/>
  <c r="N2280" i="16"/>
  <c r="J2280" i="16"/>
  <c r="B2280" i="16"/>
  <c r="N2279" i="16"/>
  <c r="J2279" i="16"/>
  <c r="B2279" i="16"/>
  <c r="N2278" i="16"/>
  <c r="J2278" i="16"/>
  <c r="B2278" i="16"/>
  <c r="N2277" i="16"/>
  <c r="N2276" i="16"/>
  <c r="N2275" i="16"/>
  <c r="B2275" i="16"/>
  <c r="B2276" i="16" s="1"/>
  <c r="B2277" i="16" s="1"/>
  <c r="F2271" i="16"/>
  <c r="E2271" i="16"/>
  <c r="A2298" i="16" s="1"/>
  <c r="P2267" i="16"/>
  <c r="X2256" i="16"/>
  <c r="N2254" i="16"/>
  <c r="J2254" i="16"/>
  <c r="B2254" i="16"/>
  <c r="N2253" i="16"/>
  <c r="J2253" i="16"/>
  <c r="B2253" i="16"/>
  <c r="N2252" i="16"/>
  <c r="J2252" i="16"/>
  <c r="B2252" i="16"/>
  <c r="N2251" i="16"/>
  <c r="J2251" i="16"/>
  <c r="B2251" i="16"/>
  <c r="N2250" i="16"/>
  <c r="J2250" i="16"/>
  <c r="B2250" i="16"/>
  <c r="N2249" i="16"/>
  <c r="N2248" i="16"/>
  <c r="N2247" i="16"/>
  <c r="N2246" i="16"/>
  <c r="N2245" i="16"/>
  <c r="B2245" i="16"/>
  <c r="B2246" i="16" s="1"/>
  <c r="B2247" i="16" s="1"/>
  <c r="B2248" i="16" s="1"/>
  <c r="B2249" i="16" s="1"/>
  <c r="F2241" i="16"/>
  <c r="E2241" i="16"/>
  <c r="F2260" i="16" s="1"/>
  <c r="P2237" i="16"/>
  <c r="X2226" i="16"/>
  <c r="N2224" i="16"/>
  <c r="J2224" i="16"/>
  <c r="B2224" i="16"/>
  <c r="N2223" i="16"/>
  <c r="J2223" i="16"/>
  <c r="B2223" i="16"/>
  <c r="N2222" i="16"/>
  <c r="J2222" i="16"/>
  <c r="B2222" i="16"/>
  <c r="N2221" i="16"/>
  <c r="J2221" i="16"/>
  <c r="B2221" i="16"/>
  <c r="N2220" i="16"/>
  <c r="J2220" i="16"/>
  <c r="B2220" i="16"/>
  <c r="N2219" i="16"/>
  <c r="J2219" i="16"/>
  <c r="B2219" i="16"/>
  <c r="N2218" i="16"/>
  <c r="J2218" i="16"/>
  <c r="B2218" i="16"/>
  <c r="N2217" i="16"/>
  <c r="N2216" i="16"/>
  <c r="N2215" i="16"/>
  <c r="B2215" i="16"/>
  <c r="B2216" i="16" s="1"/>
  <c r="B2217" i="16" s="1"/>
  <c r="F2211" i="16"/>
  <c r="E2211" i="16"/>
  <c r="F2230" i="16" s="1"/>
  <c r="P2207" i="16"/>
  <c r="X2196" i="16"/>
  <c r="N2194" i="16"/>
  <c r="J2194" i="16"/>
  <c r="B2194" i="16"/>
  <c r="N2193" i="16"/>
  <c r="J2193" i="16"/>
  <c r="B2193" i="16"/>
  <c r="N2192" i="16"/>
  <c r="J2192" i="16"/>
  <c r="B2192" i="16"/>
  <c r="N2191" i="16"/>
  <c r="J2191" i="16"/>
  <c r="B2191" i="16"/>
  <c r="N2190" i="16"/>
  <c r="J2190" i="16"/>
  <c r="B2190" i="16"/>
  <c r="N2189" i="16"/>
  <c r="J2189" i="16"/>
  <c r="B2189" i="16"/>
  <c r="N2188" i="16"/>
  <c r="N2187" i="16"/>
  <c r="N2186" i="16"/>
  <c r="N2185" i="16"/>
  <c r="B2185" i="16"/>
  <c r="B2186" i="16" s="1"/>
  <c r="B2187" i="16" s="1"/>
  <c r="B2188" i="16" s="1"/>
  <c r="F2181" i="16"/>
  <c r="E2181" i="16"/>
  <c r="A2208" i="16" s="1"/>
  <c r="P2177" i="16"/>
  <c r="X2166" i="16"/>
  <c r="N2164" i="16"/>
  <c r="J2164" i="16"/>
  <c r="B2164" i="16"/>
  <c r="N2163" i="16"/>
  <c r="J2163" i="16"/>
  <c r="B2163" i="16"/>
  <c r="N2162" i="16"/>
  <c r="J2162" i="16"/>
  <c r="B2162" i="16"/>
  <c r="N2161" i="16"/>
  <c r="J2161" i="16"/>
  <c r="B2161" i="16"/>
  <c r="N2160" i="16"/>
  <c r="J2160" i="16"/>
  <c r="B2160" i="16"/>
  <c r="N2159" i="16"/>
  <c r="J2159" i="16"/>
  <c r="B2159" i="16"/>
  <c r="N2158" i="16"/>
  <c r="J2158" i="16"/>
  <c r="B2158" i="16"/>
  <c r="N2157" i="16"/>
  <c r="J2157" i="16"/>
  <c r="B2157" i="16"/>
  <c r="N2156" i="16"/>
  <c r="N2155" i="16"/>
  <c r="B2155" i="16"/>
  <c r="B2156" i="16" s="1"/>
  <c r="F2151" i="16"/>
  <c r="E2151" i="16"/>
  <c r="F2170" i="16" s="1"/>
  <c r="P2147" i="16"/>
  <c r="X2136" i="16"/>
  <c r="N2134" i="16"/>
  <c r="J2134" i="16"/>
  <c r="B2134" i="16"/>
  <c r="N2133" i="16"/>
  <c r="J2133" i="16"/>
  <c r="B2133" i="16"/>
  <c r="N2132" i="16"/>
  <c r="J2132" i="16"/>
  <c r="B2132" i="16"/>
  <c r="N2131" i="16"/>
  <c r="J2131" i="16"/>
  <c r="B2131" i="16"/>
  <c r="N2130" i="16"/>
  <c r="J2130" i="16"/>
  <c r="B2130" i="16"/>
  <c r="N2129" i="16"/>
  <c r="N2128" i="16"/>
  <c r="N2127" i="16"/>
  <c r="N2126" i="16"/>
  <c r="N2125" i="16"/>
  <c r="B2125" i="16"/>
  <c r="B2126" i="16" s="1"/>
  <c r="B2127" i="16" s="1"/>
  <c r="B2128" i="16" s="1"/>
  <c r="B2129" i="16" s="1"/>
  <c r="F2121" i="16"/>
  <c r="E2121" i="16"/>
  <c r="F2140" i="16" s="1"/>
  <c r="P2117" i="16"/>
  <c r="X2106" i="16"/>
  <c r="N2104" i="16"/>
  <c r="J2104" i="16"/>
  <c r="B2104" i="16"/>
  <c r="N2103" i="16"/>
  <c r="J2103" i="16"/>
  <c r="B2103" i="16"/>
  <c r="N2102" i="16"/>
  <c r="J2102" i="16"/>
  <c r="B2102" i="16"/>
  <c r="N2101" i="16"/>
  <c r="J2101" i="16"/>
  <c r="B2101" i="16"/>
  <c r="N2100" i="16"/>
  <c r="J2100" i="16"/>
  <c r="B2100" i="16"/>
  <c r="N2099" i="16"/>
  <c r="J2099" i="16"/>
  <c r="B2099" i="16"/>
  <c r="N2098" i="16"/>
  <c r="N2097" i="16"/>
  <c r="N2096" i="16"/>
  <c r="N2095" i="16"/>
  <c r="B2095" i="16"/>
  <c r="B2096" i="16" s="1"/>
  <c r="B2097" i="16" s="1"/>
  <c r="B2098" i="16" s="1"/>
  <c r="F2091" i="16"/>
  <c r="E2091" i="16"/>
  <c r="F2110" i="16" s="1"/>
  <c r="P2087" i="16"/>
  <c r="X2076" i="16"/>
  <c r="N2074" i="16"/>
  <c r="J2074" i="16"/>
  <c r="B2074" i="16"/>
  <c r="N2073" i="16"/>
  <c r="J2073" i="16"/>
  <c r="B2073" i="16"/>
  <c r="N2072" i="16"/>
  <c r="J2072" i="16"/>
  <c r="B2072" i="16"/>
  <c r="N2071" i="16"/>
  <c r="J2071" i="16"/>
  <c r="B2071" i="16"/>
  <c r="N2070" i="16"/>
  <c r="J2070" i="16"/>
  <c r="B2070" i="16"/>
  <c r="N2069" i="16"/>
  <c r="J2069" i="16"/>
  <c r="B2069" i="16"/>
  <c r="N2068" i="16"/>
  <c r="N2067" i="16"/>
  <c r="N2066" i="16"/>
  <c r="N2065" i="16"/>
  <c r="B2065" i="16"/>
  <c r="B2066" i="16" s="1"/>
  <c r="B2067" i="16" s="1"/>
  <c r="B2068" i="16" s="1"/>
  <c r="F2061" i="16"/>
  <c r="E2061" i="16"/>
  <c r="F2080" i="16" s="1"/>
  <c r="P2057" i="16"/>
  <c r="X2046" i="16"/>
  <c r="N2044" i="16"/>
  <c r="J2044" i="16"/>
  <c r="B2044" i="16"/>
  <c r="N2043" i="16"/>
  <c r="J2043" i="16"/>
  <c r="B2043" i="16"/>
  <c r="N2042" i="16"/>
  <c r="J2042" i="16"/>
  <c r="B2042" i="16"/>
  <c r="N2041" i="16"/>
  <c r="J2041" i="16"/>
  <c r="B2041" i="16"/>
  <c r="N2040" i="16"/>
  <c r="J2040" i="16"/>
  <c r="B2040" i="16"/>
  <c r="N2039" i="16"/>
  <c r="N2038" i="16"/>
  <c r="N2037" i="16"/>
  <c r="N2036" i="16"/>
  <c r="N2035" i="16"/>
  <c r="B2035" i="16"/>
  <c r="B2036" i="16" s="1"/>
  <c r="B2037" i="16" s="1"/>
  <c r="B2038" i="16" s="1"/>
  <c r="B2039" i="16" s="1"/>
  <c r="F2031" i="16"/>
  <c r="J2036" i="16" s="1"/>
  <c r="E2031" i="16"/>
  <c r="F2050" i="16" s="1"/>
  <c r="P2027" i="16"/>
  <c r="X2016" i="16"/>
  <c r="N2014" i="16"/>
  <c r="J2014" i="16"/>
  <c r="B2014" i="16"/>
  <c r="N2013" i="16"/>
  <c r="J2013" i="16"/>
  <c r="B2013" i="16"/>
  <c r="N2012" i="16"/>
  <c r="J2012" i="16"/>
  <c r="B2012" i="16"/>
  <c r="N2011" i="16"/>
  <c r="J2011" i="16"/>
  <c r="B2011" i="16"/>
  <c r="N2010" i="16"/>
  <c r="J2010" i="16"/>
  <c r="B2010" i="16"/>
  <c r="N2009" i="16"/>
  <c r="J2009" i="16"/>
  <c r="B2009" i="16"/>
  <c r="N2008" i="16"/>
  <c r="J2008" i="16"/>
  <c r="B2008" i="16"/>
  <c r="N2007" i="16"/>
  <c r="J2007" i="16"/>
  <c r="B2007" i="16"/>
  <c r="N2006" i="16"/>
  <c r="B2006" i="16"/>
  <c r="N2005" i="16"/>
  <c r="B2005" i="16"/>
  <c r="F2001" i="16"/>
  <c r="E2001" i="16"/>
  <c r="F2020" i="16" s="1"/>
  <c r="P1997" i="16"/>
  <c r="X1986" i="16"/>
  <c r="N1984" i="16"/>
  <c r="J1984" i="16"/>
  <c r="B1984" i="16"/>
  <c r="N1983" i="16"/>
  <c r="J1983" i="16"/>
  <c r="B1983" i="16"/>
  <c r="N1982" i="16"/>
  <c r="J1982" i="16"/>
  <c r="B1982" i="16"/>
  <c r="N1981" i="16"/>
  <c r="J1981" i="16"/>
  <c r="B1981" i="16"/>
  <c r="N1980" i="16"/>
  <c r="J1980" i="16"/>
  <c r="B1980" i="16"/>
  <c r="N1979" i="16"/>
  <c r="J1979" i="16"/>
  <c r="B1979" i="16"/>
  <c r="N1978" i="16"/>
  <c r="N1977" i="16"/>
  <c r="N1976" i="16"/>
  <c r="N1975" i="16"/>
  <c r="B1975" i="16"/>
  <c r="B1976" i="16" s="1"/>
  <c r="B1977" i="16" s="1"/>
  <c r="B1978" i="16" s="1"/>
  <c r="F1971" i="16"/>
  <c r="E1971" i="16"/>
  <c r="F1990" i="16" s="1"/>
  <c r="P1967" i="16"/>
  <c r="X1956" i="16"/>
  <c r="N1954" i="16"/>
  <c r="J1954" i="16"/>
  <c r="B1954" i="16"/>
  <c r="N1953" i="16"/>
  <c r="J1953" i="16"/>
  <c r="B1953" i="16"/>
  <c r="N1952" i="16"/>
  <c r="J1952" i="16"/>
  <c r="B1952" i="16"/>
  <c r="N1951" i="16"/>
  <c r="J1951" i="16"/>
  <c r="B1951" i="16"/>
  <c r="N1950" i="16"/>
  <c r="J1950" i="16"/>
  <c r="B1950" i="16"/>
  <c r="N1949" i="16"/>
  <c r="J1949" i="16"/>
  <c r="B1949" i="16"/>
  <c r="N1948" i="16"/>
  <c r="J1948" i="16"/>
  <c r="B1948" i="16"/>
  <c r="N1947" i="16"/>
  <c r="J1947" i="16"/>
  <c r="B1947" i="16"/>
  <c r="N1946" i="16"/>
  <c r="N1945" i="16"/>
  <c r="B1945" i="16"/>
  <c r="B1946" i="16" s="1"/>
  <c r="F1941" i="16"/>
  <c r="J1945" i="16" s="1"/>
  <c r="E1941" i="16"/>
  <c r="F1960" i="16" s="1"/>
  <c r="P1937" i="16"/>
  <c r="X1926" i="16"/>
  <c r="N1924" i="16"/>
  <c r="J1924" i="16"/>
  <c r="B1924" i="16"/>
  <c r="N1923" i="16"/>
  <c r="J1923" i="16"/>
  <c r="B1923" i="16"/>
  <c r="N1922" i="16"/>
  <c r="J1922" i="16"/>
  <c r="B1922" i="16"/>
  <c r="N1921" i="16"/>
  <c r="J1921" i="16"/>
  <c r="B1921" i="16"/>
  <c r="N1918" i="16"/>
  <c r="N1917" i="16"/>
  <c r="N1916" i="16"/>
  <c r="N1915" i="16"/>
  <c r="B1915" i="16"/>
  <c r="B1916" i="16" s="1"/>
  <c r="B1917" i="16" s="1"/>
  <c r="B1918" i="16" s="1"/>
  <c r="B1919" i="16" s="1"/>
  <c r="B1920" i="16" s="1"/>
  <c r="F1911" i="16"/>
  <c r="E1911" i="16"/>
  <c r="A1938" i="16" s="1"/>
  <c r="P1907" i="16"/>
  <c r="X1896" i="16"/>
  <c r="N1894" i="16"/>
  <c r="J1894" i="16"/>
  <c r="B1894" i="16"/>
  <c r="N1893" i="16"/>
  <c r="J1893" i="16"/>
  <c r="B1893" i="16"/>
  <c r="N1892" i="16"/>
  <c r="J1892" i="16"/>
  <c r="B1892" i="16"/>
  <c r="N1891" i="16"/>
  <c r="J1891" i="16"/>
  <c r="B1891" i="16"/>
  <c r="N1890" i="16"/>
  <c r="J1890" i="16"/>
  <c r="B1890" i="16"/>
  <c r="N1889" i="16"/>
  <c r="J1889" i="16"/>
  <c r="B1889" i="16"/>
  <c r="N1888" i="16"/>
  <c r="J1888" i="16"/>
  <c r="B1888" i="16"/>
  <c r="N1887" i="16"/>
  <c r="J1887" i="16"/>
  <c r="B1887" i="16"/>
  <c r="N1886" i="16"/>
  <c r="N1885" i="16"/>
  <c r="B1885" i="16"/>
  <c r="B1886" i="16" s="1"/>
  <c r="F1881" i="16"/>
  <c r="J1886" i="16" s="1"/>
  <c r="E1881" i="16"/>
  <c r="F1900" i="16" s="1"/>
  <c r="D1904" i="16" s="1"/>
  <c r="P1877" i="16"/>
  <c r="X1866" i="16"/>
  <c r="N1864" i="16"/>
  <c r="J1864" i="16"/>
  <c r="B1864" i="16"/>
  <c r="N1863" i="16"/>
  <c r="J1863" i="16"/>
  <c r="B1863" i="16"/>
  <c r="N1862" i="16"/>
  <c r="J1862" i="16"/>
  <c r="B1862" i="16"/>
  <c r="N1861" i="16"/>
  <c r="J1861" i="16"/>
  <c r="B1861" i="16"/>
  <c r="N1860" i="16"/>
  <c r="J1860" i="16"/>
  <c r="B1860" i="16"/>
  <c r="N1859" i="16"/>
  <c r="J1859" i="16"/>
  <c r="B1859" i="16"/>
  <c r="N1858" i="16"/>
  <c r="J1858" i="16"/>
  <c r="B1858" i="16"/>
  <c r="N1855" i="16"/>
  <c r="B1855" i="16"/>
  <c r="B1856" i="16" s="1"/>
  <c r="F1851" i="16"/>
  <c r="E1851" i="16"/>
  <c r="F1870" i="16" s="1"/>
  <c r="P1847" i="16"/>
  <c r="X1836" i="16"/>
  <c r="N1834" i="16"/>
  <c r="J1834" i="16"/>
  <c r="B1834" i="16"/>
  <c r="N1833" i="16"/>
  <c r="J1833" i="16"/>
  <c r="B1833" i="16"/>
  <c r="N1832" i="16"/>
  <c r="J1832" i="16"/>
  <c r="B1832" i="16"/>
  <c r="N1831" i="16"/>
  <c r="J1831" i="16"/>
  <c r="B1831" i="16"/>
  <c r="N1830" i="16"/>
  <c r="N1829" i="16"/>
  <c r="N1828" i="16"/>
  <c r="N1827" i="16"/>
  <c r="N1826" i="16"/>
  <c r="B1826" i="16"/>
  <c r="B1827" i="16" s="1"/>
  <c r="B1828" i="16" s="1"/>
  <c r="B1829" i="16" s="1"/>
  <c r="B1830" i="16" s="1"/>
  <c r="N1825" i="16"/>
  <c r="B1825" i="16"/>
  <c r="F1821" i="16"/>
  <c r="E1821" i="16"/>
  <c r="A1848" i="16" s="1"/>
  <c r="P1817" i="16"/>
  <c r="X1806" i="16"/>
  <c r="N1804" i="16"/>
  <c r="J1804" i="16"/>
  <c r="B1804" i="16"/>
  <c r="N1803" i="16"/>
  <c r="J1803" i="16"/>
  <c r="B1803" i="16"/>
  <c r="N1802" i="16"/>
  <c r="J1802" i="16"/>
  <c r="B1802" i="16"/>
  <c r="N1801" i="16"/>
  <c r="J1801" i="16"/>
  <c r="B1801" i="16"/>
  <c r="N1800" i="16"/>
  <c r="J1800" i="16"/>
  <c r="B1800" i="16"/>
  <c r="N1799" i="16"/>
  <c r="J1799" i="16"/>
  <c r="B1799" i="16"/>
  <c r="N1798" i="16"/>
  <c r="J1798" i="16"/>
  <c r="B1798" i="16"/>
  <c r="N1797" i="16"/>
  <c r="N1796" i="16"/>
  <c r="N1795" i="16"/>
  <c r="B1795" i="16"/>
  <c r="B1796" i="16" s="1"/>
  <c r="B1797" i="16" s="1"/>
  <c r="F1791" i="16"/>
  <c r="J1797" i="16" s="1"/>
  <c r="E1791" i="16"/>
  <c r="F1810" i="16" s="1"/>
  <c r="X1812" i="16" s="1"/>
  <c r="P1787" i="16"/>
  <c r="X1776" i="16"/>
  <c r="N1774" i="16"/>
  <c r="J1774" i="16"/>
  <c r="B1774" i="16"/>
  <c r="N1773" i="16"/>
  <c r="J1773" i="16"/>
  <c r="B1773" i="16"/>
  <c r="N1772" i="16"/>
  <c r="J1772" i="16"/>
  <c r="B1772" i="16"/>
  <c r="N1771" i="16"/>
  <c r="J1771" i="16"/>
  <c r="B1771" i="16"/>
  <c r="N1770" i="16"/>
  <c r="J1770" i="16"/>
  <c r="B1770" i="16"/>
  <c r="N1769" i="16"/>
  <c r="J1769" i="16"/>
  <c r="B1769" i="16"/>
  <c r="N1768" i="16"/>
  <c r="N1767" i="16"/>
  <c r="N1766" i="16"/>
  <c r="N1765" i="16"/>
  <c r="B1765" i="16"/>
  <c r="B1766" i="16" s="1"/>
  <c r="B1767" i="16" s="1"/>
  <c r="B1768" i="16" s="1"/>
  <c r="F1761" i="16"/>
  <c r="E1761" i="16"/>
  <c r="A1788" i="16" s="1"/>
  <c r="P1757" i="16"/>
  <c r="X1746" i="16"/>
  <c r="N1744" i="16"/>
  <c r="J1744" i="16"/>
  <c r="B1744" i="16"/>
  <c r="N1743" i="16"/>
  <c r="J1743" i="16"/>
  <c r="B1743" i="16"/>
  <c r="N1742" i="16"/>
  <c r="J1742" i="16"/>
  <c r="B1742" i="16"/>
  <c r="N1741" i="16"/>
  <c r="J1741" i="16"/>
  <c r="B1741" i="16"/>
  <c r="N1740" i="16"/>
  <c r="J1740" i="16"/>
  <c r="B1740" i="16"/>
  <c r="N1739" i="16"/>
  <c r="J1739" i="16"/>
  <c r="B1739" i="16"/>
  <c r="N1738" i="16"/>
  <c r="J1738" i="16"/>
  <c r="B1738" i="16"/>
  <c r="N1737" i="16"/>
  <c r="J1737" i="16"/>
  <c r="B1737" i="16"/>
  <c r="N1736" i="16"/>
  <c r="J1736" i="16"/>
  <c r="B1736" i="16"/>
  <c r="N1735" i="16"/>
  <c r="B1735" i="16"/>
  <c r="F1731" i="16"/>
  <c r="J1735" i="16" s="1"/>
  <c r="E1731" i="16"/>
  <c r="F1750" i="16" s="1"/>
  <c r="X1716" i="16"/>
  <c r="N1714" i="16"/>
  <c r="J1714" i="16"/>
  <c r="B1714" i="16"/>
  <c r="N1713" i="16"/>
  <c r="J1713" i="16"/>
  <c r="B1713" i="16"/>
  <c r="N1712" i="16"/>
  <c r="J1712" i="16"/>
  <c r="B1712" i="16"/>
  <c r="N1711" i="16"/>
  <c r="J1711" i="16"/>
  <c r="B1711" i="16"/>
  <c r="N1710" i="16"/>
  <c r="J1710" i="16"/>
  <c r="B1710" i="16"/>
  <c r="N1709" i="16"/>
  <c r="J1709" i="16"/>
  <c r="B1709" i="16"/>
  <c r="N1708" i="16"/>
  <c r="J1708" i="16"/>
  <c r="B1708" i="16"/>
  <c r="N1707" i="16"/>
  <c r="J1707" i="16"/>
  <c r="B1707" i="16"/>
  <c r="N1706" i="16"/>
  <c r="J1706" i="16"/>
  <c r="B1706" i="16"/>
  <c r="N1705" i="16"/>
  <c r="B1705" i="16"/>
  <c r="F1701" i="16"/>
  <c r="E1701" i="16"/>
  <c r="F1720" i="16" s="1"/>
  <c r="P1697" i="16"/>
  <c r="X1686" i="16"/>
  <c r="N1684" i="16"/>
  <c r="J1684" i="16"/>
  <c r="B1684" i="16"/>
  <c r="N1683" i="16"/>
  <c r="J1683" i="16"/>
  <c r="B1683" i="16"/>
  <c r="N1682" i="16"/>
  <c r="J1682" i="16"/>
  <c r="B1682" i="16"/>
  <c r="N1681" i="16"/>
  <c r="J1681" i="16"/>
  <c r="B1681" i="16"/>
  <c r="N1680" i="16"/>
  <c r="J1680" i="16"/>
  <c r="B1680" i="16"/>
  <c r="N1679" i="16"/>
  <c r="J1679" i="16"/>
  <c r="B1679" i="16"/>
  <c r="N1678" i="16"/>
  <c r="J1678" i="16"/>
  <c r="B1678" i="16"/>
  <c r="N1677" i="16"/>
  <c r="N1676" i="16"/>
  <c r="N1675" i="16"/>
  <c r="B1675" i="16"/>
  <c r="B1676" i="16" s="1"/>
  <c r="B1677" i="16" s="1"/>
  <c r="F1671" i="16"/>
  <c r="E1671" i="16"/>
  <c r="F1690" i="16" s="1"/>
  <c r="P1667" i="16"/>
  <c r="X1656" i="16"/>
  <c r="N1654" i="16"/>
  <c r="J1654" i="16"/>
  <c r="B1654" i="16"/>
  <c r="N1653" i="16"/>
  <c r="J1653" i="16"/>
  <c r="B1653" i="16"/>
  <c r="N1652" i="16"/>
  <c r="J1652" i="16"/>
  <c r="B1652" i="16"/>
  <c r="N1651" i="16"/>
  <c r="J1651" i="16"/>
  <c r="B1651" i="16"/>
  <c r="N1650" i="16"/>
  <c r="J1650" i="16"/>
  <c r="B1650" i="16"/>
  <c r="N1649" i="16"/>
  <c r="J1649" i="16"/>
  <c r="B1649" i="16"/>
  <c r="N1648" i="16"/>
  <c r="J1648" i="16"/>
  <c r="B1648" i="16"/>
  <c r="N1647" i="16"/>
  <c r="J1647" i="16"/>
  <c r="B1647" i="16"/>
  <c r="N1646" i="16"/>
  <c r="N1645" i="16"/>
  <c r="B1645" i="16"/>
  <c r="B1646" i="16" s="1"/>
  <c r="F1641" i="16"/>
  <c r="E1641" i="16"/>
  <c r="A1668" i="16" s="1"/>
  <c r="P1637" i="16"/>
  <c r="X1626" i="16"/>
  <c r="N1624" i="16"/>
  <c r="J1624" i="16"/>
  <c r="B1624" i="16"/>
  <c r="N1623" i="16"/>
  <c r="J1623" i="16"/>
  <c r="B1623" i="16"/>
  <c r="N1622" i="16"/>
  <c r="J1622" i="16"/>
  <c r="B1622" i="16"/>
  <c r="N1621" i="16"/>
  <c r="J1621" i="16"/>
  <c r="B1621" i="16"/>
  <c r="N1620" i="16"/>
  <c r="J1620" i="16"/>
  <c r="B1620" i="16"/>
  <c r="N1619" i="16"/>
  <c r="J1619" i="16"/>
  <c r="B1619" i="16"/>
  <c r="N1618" i="16"/>
  <c r="J1618" i="16"/>
  <c r="B1618" i="16"/>
  <c r="N1617" i="16"/>
  <c r="N1616" i="16"/>
  <c r="N1615" i="16"/>
  <c r="B1615" i="16"/>
  <c r="B1616" i="16" s="1"/>
  <c r="B1617" i="16" s="1"/>
  <c r="F1611" i="16"/>
  <c r="E1611" i="16"/>
  <c r="A1638" i="16" s="1"/>
  <c r="P1607" i="16"/>
  <c r="X1596" i="16"/>
  <c r="N1594" i="16"/>
  <c r="J1594" i="16"/>
  <c r="B1594" i="16"/>
  <c r="N1593" i="16"/>
  <c r="J1593" i="16"/>
  <c r="B1593" i="16"/>
  <c r="N1592" i="16"/>
  <c r="J1592" i="16"/>
  <c r="B1592" i="16"/>
  <c r="N1591" i="16"/>
  <c r="J1591" i="16"/>
  <c r="B1591" i="16"/>
  <c r="N1590" i="16"/>
  <c r="J1590" i="16"/>
  <c r="B1590" i="16"/>
  <c r="N1589" i="16"/>
  <c r="J1589" i="16"/>
  <c r="B1589" i="16"/>
  <c r="N1588" i="16"/>
  <c r="N1587" i="16"/>
  <c r="N1586" i="16"/>
  <c r="N1585" i="16"/>
  <c r="B1585" i="16"/>
  <c r="B1586" i="16" s="1"/>
  <c r="B1587" i="16" s="1"/>
  <c r="B1588" i="16" s="1"/>
  <c r="F1581" i="16"/>
  <c r="E1581" i="16"/>
  <c r="A1608" i="16" s="1"/>
  <c r="P1577" i="16"/>
  <c r="X1566" i="16"/>
  <c r="N1564" i="16"/>
  <c r="J1564" i="16"/>
  <c r="B1564" i="16"/>
  <c r="N1563" i="16"/>
  <c r="J1563" i="16"/>
  <c r="B1563" i="16"/>
  <c r="N1562" i="16"/>
  <c r="J1562" i="16"/>
  <c r="B1562" i="16"/>
  <c r="N1561" i="16"/>
  <c r="J1561" i="16"/>
  <c r="B1561" i="16"/>
  <c r="N1560" i="16"/>
  <c r="J1560" i="16"/>
  <c r="B1560" i="16"/>
  <c r="N1559" i="16"/>
  <c r="J1559" i="16"/>
  <c r="B1559" i="16"/>
  <c r="N1558" i="16"/>
  <c r="N1557" i="16"/>
  <c r="N1556" i="16"/>
  <c r="N1555" i="16"/>
  <c r="B1555" i="16"/>
  <c r="B1556" i="16" s="1"/>
  <c r="B1557" i="16" s="1"/>
  <c r="B1558" i="16" s="1"/>
  <c r="F1551" i="16"/>
  <c r="E1551" i="16"/>
  <c r="A1578" i="16" s="1"/>
  <c r="P1547" i="16"/>
  <c r="X1536" i="16"/>
  <c r="N1534" i="16"/>
  <c r="J1534" i="16"/>
  <c r="B1534" i="16"/>
  <c r="N1533" i="16"/>
  <c r="J1533" i="16"/>
  <c r="B1533" i="16"/>
  <c r="N1532" i="16"/>
  <c r="J1532" i="16"/>
  <c r="B1532" i="16"/>
  <c r="N1531" i="16"/>
  <c r="J1531" i="16"/>
  <c r="B1531" i="16"/>
  <c r="N1530" i="16"/>
  <c r="J1530" i="16"/>
  <c r="B1530" i="16"/>
  <c r="N1529" i="16"/>
  <c r="J1529" i="16"/>
  <c r="B1529" i="16"/>
  <c r="N1528" i="16"/>
  <c r="J1528" i="16"/>
  <c r="B1528" i="16"/>
  <c r="N1527" i="16"/>
  <c r="J1527" i="16"/>
  <c r="B1527" i="16"/>
  <c r="N1526" i="16"/>
  <c r="J1526" i="16"/>
  <c r="B1526" i="16"/>
  <c r="N1525" i="16"/>
  <c r="B1525" i="16"/>
  <c r="F1521" i="16"/>
  <c r="J1525" i="16" s="1"/>
  <c r="E1521" i="16"/>
  <c r="A1548" i="16" s="1"/>
  <c r="P1517" i="16"/>
  <c r="X1506" i="16"/>
  <c r="N1504" i="16"/>
  <c r="J1504" i="16"/>
  <c r="B1504" i="16"/>
  <c r="N1503" i="16"/>
  <c r="J1503" i="16"/>
  <c r="B1503" i="16"/>
  <c r="N1502" i="16"/>
  <c r="J1502" i="16"/>
  <c r="B1502" i="16"/>
  <c r="N1501" i="16"/>
  <c r="J1501" i="16"/>
  <c r="B1501" i="16"/>
  <c r="N1500" i="16"/>
  <c r="J1500" i="16"/>
  <c r="B1500" i="16"/>
  <c r="N1499" i="16"/>
  <c r="J1499" i="16"/>
  <c r="B1499" i="16"/>
  <c r="N1498" i="16"/>
  <c r="J1498" i="16"/>
  <c r="B1498" i="16"/>
  <c r="N1497" i="16"/>
  <c r="J1497" i="16"/>
  <c r="B1497" i="16"/>
  <c r="B1495" i="16"/>
  <c r="B1496" i="16" s="1"/>
  <c r="F1491" i="16"/>
  <c r="E1491" i="16"/>
  <c r="F1510" i="16" s="1"/>
  <c r="P1487" i="16"/>
  <c r="X1476" i="16"/>
  <c r="N1474" i="16"/>
  <c r="J1474" i="16"/>
  <c r="B1474" i="16"/>
  <c r="N1473" i="16"/>
  <c r="J1473" i="16"/>
  <c r="B1473" i="16"/>
  <c r="N1472" i="16"/>
  <c r="J1472" i="16"/>
  <c r="B1472" i="16"/>
  <c r="N1471" i="16"/>
  <c r="J1471" i="16"/>
  <c r="B1471" i="16"/>
  <c r="N1470" i="16"/>
  <c r="N1469" i="16"/>
  <c r="N1468" i="16"/>
  <c r="N1467" i="16"/>
  <c r="N1466" i="16"/>
  <c r="N1465" i="16"/>
  <c r="B1465" i="16"/>
  <c r="B1466" i="16" s="1"/>
  <c r="B1467" i="16" s="1"/>
  <c r="B1468" i="16" s="1"/>
  <c r="B1469" i="16" s="1"/>
  <c r="B1470" i="16" s="1"/>
  <c r="F1461" i="16"/>
  <c r="E1461" i="16"/>
  <c r="A1488" i="16" s="1"/>
  <c r="P1457" i="16"/>
  <c r="X1446" i="16"/>
  <c r="N1444" i="16"/>
  <c r="J1444" i="16"/>
  <c r="B1444" i="16"/>
  <c r="N1443" i="16"/>
  <c r="J1443" i="16"/>
  <c r="B1443" i="16"/>
  <c r="N1442" i="16"/>
  <c r="J1442" i="16"/>
  <c r="B1442" i="16"/>
  <c r="N1441" i="16"/>
  <c r="J1441" i="16"/>
  <c r="B1441" i="16"/>
  <c r="N1440" i="16"/>
  <c r="J1440" i="16"/>
  <c r="B1440" i="16"/>
  <c r="N1439" i="16"/>
  <c r="J1439" i="16"/>
  <c r="B1439" i="16"/>
  <c r="N1438" i="16"/>
  <c r="J1438" i="16"/>
  <c r="B1438" i="16"/>
  <c r="N1437" i="16"/>
  <c r="J1437" i="16"/>
  <c r="B1437" i="16"/>
  <c r="N1436" i="16"/>
  <c r="J1436" i="16"/>
  <c r="B1436" i="16"/>
  <c r="N1435" i="16"/>
  <c r="B1435" i="16"/>
  <c r="F1431" i="16"/>
  <c r="J1435" i="16" s="1"/>
  <c r="E1431" i="16"/>
  <c r="F1450" i="16" s="1"/>
  <c r="P1427" i="16"/>
  <c r="X1416" i="16"/>
  <c r="N1414" i="16"/>
  <c r="J1414" i="16"/>
  <c r="B1414" i="16"/>
  <c r="N1413" i="16"/>
  <c r="J1413" i="16"/>
  <c r="B1413" i="16"/>
  <c r="N1412" i="16"/>
  <c r="J1412" i="16"/>
  <c r="B1412" i="16"/>
  <c r="N1411" i="16"/>
  <c r="J1411" i="16"/>
  <c r="B1411" i="16"/>
  <c r="N1410" i="16"/>
  <c r="J1410" i="16"/>
  <c r="B1410" i="16"/>
  <c r="N1409" i="16"/>
  <c r="J1409" i="16"/>
  <c r="B1409" i="16"/>
  <c r="N1408" i="16"/>
  <c r="J1408" i="16"/>
  <c r="B1408" i="16"/>
  <c r="N1406" i="16"/>
  <c r="B1405" i="16"/>
  <c r="B1406" i="16" s="1"/>
  <c r="B1407" i="16" s="1"/>
  <c r="F1401" i="16"/>
  <c r="E1401" i="16"/>
  <c r="A1428" i="16" s="1"/>
  <c r="P1397" i="16"/>
  <c r="X1386" i="16"/>
  <c r="N1384" i="16"/>
  <c r="J1384" i="16"/>
  <c r="B1384" i="16"/>
  <c r="N1383" i="16"/>
  <c r="J1383" i="16"/>
  <c r="B1383" i="16"/>
  <c r="N1382" i="16"/>
  <c r="J1382" i="16"/>
  <c r="B1382" i="16"/>
  <c r="N1381" i="16"/>
  <c r="J1381" i="16"/>
  <c r="B1381" i="16"/>
  <c r="N1380" i="16"/>
  <c r="J1380" i="16"/>
  <c r="B1380" i="16"/>
  <c r="N1379" i="16"/>
  <c r="J1379" i="16"/>
  <c r="B1379" i="16"/>
  <c r="N1378" i="16"/>
  <c r="J1378" i="16"/>
  <c r="B1378" i="16"/>
  <c r="N1377" i="16"/>
  <c r="N1376" i="16"/>
  <c r="N1375" i="16"/>
  <c r="B1375" i="16"/>
  <c r="B1376" i="16" s="1"/>
  <c r="B1377" i="16" s="1"/>
  <c r="F1371" i="16"/>
  <c r="E1371" i="16"/>
  <c r="A1398" i="16" s="1"/>
  <c r="P1367" i="16"/>
  <c r="X1356" i="16"/>
  <c r="N1354" i="16"/>
  <c r="J1354" i="16"/>
  <c r="B1354" i="16"/>
  <c r="N1353" i="16"/>
  <c r="J1353" i="16"/>
  <c r="B1353" i="16"/>
  <c r="N1352" i="16"/>
  <c r="J1352" i="16"/>
  <c r="B1352" i="16"/>
  <c r="N1351" i="16"/>
  <c r="J1351" i="16"/>
  <c r="B1351" i="16"/>
  <c r="N1350" i="16"/>
  <c r="J1350" i="16"/>
  <c r="B1350" i="16"/>
  <c r="N1349" i="16"/>
  <c r="J1349" i="16"/>
  <c r="B1349" i="16"/>
  <c r="N1348" i="16"/>
  <c r="J1348" i="16"/>
  <c r="B1348" i="16"/>
  <c r="N1347" i="16"/>
  <c r="N1346" i="16"/>
  <c r="N1345" i="16"/>
  <c r="B1345" i="16"/>
  <c r="B1346" i="16" s="1"/>
  <c r="B1347" i="16" s="1"/>
  <c r="F1341" i="16"/>
  <c r="E1341" i="16"/>
  <c r="A1368" i="16" s="1"/>
  <c r="P1337" i="16"/>
  <c r="X1326" i="16"/>
  <c r="N1324" i="16"/>
  <c r="J1324" i="16"/>
  <c r="B1324" i="16"/>
  <c r="N1323" i="16"/>
  <c r="J1323" i="16"/>
  <c r="B1323" i="16"/>
  <c r="N1322" i="16"/>
  <c r="J1322" i="16"/>
  <c r="B1322" i="16"/>
  <c r="N1321" i="16"/>
  <c r="J1321" i="16"/>
  <c r="B1321" i="16"/>
  <c r="N1320" i="16"/>
  <c r="J1320" i="16"/>
  <c r="B1320" i="16"/>
  <c r="N1319" i="16"/>
  <c r="J1319" i="16"/>
  <c r="B1319" i="16"/>
  <c r="N1318" i="16"/>
  <c r="J1318" i="16"/>
  <c r="B1318" i="16"/>
  <c r="N1317" i="16"/>
  <c r="N1316" i="16"/>
  <c r="N1315" i="16"/>
  <c r="B1315" i="16"/>
  <c r="B1316" i="16" s="1"/>
  <c r="B1317" i="16" s="1"/>
  <c r="F1311" i="16"/>
  <c r="E1311" i="16"/>
  <c r="A1338" i="16" s="1"/>
  <c r="P1307" i="16"/>
  <c r="X1296" i="16"/>
  <c r="N1294" i="16"/>
  <c r="J1294" i="16"/>
  <c r="B1294" i="16"/>
  <c r="N1293" i="16"/>
  <c r="J1293" i="16"/>
  <c r="B1293" i="16"/>
  <c r="N1292" i="16"/>
  <c r="J1292" i="16"/>
  <c r="B1292" i="16"/>
  <c r="N1291" i="16"/>
  <c r="J1291" i="16"/>
  <c r="B1291" i="16"/>
  <c r="N1290" i="16"/>
  <c r="J1290" i="16"/>
  <c r="B1290" i="16"/>
  <c r="N1289" i="16"/>
  <c r="N1288" i="16"/>
  <c r="N1287" i="16"/>
  <c r="N1286" i="16"/>
  <c r="N1285" i="16"/>
  <c r="B1285" i="16"/>
  <c r="B1286" i="16" s="1"/>
  <c r="B1287" i="16" s="1"/>
  <c r="B1288" i="16" s="1"/>
  <c r="B1289" i="16" s="1"/>
  <c r="F1281" i="16"/>
  <c r="E1281" i="16"/>
  <c r="A1308" i="16" s="1"/>
  <c r="P1277" i="16"/>
  <c r="X1266" i="16"/>
  <c r="N1264" i="16"/>
  <c r="J1264" i="16"/>
  <c r="B1264" i="16"/>
  <c r="N1263" i="16"/>
  <c r="J1263" i="16"/>
  <c r="B1263" i="16"/>
  <c r="N1262" i="16"/>
  <c r="J1262" i="16"/>
  <c r="B1262" i="16"/>
  <c r="N1261" i="16"/>
  <c r="J1261" i="16"/>
  <c r="B1261" i="16"/>
  <c r="N1260" i="16"/>
  <c r="J1260" i="16"/>
  <c r="B1260" i="16"/>
  <c r="N1259" i="16"/>
  <c r="J1259" i="16"/>
  <c r="B1259" i="16"/>
  <c r="N1258" i="16"/>
  <c r="J1258" i="16"/>
  <c r="B1258" i="16"/>
  <c r="N1257" i="16"/>
  <c r="N1256" i="16"/>
  <c r="N1255" i="16"/>
  <c r="B1255" i="16"/>
  <c r="B1256" i="16" s="1"/>
  <c r="B1257" i="16" s="1"/>
  <c r="F1251" i="16"/>
  <c r="E1251" i="16"/>
  <c r="F1270" i="16" s="1"/>
  <c r="P1247" i="16"/>
  <c r="X1236" i="16"/>
  <c r="N1234" i="16"/>
  <c r="J1234" i="16"/>
  <c r="B1234" i="16"/>
  <c r="N1233" i="16"/>
  <c r="J1233" i="16"/>
  <c r="B1233" i="16"/>
  <c r="N1232" i="16"/>
  <c r="J1232" i="16"/>
  <c r="B1232" i="16"/>
  <c r="N1231" i="16"/>
  <c r="J1231" i="16"/>
  <c r="B1231" i="16"/>
  <c r="N1230" i="16"/>
  <c r="J1230" i="16"/>
  <c r="B1230" i="16"/>
  <c r="N1229" i="16"/>
  <c r="J1229" i="16"/>
  <c r="B1229" i="16"/>
  <c r="N1228" i="16"/>
  <c r="J1228" i="16"/>
  <c r="B1228" i="16"/>
  <c r="N1227" i="16"/>
  <c r="N1226" i="16"/>
  <c r="N1225" i="16"/>
  <c r="B1225" i="16"/>
  <c r="B1226" i="16" s="1"/>
  <c r="B1227" i="16" s="1"/>
  <c r="F1221" i="16"/>
  <c r="E1221" i="16"/>
  <c r="A1248" i="16" s="1"/>
  <c r="P1217" i="16"/>
  <c r="X1206" i="16"/>
  <c r="N1204" i="16"/>
  <c r="J1204" i="16"/>
  <c r="B1204" i="16"/>
  <c r="N1203" i="16"/>
  <c r="J1203" i="16"/>
  <c r="B1203" i="16"/>
  <c r="N1202" i="16"/>
  <c r="J1202" i="16"/>
  <c r="B1202" i="16"/>
  <c r="N1201" i="16"/>
  <c r="J1201" i="16"/>
  <c r="B1201" i="16"/>
  <c r="N1200" i="16"/>
  <c r="J1200" i="16"/>
  <c r="B1200" i="16"/>
  <c r="N1199" i="16"/>
  <c r="J1199" i="16"/>
  <c r="B1199" i="16"/>
  <c r="N1198" i="16"/>
  <c r="J1198" i="16"/>
  <c r="B1198" i="16"/>
  <c r="N1197" i="16"/>
  <c r="J1197" i="16"/>
  <c r="B1197" i="16"/>
  <c r="N1196" i="16"/>
  <c r="B1195" i="16"/>
  <c r="B1196" i="16" s="1"/>
  <c r="F1191" i="16"/>
  <c r="E1191" i="16"/>
  <c r="F1210" i="16" s="1"/>
  <c r="P1187" i="16"/>
  <c r="X1176" i="16"/>
  <c r="N1174" i="16"/>
  <c r="J1174" i="16"/>
  <c r="B1174" i="16"/>
  <c r="N1173" i="16"/>
  <c r="J1173" i="16"/>
  <c r="B1173" i="16"/>
  <c r="N1172" i="16"/>
  <c r="J1172" i="16"/>
  <c r="B1172" i="16"/>
  <c r="N1171" i="16"/>
  <c r="J1171" i="16"/>
  <c r="B1171" i="16"/>
  <c r="N1170" i="16"/>
  <c r="J1170" i="16"/>
  <c r="B1170" i="16"/>
  <c r="N1169" i="16"/>
  <c r="J1169" i="16"/>
  <c r="B1169" i="16"/>
  <c r="N1168" i="16"/>
  <c r="N1167" i="16"/>
  <c r="N1166" i="16"/>
  <c r="N1165" i="16"/>
  <c r="B1165" i="16"/>
  <c r="B1166" i="16" s="1"/>
  <c r="B1167" i="16" s="1"/>
  <c r="B1168" i="16" s="1"/>
  <c r="F1161" i="16"/>
  <c r="E1161" i="16"/>
  <c r="A1188" i="16" s="1"/>
  <c r="P1157" i="16"/>
  <c r="X1146" i="16"/>
  <c r="N1144" i="16"/>
  <c r="J1144" i="16"/>
  <c r="B1144" i="16"/>
  <c r="N1143" i="16"/>
  <c r="J1143" i="16"/>
  <c r="B1143" i="16"/>
  <c r="N1142" i="16"/>
  <c r="J1142" i="16"/>
  <c r="B1142" i="16"/>
  <c r="N1141" i="16"/>
  <c r="J1141" i="16"/>
  <c r="B1141" i="16"/>
  <c r="N1140" i="16"/>
  <c r="J1140" i="16"/>
  <c r="B1140" i="16"/>
  <c r="N1139" i="16"/>
  <c r="J1139" i="16"/>
  <c r="B1139" i="16"/>
  <c r="N1138" i="16"/>
  <c r="J1138" i="16"/>
  <c r="B1138" i="16"/>
  <c r="N1137" i="16"/>
  <c r="J1137" i="16"/>
  <c r="B1137" i="16"/>
  <c r="N1136" i="16"/>
  <c r="B1136" i="16"/>
  <c r="N1135" i="16"/>
  <c r="B1135" i="16"/>
  <c r="F1131" i="16"/>
  <c r="E1131" i="16"/>
  <c r="F1150" i="16" s="1"/>
  <c r="P1127" i="16"/>
  <c r="X1116" i="16"/>
  <c r="N1114" i="16"/>
  <c r="J1114" i="16"/>
  <c r="B1114" i="16"/>
  <c r="N1113" i="16"/>
  <c r="J1113" i="16"/>
  <c r="B1113" i="16"/>
  <c r="N1112" i="16"/>
  <c r="J1112" i="16"/>
  <c r="B1112" i="16"/>
  <c r="N1111" i="16"/>
  <c r="J1111" i="16"/>
  <c r="B1111" i="16"/>
  <c r="N1110" i="16"/>
  <c r="J1110" i="16"/>
  <c r="B1110" i="16"/>
  <c r="N1109" i="16"/>
  <c r="J1109" i="16"/>
  <c r="B1109" i="16"/>
  <c r="N1108" i="16"/>
  <c r="J1108" i="16"/>
  <c r="B1108" i="16"/>
  <c r="N1107" i="16"/>
  <c r="J1107" i="16"/>
  <c r="B1107" i="16"/>
  <c r="N1106" i="16"/>
  <c r="J1106" i="16"/>
  <c r="B1106" i="16"/>
  <c r="N1105" i="16"/>
  <c r="B1105" i="16"/>
  <c r="F1101" i="16"/>
  <c r="J1105" i="16" s="1"/>
  <c r="E1101" i="16"/>
  <c r="A1128" i="16" s="1"/>
  <c r="P1097" i="16"/>
  <c r="X1086" i="16"/>
  <c r="N1084" i="16"/>
  <c r="J1084" i="16"/>
  <c r="B1084" i="16"/>
  <c r="N1083" i="16"/>
  <c r="J1083" i="16"/>
  <c r="B1083" i="16"/>
  <c r="N1082" i="16"/>
  <c r="J1082" i="16"/>
  <c r="B1082" i="16"/>
  <c r="N1081" i="16"/>
  <c r="J1081" i="16"/>
  <c r="B1081" i="16"/>
  <c r="N1080" i="16"/>
  <c r="J1080" i="16"/>
  <c r="B1080" i="16"/>
  <c r="N1079" i="16"/>
  <c r="J1079" i="16"/>
  <c r="B1079" i="16"/>
  <c r="N1078" i="16"/>
  <c r="J1078" i="16"/>
  <c r="B1078" i="16"/>
  <c r="N1077" i="16"/>
  <c r="N1076" i="16"/>
  <c r="N1075" i="16"/>
  <c r="B1075" i="16"/>
  <c r="B1076" i="16" s="1"/>
  <c r="B1077" i="16" s="1"/>
  <c r="F1071" i="16"/>
  <c r="E1071" i="16"/>
  <c r="A1098" i="16" s="1"/>
  <c r="P1067" i="16"/>
  <c r="X1056" i="16"/>
  <c r="N1054" i="16"/>
  <c r="J1054" i="16"/>
  <c r="B1054" i="16"/>
  <c r="N1053" i="16"/>
  <c r="J1053" i="16"/>
  <c r="B1053" i="16"/>
  <c r="N1052" i="16"/>
  <c r="J1052" i="16"/>
  <c r="B1052" i="16"/>
  <c r="N1051" i="16"/>
  <c r="J1051" i="16"/>
  <c r="B1051" i="16"/>
  <c r="N1050" i="16"/>
  <c r="J1050" i="16"/>
  <c r="B1050" i="16"/>
  <c r="N1049" i="16"/>
  <c r="J1049" i="16"/>
  <c r="B1049" i="16"/>
  <c r="N1048" i="16"/>
  <c r="J1048" i="16"/>
  <c r="B1048" i="16"/>
  <c r="N1047" i="16"/>
  <c r="J1047" i="16"/>
  <c r="B1047" i="16"/>
  <c r="N1046" i="16"/>
  <c r="N1045" i="16"/>
  <c r="B1045" i="16"/>
  <c r="B1046" i="16" s="1"/>
  <c r="F1041" i="16"/>
  <c r="E1041" i="16"/>
  <c r="A1068" i="16" s="1"/>
  <c r="P1037" i="16"/>
  <c r="X1026" i="16"/>
  <c r="N1024" i="16"/>
  <c r="J1024" i="16"/>
  <c r="B1024" i="16"/>
  <c r="N1023" i="16"/>
  <c r="J1023" i="16"/>
  <c r="B1023" i="16"/>
  <c r="N1022" i="16"/>
  <c r="J1022" i="16"/>
  <c r="B1022" i="16"/>
  <c r="N1021" i="16"/>
  <c r="J1021" i="16"/>
  <c r="B1021" i="16"/>
  <c r="N1020" i="16"/>
  <c r="J1020" i="16"/>
  <c r="B1020" i="16"/>
  <c r="N1019" i="16"/>
  <c r="J1019" i="16"/>
  <c r="B1019" i="16"/>
  <c r="N1018" i="16"/>
  <c r="N1017" i="16"/>
  <c r="N1016" i="16"/>
  <c r="N1015" i="16"/>
  <c r="B1015" i="16"/>
  <c r="B1016" i="16" s="1"/>
  <c r="B1017" i="16" s="1"/>
  <c r="B1018" i="16" s="1"/>
  <c r="F1011" i="16"/>
  <c r="E1011" i="16"/>
  <c r="A1038" i="16" s="1"/>
  <c r="P1007" i="16"/>
  <c r="X996" i="16"/>
  <c r="N994" i="16"/>
  <c r="J994" i="16"/>
  <c r="B994" i="16"/>
  <c r="N993" i="16"/>
  <c r="J993" i="16"/>
  <c r="B993" i="16"/>
  <c r="N992" i="16"/>
  <c r="J992" i="16"/>
  <c r="B992" i="16"/>
  <c r="N991" i="16"/>
  <c r="J991" i="16"/>
  <c r="B991" i="16"/>
  <c r="N990" i="16"/>
  <c r="J990" i="16"/>
  <c r="B990" i="16"/>
  <c r="N989" i="16"/>
  <c r="J989" i="16"/>
  <c r="B989" i="16"/>
  <c r="N988" i="16"/>
  <c r="J988" i="16"/>
  <c r="B988" i="16"/>
  <c r="N987" i="16"/>
  <c r="N986" i="16"/>
  <c r="N985" i="16"/>
  <c r="B985" i="16"/>
  <c r="B986" i="16" s="1"/>
  <c r="B987" i="16" s="1"/>
  <c r="F981" i="16"/>
  <c r="E981" i="16"/>
  <c r="A1008" i="16" s="1"/>
  <c r="P977" i="16"/>
  <c r="X966" i="16"/>
  <c r="N964" i="16"/>
  <c r="J964" i="16"/>
  <c r="B964" i="16"/>
  <c r="N963" i="16"/>
  <c r="J963" i="16"/>
  <c r="B963" i="16"/>
  <c r="N962" i="16"/>
  <c r="J962" i="16"/>
  <c r="B962" i="16"/>
  <c r="N961" i="16"/>
  <c r="J961" i="16"/>
  <c r="B961" i="16"/>
  <c r="N960" i="16"/>
  <c r="J960" i="16"/>
  <c r="B960" i="16"/>
  <c r="N959" i="16"/>
  <c r="J959" i="16"/>
  <c r="B959" i="16"/>
  <c r="N958" i="16"/>
  <c r="J958" i="16"/>
  <c r="B958" i="16"/>
  <c r="N957" i="16"/>
  <c r="J957" i="16"/>
  <c r="B957" i="16"/>
  <c r="N956" i="16"/>
  <c r="N955" i="16"/>
  <c r="B955" i="16"/>
  <c r="B956" i="16" s="1"/>
  <c r="F951" i="16"/>
  <c r="E951" i="16"/>
  <c r="A978" i="16" s="1"/>
  <c r="P947" i="16"/>
  <c r="X936" i="16"/>
  <c r="N934" i="16"/>
  <c r="J934" i="16"/>
  <c r="B934" i="16"/>
  <c r="N933" i="16"/>
  <c r="J933" i="16"/>
  <c r="B933" i="16"/>
  <c r="N932" i="16"/>
  <c r="J932" i="16"/>
  <c r="B932" i="16"/>
  <c r="N931" i="16"/>
  <c r="J931" i="16"/>
  <c r="B931" i="16"/>
  <c r="N930" i="16"/>
  <c r="J930" i="16"/>
  <c r="B930" i="16"/>
  <c r="N929" i="16"/>
  <c r="J929" i="16"/>
  <c r="B929" i="16"/>
  <c r="N928" i="16"/>
  <c r="J928" i="16"/>
  <c r="B928" i="16"/>
  <c r="N927" i="16"/>
  <c r="J927" i="16"/>
  <c r="B927" i="16"/>
  <c r="N926" i="16"/>
  <c r="N925" i="16"/>
  <c r="B925" i="16"/>
  <c r="B926" i="16" s="1"/>
  <c r="F921" i="16"/>
  <c r="E921" i="16"/>
  <c r="A948" i="16" s="1"/>
  <c r="P917" i="16"/>
  <c r="X906" i="16"/>
  <c r="N904" i="16"/>
  <c r="J904" i="16"/>
  <c r="B904" i="16"/>
  <c r="N903" i="16"/>
  <c r="J903" i="16"/>
  <c r="B903" i="16"/>
  <c r="N902" i="16"/>
  <c r="J902" i="16"/>
  <c r="B902" i="16"/>
  <c r="N901" i="16"/>
  <c r="J901" i="16"/>
  <c r="B901" i="16"/>
  <c r="N900" i="16"/>
  <c r="J900" i="16"/>
  <c r="B900" i="16"/>
  <c r="N899" i="16"/>
  <c r="J899" i="16"/>
  <c r="B899" i="16"/>
  <c r="N898" i="16"/>
  <c r="J898" i="16"/>
  <c r="B898" i="16"/>
  <c r="N894" i="16"/>
  <c r="B894" i="16"/>
  <c r="B895" i="16" s="1"/>
  <c r="B896" i="16" s="1"/>
  <c r="F890" i="16"/>
  <c r="E890" i="16"/>
  <c r="A918" i="16" s="1"/>
  <c r="P886" i="16"/>
  <c r="X875" i="16"/>
  <c r="N873" i="16"/>
  <c r="J873" i="16"/>
  <c r="B873" i="16"/>
  <c r="N872" i="16"/>
  <c r="J872" i="16"/>
  <c r="B872" i="16"/>
  <c r="N871" i="16"/>
  <c r="J871" i="16"/>
  <c r="B871" i="16"/>
  <c r="N870" i="16"/>
  <c r="J870" i="16"/>
  <c r="B870" i="16"/>
  <c r="N869" i="16"/>
  <c r="J869" i="16"/>
  <c r="B869" i="16"/>
  <c r="N868" i="16"/>
  <c r="N867" i="16"/>
  <c r="N866" i="16"/>
  <c r="N865" i="16"/>
  <c r="N864" i="16"/>
  <c r="B864" i="16"/>
  <c r="B865" i="16" s="1"/>
  <c r="B866" i="16" s="1"/>
  <c r="B867" i="16" s="1"/>
  <c r="B868" i="16" s="1"/>
  <c r="F860" i="16"/>
  <c r="E860" i="16"/>
  <c r="A887" i="16" s="1"/>
  <c r="P856" i="16"/>
  <c r="X845" i="16"/>
  <c r="N843" i="16"/>
  <c r="J843" i="16"/>
  <c r="B843" i="16"/>
  <c r="N842" i="16"/>
  <c r="J842" i="16"/>
  <c r="B842" i="16"/>
  <c r="N841" i="16"/>
  <c r="J841" i="16"/>
  <c r="B841" i="16"/>
  <c r="N840" i="16"/>
  <c r="J840" i="16"/>
  <c r="B840" i="16"/>
  <c r="N839" i="16"/>
  <c r="J839" i="16"/>
  <c r="B839" i="16"/>
  <c r="N838" i="16"/>
  <c r="J838" i="16"/>
  <c r="B838" i="16"/>
  <c r="N837" i="16"/>
  <c r="J837" i="16"/>
  <c r="B837" i="16"/>
  <c r="N836" i="16"/>
  <c r="J836" i="16"/>
  <c r="B836" i="16"/>
  <c r="B834" i="16"/>
  <c r="B835" i="16" s="1"/>
  <c r="F830" i="16"/>
  <c r="E830" i="16"/>
  <c r="A857" i="16" s="1"/>
  <c r="P826" i="16"/>
  <c r="X815" i="16"/>
  <c r="N813" i="16"/>
  <c r="J813" i="16"/>
  <c r="B813" i="16"/>
  <c r="N812" i="16"/>
  <c r="J812" i="16"/>
  <c r="B812" i="16"/>
  <c r="N811" i="16"/>
  <c r="J811" i="16"/>
  <c r="B811" i="16"/>
  <c r="N810" i="16"/>
  <c r="J810" i="16"/>
  <c r="B810" i="16"/>
  <c r="N809" i="16"/>
  <c r="J809" i="16"/>
  <c r="B809" i="16"/>
  <c r="N808" i="16"/>
  <c r="J808" i="16"/>
  <c r="B808" i="16"/>
  <c r="N807" i="16"/>
  <c r="N806" i="16"/>
  <c r="N805" i="16"/>
  <c r="N804" i="16"/>
  <c r="F800" i="16"/>
  <c r="E800" i="16"/>
  <c r="F819" i="16" s="1"/>
  <c r="P796" i="16"/>
  <c r="X785" i="16"/>
  <c r="N783" i="16"/>
  <c r="J783" i="16"/>
  <c r="B783" i="16"/>
  <c r="N782" i="16"/>
  <c r="J782" i="16"/>
  <c r="B782" i="16"/>
  <c r="N781" i="16"/>
  <c r="J781" i="16"/>
  <c r="B781" i="16"/>
  <c r="N780" i="16"/>
  <c r="J780" i="16"/>
  <c r="B780" i="16"/>
  <c r="N779" i="16"/>
  <c r="J779" i="16"/>
  <c r="B779" i="16"/>
  <c r="N778" i="16"/>
  <c r="J778" i="16"/>
  <c r="B778" i="16"/>
  <c r="N777" i="16"/>
  <c r="J777" i="16"/>
  <c r="B777" i="16"/>
  <c r="N776" i="16"/>
  <c r="J776" i="16"/>
  <c r="B776" i="16"/>
  <c r="N775" i="16"/>
  <c r="J775" i="16"/>
  <c r="B775" i="16"/>
  <c r="N774" i="16"/>
  <c r="F770" i="16"/>
  <c r="J774" i="16" s="1"/>
  <c r="E770" i="16"/>
  <c r="A797" i="16" s="1"/>
  <c r="P766" i="16"/>
  <c r="X755" i="16"/>
  <c r="N753" i="16"/>
  <c r="J753" i="16"/>
  <c r="B753" i="16"/>
  <c r="N752" i="16"/>
  <c r="J752" i="16"/>
  <c r="B752" i="16"/>
  <c r="N751" i="16"/>
  <c r="J751" i="16"/>
  <c r="B751" i="16"/>
  <c r="N750" i="16"/>
  <c r="J750" i="16"/>
  <c r="B750" i="16"/>
  <c r="N749" i="16"/>
  <c r="N748" i="16"/>
  <c r="N747" i="16"/>
  <c r="N746" i="16"/>
  <c r="N745" i="16"/>
  <c r="N744" i="16"/>
  <c r="B744" i="16"/>
  <c r="B745" i="16" s="1"/>
  <c r="B746" i="16" s="1"/>
  <c r="B747" i="16" s="1"/>
  <c r="B748" i="16" s="1"/>
  <c r="B749" i="16" s="1"/>
  <c r="F740" i="16"/>
  <c r="E740" i="16"/>
  <c r="A767" i="16" s="1"/>
  <c r="P736" i="16"/>
  <c r="X725" i="16"/>
  <c r="N723" i="16"/>
  <c r="J723" i="16"/>
  <c r="B723" i="16"/>
  <c r="N722" i="16"/>
  <c r="J722" i="16"/>
  <c r="B722" i="16"/>
  <c r="N721" i="16"/>
  <c r="J721" i="16"/>
  <c r="B721" i="16"/>
  <c r="N720" i="16"/>
  <c r="J720" i="16"/>
  <c r="B720" i="16"/>
  <c r="N719" i="16"/>
  <c r="J719" i="16"/>
  <c r="B719" i="16"/>
  <c r="N718" i="16"/>
  <c r="J718" i="16"/>
  <c r="B718" i="16"/>
  <c r="N717" i="16"/>
  <c r="J717" i="16"/>
  <c r="B717" i="16"/>
  <c r="N716" i="16"/>
  <c r="J716" i="16"/>
  <c r="B716" i="16"/>
  <c r="N715" i="16"/>
  <c r="N714" i="16"/>
  <c r="B714" i="16"/>
  <c r="B715" i="16" s="1"/>
  <c r="F710" i="16"/>
  <c r="J714" i="16" s="1"/>
  <c r="E710" i="16"/>
  <c r="F729" i="16" s="1"/>
  <c r="P706" i="16"/>
  <c r="X695" i="16"/>
  <c r="N693" i="16"/>
  <c r="J693" i="16"/>
  <c r="B693" i="16"/>
  <c r="N692" i="16"/>
  <c r="J692" i="16"/>
  <c r="B692" i="16"/>
  <c r="N691" i="16"/>
  <c r="J691" i="16"/>
  <c r="B691" i="16"/>
  <c r="N690" i="16"/>
  <c r="J690" i="16"/>
  <c r="B690" i="16"/>
  <c r="N689" i="16"/>
  <c r="J689" i="16"/>
  <c r="N688" i="16"/>
  <c r="J688" i="16"/>
  <c r="N687" i="16"/>
  <c r="J687" i="16"/>
  <c r="N686" i="16"/>
  <c r="N685" i="16"/>
  <c r="N684" i="16"/>
  <c r="B684" i="16"/>
  <c r="B685" i="16" s="1"/>
  <c r="B686" i="16" s="1"/>
  <c r="B687" i="16" s="1"/>
  <c r="B688" i="16" s="1"/>
  <c r="B689" i="16" s="1"/>
  <c r="F680" i="16"/>
  <c r="J684" i="16" s="1"/>
  <c r="E680" i="16"/>
  <c r="A707" i="16" s="1"/>
  <c r="P676" i="16"/>
  <c r="X665" i="16"/>
  <c r="N663" i="16"/>
  <c r="J663" i="16"/>
  <c r="B663" i="16"/>
  <c r="N662" i="16"/>
  <c r="J662" i="16"/>
  <c r="B662" i="16"/>
  <c r="N661" i="16"/>
  <c r="J661" i="16"/>
  <c r="B661" i="16"/>
  <c r="N660" i="16"/>
  <c r="J660" i="16"/>
  <c r="B660" i="16"/>
  <c r="N659" i="16"/>
  <c r="J659" i="16"/>
  <c r="B659" i="16"/>
  <c r="N658" i="16"/>
  <c r="J658" i="16"/>
  <c r="B658" i="16"/>
  <c r="J657" i="16"/>
  <c r="B657" i="16"/>
  <c r="J656" i="16"/>
  <c r="B656" i="16"/>
  <c r="B654" i="16"/>
  <c r="B655" i="16" s="1"/>
  <c r="F650" i="16"/>
  <c r="E650" i="16"/>
  <c r="A677" i="16" s="1"/>
  <c r="P646" i="16"/>
  <c r="X635" i="16"/>
  <c r="N633" i="16"/>
  <c r="J633" i="16"/>
  <c r="B633" i="16"/>
  <c r="N632" i="16"/>
  <c r="J632" i="16"/>
  <c r="B632" i="16"/>
  <c r="N631" i="16"/>
  <c r="J631" i="16"/>
  <c r="B631" i="16"/>
  <c r="N630" i="16"/>
  <c r="J630" i="16"/>
  <c r="B630" i="16"/>
  <c r="N629" i="16"/>
  <c r="J629" i="16"/>
  <c r="B629" i="16"/>
  <c r="N628" i="16"/>
  <c r="J628" i="16"/>
  <c r="B628" i="16"/>
  <c r="N627" i="16"/>
  <c r="J627" i="16"/>
  <c r="B627" i="16"/>
  <c r="N626" i="16"/>
  <c r="N625" i="16"/>
  <c r="N624" i="16"/>
  <c r="B624" i="16"/>
  <c r="B625" i="16" s="1"/>
  <c r="B626" i="16" s="1"/>
  <c r="F620" i="16"/>
  <c r="E620" i="16"/>
  <c r="A647" i="16" s="1"/>
  <c r="P616" i="16"/>
  <c r="X605" i="16"/>
  <c r="N603" i="16"/>
  <c r="J603" i="16"/>
  <c r="B603" i="16"/>
  <c r="N602" i="16"/>
  <c r="J602" i="16"/>
  <c r="B602" i="16"/>
  <c r="N601" i="16"/>
  <c r="J601" i="16"/>
  <c r="B601" i="16"/>
  <c r="N600" i="16"/>
  <c r="J600" i="16"/>
  <c r="B600" i="16"/>
  <c r="N599" i="16"/>
  <c r="J599" i="16"/>
  <c r="B599" i="16"/>
  <c r="N598" i="16"/>
  <c r="J598" i="16"/>
  <c r="B598" i="16"/>
  <c r="N597" i="16"/>
  <c r="J597" i="16"/>
  <c r="B597" i="16"/>
  <c r="N596" i="16"/>
  <c r="N595" i="16"/>
  <c r="B595" i="16"/>
  <c r="B596" i="16" s="1"/>
  <c r="N594" i="16"/>
  <c r="B594" i="16"/>
  <c r="F590" i="16"/>
  <c r="J596" i="16" s="1"/>
  <c r="E590" i="16"/>
  <c r="A617" i="16" s="1"/>
  <c r="P586" i="16"/>
  <c r="X575" i="16"/>
  <c r="N573" i="16"/>
  <c r="J573" i="16"/>
  <c r="B573" i="16"/>
  <c r="N572" i="16"/>
  <c r="J572" i="16"/>
  <c r="B572" i="16"/>
  <c r="N571" i="16"/>
  <c r="J571" i="16"/>
  <c r="B571" i="16"/>
  <c r="N570" i="16"/>
  <c r="J570" i="16"/>
  <c r="B570" i="16"/>
  <c r="N569" i="16"/>
  <c r="J569" i="16"/>
  <c r="B569" i="16"/>
  <c r="N568" i="16"/>
  <c r="J568" i="16"/>
  <c r="B568" i="16"/>
  <c r="N567" i="16"/>
  <c r="J567" i="16"/>
  <c r="B567" i="16"/>
  <c r="N566" i="16"/>
  <c r="N565" i="16"/>
  <c r="B565" i="16"/>
  <c r="B566" i="16" s="1"/>
  <c r="N564" i="16"/>
  <c r="B564" i="16"/>
  <c r="F560" i="16"/>
  <c r="J566" i="16" s="1"/>
  <c r="E560" i="16"/>
  <c r="A587" i="16" s="1"/>
  <c r="P556" i="16"/>
  <c r="X545" i="16"/>
  <c r="N543" i="16"/>
  <c r="J543" i="16"/>
  <c r="B543" i="16"/>
  <c r="N542" i="16"/>
  <c r="J542" i="16"/>
  <c r="B542" i="16"/>
  <c r="N541" i="16"/>
  <c r="J541" i="16"/>
  <c r="B541" i="16"/>
  <c r="N540" i="16"/>
  <c r="J540" i="16"/>
  <c r="B540" i="16"/>
  <c r="N539" i="16"/>
  <c r="J539" i="16"/>
  <c r="B539" i="16"/>
  <c r="N538" i="16"/>
  <c r="J538" i="16"/>
  <c r="B538" i="16"/>
  <c r="N537" i="16"/>
  <c r="J537" i="16"/>
  <c r="B537" i="16"/>
  <c r="N536" i="16"/>
  <c r="J536" i="16"/>
  <c r="N535" i="16"/>
  <c r="J535" i="16"/>
  <c r="B534" i="16"/>
  <c r="B535" i="16" s="1"/>
  <c r="B536" i="16" s="1"/>
  <c r="F530" i="16"/>
  <c r="J534" i="16" s="1"/>
  <c r="E530" i="16"/>
  <c r="A557" i="16" s="1"/>
  <c r="P526" i="16"/>
  <c r="X515" i="16"/>
  <c r="N513" i="16"/>
  <c r="J513" i="16"/>
  <c r="B513" i="16"/>
  <c r="N512" i="16"/>
  <c r="J512" i="16"/>
  <c r="B512" i="16"/>
  <c r="N511" i="16"/>
  <c r="J511" i="16"/>
  <c r="B511" i="16"/>
  <c r="N510" i="16"/>
  <c r="J510" i="16"/>
  <c r="B510" i="16"/>
  <c r="N509" i="16"/>
  <c r="J509" i="16"/>
  <c r="B509" i="16"/>
  <c r="N508" i="16"/>
  <c r="J508" i="16"/>
  <c r="B508" i="16"/>
  <c r="N507" i="16"/>
  <c r="J507" i="16"/>
  <c r="B507" i="16"/>
  <c r="N506" i="16"/>
  <c r="J506" i="16"/>
  <c r="N505" i="16"/>
  <c r="N504" i="16"/>
  <c r="B504" i="16"/>
  <c r="B505" i="16" s="1"/>
  <c r="B506" i="16" s="1"/>
  <c r="F500" i="16"/>
  <c r="J504" i="16" s="1"/>
  <c r="E500" i="16"/>
  <c r="F519" i="16" s="1"/>
  <c r="P496" i="16"/>
  <c r="X485" i="16"/>
  <c r="N483" i="16"/>
  <c r="J483" i="16"/>
  <c r="B483" i="16"/>
  <c r="N482" i="16"/>
  <c r="J482" i="16"/>
  <c r="B482" i="16"/>
  <c r="N481" i="16"/>
  <c r="J481" i="16"/>
  <c r="B481" i="16"/>
  <c r="N480" i="16"/>
  <c r="J480" i="16"/>
  <c r="B480" i="16"/>
  <c r="N479" i="16"/>
  <c r="J479" i="16"/>
  <c r="B479" i="16"/>
  <c r="N478" i="16"/>
  <c r="J478" i="16"/>
  <c r="B478" i="16"/>
  <c r="N477" i="16"/>
  <c r="N476" i="16"/>
  <c r="N475" i="16"/>
  <c r="N474" i="16"/>
  <c r="B474" i="16"/>
  <c r="B475" i="16" s="1"/>
  <c r="B476" i="16" s="1"/>
  <c r="B477" i="16" s="1"/>
  <c r="F470" i="16"/>
  <c r="E470" i="16"/>
  <c r="A497" i="16" s="1"/>
  <c r="P466" i="16"/>
  <c r="X455" i="16"/>
  <c r="N453" i="16"/>
  <c r="J453" i="16"/>
  <c r="B453" i="16"/>
  <c r="N452" i="16"/>
  <c r="J452" i="16"/>
  <c r="B452" i="16"/>
  <c r="N451" i="16"/>
  <c r="J451" i="16"/>
  <c r="B451" i="16"/>
  <c r="N450" i="16"/>
  <c r="J450" i="16"/>
  <c r="B450" i="16"/>
  <c r="N449" i="16"/>
  <c r="J449" i="16"/>
  <c r="B449" i="16"/>
  <c r="N448" i="16"/>
  <c r="J448" i="16"/>
  <c r="B448" i="16"/>
  <c r="N447" i="16"/>
  <c r="J447" i="16"/>
  <c r="B447" i="16"/>
  <c r="N446" i="16"/>
  <c r="J446" i="16"/>
  <c r="B446" i="16"/>
  <c r="N445" i="16"/>
  <c r="N444" i="16"/>
  <c r="B444" i="16"/>
  <c r="B445" i="16" s="1"/>
  <c r="F440" i="16"/>
  <c r="J444" i="16" s="1"/>
  <c r="E440" i="16"/>
  <c r="A467" i="16" s="1"/>
  <c r="P436" i="16"/>
  <c r="X425" i="16"/>
  <c r="N423" i="16"/>
  <c r="J423" i="16"/>
  <c r="B423" i="16"/>
  <c r="N422" i="16"/>
  <c r="J422" i="16"/>
  <c r="B422" i="16"/>
  <c r="N421" i="16"/>
  <c r="J421" i="16"/>
  <c r="B421" i="16"/>
  <c r="N420" i="16"/>
  <c r="J420" i="16"/>
  <c r="B420" i="16"/>
  <c r="N419" i="16"/>
  <c r="J419" i="16"/>
  <c r="B419" i="16"/>
  <c r="N418" i="16"/>
  <c r="J418" i="16"/>
  <c r="B418" i="16"/>
  <c r="N417" i="16"/>
  <c r="J417" i="16"/>
  <c r="B417" i="16"/>
  <c r="N416" i="16"/>
  <c r="N415" i="16"/>
  <c r="N414" i="16"/>
  <c r="B414" i="16"/>
  <c r="B415" i="16" s="1"/>
  <c r="B416" i="16" s="1"/>
  <c r="F410" i="16"/>
  <c r="E410" i="16"/>
  <c r="A437" i="16" s="1"/>
  <c r="P406" i="16"/>
  <c r="X395" i="16"/>
  <c r="N393" i="16"/>
  <c r="J393" i="16"/>
  <c r="B393" i="16"/>
  <c r="N392" i="16"/>
  <c r="J392" i="16"/>
  <c r="B392" i="16"/>
  <c r="N391" i="16"/>
  <c r="J391" i="16"/>
  <c r="B391" i="16"/>
  <c r="N390" i="16"/>
  <c r="J390" i="16"/>
  <c r="B390" i="16"/>
  <c r="N389" i="16"/>
  <c r="J389" i="16"/>
  <c r="B389" i="16"/>
  <c r="N388" i="16"/>
  <c r="J388" i="16"/>
  <c r="B388" i="16"/>
  <c r="N387" i="16"/>
  <c r="J387" i="16"/>
  <c r="B387" i="16"/>
  <c r="N386" i="16"/>
  <c r="J386" i="16"/>
  <c r="B386" i="16"/>
  <c r="N385" i="16"/>
  <c r="J385" i="16"/>
  <c r="B385" i="16"/>
  <c r="N384" i="16"/>
  <c r="B384" i="16"/>
  <c r="F380" i="16"/>
  <c r="J384" i="16" s="1"/>
  <c r="E380" i="16"/>
  <c r="A407" i="16" s="1"/>
  <c r="P376" i="16"/>
  <c r="X365" i="16"/>
  <c r="N363" i="16"/>
  <c r="J363" i="16"/>
  <c r="B363" i="16"/>
  <c r="N362" i="16"/>
  <c r="J362" i="16"/>
  <c r="B362" i="16"/>
  <c r="N361" i="16"/>
  <c r="J361" i="16"/>
  <c r="B361" i="16"/>
  <c r="N360" i="16"/>
  <c r="J360" i="16"/>
  <c r="B360" i="16"/>
  <c r="N359" i="16"/>
  <c r="J359" i="16"/>
  <c r="B359" i="16"/>
  <c r="N358" i="16"/>
  <c r="J358" i="16"/>
  <c r="B358" i="16"/>
  <c r="N357" i="16"/>
  <c r="J357" i="16"/>
  <c r="B357" i="16"/>
  <c r="N356" i="16"/>
  <c r="N355" i="16"/>
  <c r="N354" i="16"/>
  <c r="B354" i="16"/>
  <c r="B355" i="16" s="1"/>
  <c r="B356" i="16" s="1"/>
  <c r="F350" i="16"/>
  <c r="J354" i="16" s="1"/>
  <c r="E350" i="16"/>
  <c r="A377" i="16" s="1"/>
  <c r="P346" i="16"/>
  <c r="X335" i="16"/>
  <c r="N333" i="16"/>
  <c r="J333" i="16"/>
  <c r="B333" i="16"/>
  <c r="N332" i="16"/>
  <c r="J332" i="16"/>
  <c r="B332" i="16"/>
  <c r="N331" i="16"/>
  <c r="J331" i="16"/>
  <c r="B331" i="16"/>
  <c r="N330" i="16"/>
  <c r="J330" i="16"/>
  <c r="B330" i="16"/>
  <c r="N329" i="16"/>
  <c r="J329" i="16"/>
  <c r="B329" i="16"/>
  <c r="N328" i="16"/>
  <c r="J328" i="16"/>
  <c r="B328" i="16"/>
  <c r="N327" i="16"/>
  <c r="J327" i="16"/>
  <c r="B327" i="16"/>
  <c r="N326" i="16"/>
  <c r="J326" i="16"/>
  <c r="B326" i="16"/>
  <c r="N325" i="16"/>
  <c r="J325" i="16"/>
  <c r="B325" i="16"/>
  <c r="N324" i="16"/>
  <c r="J324" i="16"/>
  <c r="B324" i="16"/>
  <c r="F320" i="16"/>
  <c r="E320" i="16"/>
  <c r="F339" i="16" s="1"/>
  <c r="P316" i="16"/>
  <c r="X305" i="16"/>
  <c r="N303" i="16"/>
  <c r="J303" i="16"/>
  <c r="B303" i="16"/>
  <c r="N302" i="16"/>
  <c r="J302" i="16"/>
  <c r="B302" i="16"/>
  <c r="N301" i="16"/>
  <c r="J301" i="16"/>
  <c r="B301" i="16"/>
  <c r="N300" i="16"/>
  <c r="J300" i="16"/>
  <c r="B300" i="16"/>
  <c r="N299" i="16"/>
  <c r="J299" i="16"/>
  <c r="B299" i="16"/>
  <c r="N298" i="16"/>
  <c r="J298" i="16"/>
  <c r="B298" i="16"/>
  <c r="N297" i="16"/>
  <c r="J297" i="16"/>
  <c r="B297" i="16"/>
  <c r="N296" i="16"/>
  <c r="J296" i="16"/>
  <c r="B296" i="16"/>
  <c r="N295" i="16"/>
  <c r="J295" i="16"/>
  <c r="B295" i="16"/>
  <c r="N294" i="16"/>
  <c r="B294" i="16"/>
  <c r="F290" i="16"/>
  <c r="J294" i="16" s="1"/>
  <c r="E290" i="16"/>
  <c r="A317" i="16" s="1"/>
  <c r="P286" i="16"/>
  <c r="X275" i="16"/>
  <c r="N273" i="16"/>
  <c r="J273" i="16"/>
  <c r="B273" i="16"/>
  <c r="N272" i="16"/>
  <c r="J272" i="16"/>
  <c r="B272" i="16"/>
  <c r="N271" i="16"/>
  <c r="J271" i="16"/>
  <c r="B271" i="16"/>
  <c r="N270" i="16"/>
  <c r="J270" i="16"/>
  <c r="B270" i="16"/>
  <c r="N269" i="16"/>
  <c r="J269" i="16"/>
  <c r="B269" i="16"/>
  <c r="N268" i="16"/>
  <c r="N267" i="16"/>
  <c r="N266" i="16"/>
  <c r="N265" i="16"/>
  <c r="N264" i="16"/>
  <c r="B264" i="16"/>
  <c r="B265" i="16" s="1"/>
  <c r="B266" i="16" s="1"/>
  <c r="B267" i="16" s="1"/>
  <c r="B268" i="16" s="1"/>
  <c r="F260" i="16"/>
  <c r="E260" i="16"/>
  <c r="A287" i="16" s="1"/>
  <c r="P256" i="16"/>
  <c r="X245" i="16"/>
  <c r="N243" i="16"/>
  <c r="J243" i="16"/>
  <c r="B243" i="16"/>
  <c r="N242" i="16"/>
  <c r="J242" i="16"/>
  <c r="B242" i="16"/>
  <c r="N241" i="16"/>
  <c r="J241" i="16"/>
  <c r="B241" i="16"/>
  <c r="N240" i="16"/>
  <c r="J240" i="16"/>
  <c r="B240" i="16"/>
  <c r="N239" i="16"/>
  <c r="J239" i="16"/>
  <c r="B239" i="16"/>
  <c r="N238" i="16"/>
  <c r="J238" i="16"/>
  <c r="B238" i="16"/>
  <c r="N237" i="16"/>
  <c r="J237" i="16"/>
  <c r="B237" i="16"/>
  <c r="N236" i="16"/>
  <c r="J236" i="16"/>
  <c r="B236" i="16"/>
  <c r="N235" i="16"/>
  <c r="N234" i="16"/>
  <c r="B234" i="16"/>
  <c r="B235" i="16" s="1"/>
  <c r="F230" i="16"/>
  <c r="J234" i="16" s="1"/>
  <c r="E230" i="16"/>
  <c r="A257" i="16" s="1"/>
  <c r="P226" i="16"/>
  <c r="X215" i="16"/>
  <c r="N213" i="16"/>
  <c r="J213" i="16"/>
  <c r="B213" i="16"/>
  <c r="N212" i="16"/>
  <c r="J212" i="16"/>
  <c r="B212" i="16"/>
  <c r="N211" i="16"/>
  <c r="J211" i="16"/>
  <c r="B211" i="16"/>
  <c r="N210" i="16"/>
  <c r="J210" i="16"/>
  <c r="B210" i="16"/>
  <c r="N209" i="16"/>
  <c r="J209" i="16"/>
  <c r="B209" i="16"/>
  <c r="N208" i="16"/>
  <c r="J208" i="16"/>
  <c r="B208" i="16"/>
  <c r="N207" i="16"/>
  <c r="N206" i="16"/>
  <c r="N205" i="16"/>
  <c r="N204" i="16"/>
  <c r="B204" i="16"/>
  <c r="B205" i="16" s="1"/>
  <c r="B206" i="16" s="1"/>
  <c r="B207" i="16" s="1"/>
  <c r="F200" i="16"/>
  <c r="E200" i="16"/>
  <c r="A227" i="16" s="1"/>
  <c r="P196" i="16"/>
  <c r="X185" i="16"/>
  <c r="N183" i="16"/>
  <c r="J183" i="16"/>
  <c r="B183" i="16"/>
  <c r="N182" i="16"/>
  <c r="J182" i="16"/>
  <c r="B182" i="16"/>
  <c r="N181" i="16"/>
  <c r="J181" i="16"/>
  <c r="B181" i="16"/>
  <c r="N180" i="16"/>
  <c r="J180" i="16"/>
  <c r="B180" i="16"/>
  <c r="N179" i="16"/>
  <c r="J179" i="16"/>
  <c r="B179" i="16"/>
  <c r="N178" i="16"/>
  <c r="J178" i="16"/>
  <c r="B178" i="16"/>
  <c r="N177" i="16"/>
  <c r="J177" i="16"/>
  <c r="B177" i="16"/>
  <c r="N176" i="16"/>
  <c r="J176" i="16"/>
  <c r="B176" i="16"/>
  <c r="N175" i="16"/>
  <c r="J175" i="16"/>
  <c r="B175" i="16"/>
  <c r="N174" i="16"/>
  <c r="B174" i="16"/>
  <c r="F170" i="16"/>
  <c r="J174" i="16" s="1"/>
  <c r="E170" i="16"/>
  <c r="F189" i="16" s="1"/>
  <c r="P166" i="16"/>
  <c r="X155" i="16"/>
  <c r="N153" i="16"/>
  <c r="J153" i="16"/>
  <c r="B153" i="16"/>
  <c r="N152" i="16"/>
  <c r="J152" i="16"/>
  <c r="B152" i="16"/>
  <c r="N151" i="16"/>
  <c r="J151" i="16"/>
  <c r="B151" i="16"/>
  <c r="N150" i="16"/>
  <c r="J150" i="16"/>
  <c r="B150" i="16"/>
  <c r="N149" i="16"/>
  <c r="J149" i="16"/>
  <c r="B149" i="16"/>
  <c r="N148" i="16"/>
  <c r="J148" i="16"/>
  <c r="B148" i="16"/>
  <c r="N147" i="16"/>
  <c r="N146" i="16"/>
  <c r="N145" i="16"/>
  <c r="N144" i="16"/>
  <c r="B144" i="16"/>
  <c r="B145" i="16" s="1"/>
  <c r="B146" i="16" s="1"/>
  <c r="B147" i="16" s="1"/>
  <c r="F140" i="16"/>
  <c r="E140" i="16"/>
  <c r="F159" i="16" s="1"/>
  <c r="P136" i="16"/>
  <c r="X125" i="16"/>
  <c r="N123" i="16"/>
  <c r="J123" i="16"/>
  <c r="B123" i="16"/>
  <c r="N122" i="16"/>
  <c r="J122" i="16"/>
  <c r="B122" i="16"/>
  <c r="N121" i="16"/>
  <c r="J121" i="16"/>
  <c r="B121" i="16"/>
  <c r="N120" i="16"/>
  <c r="J120" i="16"/>
  <c r="B120" i="16"/>
  <c r="N119" i="16"/>
  <c r="J119" i="16"/>
  <c r="B119" i="16"/>
  <c r="N118" i="16"/>
  <c r="J118" i="16"/>
  <c r="B118" i="16"/>
  <c r="N117" i="16"/>
  <c r="N116" i="16"/>
  <c r="N115" i="16"/>
  <c r="N114" i="16"/>
  <c r="B114" i="16"/>
  <c r="B115" i="16" s="1"/>
  <c r="B116" i="16" s="1"/>
  <c r="B117" i="16" s="1"/>
  <c r="F110" i="16"/>
  <c r="E110" i="16"/>
  <c r="A137" i="16" s="1"/>
  <c r="P106" i="16"/>
  <c r="X95" i="16"/>
  <c r="N93" i="16"/>
  <c r="J93" i="16"/>
  <c r="B93" i="16"/>
  <c r="N92" i="16"/>
  <c r="J92" i="16"/>
  <c r="B92" i="16"/>
  <c r="N91" i="16"/>
  <c r="J91" i="16"/>
  <c r="B91" i="16"/>
  <c r="N90" i="16"/>
  <c r="J90" i="16"/>
  <c r="B90" i="16"/>
  <c r="N89" i="16"/>
  <c r="J89" i="16"/>
  <c r="B89" i="16"/>
  <c r="N88" i="16"/>
  <c r="J88" i="16"/>
  <c r="B88" i="16"/>
  <c r="N87" i="16"/>
  <c r="N86" i="16"/>
  <c r="N84" i="16"/>
  <c r="F80" i="16"/>
  <c r="E80" i="16"/>
  <c r="A107" i="16" s="1"/>
  <c r="P76" i="16"/>
  <c r="X65" i="16"/>
  <c r="N63" i="16"/>
  <c r="J63" i="16"/>
  <c r="B63" i="16"/>
  <c r="N62" i="16"/>
  <c r="J62" i="16"/>
  <c r="B62" i="16"/>
  <c r="N61" i="16"/>
  <c r="J61" i="16"/>
  <c r="B61" i="16"/>
  <c r="N60" i="16"/>
  <c r="J60" i="16"/>
  <c r="B60" i="16"/>
  <c r="N59" i="16"/>
  <c r="J59" i="16"/>
  <c r="B59" i="16"/>
  <c r="N58" i="16"/>
  <c r="J58" i="16"/>
  <c r="B58" i="16"/>
  <c r="N57" i="16"/>
  <c r="J57" i="16"/>
  <c r="B57" i="16"/>
  <c r="N56" i="16"/>
  <c r="J56" i="16"/>
  <c r="B56" i="16"/>
  <c r="N55" i="16"/>
  <c r="J55" i="16"/>
  <c r="B55" i="16"/>
  <c r="N54" i="16"/>
  <c r="F50" i="16"/>
  <c r="J54" i="16" s="1"/>
  <c r="E50" i="16"/>
  <c r="A77" i="16" s="1"/>
  <c r="J595" i="16" l="1"/>
  <c r="J505" i="16"/>
  <c r="J594" i="16"/>
  <c r="J565" i="16"/>
  <c r="J1796" i="16"/>
  <c r="J1946" i="16"/>
  <c r="J2576" i="16"/>
  <c r="J2636" i="16"/>
  <c r="J2635" i="16"/>
  <c r="J2638" i="16"/>
  <c r="D1902" i="16"/>
  <c r="J445" i="16"/>
  <c r="J686" i="16"/>
  <c r="J685" i="16"/>
  <c r="J564" i="16"/>
  <c r="J1795" i="16"/>
  <c r="D1903" i="16"/>
  <c r="J356" i="16"/>
  <c r="J355" i="16"/>
  <c r="J1885" i="16"/>
  <c r="J626" i="16"/>
  <c r="J625" i="16"/>
  <c r="J624" i="16"/>
  <c r="Y1728" i="16"/>
  <c r="J2546" i="16"/>
  <c r="J2545" i="16"/>
  <c r="J1347" i="16"/>
  <c r="J1346" i="16"/>
  <c r="J1345" i="16"/>
  <c r="J1377" i="16"/>
  <c r="J1376" i="16"/>
  <c r="J1375" i="16"/>
  <c r="J1588" i="16"/>
  <c r="J1587" i="16"/>
  <c r="J1586" i="16"/>
  <c r="J1585" i="16"/>
  <c r="J1646" i="16"/>
  <c r="J1645" i="16"/>
  <c r="J2396" i="16"/>
  <c r="J2395" i="16"/>
  <c r="J2456" i="16"/>
  <c r="J2455" i="16"/>
  <c r="D1452" i="16"/>
  <c r="E1452" i="16" s="1"/>
  <c r="Y1458" i="16"/>
  <c r="D1512" i="16"/>
  <c r="H1512" i="16" s="1"/>
  <c r="D1513" i="16"/>
  <c r="J1496" i="16"/>
  <c r="J1495" i="16"/>
  <c r="J1558" i="16"/>
  <c r="J1557" i="16"/>
  <c r="J1556" i="16"/>
  <c r="J1555" i="16"/>
  <c r="J2217" i="16"/>
  <c r="J2216" i="16"/>
  <c r="J2215" i="16"/>
  <c r="J2249" i="16"/>
  <c r="J2248" i="16"/>
  <c r="J2247" i="16"/>
  <c r="J2246" i="16"/>
  <c r="J2245" i="16"/>
  <c r="J1512" i="16"/>
  <c r="K1512" i="16" s="1"/>
  <c r="J116" i="16"/>
  <c r="J117" i="16"/>
  <c r="J115" i="16"/>
  <c r="J114" i="16"/>
  <c r="J146" i="16"/>
  <c r="J145" i="16"/>
  <c r="J806" i="16"/>
  <c r="J807" i="16"/>
  <c r="J805" i="16"/>
  <c r="J926" i="16"/>
  <c r="J925" i="16"/>
  <c r="J956" i="16"/>
  <c r="J955" i="16"/>
  <c r="J1046" i="16"/>
  <c r="J1045" i="16"/>
  <c r="J1077" i="16"/>
  <c r="J1076" i="16"/>
  <c r="J1075" i="16"/>
  <c r="D1454" i="16"/>
  <c r="D1453" i="16"/>
  <c r="J2129" i="16"/>
  <c r="J2128" i="16"/>
  <c r="J2127" i="16"/>
  <c r="J2126" i="16"/>
  <c r="J2125" i="16"/>
  <c r="J2156" i="16"/>
  <c r="J2155" i="16"/>
  <c r="J144" i="16"/>
  <c r="J715" i="16"/>
  <c r="J2039" i="16"/>
  <c r="J147" i="16"/>
  <c r="J235" i="16"/>
  <c r="J804" i="16"/>
  <c r="J2038" i="16"/>
  <c r="J2035" i="16"/>
  <c r="J2037" i="16"/>
  <c r="J87" i="16"/>
  <c r="J86" i="16"/>
  <c r="J85" i="16"/>
  <c r="J84" i="16"/>
  <c r="A2697" i="16"/>
  <c r="A2706" i="16"/>
  <c r="A2698" i="16"/>
  <c r="A2712" i="16"/>
  <c r="X2714" i="16"/>
  <c r="D2714" i="16"/>
  <c r="D2717" i="16"/>
  <c r="X2712" i="16"/>
  <c r="Y2718" i="16"/>
  <c r="X2715" i="16"/>
  <c r="D2715" i="16"/>
  <c r="D2712" i="16"/>
  <c r="X2717" i="16"/>
  <c r="X2713" i="16"/>
  <c r="D2713" i="16"/>
  <c r="X2716" i="16"/>
  <c r="D2716" i="16"/>
  <c r="A2695" i="16"/>
  <c r="A2703" i="16"/>
  <c r="A2711" i="16"/>
  <c r="A2716" i="16"/>
  <c r="A2700" i="16"/>
  <c r="A2713" i="16"/>
  <c r="A2702" i="16"/>
  <c r="A2715" i="16"/>
  <c r="A2699" i="16"/>
  <c r="R2712" i="16"/>
  <c r="A2696" i="16"/>
  <c r="A2704" i="16"/>
  <c r="A2709" i="16"/>
  <c r="A2717" i="16"/>
  <c r="A2701" i="16"/>
  <c r="A2710" i="16"/>
  <c r="A2714" i="16"/>
  <c r="A2718" i="16"/>
  <c r="A2667" i="16"/>
  <c r="A2676" i="16"/>
  <c r="A2668" i="16"/>
  <c r="A2682" i="16"/>
  <c r="D2684" i="16"/>
  <c r="X2684" i="16" s="1"/>
  <c r="D2687" i="16"/>
  <c r="X2687" i="16" s="1"/>
  <c r="Y2688" i="16"/>
  <c r="D2685" i="16"/>
  <c r="X2685" i="16" s="1"/>
  <c r="D2686" i="16"/>
  <c r="X2686" i="16" s="1"/>
  <c r="A2665" i="16"/>
  <c r="A2673" i="16"/>
  <c r="A2681" i="16"/>
  <c r="A2686" i="16"/>
  <c r="A2670" i="16"/>
  <c r="A2683" i="16"/>
  <c r="A2672" i="16"/>
  <c r="A2685" i="16"/>
  <c r="A2669" i="16"/>
  <c r="R2682" i="16"/>
  <c r="A2666" i="16"/>
  <c r="A2674" i="16"/>
  <c r="A2679" i="16"/>
  <c r="A2687" i="16"/>
  <c r="A2671" i="16"/>
  <c r="A2680" i="16"/>
  <c r="A2684" i="16"/>
  <c r="A2688" i="16"/>
  <c r="A2652" i="16"/>
  <c r="A2635" i="16"/>
  <c r="A2637" i="16"/>
  <c r="A2643" i="16"/>
  <c r="A2651" i="16"/>
  <c r="A2639" i="16"/>
  <c r="A2653" i="16"/>
  <c r="A2656" i="16"/>
  <c r="A2636" i="16"/>
  <c r="A2638" i="16"/>
  <c r="A2640" i="16"/>
  <c r="A2646" i="16"/>
  <c r="D2654" i="16"/>
  <c r="X2654" i="16" s="1"/>
  <c r="D2657" i="16"/>
  <c r="Y2658" i="16"/>
  <c r="D2655" i="16"/>
  <c r="X2655" i="16" s="1"/>
  <c r="X2657" i="16"/>
  <c r="D2656" i="16"/>
  <c r="X2656" i="16" s="1"/>
  <c r="A2642" i="16"/>
  <c r="A2655" i="16"/>
  <c r="R2652" i="16"/>
  <c r="A2644" i="16"/>
  <c r="A2649" i="16"/>
  <c r="A2657" i="16"/>
  <c r="A2641" i="16"/>
  <c r="A2650" i="16"/>
  <c r="A2654" i="16"/>
  <c r="A2658" i="16"/>
  <c r="A2607" i="16"/>
  <c r="A2616" i="16"/>
  <c r="A2608" i="16"/>
  <c r="A2622" i="16"/>
  <c r="D2624" i="16"/>
  <c r="X2624" i="16" s="1"/>
  <c r="D2627" i="16"/>
  <c r="X2627" i="16" s="1"/>
  <c r="Y2628" i="16"/>
  <c r="D2625" i="16"/>
  <c r="X2625" i="16" s="1"/>
  <c r="D2626" i="16"/>
  <c r="X2626" i="16" s="1"/>
  <c r="A2605" i="16"/>
  <c r="A2613" i="16"/>
  <c r="A2621" i="16"/>
  <c r="A2626" i="16"/>
  <c r="A2610" i="16"/>
  <c r="A2623" i="16"/>
  <c r="A2612" i="16"/>
  <c r="A2625" i="16"/>
  <c r="A2609" i="16"/>
  <c r="R2622" i="16"/>
  <c r="A2606" i="16"/>
  <c r="A2614" i="16"/>
  <c r="A2619" i="16"/>
  <c r="A2627" i="16"/>
  <c r="A2611" i="16"/>
  <c r="A2620" i="16"/>
  <c r="A2624" i="16"/>
  <c r="A2628" i="16"/>
  <c r="A2580" i="16"/>
  <c r="A2578" i="16"/>
  <c r="A2586" i="16"/>
  <c r="A2583" i="16"/>
  <c r="A2596" i="16"/>
  <c r="F2590" i="16"/>
  <c r="X2594" i="16" s="1"/>
  <c r="A2591" i="16"/>
  <c r="A2577" i="16"/>
  <c r="A2575" i="16"/>
  <c r="A2592" i="16"/>
  <c r="A2593" i="16"/>
  <c r="A2582" i="16"/>
  <c r="A2595" i="16"/>
  <c r="A2579" i="16"/>
  <c r="R2592" i="16"/>
  <c r="A2576" i="16"/>
  <c r="A2584" i="16"/>
  <c r="A2589" i="16"/>
  <c r="A2597" i="16"/>
  <c r="A2581" i="16"/>
  <c r="A2590" i="16"/>
  <c r="A2594" i="16"/>
  <c r="A2547" i="16"/>
  <c r="A2556" i="16"/>
  <c r="A2548" i="16"/>
  <c r="A2562" i="16"/>
  <c r="X2564" i="16"/>
  <c r="D2564" i="16"/>
  <c r="D2567" i="16"/>
  <c r="X2562" i="16"/>
  <c r="Y2568" i="16"/>
  <c r="X2565" i="16"/>
  <c r="D2565" i="16"/>
  <c r="D2562" i="16"/>
  <c r="X2567" i="16"/>
  <c r="X2563" i="16"/>
  <c r="D2563" i="16"/>
  <c r="X2566" i="16"/>
  <c r="D2566" i="16"/>
  <c r="A2545" i="16"/>
  <c r="A2553" i="16"/>
  <c r="A2561" i="16"/>
  <c r="A2566" i="16"/>
  <c r="A2550" i="16"/>
  <c r="A2563" i="16"/>
  <c r="A2552" i="16"/>
  <c r="A2565" i="16"/>
  <c r="A2549" i="16"/>
  <c r="R2562" i="16"/>
  <c r="A2518" i="16"/>
  <c r="A2546" i="16"/>
  <c r="A2554" i="16"/>
  <c r="A2559" i="16"/>
  <c r="A2567" i="16"/>
  <c r="A2551" i="16"/>
  <c r="A2560" i="16"/>
  <c r="A2564" i="16"/>
  <c r="A2568" i="16"/>
  <c r="A2517" i="16"/>
  <c r="A2526" i="16"/>
  <c r="A2532" i="16"/>
  <c r="X2534" i="16"/>
  <c r="D2534" i="16"/>
  <c r="D2537" i="16"/>
  <c r="X2532" i="16"/>
  <c r="Y2538" i="16"/>
  <c r="Z2532" i="16" s="1"/>
  <c r="X2535" i="16"/>
  <c r="D2535" i="16"/>
  <c r="D2532" i="16"/>
  <c r="X2537" i="16"/>
  <c r="X2533" i="16"/>
  <c r="D2533" i="16"/>
  <c r="X2536" i="16"/>
  <c r="D2536" i="16"/>
  <c r="A2515" i="16"/>
  <c r="A2523" i="16"/>
  <c r="A2531" i="16"/>
  <c r="A2536" i="16"/>
  <c r="A2520" i="16"/>
  <c r="A2533" i="16"/>
  <c r="A2522" i="16"/>
  <c r="A2535" i="16"/>
  <c r="A2519" i="16"/>
  <c r="R2532" i="16"/>
  <c r="A2516" i="16"/>
  <c r="A2524" i="16"/>
  <c r="A2529" i="16"/>
  <c r="A2537" i="16"/>
  <c r="A2521" i="16"/>
  <c r="A2530" i="16"/>
  <c r="A2534" i="16"/>
  <c r="A2538" i="16"/>
  <c r="A2490" i="16"/>
  <c r="A2486" i="16"/>
  <c r="A2488" i="16"/>
  <c r="A2496" i="16"/>
  <c r="A2493" i="16"/>
  <c r="A2506" i="16"/>
  <c r="F2500" i="16"/>
  <c r="Y2508" i="16" s="1"/>
  <c r="A2501" i="16"/>
  <c r="A2485" i="16"/>
  <c r="A2487" i="16"/>
  <c r="A2502" i="16"/>
  <c r="A2503" i="16"/>
  <c r="A2492" i="16"/>
  <c r="A2505" i="16"/>
  <c r="A2489" i="16"/>
  <c r="R2502" i="16"/>
  <c r="A2494" i="16"/>
  <c r="A2499" i="16"/>
  <c r="A2507" i="16"/>
  <c r="A2491" i="16"/>
  <c r="A2500" i="16"/>
  <c r="A2504" i="16"/>
  <c r="A2466" i="16"/>
  <c r="A2458" i="16"/>
  <c r="A2472" i="16"/>
  <c r="A2457" i="16"/>
  <c r="X2474" i="16"/>
  <c r="D2474" i="16"/>
  <c r="D2477" i="16"/>
  <c r="X2472" i="16"/>
  <c r="Y2478" i="16"/>
  <c r="X2475" i="16"/>
  <c r="D2475" i="16"/>
  <c r="D2472" i="16"/>
  <c r="X2477" i="16"/>
  <c r="X2473" i="16"/>
  <c r="D2473" i="16"/>
  <c r="X2476" i="16"/>
  <c r="D2476" i="16"/>
  <c r="A2455" i="16"/>
  <c r="A2463" i="16"/>
  <c r="A2471" i="16"/>
  <c r="A2476" i="16"/>
  <c r="A2460" i="16"/>
  <c r="A2473" i="16"/>
  <c r="A2462" i="16"/>
  <c r="A2475" i="16"/>
  <c r="A2459" i="16"/>
  <c r="R2472" i="16"/>
  <c r="A2456" i="16"/>
  <c r="A2464" i="16"/>
  <c r="A2469" i="16"/>
  <c r="A2477" i="16"/>
  <c r="A2461" i="16"/>
  <c r="A2470" i="16"/>
  <c r="A2474" i="16"/>
  <c r="A2478" i="16"/>
  <c r="A2436" i="16"/>
  <c r="A2427" i="16"/>
  <c r="A2442" i="16"/>
  <c r="D2444" i="16"/>
  <c r="X2444" i="16" s="1"/>
  <c r="D2447" i="16"/>
  <c r="X2447" i="16" s="1"/>
  <c r="Y2448" i="16"/>
  <c r="D2445" i="16"/>
  <c r="X2445" i="16" s="1"/>
  <c r="D2446" i="16"/>
  <c r="X2446" i="16" s="1"/>
  <c r="A2425" i="16"/>
  <c r="A2433" i="16"/>
  <c r="A2441" i="16"/>
  <c r="A2446" i="16"/>
  <c r="A2430" i="16"/>
  <c r="A2443" i="16"/>
  <c r="A2432" i="16"/>
  <c r="A2445" i="16"/>
  <c r="A2429" i="16"/>
  <c r="R2442" i="16"/>
  <c r="A2426" i="16"/>
  <c r="A2434" i="16"/>
  <c r="A2439" i="16"/>
  <c r="A2447" i="16"/>
  <c r="A2431" i="16"/>
  <c r="A2440" i="16"/>
  <c r="A2444" i="16"/>
  <c r="A2448" i="16"/>
  <c r="A2428" i="16"/>
  <c r="A2406" i="16"/>
  <c r="A2396" i="16"/>
  <c r="A2398" i="16"/>
  <c r="A2403" i="16"/>
  <c r="A2411" i="16"/>
  <c r="A2412" i="16"/>
  <c r="A2395" i="16"/>
  <c r="A2397" i="16"/>
  <c r="A2416" i="16"/>
  <c r="X2414" i="16"/>
  <c r="D2414" i="16"/>
  <c r="D2417" i="16"/>
  <c r="X2412" i="16"/>
  <c r="Y2418" i="16"/>
  <c r="X2415" i="16"/>
  <c r="D2415" i="16"/>
  <c r="D2412" i="16"/>
  <c r="X2417" i="16"/>
  <c r="X2413" i="16"/>
  <c r="D2413" i="16"/>
  <c r="X2416" i="16"/>
  <c r="D2416" i="16"/>
  <c r="A2400" i="16"/>
  <c r="A2413" i="16"/>
  <c r="A2402" i="16"/>
  <c r="A2415" i="16"/>
  <c r="A2399" i="16"/>
  <c r="R2412" i="16"/>
  <c r="A2404" i="16"/>
  <c r="A2409" i="16"/>
  <c r="A2417" i="16"/>
  <c r="A2401" i="16"/>
  <c r="A2410" i="16"/>
  <c r="A2414" i="16"/>
  <c r="A2418" i="16"/>
  <c r="A2368" i="16"/>
  <c r="F2380" i="16"/>
  <c r="Y2388" i="16" s="1"/>
  <c r="A2382" i="16"/>
  <c r="A2367" i="16"/>
  <c r="A2376" i="16"/>
  <c r="A2365" i="16"/>
  <c r="A2373" i="16"/>
  <c r="A2381" i="16"/>
  <c r="A2386" i="16"/>
  <c r="F2350" i="16"/>
  <c r="Y2358" i="16" s="1"/>
  <c r="AB2357" i="16" s="1"/>
  <c r="A2370" i="16"/>
  <c r="A2383" i="16"/>
  <c r="A2352" i="16"/>
  <c r="A2372" i="16"/>
  <c r="A2385" i="16"/>
  <c r="R2352" i="16"/>
  <c r="A2369" i="16"/>
  <c r="R2382" i="16"/>
  <c r="A2366" i="16"/>
  <c r="A2374" i="16"/>
  <c r="A2379" i="16"/>
  <c r="A2387" i="16"/>
  <c r="A2371" i="16"/>
  <c r="A2380" i="16"/>
  <c r="A2384" i="16"/>
  <c r="A2357" i="16"/>
  <c r="A2343" i="16"/>
  <c r="A2346" i="16"/>
  <c r="A2335" i="16"/>
  <c r="A2337" i="16"/>
  <c r="A2339" i="16"/>
  <c r="A2349" i="16"/>
  <c r="A2356" i="16"/>
  <c r="A2342" i="16"/>
  <c r="A2344" i="16"/>
  <c r="A2351" i="16"/>
  <c r="A2336" i="16"/>
  <c r="A2338" i="16"/>
  <c r="A2340" i="16"/>
  <c r="A2353" i="16"/>
  <c r="A2355" i="16"/>
  <c r="A2341" i="16"/>
  <c r="A2350" i="16"/>
  <c r="A2354" i="16"/>
  <c r="A2307" i="16"/>
  <c r="A2316" i="16"/>
  <c r="A2308" i="16"/>
  <c r="A2322" i="16"/>
  <c r="D2324" i="16"/>
  <c r="X2324" i="16" s="1"/>
  <c r="D2327" i="16"/>
  <c r="X2327" i="16" s="1"/>
  <c r="Y2328" i="16"/>
  <c r="D2325" i="16"/>
  <c r="X2325" i="16" s="1"/>
  <c r="D2326" i="16"/>
  <c r="X2326" i="16" s="1"/>
  <c r="A2305" i="16"/>
  <c r="A2313" i="16"/>
  <c r="A2321" i="16"/>
  <c r="A2326" i="16"/>
  <c r="A2310" i="16"/>
  <c r="A2323" i="16"/>
  <c r="A2312" i="16"/>
  <c r="A2325" i="16"/>
  <c r="A2309" i="16"/>
  <c r="R2322" i="16"/>
  <c r="A2306" i="16"/>
  <c r="A2314" i="16"/>
  <c r="A2319" i="16"/>
  <c r="A2327" i="16"/>
  <c r="A2311" i="16"/>
  <c r="A2320" i="16"/>
  <c r="A2324" i="16"/>
  <c r="A2328" i="16"/>
  <c r="A2278" i="16"/>
  <c r="F2290" i="16"/>
  <c r="A2292" i="16"/>
  <c r="A2277" i="16"/>
  <c r="A2286" i="16"/>
  <c r="A2275" i="16"/>
  <c r="A2283" i="16"/>
  <c r="A2291" i="16"/>
  <c r="A2296" i="16"/>
  <c r="A2280" i="16"/>
  <c r="A2293" i="16"/>
  <c r="A2282" i="16"/>
  <c r="A2295" i="16"/>
  <c r="A2279" i="16"/>
  <c r="R2292" i="16"/>
  <c r="A2276" i="16"/>
  <c r="A2284" i="16"/>
  <c r="A2289" i="16"/>
  <c r="A2297" i="16"/>
  <c r="A2281" i="16"/>
  <c r="A2290" i="16"/>
  <c r="A2294" i="16"/>
  <c r="A2245" i="16"/>
  <c r="A2250" i="16"/>
  <c r="A2256" i="16"/>
  <c r="A2248" i="16"/>
  <c r="A2262" i="16"/>
  <c r="A2247" i="16"/>
  <c r="X2264" i="16"/>
  <c r="D2264" i="16"/>
  <c r="D2267" i="16"/>
  <c r="X2262" i="16"/>
  <c r="Y2268" i="16"/>
  <c r="X2265" i="16"/>
  <c r="D2265" i="16"/>
  <c r="D2262" i="16"/>
  <c r="X2267" i="16"/>
  <c r="X2263" i="16"/>
  <c r="D2263" i="16"/>
  <c r="X2266" i="16"/>
  <c r="D2266" i="16"/>
  <c r="F2200" i="16"/>
  <c r="A2253" i="16"/>
  <c r="A2261" i="16"/>
  <c r="A2266" i="16"/>
  <c r="A2263" i="16"/>
  <c r="A2252" i="16"/>
  <c r="A2265" i="16"/>
  <c r="A2249" i="16"/>
  <c r="R2262" i="16"/>
  <c r="A2246" i="16"/>
  <c r="A2254" i="16"/>
  <c r="A2259" i="16"/>
  <c r="A2267" i="16"/>
  <c r="A2251" i="16"/>
  <c r="A2260" i="16"/>
  <c r="A2264" i="16"/>
  <c r="A2268" i="16"/>
  <c r="A2226" i="16"/>
  <c r="A2217" i="16"/>
  <c r="A2218" i="16"/>
  <c r="A2232" i="16"/>
  <c r="X2234" i="16"/>
  <c r="D2234" i="16"/>
  <c r="D2237" i="16"/>
  <c r="X2232" i="16"/>
  <c r="Y2238" i="16"/>
  <c r="X2235" i="16"/>
  <c r="D2235" i="16"/>
  <c r="D2232" i="16"/>
  <c r="X2237" i="16"/>
  <c r="X2233" i="16"/>
  <c r="D2233" i="16"/>
  <c r="X2236" i="16"/>
  <c r="D2236" i="16"/>
  <c r="A2215" i="16"/>
  <c r="A2223" i="16"/>
  <c r="A2231" i="16"/>
  <c r="A2236" i="16"/>
  <c r="A2220" i="16"/>
  <c r="A2233" i="16"/>
  <c r="A2188" i="16"/>
  <c r="A2222" i="16"/>
  <c r="A2235" i="16"/>
  <c r="A2202" i="16"/>
  <c r="A2219" i="16"/>
  <c r="R2232" i="16"/>
  <c r="A2216" i="16"/>
  <c r="A2224" i="16"/>
  <c r="A2229" i="16"/>
  <c r="A2237" i="16"/>
  <c r="A2221" i="16"/>
  <c r="A2230" i="16"/>
  <c r="A2234" i="16"/>
  <c r="A2238" i="16"/>
  <c r="A2187" i="16"/>
  <c r="A2185" i="16"/>
  <c r="A2196" i="16"/>
  <c r="A2193" i="16"/>
  <c r="A2201" i="16"/>
  <c r="A2206" i="16"/>
  <c r="A2190" i="16"/>
  <c r="A2203" i="16"/>
  <c r="A2192" i="16"/>
  <c r="A2205" i="16"/>
  <c r="A2189" i="16"/>
  <c r="R2202" i="16"/>
  <c r="A2186" i="16"/>
  <c r="A2194" i="16"/>
  <c r="A2199" i="16"/>
  <c r="A2207" i="16"/>
  <c r="A2191" i="16"/>
  <c r="A2200" i="16"/>
  <c r="A2204" i="16"/>
  <c r="A2157" i="16"/>
  <c r="A2166" i="16"/>
  <c r="A2158" i="16"/>
  <c r="A2172" i="16"/>
  <c r="X2174" i="16"/>
  <c r="D2174" i="16"/>
  <c r="D2177" i="16"/>
  <c r="X2172" i="16"/>
  <c r="Y2178" i="16"/>
  <c r="X2175" i="16"/>
  <c r="D2175" i="16"/>
  <c r="D2172" i="16"/>
  <c r="X2177" i="16"/>
  <c r="X2173" i="16"/>
  <c r="D2173" i="16"/>
  <c r="X2176" i="16"/>
  <c r="D2176" i="16"/>
  <c r="A2155" i="16"/>
  <c r="A2163" i="16"/>
  <c r="A2171" i="16"/>
  <c r="A2176" i="16"/>
  <c r="A2160" i="16"/>
  <c r="A2173" i="16"/>
  <c r="A2162" i="16"/>
  <c r="A2175" i="16"/>
  <c r="A2159" i="16"/>
  <c r="R2172" i="16"/>
  <c r="A2156" i="16"/>
  <c r="A2164" i="16"/>
  <c r="A2169" i="16"/>
  <c r="A2177" i="16"/>
  <c r="A2161" i="16"/>
  <c r="A2170" i="16"/>
  <c r="A2174" i="16"/>
  <c r="A2178" i="16"/>
  <c r="A2136" i="16"/>
  <c r="A2128" i="16"/>
  <c r="A2142" i="16"/>
  <c r="A2145" i="16"/>
  <c r="A2127" i="16"/>
  <c r="A2132" i="16"/>
  <c r="X2144" i="16"/>
  <c r="D2144" i="16"/>
  <c r="D2147" i="16"/>
  <c r="X2142" i="16"/>
  <c r="Y2148" i="16"/>
  <c r="X2145" i="16"/>
  <c r="D2145" i="16"/>
  <c r="D2142" i="16"/>
  <c r="X2147" i="16"/>
  <c r="X2143" i="16"/>
  <c r="D2143" i="16"/>
  <c r="X2146" i="16"/>
  <c r="D2146" i="16"/>
  <c r="A2125" i="16"/>
  <c r="A2133" i="16"/>
  <c r="A2141" i="16"/>
  <c r="A2146" i="16"/>
  <c r="A2130" i="16"/>
  <c r="A2143" i="16"/>
  <c r="A2129" i="16"/>
  <c r="R2142" i="16"/>
  <c r="A2126" i="16"/>
  <c r="A2134" i="16"/>
  <c r="A2139" i="16"/>
  <c r="A2147" i="16"/>
  <c r="A2131" i="16"/>
  <c r="A2140" i="16"/>
  <c r="A2144" i="16"/>
  <c r="A2148" i="16"/>
  <c r="A2106" i="16"/>
  <c r="A2097" i="16"/>
  <c r="A2098" i="16"/>
  <c r="A2112" i="16"/>
  <c r="D2114" i="16"/>
  <c r="X2114" i="16" s="1"/>
  <c r="D2117" i="16"/>
  <c r="X2117" i="16" s="1"/>
  <c r="Y2118" i="16"/>
  <c r="D2115" i="16"/>
  <c r="X2115" i="16" s="1"/>
  <c r="D2116" i="16"/>
  <c r="X2116" i="16" s="1"/>
  <c r="A2095" i="16"/>
  <c r="A2103" i="16"/>
  <c r="A2111" i="16"/>
  <c r="A2116" i="16"/>
  <c r="A2100" i="16"/>
  <c r="A2113" i="16"/>
  <c r="A2102" i="16"/>
  <c r="A2115" i="16"/>
  <c r="A2099" i="16"/>
  <c r="R2112" i="16"/>
  <c r="A2096" i="16"/>
  <c r="A2104" i="16"/>
  <c r="A2109" i="16"/>
  <c r="A2117" i="16"/>
  <c r="A2101" i="16"/>
  <c r="A2110" i="16"/>
  <c r="A2114" i="16"/>
  <c r="A2118" i="16"/>
  <c r="A2073" i="16"/>
  <c r="A2081" i="16"/>
  <c r="A2065" i="16"/>
  <c r="A2067" i="16"/>
  <c r="A2082" i="16"/>
  <c r="A2083" i="16"/>
  <c r="A2086" i="16"/>
  <c r="A2070" i="16"/>
  <c r="A2066" i="16"/>
  <c r="A2068" i="16"/>
  <c r="A2076" i="16"/>
  <c r="D2084" i="16"/>
  <c r="X2084" i="16" s="1"/>
  <c r="D2087" i="16"/>
  <c r="X2087" i="16" s="1"/>
  <c r="Y2088" i="16"/>
  <c r="D2085" i="16"/>
  <c r="X2085" i="16" s="1"/>
  <c r="D2086" i="16"/>
  <c r="X2086" i="16" s="1"/>
  <c r="A2037" i="16"/>
  <c r="A2035" i="16"/>
  <c r="A2072" i="16"/>
  <c r="A2085" i="16"/>
  <c r="A2069" i="16"/>
  <c r="R2082" i="16"/>
  <c r="A2074" i="16"/>
  <c r="A2079" i="16"/>
  <c r="A2087" i="16"/>
  <c r="A2071" i="16"/>
  <c r="A2080" i="16"/>
  <c r="A2084" i="16"/>
  <c r="A2088" i="16"/>
  <c r="A2046" i="16"/>
  <c r="A2038" i="16"/>
  <c r="A2052" i="16"/>
  <c r="X2054" i="16"/>
  <c r="D2054" i="16"/>
  <c r="D2057" i="16"/>
  <c r="X2052" i="16"/>
  <c r="Y2058" i="16"/>
  <c r="X2055" i="16"/>
  <c r="D2055" i="16"/>
  <c r="D2052" i="16"/>
  <c r="X2057" i="16"/>
  <c r="X2053" i="16"/>
  <c r="D2053" i="16"/>
  <c r="X2056" i="16"/>
  <c r="D2056" i="16"/>
  <c r="A2043" i="16"/>
  <c r="A2051" i="16"/>
  <c r="A2056" i="16"/>
  <c r="A2040" i="16"/>
  <c r="A2053" i="16"/>
  <c r="A2042" i="16"/>
  <c r="A2055" i="16"/>
  <c r="A2039" i="16"/>
  <c r="R2052" i="16"/>
  <c r="A2036" i="16"/>
  <c r="A2044" i="16"/>
  <c r="A2049" i="16"/>
  <c r="A2057" i="16"/>
  <c r="A2041" i="16"/>
  <c r="A2050" i="16"/>
  <c r="A2054" i="16"/>
  <c r="A2058" i="16"/>
  <c r="A2005" i="16"/>
  <c r="A2008" i="16"/>
  <c r="A2013" i="16"/>
  <c r="A2021" i="16"/>
  <c r="A2006" i="16"/>
  <c r="A2026" i="16"/>
  <c r="D2024" i="16"/>
  <c r="X2024" i="16" s="1"/>
  <c r="D2027" i="16"/>
  <c r="X2027" i="16" s="1"/>
  <c r="Y2028" i="16"/>
  <c r="D2025" i="16"/>
  <c r="X2025" i="16" s="1"/>
  <c r="D2026" i="16"/>
  <c r="X2026" i="16" s="1"/>
  <c r="A2010" i="16"/>
  <c r="A2023" i="16"/>
  <c r="A2007" i="16"/>
  <c r="A2016" i="16"/>
  <c r="A2022" i="16"/>
  <c r="A2012" i="16"/>
  <c r="A2025" i="16"/>
  <c r="A2009" i="16"/>
  <c r="R2022" i="16"/>
  <c r="A2014" i="16"/>
  <c r="A2019" i="16"/>
  <c r="A2027" i="16"/>
  <c r="A2011" i="16"/>
  <c r="A2020" i="16"/>
  <c r="A2024" i="16"/>
  <c r="A2028" i="16"/>
  <c r="A1977" i="16"/>
  <c r="A1986" i="16"/>
  <c r="A1978" i="16"/>
  <c r="A1992" i="16"/>
  <c r="D1994" i="16"/>
  <c r="X1994" i="16" s="1"/>
  <c r="D1997" i="16"/>
  <c r="X1997" i="16" s="1"/>
  <c r="Y1998" i="16"/>
  <c r="D1995" i="16"/>
  <c r="X1995" i="16" s="1"/>
  <c r="D1996" i="16"/>
  <c r="X1996" i="16" s="1"/>
  <c r="A1975" i="16"/>
  <c r="A1983" i="16"/>
  <c r="A1991" i="16"/>
  <c r="A1996" i="16"/>
  <c r="A1980" i="16"/>
  <c r="A1993" i="16"/>
  <c r="A1947" i="16"/>
  <c r="A1982" i="16"/>
  <c r="A1995" i="16"/>
  <c r="A1979" i="16"/>
  <c r="R1992" i="16"/>
  <c r="A1976" i="16"/>
  <c r="A1984" i="16"/>
  <c r="A1989" i="16"/>
  <c r="A1997" i="16"/>
  <c r="A1926" i="16"/>
  <c r="A1981" i="16"/>
  <c r="A1990" i="16"/>
  <c r="A1994" i="16"/>
  <c r="A1998" i="16"/>
  <c r="A1956" i="16"/>
  <c r="A1948" i="16"/>
  <c r="A1962" i="16"/>
  <c r="X1964" i="16"/>
  <c r="D1964" i="16"/>
  <c r="D1967" i="16"/>
  <c r="X1962" i="16"/>
  <c r="X1967" i="16"/>
  <c r="Y1968" i="16"/>
  <c r="X1965" i="16"/>
  <c r="D1965" i="16"/>
  <c r="X1963" i="16"/>
  <c r="D1962" i="16"/>
  <c r="D1963" i="16"/>
  <c r="X1966" i="16"/>
  <c r="D1966" i="16"/>
  <c r="A1945" i="16"/>
  <c r="A1953" i="16"/>
  <c r="A1961" i="16"/>
  <c r="A1966" i="16"/>
  <c r="A1950" i="16"/>
  <c r="A1963" i="16"/>
  <c r="A1923" i="16"/>
  <c r="A1952" i="16"/>
  <c r="A1965" i="16"/>
  <c r="A1949" i="16"/>
  <c r="R1962" i="16"/>
  <c r="A1946" i="16"/>
  <c r="A1954" i="16"/>
  <c r="A1959" i="16"/>
  <c r="A1967" i="16"/>
  <c r="A1951" i="16"/>
  <c r="A1960" i="16"/>
  <c r="A1964" i="16"/>
  <c r="A1968" i="16"/>
  <c r="A1915" i="16"/>
  <c r="A1917" i="16"/>
  <c r="A1919" i="16"/>
  <c r="A1929" i="16"/>
  <c r="A1935" i="16"/>
  <c r="A1937" i="16"/>
  <c r="F1930" i="16"/>
  <c r="R1932" i="16"/>
  <c r="A1922" i="16"/>
  <c r="A1924" i="16"/>
  <c r="A1931" i="16"/>
  <c r="A1916" i="16"/>
  <c r="A1918" i="16"/>
  <c r="A1920" i="16"/>
  <c r="A1933" i="16"/>
  <c r="A1932" i="16"/>
  <c r="A1936" i="16"/>
  <c r="A1893" i="16"/>
  <c r="A1901" i="16"/>
  <c r="A1921" i="16"/>
  <c r="A1930" i="16"/>
  <c r="A1934" i="16"/>
  <c r="A1887" i="16"/>
  <c r="A1902" i="16"/>
  <c r="A1885" i="16"/>
  <c r="A1903" i="16"/>
  <c r="A1906" i="16"/>
  <c r="A1890" i="16"/>
  <c r="A1888" i="16"/>
  <c r="A1896" i="16"/>
  <c r="X1904" i="16"/>
  <c r="D1907" i="16"/>
  <c r="X1902" i="16"/>
  <c r="X1906" i="16"/>
  <c r="Y1908" i="16"/>
  <c r="X1905" i="16"/>
  <c r="D1905" i="16"/>
  <c r="X1907" i="16"/>
  <c r="D1906" i="16"/>
  <c r="X1903" i="16"/>
  <c r="A1892" i="16"/>
  <c r="A1905" i="16"/>
  <c r="A1889" i="16"/>
  <c r="R1902" i="16"/>
  <c r="A1886" i="16"/>
  <c r="A1894" i="16"/>
  <c r="A1899" i="16"/>
  <c r="A1907" i="16"/>
  <c r="A1891" i="16"/>
  <c r="A1900" i="16"/>
  <c r="A1904" i="16"/>
  <c r="A1908" i="16"/>
  <c r="A1857" i="16"/>
  <c r="A1866" i="16"/>
  <c r="A1858" i="16"/>
  <c r="A1872" i="16"/>
  <c r="D1874" i="16"/>
  <c r="X1874" i="16" s="1"/>
  <c r="D1877" i="16"/>
  <c r="X1877" i="16" s="1"/>
  <c r="Y1878" i="16"/>
  <c r="D1875" i="16"/>
  <c r="X1875" i="16" s="1"/>
  <c r="D1876" i="16"/>
  <c r="X1876" i="16" s="1"/>
  <c r="A1855" i="16"/>
  <c r="A1863" i="16"/>
  <c r="A1871" i="16"/>
  <c r="A1876" i="16"/>
  <c r="A1860" i="16"/>
  <c r="A1873" i="16"/>
  <c r="A1862" i="16"/>
  <c r="A1875" i="16"/>
  <c r="A1859" i="16"/>
  <c r="R1872" i="16"/>
  <c r="A1828" i="16"/>
  <c r="A1856" i="16"/>
  <c r="A1864" i="16"/>
  <c r="A1869" i="16"/>
  <c r="A1877" i="16"/>
  <c r="A1806" i="16"/>
  <c r="A1861" i="16"/>
  <c r="A1870" i="16"/>
  <c r="A1874" i="16"/>
  <c r="A1878" i="16"/>
  <c r="F1840" i="16"/>
  <c r="A1842" i="16"/>
  <c r="A1827" i="16"/>
  <c r="A1836" i="16"/>
  <c r="A1802" i="16"/>
  <c r="A1825" i="16"/>
  <c r="A1833" i="16"/>
  <c r="A1841" i="16"/>
  <c r="A1846" i="16"/>
  <c r="A1830" i="16"/>
  <c r="A1843" i="16"/>
  <c r="A1832" i="16"/>
  <c r="A1845" i="16"/>
  <c r="A1829" i="16"/>
  <c r="R1842" i="16"/>
  <c r="A1826" i="16"/>
  <c r="A1834" i="16"/>
  <c r="A1839" i="16"/>
  <c r="A1847" i="16"/>
  <c r="A1831" i="16"/>
  <c r="A1840" i="16"/>
  <c r="A1844" i="16"/>
  <c r="A1798" i="16"/>
  <c r="A1812" i="16"/>
  <c r="A1797" i="16"/>
  <c r="X1814" i="16"/>
  <c r="D1814" i="16"/>
  <c r="X1817" i="16"/>
  <c r="X1813" i="16"/>
  <c r="D1817" i="16"/>
  <c r="D1813" i="16"/>
  <c r="Y1818" i="16"/>
  <c r="X1815" i="16"/>
  <c r="D1815" i="16"/>
  <c r="D1812" i="16"/>
  <c r="X1816" i="16"/>
  <c r="D1816" i="16"/>
  <c r="A1795" i="16"/>
  <c r="A1803" i="16"/>
  <c r="A1811" i="16"/>
  <c r="A1816" i="16"/>
  <c r="A1800" i="16"/>
  <c r="A1813" i="16"/>
  <c r="A1815" i="16"/>
  <c r="A1799" i="16"/>
  <c r="R1812" i="16"/>
  <c r="A1796" i="16"/>
  <c r="A1804" i="16"/>
  <c r="A1809" i="16"/>
  <c r="A1817" i="16"/>
  <c r="A1801" i="16"/>
  <c r="A1810" i="16"/>
  <c r="A1814" i="16"/>
  <c r="A1818" i="16"/>
  <c r="F1780" i="16"/>
  <c r="Y1788" i="16" s="1"/>
  <c r="A1772" i="16"/>
  <c r="A1774" i="16"/>
  <c r="A1781" i="16"/>
  <c r="R1782" i="16"/>
  <c r="A1785" i="16"/>
  <c r="A1787" i="16"/>
  <c r="A1766" i="16"/>
  <c r="A1768" i="16"/>
  <c r="A1770" i="16"/>
  <c r="A1782" i="16"/>
  <c r="A1783" i="16"/>
  <c r="A1773" i="16"/>
  <c r="A1776" i="16"/>
  <c r="A1765" i="16"/>
  <c r="A1767" i="16"/>
  <c r="A1769" i="16"/>
  <c r="A1786" i="16"/>
  <c r="A1779" i="16"/>
  <c r="A1771" i="16"/>
  <c r="A1780" i="16"/>
  <c r="A1784" i="16"/>
  <c r="A1737" i="16"/>
  <c r="A1735" i="16"/>
  <c r="A1746" i="16"/>
  <c r="A1738" i="16"/>
  <c r="A1752" i="16"/>
  <c r="X1754" i="16"/>
  <c r="D1754" i="16"/>
  <c r="D1757" i="16"/>
  <c r="X1752" i="16"/>
  <c r="Y1758" i="16"/>
  <c r="X1755" i="16"/>
  <c r="D1755" i="16"/>
  <c r="X1757" i="16"/>
  <c r="D1752" i="16"/>
  <c r="X1753" i="16"/>
  <c r="D1753" i="16"/>
  <c r="X1756" i="16"/>
  <c r="D1756" i="16"/>
  <c r="A1743" i="16"/>
  <c r="A1751" i="16"/>
  <c r="A1756" i="16"/>
  <c r="A1740" i="16"/>
  <c r="A1753" i="16"/>
  <c r="A1742" i="16"/>
  <c r="A1755" i="16"/>
  <c r="A1739" i="16"/>
  <c r="R1752" i="16"/>
  <c r="A1736" i="16"/>
  <c r="A1744" i="16"/>
  <c r="A1749" i="16"/>
  <c r="A1757" i="16"/>
  <c r="A1741" i="16"/>
  <c r="A1750" i="16"/>
  <c r="A1754" i="16"/>
  <c r="A1758" i="16"/>
  <c r="A1707" i="16"/>
  <c r="A1716" i="16"/>
  <c r="A1708" i="16"/>
  <c r="A1722" i="16"/>
  <c r="D1724" i="16"/>
  <c r="X1724" i="16" s="1"/>
  <c r="D1727" i="16"/>
  <c r="X1727" i="16" s="1"/>
  <c r="D1725" i="16"/>
  <c r="X1725" i="16" s="1"/>
  <c r="D1726" i="16"/>
  <c r="X1726" i="16" s="1"/>
  <c r="A1705" i="16"/>
  <c r="A1713" i="16"/>
  <c r="A1721" i="16"/>
  <c r="A1726" i="16"/>
  <c r="A1645" i="16"/>
  <c r="A1710" i="16"/>
  <c r="A1723" i="16"/>
  <c r="A1712" i="16"/>
  <c r="A1725" i="16"/>
  <c r="A1709" i="16"/>
  <c r="R1722" i="16"/>
  <c r="A1706" i="16"/>
  <c r="A1714" i="16"/>
  <c r="A1719" i="16"/>
  <c r="A1727" i="16"/>
  <c r="A1711" i="16"/>
  <c r="A1720" i="16"/>
  <c r="A1724" i="16"/>
  <c r="A1728" i="16"/>
  <c r="A1677" i="16"/>
  <c r="A1686" i="16"/>
  <c r="A1678" i="16"/>
  <c r="A1692" i="16"/>
  <c r="D1694" i="16"/>
  <c r="X1694" i="16" s="1"/>
  <c r="D1697" i="16"/>
  <c r="X1697" i="16" s="1"/>
  <c r="Y1698" i="16"/>
  <c r="D1695" i="16"/>
  <c r="X1695" i="16" s="1"/>
  <c r="D1696" i="16"/>
  <c r="X1696" i="16" s="1"/>
  <c r="A1675" i="16"/>
  <c r="A1683" i="16"/>
  <c r="A1691" i="16"/>
  <c r="A1696" i="16"/>
  <c r="A1647" i="16"/>
  <c r="A1680" i="16"/>
  <c r="A1693" i="16"/>
  <c r="A1661" i="16"/>
  <c r="A1682" i="16"/>
  <c r="A1695" i="16"/>
  <c r="A1679" i="16"/>
  <c r="R1692" i="16"/>
  <c r="A1676" i="16"/>
  <c r="A1684" i="16"/>
  <c r="A1689" i="16"/>
  <c r="A1697" i="16"/>
  <c r="A1681" i="16"/>
  <c r="A1690" i="16"/>
  <c r="A1694" i="16"/>
  <c r="A1698" i="16"/>
  <c r="A1652" i="16"/>
  <c r="A1662" i="16"/>
  <c r="A1646" i="16"/>
  <c r="A1648" i="16"/>
  <c r="A1656" i="16"/>
  <c r="A1653" i="16"/>
  <c r="F1660" i="16"/>
  <c r="D1662" i="16" s="1"/>
  <c r="A1666" i="16"/>
  <c r="A1650" i="16"/>
  <c r="A1663" i="16"/>
  <c r="A1665" i="16"/>
  <c r="A1649" i="16"/>
  <c r="R1662" i="16"/>
  <c r="A1654" i="16"/>
  <c r="A1659" i="16"/>
  <c r="A1667" i="16"/>
  <c r="A1651" i="16"/>
  <c r="A1660" i="16"/>
  <c r="A1664" i="16"/>
  <c r="A1618" i="16"/>
  <c r="F1630" i="16"/>
  <c r="D1636" i="16" s="1"/>
  <c r="A1632" i="16"/>
  <c r="A1617" i="16"/>
  <c r="A1615" i="16"/>
  <c r="A1626" i="16"/>
  <c r="A1623" i="16"/>
  <c r="A1631" i="16"/>
  <c r="A1636" i="16"/>
  <c r="A1620" i="16"/>
  <c r="A1633" i="16"/>
  <c r="F1600" i="16"/>
  <c r="X1607" i="16" s="1"/>
  <c r="A1622" i="16"/>
  <c r="A1635" i="16"/>
  <c r="A1588" i="16"/>
  <c r="A1619" i="16"/>
  <c r="R1632" i="16"/>
  <c r="A1586" i="16"/>
  <c r="A1616" i="16"/>
  <c r="A1624" i="16"/>
  <c r="A1629" i="16"/>
  <c r="A1637" i="16"/>
  <c r="A1621" i="16"/>
  <c r="A1630" i="16"/>
  <c r="A1634" i="16"/>
  <c r="A1602" i="16"/>
  <c r="A1585" i="16"/>
  <c r="A1587" i="16"/>
  <c r="A1596" i="16"/>
  <c r="A1593" i="16"/>
  <c r="A1601" i="16"/>
  <c r="A1606" i="16"/>
  <c r="A1590" i="16"/>
  <c r="A1603" i="16"/>
  <c r="A1592" i="16"/>
  <c r="A1605" i="16"/>
  <c r="A1589" i="16"/>
  <c r="R1602" i="16"/>
  <c r="A1594" i="16"/>
  <c r="A1599" i="16"/>
  <c r="A1607" i="16"/>
  <c r="A1591" i="16"/>
  <c r="A1600" i="16"/>
  <c r="A1604" i="16"/>
  <c r="A1560" i="16"/>
  <c r="A1556" i="16"/>
  <c r="A1558" i="16"/>
  <c r="A1566" i="16"/>
  <c r="A1563" i="16"/>
  <c r="A1576" i="16"/>
  <c r="F1570" i="16"/>
  <c r="D1572" i="16" s="1"/>
  <c r="A1571" i="16"/>
  <c r="A1555" i="16"/>
  <c r="A1557" i="16"/>
  <c r="A1572" i="16"/>
  <c r="A1573" i="16"/>
  <c r="F1540" i="16"/>
  <c r="X1547" i="16" s="1"/>
  <c r="A1528" i="16"/>
  <c r="A1562" i="16"/>
  <c r="A1575" i="16"/>
  <c r="A1542" i="16"/>
  <c r="A1559" i="16"/>
  <c r="R1572" i="16"/>
  <c r="A1564" i="16"/>
  <c r="A1569" i="16"/>
  <c r="A1577" i="16"/>
  <c r="A1561" i="16"/>
  <c r="A1570" i="16"/>
  <c r="A1574" i="16"/>
  <c r="A1527" i="16"/>
  <c r="A1525" i="16"/>
  <c r="A1536" i="16"/>
  <c r="A1533" i="16"/>
  <c r="A1541" i="16"/>
  <c r="A1546" i="16"/>
  <c r="A1530" i="16"/>
  <c r="A1543" i="16"/>
  <c r="A1532" i="16"/>
  <c r="A1545" i="16"/>
  <c r="A1529" i="16"/>
  <c r="R1542" i="16"/>
  <c r="A1526" i="16"/>
  <c r="A1534" i="16"/>
  <c r="A1539" i="16"/>
  <c r="A1547" i="16"/>
  <c r="A1531" i="16"/>
  <c r="A1540" i="16"/>
  <c r="A1544" i="16"/>
  <c r="A1497" i="16"/>
  <c r="A1506" i="16"/>
  <c r="A1498" i="16"/>
  <c r="A1512" i="16"/>
  <c r="X1514" i="16"/>
  <c r="D1514" i="16"/>
  <c r="D1517" i="16"/>
  <c r="X1512" i="16"/>
  <c r="X1513" i="16"/>
  <c r="Y1518" i="16"/>
  <c r="X1515" i="16"/>
  <c r="D1515" i="16"/>
  <c r="X1517" i="16"/>
  <c r="X1516" i="16"/>
  <c r="D1516" i="16"/>
  <c r="A1495" i="16"/>
  <c r="A1503" i="16"/>
  <c r="A1511" i="16"/>
  <c r="A1516" i="16"/>
  <c r="A1500" i="16"/>
  <c r="A1513" i="16"/>
  <c r="A1502" i="16"/>
  <c r="A1515" i="16"/>
  <c r="A1499" i="16"/>
  <c r="R1512" i="16"/>
  <c r="A1496" i="16"/>
  <c r="A1504" i="16"/>
  <c r="A1509" i="16"/>
  <c r="A1517" i="16"/>
  <c r="A1501" i="16"/>
  <c r="A1510" i="16"/>
  <c r="A1514" i="16"/>
  <c r="A1518" i="16"/>
  <c r="A1466" i="16"/>
  <c r="A1468" i="16"/>
  <c r="F1480" i="16"/>
  <c r="A1482" i="16"/>
  <c r="A1465" i="16"/>
  <c r="A1467" i="16"/>
  <c r="A1476" i="16"/>
  <c r="A1473" i="16"/>
  <c r="A1481" i="16"/>
  <c r="A1486" i="16"/>
  <c r="A1470" i="16"/>
  <c r="A1483" i="16"/>
  <c r="A1472" i="16"/>
  <c r="A1485" i="16"/>
  <c r="A1469" i="16"/>
  <c r="R1482" i="16"/>
  <c r="A1474" i="16"/>
  <c r="A1479" i="16"/>
  <c r="A1487" i="16"/>
  <c r="A1471" i="16"/>
  <c r="A1480" i="16"/>
  <c r="A1484" i="16"/>
  <c r="A1436" i="16"/>
  <c r="A1438" i="16"/>
  <c r="A1440" i="16"/>
  <c r="A1452" i="16"/>
  <c r="R1452" i="16"/>
  <c r="A1453" i="16"/>
  <c r="A1443" i="16"/>
  <c r="A1446" i="16"/>
  <c r="A1455" i="16"/>
  <c r="A1435" i="16"/>
  <c r="A1437" i="16"/>
  <c r="A1439" i="16"/>
  <c r="A1456" i="16"/>
  <c r="A1449" i="16"/>
  <c r="A1457" i="16"/>
  <c r="A1451" i="16"/>
  <c r="A1442" i="16"/>
  <c r="A1444" i="16"/>
  <c r="X1454" i="16"/>
  <c r="X1456" i="16"/>
  <c r="D1457" i="16"/>
  <c r="X1457" i="16"/>
  <c r="D1456" i="16"/>
  <c r="X1452" i="16"/>
  <c r="X1453" i="16"/>
  <c r="X1455" i="16"/>
  <c r="D1455" i="16"/>
  <c r="F1452" i="16"/>
  <c r="A1408" i="16"/>
  <c r="A1422" i="16"/>
  <c r="F1420" i="16"/>
  <c r="A1441" i="16"/>
  <c r="A1450" i="16"/>
  <c r="A1454" i="16"/>
  <c r="A1458" i="16"/>
  <c r="A1407" i="16"/>
  <c r="A1405" i="16"/>
  <c r="A1416" i="16"/>
  <c r="A1413" i="16"/>
  <c r="A1421" i="16"/>
  <c r="A1426" i="16"/>
  <c r="A1410" i="16"/>
  <c r="A1423" i="16"/>
  <c r="A1412" i="16"/>
  <c r="A1425" i="16"/>
  <c r="A1409" i="16"/>
  <c r="R1422" i="16"/>
  <c r="A1378" i="16"/>
  <c r="A1406" i="16"/>
  <c r="A1414" i="16"/>
  <c r="A1419" i="16"/>
  <c r="A1427" i="16"/>
  <c r="A1411" i="16"/>
  <c r="A1420" i="16"/>
  <c r="A1424" i="16"/>
  <c r="F1390" i="16"/>
  <c r="D1397" i="16" s="1"/>
  <c r="A1392" i="16"/>
  <c r="A1377" i="16"/>
  <c r="A1386" i="16"/>
  <c r="A1375" i="16"/>
  <c r="A1383" i="16"/>
  <c r="A1391" i="16"/>
  <c r="A1396" i="16"/>
  <c r="A1380" i="16"/>
  <c r="A1393" i="16"/>
  <c r="A1382" i="16"/>
  <c r="A1395" i="16"/>
  <c r="A1379" i="16"/>
  <c r="R1392" i="16"/>
  <c r="A1376" i="16"/>
  <c r="A1384" i="16"/>
  <c r="A1389" i="16"/>
  <c r="A1397" i="16"/>
  <c r="A1381" i="16"/>
  <c r="A1390" i="16"/>
  <c r="A1394" i="16"/>
  <c r="A1347" i="16"/>
  <c r="A1345" i="16"/>
  <c r="A1362" i="16"/>
  <c r="A1350" i="16"/>
  <c r="A1348" i="16"/>
  <c r="A1356" i="16"/>
  <c r="A1366" i="16"/>
  <c r="A1353" i="16"/>
  <c r="F1360" i="16"/>
  <c r="D1367" i="16" s="1"/>
  <c r="A1361" i="16"/>
  <c r="A1363" i="16"/>
  <c r="A1352" i="16"/>
  <c r="A1365" i="16"/>
  <c r="A1349" i="16"/>
  <c r="R1362" i="16"/>
  <c r="A1346" i="16"/>
  <c r="A1354" i="16"/>
  <c r="A1359" i="16"/>
  <c r="A1367" i="16"/>
  <c r="A1351" i="16"/>
  <c r="A1360" i="16"/>
  <c r="A1364" i="16"/>
  <c r="F1330" i="16"/>
  <c r="D1334" i="16" s="1"/>
  <c r="A1322" i="16"/>
  <c r="A1324" i="16"/>
  <c r="A1331" i="16"/>
  <c r="R1332" i="16"/>
  <c r="A1335" i="16"/>
  <c r="A1337" i="16"/>
  <c r="A1316" i="16"/>
  <c r="A1318" i="16"/>
  <c r="A1320" i="16"/>
  <c r="A1332" i="16"/>
  <c r="A1333" i="16"/>
  <c r="A1323" i="16"/>
  <c r="A1326" i="16"/>
  <c r="A1315" i="16"/>
  <c r="A1317" i="16"/>
  <c r="A1319" i="16"/>
  <c r="A1336" i="16"/>
  <c r="A1329" i="16"/>
  <c r="F1300" i="16"/>
  <c r="A1266" i="16"/>
  <c r="A1288" i="16"/>
  <c r="A1286" i="16"/>
  <c r="A1321" i="16"/>
  <c r="A1330" i="16"/>
  <c r="A1334" i="16"/>
  <c r="A1296" i="16"/>
  <c r="A1302" i="16"/>
  <c r="A1285" i="16"/>
  <c r="A1287" i="16"/>
  <c r="A1293" i="16"/>
  <c r="A1301" i="16"/>
  <c r="A1306" i="16"/>
  <c r="A1290" i="16"/>
  <c r="A1303" i="16"/>
  <c r="A1292" i="16"/>
  <c r="A1305" i="16"/>
  <c r="A1258" i="16"/>
  <c r="A1289" i="16"/>
  <c r="R1302" i="16"/>
  <c r="A1256" i="16"/>
  <c r="A1294" i="16"/>
  <c r="A1299" i="16"/>
  <c r="A1307" i="16"/>
  <c r="A1291" i="16"/>
  <c r="A1300" i="16"/>
  <c r="A1304" i="16"/>
  <c r="A1272" i="16"/>
  <c r="A1255" i="16"/>
  <c r="A1257" i="16"/>
  <c r="A1259" i="16"/>
  <c r="R1272" i="16"/>
  <c r="A1262" i="16"/>
  <c r="D1274" i="16"/>
  <c r="X1274" i="16" s="1"/>
  <c r="D1277" i="16"/>
  <c r="X1277" i="16" s="1"/>
  <c r="Y1278" i="16"/>
  <c r="D1275" i="16"/>
  <c r="X1275" i="16" s="1"/>
  <c r="D1276" i="16"/>
  <c r="X1276" i="16" s="1"/>
  <c r="A1263" i="16"/>
  <c r="A1271" i="16"/>
  <c r="A1276" i="16"/>
  <c r="A1260" i="16"/>
  <c r="A1273" i="16"/>
  <c r="A1275" i="16"/>
  <c r="A1264" i="16"/>
  <c r="A1269" i="16"/>
  <c r="A1277" i="16"/>
  <c r="A1261" i="16"/>
  <c r="A1270" i="16"/>
  <c r="A1274" i="16"/>
  <c r="A1278" i="16"/>
  <c r="A1226" i="16"/>
  <c r="A1228" i="16"/>
  <c r="A1230" i="16"/>
  <c r="A1236" i="16"/>
  <c r="A1233" i="16"/>
  <c r="A1246" i="16"/>
  <c r="F1240" i="16"/>
  <c r="A1225" i="16"/>
  <c r="A1227" i="16"/>
  <c r="A1229" i="16"/>
  <c r="A1241" i="16"/>
  <c r="A1242" i="16"/>
  <c r="A1243" i="16"/>
  <c r="A1232" i="16"/>
  <c r="A1245" i="16"/>
  <c r="R1242" i="16"/>
  <c r="A1234" i="16"/>
  <c r="A1239" i="16"/>
  <c r="A1247" i="16"/>
  <c r="A1231" i="16"/>
  <c r="A1240" i="16"/>
  <c r="A1244" i="16"/>
  <c r="A1197" i="16"/>
  <c r="A1206" i="16"/>
  <c r="A1198" i="16"/>
  <c r="A1212" i="16"/>
  <c r="D1214" i="16"/>
  <c r="X1214" i="16" s="1"/>
  <c r="D1217" i="16"/>
  <c r="X1217" i="16" s="1"/>
  <c r="Y1218" i="16"/>
  <c r="D1215" i="16"/>
  <c r="X1215" i="16" s="1"/>
  <c r="D1216" i="16"/>
  <c r="X1216" i="16" s="1"/>
  <c r="A1195" i="16"/>
  <c r="A1203" i="16"/>
  <c r="A1211" i="16"/>
  <c r="A1216" i="16"/>
  <c r="A1200" i="16"/>
  <c r="A1213" i="16"/>
  <c r="A1202" i="16"/>
  <c r="A1215" i="16"/>
  <c r="A1078" i="16"/>
  <c r="A1199" i="16"/>
  <c r="R1212" i="16"/>
  <c r="A1196" i="16"/>
  <c r="A1204" i="16"/>
  <c r="A1209" i="16"/>
  <c r="A1217" i="16"/>
  <c r="A1201" i="16"/>
  <c r="A1210" i="16"/>
  <c r="A1214" i="16"/>
  <c r="A1218" i="16"/>
  <c r="A1166" i="16"/>
  <c r="A1168" i="16"/>
  <c r="F1180" i="16"/>
  <c r="A1182" i="16"/>
  <c r="A1165" i="16"/>
  <c r="A1167" i="16"/>
  <c r="A1176" i="16"/>
  <c r="A1173" i="16"/>
  <c r="A1181" i="16"/>
  <c r="A1186" i="16"/>
  <c r="A1170" i="16"/>
  <c r="A1183" i="16"/>
  <c r="A1172" i="16"/>
  <c r="A1185" i="16"/>
  <c r="A1169" i="16"/>
  <c r="R1182" i="16"/>
  <c r="A1174" i="16"/>
  <c r="A1179" i="16"/>
  <c r="A1187" i="16"/>
  <c r="A1171" i="16"/>
  <c r="A1180" i="16"/>
  <c r="A1184" i="16"/>
  <c r="A1137" i="16"/>
  <c r="A1135" i="16"/>
  <c r="A1146" i="16"/>
  <c r="A1138" i="16"/>
  <c r="A1152" i="16"/>
  <c r="D1154" i="16"/>
  <c r="X1154" i="16" s="1"/>
  <c r="D1157" i="16"/>
  <c r="X1157" i="16" s="1"/>
  <c r="Y1158" i="16"/>
  <c r="D1155" i="16"/>
  <c r="X1155" i="16" s="1"/>
  <c r="D1156" i="16"/>
  <c r="X1156" i="16" s="1"/>
  <c r="A1143" i="16"/>
  <c r="A1151" i="16"/>
  <c r="A1156" i="16"/>
  <c r="A1140" i="16"/>
  <c r="A1153" i="16"/>
  <c r="A1142" i="16"/>
  <c r="A1155" i="16"/>
  <c r="A1139" i="16"/>
  <c r="R1152" i="16"/>
  <c r="A1136" i="16"/>
  <c r="A1144" i="16"/>
  <c r="A1149" i="16"/>
  <c r="A1157" i="16"/>
  <c r="A1141" i="16"/>
  <c r="A1150" i="16"/>
  <c r="A1154" i="16"/>
  <c r="A1158" i="16"/>
  <c r="F1120" i="16"/>
  <c r="Y1128" i="16" s="1"/>
  <c r="A1122" i="16"/>
  <c r="A1105" i="16"/>
  <c r="A1107" i="16"/>
  <c r="A1109" i="16"/>
  <c r="A1116" i="16"/>
  <c r="A1106" i="16"/>
  <c r="A1108" i="16"/>
  <c r="A1113" i="16"/>
  <c r="A1121" i="16"/>
  <c r="A1126" i="16"/>
  <c r="A1110" i="16"/>
  <c r="A1123" i="16"/>
  <c r="F1090" i="16"/>
  <c r="X1097" i="16" s="1"/>
  <c r="A1112" i="16"/>
  <c r="A1125" i="16"/>
  <c r="R1122" i="16"/>
  <c r="A1076" i="16"/>
  <c r="A1114" i="16"/>
  <c r="A1119" i="16"/>
  <c r="A1127" i="16"/>
  <c r="A1111" i="16"/>
  <c r="A1120" i="16"/>
  <c r="A1124" i="16"/>
  <c r="A1092" i="16"/>
  <c r="A1075" i="16"/>
  <c r="A1077" i="16"/>
  <c r="A1086" i="16"/>
  <c r="A1083" i="16"/>
  <c r="A1091" i="16"/>
  <c r="A1096" i="16"/>
  <c r="A1080" i="16"/>
  <c r="A1093" i="16"/>
  <c r="F1060" i="16"/>
  <c r="X1067" i="16" s="1"/>
  <c r="A1082" i="16"/>
  <c r="A1095" i="16"/>
  <c r="A1079" i="16"/>
  <c r="R1092" i="16"/>
  <c r="A1084" i="16"/>
  <c r="A1089" i="16"/>
  <c r="A1097" i="16"/>
  <c r="A1081" i="16"/>
  <c r="A1090" i="16"/>
  <c r="A1094" i="16"/>
  <c r="A1062" i="16"/>
  <c r="A1045" i="16"/>
  <c r="A1047" i="16"/>
  <c r="A1056" i="16"/>
  <c r="A1046" i="16"/>
  <c r="A1048" i="16"/>
  <c r="A1053" i="16"/>
  <c r="A1061" i="16"/>
  <c r="A1066" i="16"/>
  <c r="A1050" i="16"/>
  <c r="A1063" i="16"/>
  <c r="A1052" i="16"/>
  <c r="A1065" i="16"/>
  <c r="A1049" i="16"/>
  <c r="R1062" i="16"/>
  <c r="A1054" i="16"/>
  <c r="A1059" i="16"/>
  <c r="A1067" i="16"/>
  <c r="A1051" i="16"/>
  <c r="A1060" i="16"/>
  <c r="A1064" i="16"/>
  <c r="A1016" i="16"/>
  <c r="A1018" i="16"/>
  <c r="A1020" i="16"/>
  <c r="A1026" i="16"/>
  <c r="A1023" i="16"/>
  <c r="A1036" i="16"/>
  <c r="F1030" i="16"/>
  <c r="A1015" i="16"/>
  <c r="A1017" i="16"/>
  <c r="A1019" i="16"/>
  <c r="A1031" i="16"/>
  <c r="A1032" i="16"/>
  <c r="A1033" i="16"/>
  <c r="A1022" i="16"/>
  <c r="A1035" i="16"/>
  <c r="R1032" i="16"/>
  <c r="A1024" i="16"/>
  <c r="A1029" i="16"/>
  <c r="A1037" i="16"/>
  <c r="A1021" i="16"/>
  <c r="A1030" i="16"/>
  <c r="A1034" i="16"/>
  <c r="A993" i="16"/>
  <c r="A996" i="16"/>
  <c r="A985" i="16"/>
  <c r="A987" i="16"/>
  <c r="A989" i="16"/>
  <c r="A999" i="16"/>
  <c r="A1006" i="16"/>
  <c r="F1000" i="16"/>
  <c r="A992" i="16"/>
  <c r="A994" i="16"/>
  <c r="A1001" i="16"/>
  <c r="A986" i="16"/>
  <c r="A988" i="16"/>
  <c r="A990" i="16"/>
  <c r="A1002" i="16"/>
  <c r="A1003" i="16"/>
  <c r="A1005" i="16"/>
  <c r="R1002" i="16"/>
  <c r="A1007" i="16"/>
  <c r="A991" i="16"/>
  <c r="A1000" i="16"/>
  <c r="A1004" i="16"/>
  <c r="A956" i="16"/>
  <c r="A958" i="16"/>
  <c r="A960" i="16"/>
  <c r="A966" i="16"/>
  <c r="A963" i="16"/>
  <c r="A976" i="16"/>
  <c r="F970" i="16"/>
  <c r="D972" i="16" s="1"/>
  <c r="A955" i="16"/>
  <c r="A957" i="16"/>
  <c r="A959" i="16"/>
  <c r="A971" i="16"/>
  <c r="A972" i="16"/>
  <c r="A973" i="16"/>
  <c r="A962" i="16"/>
  <c r="A975" i="16"/>
  <c r="R972" i="16"/>
  <c r="A964" i="16"/>
  <c r="A969" i="16"/>
  <c r="A977" i="16"/>
  <c r="A961" i="16"/>
  <c r="A970" i="16"/>
  <c r="A974" i="16"/>
  <c r="A926" i="16"/>
  <c r="A928" i="16"/>
  <c r="A930" i="16"/>
  <c r="A936" i="16"/>
  <c r="A933" i="16"/>
  <c r="A946" i="16"/>
  <c r="F940" i="16"/>
  <c r="D942" i="16" s="1"/>
  <c r="A925" i="16"/>
  <c r="A927" i="16"/>
  <c r="A929" i="16"/>
  <c r="A941" i="16"/>
  <c r="A942" i="16"/>
  <c r="A943" i="16"/>
  <c r="A932" i="16"/>
  <c r="A945" i="16"/>
  <c r="R942" i="16"/>
  <c r="A898" i="16"/>
  <c r="A934" i="16"/>
  <c r="A939" i="16"/>
  <c r="A947" i="16"/>
  <c r="A869" i="16"/>
  <c r="A875" i="16"/>
  <c r="A931" i="16"/>
  <c r="A940" i="16"/>
  <c r="A944" i="16"/>
  <c r="F910" i="16"/>
  <c r="D916" i="16" s="1"/>
  <c r="A912" i="16"/>
  <c r="A897" i="16"/>
  <c r="A894" i="16"/>
  <c r="A906" i="16"/>
  <c r="A903" i="16"/>
  <c r="A911" i="16"/>
  <c r="A916" i="16"/>
  <c r="A900" i="16"/>
  <c r="A913" i="16"/>
  <c r="A867" i="16"/>
  <c r="A902" i="16"/>
  <c r="A915" i="16"/>
  <c r="A865" i="16"/>
  <c r="A899" i="16"/>
  <c r="R912" i="16"/>
  <c r="A896" i="16"/>
  <c r="A904" i="16"/>
  <c r="A909" i="16"/>
  <c r="A917" i="16"/>
  <c r="A901" i="16"/>
  <c r="A910" i="16"/>
  <c r="A914" i="16"/>
  <c r="A885" i="16"/>
  <c r="F879" i="16"/>
  <c r="A872" i="16"/>
  <c r="A864" i="16"/>
  <c r="A866" i="16"/>
  <c r="A868" i="16"/>
  <c r="A880" i="16"/>
  <c r="A881" i="16"/>
  <c r="A882" i="16"/>
  <c r="A871" i="16"/>
  <c r="A884" i="16"/>
  <c r="R881" i="16"/>
  <c r="A873" i="16"/>
  <c r="A878" i="16"/>
  <c r="A886" i="16"/>
  <c r="A870" i="16"/>
  <c r="A879" i="16"/>
  <c r="A883" i="16"/>
  <c r="A835" i="16"/>
  <c r="A837" i="16"/>
  <c r="A839" i="16"/>
  <c r="A845" i="16"/>
  <c r="A855" i="16"/>
  <c r="F849" i="16"/>
  <c r="A834" i="16"/>
  <c r="A836" i="16"/>
  <c r="A838" i="16"/>
  <c r="A850" i="16"/>
  <c r="A851" i="16"/>
  <c r="A842" i="16"/>
  <c r="A852" i="16"/>
  <c r="A841" i="16"/>
  <c r="A854" i="16"/>
  <c r="R851" i="16"/>
  <c r="A843" i="16"/>
  <c r="A848" i="16"/>
  <c r="A856" i="16"/>
  <c r="A840" i="16"/>
  <c r="A849" i="16"/>
  <c r="A853" i="16"/>
  <c r="A815" i="16"/>
  <c r="A807" i="16"/>
  <c r="A821" i="16"/>
  <c r="A806" i="16"/>
  <c r="X823" i="16"/>
  <c r="D823" i="16"/>
  <c r="X822" i="16"/>
  <c r="D826" i="16"/>
  <c r="X821" i="16"/>
  <c r="Y827" i="16"/>
  <c r="X824" i="16"/>
  <c r="D824" i="16"/>
  <c r="D821" i="16"/>
  <c r="X825" i="16"/>
  <c r="D825" i="16"/>
  <c r="D822" i="16"/>
  <c r="X826" i="16"/>
  <c r="F759" i="16"/>
  <c r="A804" i="16"/>
  <c r="A812" i="16"/>
  <c r="A820" i="16"/>
  <c r="A825" i="16"/>
  <c r="A809" i="16"/>
  <c r="A822" i="16"/>
  <c r="A811" i="16"/>
  <c r="A824" i="16"/>
  <c r="A808" i="16"/>
  <c r="R821" i="16"/>
  <c r="A805" i="16"/>
  <c r="A813" i="16"/>
  <c r="A818" i="16"/>
  <c r="A826" i="16"/>
  <c r="A746" i="16"/>
  <c r="A810" i="16"/>
  <c r="A819" i="16"/>
  <c r="A823" i="16"/>
  <c r="A827" i="16"/>
  <c r="F789" i="16"/>
  <c r="D791" i="16" s="1"/>
  <c r="A791" i="16"/>
  <c r="A774" i="16"/>
  <c r="A776" i="16"/>
  <c r="A781" i="16"/>
  <c r="A785" i="16"/>
  <c r="A775" i="16"/>
  <c r="A777" i="16"/>
  <c r="A744" i="16"/>
  <c r="A782" i="16"/>
  <c r="A790" i="16"/>
  <c r="A795" i="16"/>
  <c r="A779" i="16"/>
  <c r="A792" i="16"/>
  <c r="A794" i="16"/>
  <c r="A761" i="16"/>
  <c r="A778" i="16"/>
  <c r="R791" i="16"/>
  <c r="A783" i="16"/>
  <c r="A788" i="16"/>
  <c r="A796" i="16"/>
  <c r="A748" i="16"/>
  <c r="A780" i="16"/>
  <c r="A789" i="16"/>
  <c r="A793" i="16"/>
  <c r="A751" i="16"/>
  <c r="A745" i="16"/>
  <c r="A747" i="16"/>
  <c r="A749" i="16"/>
  <c r="A755" i="16"/>
  <c r="A752" i="16"/>
  <c r="A760" i="16"/>
  <c r="A765" i="16"/>
  <c r="A762" i="16"/>
  <c r="A764" i="16"/>
  <c r="R761" i="16"/>
  <c r="A753" i="16"/>
  <c r="A758" i="16"/>
  <c r="A766" i="16"/>
  <c r="A750" i="16"/>
  <c r="A759" i="16"/>
  <c r="A763" i="16"/>
  <c r="A714" i="16"/>
  <c r="A716" i="16"/>
  <c r="A725" i="16"/>
  <c r="A715" i="16"/>
  <c r="A717" i="16"/>
  <c r="A731" i="16"/>
  <c r="X733" i="16"/>
  <c r="D733" i="16"/>
  <c r="X732" i="16"/>
  <c r="D732" i="16"/>
  <c r="D736" i="16"/>
  <c r="X731" i="16"/>
  <c r="Y737" i="16"/>
  <c r="X734" i="16"/>
  <c r="D734" i="16"/>
  <c r="D731" i="16"/>
  <c r="X736" i="16"/>
  <c r="X735" i="16"/>
  <c r="D735" i="16"/>
  <c r="A722" i="16"/>
  <c r="A730" i="16"/>
  <c r="A735" i="16"/>
  <c r="A719" i="16"/>
  <c r="A732" i="16"/>
  <c r="A721" i="16"/>
  <c r="A734" i="16"/>
  <c r="A718" i="16"/>
  <c r="R731" i="16"/>
  <c r="A723" i="16"/>
  <c r="A728" i="16"/>
  <c r="A736" i="16"/>
  <c r="A720" i="16"/>
  <c r="A729" i="16"/>
  <c r="A733" i="16"/>
  <c r="A737" i="16"/>
  <c r="F699" i="16"/>
  <c r="A691" i="16"/>
  <c r="A693" i="16"/>
  <c r="A700" i="16"/>
  <c r="R701" i="16"/>
  <c r="A704" i="16"/>
  <c r="A706" i="16"/>
  <c r="A685" i="16"/>
  <c r="A687" i="16"/>
  <c r="A689" i="16"/>
  <c r="A701" i="16"/>
  <c r="A702" i="16"/>
  <c r="A692" i="16"/>
  <c r="A695" i="16"/>
  <c r="A684" i="16"/>
  <c r="A686" i="16"/>
  <c r="A688" i="16"/>
  <c r="A705" i="16"/>
  <c r="A698" i="16"/>
  <c r="F669" i="16"/>
  <c r="A657" i="16"/>
  <c r="A690" i="16"/>
  <c r="A699" i="16"/>
  <c r="A703" i="16"/>
  <c r="A671" i="16"/>
  <c r="A656" i="16"/>
  <c r="A665" i="16"/>
  <c r="A654" i="16"/>
  <c r="A662" i="16"/>
  <c r="A670" i="16"/>
  <c r="A675" i="16"/>
  <c r="A659" i="16"/>
  <c r="A672" i="16"/>
  <c r="A661" i="16"/>
  <c r="A674" i="16"/>
  <c r="A658" i="16"/>
  <c r="R671" i="16"/>
  <c r="A655" i="16"/>
  <c r="A663" i="16"/>
  <c r="A668" i="16"/>
  <c r="A676" i="16"/>
  <c r="A660" i="16"/>
  <c r="A669" i="16"/>
  <c r="A673" i="16"/>
  <c r="A632" i="16"/>
  <c r="A635" i="16"/>
  <c r="A624" i="16"/>
  <c r="A626" i="16"/>
  <c r="A628" i="16"/>
  <c r="A638" i="16"/>
  <c r="A645" i="16"/>
  <c r="F639" i="16"/>
  <c r="X644" i="16" s="1"/>
  <c r="A631" i="16"/>
  <c r="A633" i="16"/>
  <c r="A640" i="16"/>
  <c r="A625" i="16"/>
  <c r="A627" i="16"/>
  <c r="A629" i="16"/>
  <c r="A641" i="16"/>
  <c r="A642" i="16"/>
  <c r="A644" i="16"/>
  <c r="R641" i="16"/>
  <c r="A646" i="16"/>
  <c r="A630" i="16"/>
  <c r="A639" i="16"/>
  <c r="A643" i="16"/>
  <c r="A605" i="16"/>
  <c r="A602" i="16"/>
  <c r="A615" i="16"/>
  <c r="A594" i="16"/>
  <c r="A596" i="16"/>
  <c r="A598" i="16"/>
  <c r="F609" i="16"/>
  <c r="Y617" i="16" s="1"/>
  <c r="A610" i="16"/>
  <c r="A601" i="16"/>
  <c r="A611" i="16"/>
  <c r="A595" i="16"/>
  <c r="A597" i="16"/>
  <c r="A599" i="16"/>
  <c r="A612" i="16"/>
  <c r="A614" i="16"/>
  <c r="R611" i="16"/>
  <c r="A603" i="16"/>
  <c r="A608" i="16"/>
  <c r="A616" i="16"/>
  <c r="A600" i="16"/>
  <c r="A609" i="16"/>
  <c r="A613" i="16"/>
  <c r="A565" i="16"/>
  <c r="A567" i="16"/>
  <c r="F579" i="16"/>
  <c r="X581" i="16" s="1"/>
  <c r="A581" i="16"/>
  <c r="A564" i="16"/>
  <c r="A566" i="16"/>
  <c r="A575" i="16"/>
  <c r="A572" i="16"/>
  <c r="A580" i="16"/>
  <c r="A585" i="16"/>
  <c r="A569" i="16"/>
  <c r="A582" i="16"/>
  <c r="A571" i="16"/>
  <c r="A584" i="16"/>
  <c r="A568" i="16"/>
  <c r="R581" i="16"/>
  <c r="A573" i="16"/>
  <c r="A578" i="16"/>
  <c r="A586" i="16"/>
  <c r="A570" i="16"/>
  <c r="A579" i="16"/>
  <c r="A583" i="16"/>
  <c r="A535" i="16"/>
  <c r="A537" i="16"/>
  <c r="A539" i="16"/>
  <c r="A545" i="16"/>
  <c r="A542" i="16"/>
  <c r="A555" i="16"/>
  <c r="F549" i="16"/>
  <c r="D551" i="16" s="1"/>
  <c r="A534" i="16"/>
  <c r="A536" i="16"/>
  <c r="A538" i="16"/>
  <c r="A550" i="16"/>
  <c r="A551" i="16"/>
  <c r="A552" i="16"/>
  <c r="A541" i="16"/>
  <c r="A554" i="16"/>
  <c r="R551" i="16"/>
  <c r="A543" i="16"/>
  <c r="A548" i="16"/>
  <c r="A556" i="16"/>
  <c r="A540" i="16"/>
  <c r="A549" i="16"/>
  <c r="A553" i="16"/>
  <c r="A505" i="16"/>
  <c r="A507" i="16"/>
  <c r="A509" i="16"/>
  <c r="A521" i="16"/>
  <c r="R521" i="16"/>
  <c r="A522" i="16"/>
  <c r="A512" i="16"/>
  <c r="A515" i="16"/>
  <c r="A524" i="16"/>
  <c r="A504" i="16"/>
  <c r="A506" i="16"/>
  <c r="A508" i="16"/>
  <c r="A525" i="16"/>
  <c r="A518" i="16"/>
  <c r="A526" i="16"/>
  <c r="A520" i="16"/>
  <c r="A511" i="16"/>
  <c r="A513" i="16"/>
  <c r="X523" i="16"/>
  <c r="D523" i="16"/>
  <c r="X521" i="16"/>
  <c r="Y527" i="16"/>
  <c r="X526" i="16"/>
  <c r="D526" i="16"/>
  <c r="X524" i="16"/>
  <c r="D524" i="16"/>
  <c r="X525" i="16"/>
  <c r="X522" i="16"/>
  <c r="D521" i="16"/>
  <c r="D522" i="16"/>
  <c r="D525" i="16"/>
  <c r="A510" i="16"/>
  <c r="A519" i="16"/>
  <c r="A523" i="16"/>
  <c r="A527" i="16"/>
  <c r="F489" i="16"/>
  <c r="A491" i="16"/>
  <c r="A474" i="16"/>
  <c r="A476" i="16"/>
  <c r="A481" i="16"/>
  <c r="A485" i="16"/>
  <c r="A475" i="16"/>
  <c r="A477" i="16"/>
  <c r="A482" i="16"/>
  <c r="A490" i="16"/>
  <c r="A495" i="16"/>
  <c r="A479" i="16"/>
  <c r="A492" i="16"/>
  <c r="A494" i="16"/>
  <c r="A478" i="16"/>
  <c r="R491" i="16"/>
  <c r="A483" i="16"/>
  <c r="A488" i="16"/>
  <c r="A496" i="16"/>
  <c r="A480" i="16"/>
  <c r="A489" i="16"/>
  <c r="A493" i="16"/>
  <c r="F459" i="16"/>
  <c r="A461" i="16"/>
  <c r="A444" i="16"/>
  <c r="A446" i="16"/>
  <c r="A449" i="16"/>
  <c r="A455" i="16"/>
  <c r="A445" i="16"/>
  <c r="A447" i="16"/>
  <c r="A452" i="16"/>
  <c r="A460" i="16"/>
  <c r="A465" i="16"/>
  <c r="A462" i="16"/>
  <c r="A451" i="16"/>
  <c r="A464" i="16"/>
  <c r="A448" i="16"/>
  <c r="R461" i="16"/>
  <c r="A453" i="16"/>
  <c r="A458" i="16"/>
  <c r="A466" i="16"/>
  <c r="A450" i="16"/>
  <c r="A459" i="16"/>
  <c r="A463" i="16"/>
  <c r="F429" i="16"/>
  <c r="A414" i="16"/>
  <c r="A416" i="16"/>
  <c r="A418" i="16"/>
  <c r="A431" i="16"/>
  <c r="A421" i="16"/>
  <c r="A415" i="16"/>
  <c r="A417" i="16"/>
  <c r="A419" i="16"/>
  <c r="A425" i="16"/>
  <c r="A422" i="16"/>
  <c r="A430" i="16"/>
  <c r="A435" i="16"/>
  <c r="A432" i="16"/>
  <c r="A434" i="16"/>
  <c r="R431" i="16"/>
  <c r="A423" i="16"/>
  <c r="A428" i="16"/>
  <c r="A436" i="16"/>
  <c r="A420" i="16"/>
  <c r="A429" i="16"/>
  <c r="A433" i="16"/>
  <c r="F399" i="16"/>
  <c r="D401" i="16" s="1"/>
  <c r="A386" i="16"/>
  <c r="A388" i="16"/>
  <c r="A401" i="16"/>
  <c r="A391" i="16"/>
  <c r="A385" i="16"/>
  <c r="A387" i="16"/>
  <c r="A395" i="16"/>
  <c r="A384" i="16"/>
  <c r="A392" i="16"/>
  <c r="A400" i="16"/>
  <c r="A405" i="16"/>
  <c r="A389" i="16"/>
  <c r="A402" i="16"/>
  <c r="A404" i="16"/>
  <c r="R401" i="16"/>
  <c r="A393" i="16"/>
  <c r="A398" i="16"/>
  <c r="A406" i="16"/>
  <c r="A390" i="16"/>
  <c r="A399" i="16"/>
  <c r="A403" i="16"/>
  <c r="A365" i="16"/>
  <c r="A362" i="16"/>
  <c r="A375" i="16"/>
  <c r="A354" i="16"/>
  <c r="A356" i="16"/>
  <c r="A358" i="16"/>
  <c r="F369" i="16"/>
  <c r="D371" i="16" s="1"/>
  <c r="A370" i="16"/>
  <c r="A361" i="16"/>
  <c r="A371" i="16"/>
  <c r="A355" i="16"/>
  <c r="A357" i="16"/>
  <c r="A359" i="16"/>
  <c r="A372" i="16"/>
  <c r="A374" i="16"/>
  <c r="R371" i="16"/>
  <c r="A363" i="16"/>
  <c r="A368" i="16"/>
  <c r="A376" i="16"/>
  <c r="A360" i="16"/>
  <c r="A369" i="16"/>
  <c r="A373" i="16"/>
  <c r="A329" i="16"/>
  <c r="A341" i="16"/>
  <c r="A325" i="16"/>
  <c r="R341" i="16"/>
  <c r="A342" i="16"/>
  <c r="A332" i="16"/>
  <c r="A335" i="16"/>
  <c r="A344" i="16"/>
  <c r="A328" i="16"/>
  <c r="A345" i="16"/>
  <c r="A324" i="16"/>
  <c r="A326" i="16"/>
  <c r="A338" i="16"/>
  <c r="A346" i="16"/>
  <c r="A340" i="16"/>
  <c r="A331" i="16"/>
  <c r="A333" i="16"/>
  <c r="X343" i="16"/>
  <c r="D343" i="16"/>
  <c r="Y347" i="16"/>
  <c r="X344" i="16"/>
  <c r="D344" i="16"/>
  <c r="D341" i="16"/>
  <c r="X342" i="16"/>
  <c r="D342" i="16"/>
  <c r="X345" i="16"/>
  <c r="D345" i="16"/>
  <c r="D346" i="16"/>
  <c r="X341" i="16"/>
  <c r="X346" i="16"/>
  <c r="A330" i="16"/>
  <c r="A339" i="16"/>
  <c r="A343" i="16"/>
  <c r="A347" i="16"/>
  <c r="A327" i="16"/>
  <c r="F309" i="16"/>
  <c r="D311" i="16" s="1"/>
  <c r="A294" i="16"/>
  <c r="A296" i="16"/>
  <c r="A298" i="16"/>
  <c r="A311" i="16"/>
  <c r="A301" i="16"/>
  <c r="A295" i="16"/>
  <c r="A297" i="16"/>
  <c r="A299" i="16"/>
  <c r="A305" i="16"/>
  <c r="A302" i="16"/>
  <c r="A310" i="16"/>
  <c r="A315" i="16"/>
  <c r="A312" i="16"/>
  <c r="A314" i="16"/>
  <c r="R311" i="16"/>
  <c r="A303" i="16"/>
  <c r="A308" i="16"/>
  <c r="A316" i="16"/>
  <c r="A300" i="16"/>
  <c r="A309" i="16"/>
  <c r="A313" i="16"/>
  <c r="A267" i="16"/>
  <c r="F279" i="16"/>
  <c r="A281" i="16"/>
  <c r="A266" i="16"/>
  <c r="A275" i="16"/>
  <c r="A264" i="16"/>
  <c r="A272" i="16"/>
  <c r="A280" i="16"/>
  <c r="A285" i="16"/>
  <c r="A269" i="16"/>
  <c r="A282" i="16"/>
  <c r="A271" i="16"/>
  <c r="A284" i="16"/>
  <c r="A268" i="16"/>
  <c r="R281" i="16"/>
  <c r="A265" i="16"/>
  <c r="A273" i="16"/>
  <c r="A278" i="16"/>
  <c r="A286" i="16"/>
  <c r="A270" i="16"/>
  <c r="A279" i="16"/>
  <c r="A283" i="16"/>
  <c r="F249" i="16"/>
  <c r="D254" i="16" s="1"/>
  <c r="A234" i="16"/>
  <c r="A236" i="16"/>
  <c r="A251" i="16"/>
  <c r="A238" i="16"/>
  <c r="A241" i="16"/>
  <c r="A235" i="16"/>
  <c r="A237" i="16"/>
  <c r="A245" i="16"/>
  <c r="A242" i="16"/>
  <c r="A250" i="16"/>
  <c r="A255" i="16"/>
  <c r="A239" i="16"/>
  <c r="A252" i="16"/>
  <c r="A254" i="16"/>
  <c r="R251" i="16"/>
  <c r="A243" i="16"/>
  <c r="A248" i="16"/>
  <c r="A256" i="16"/>
  <c r="A240" i="16"/>
  <c r="A249" i="16"/>
  <c r="A253" i="16"/>
  <c r="A212" i="16"/>
  <c r="A215" i="16"/>
  <c r="A224" i="16"/>
  <c r="A204" i="16"/>
  <c r="A206" i="16"/>
  <c r="A208" i="16"/>
  <c r="R221" i="16"/>
  <c r="A226" i="16"/>
  <c r="A218" i="16"/>
  <c r="F219" i="16"/>
  <c r="D226" i="16" s="1"/>
  <c r="A222" i="16"/>
  <c r="A211" i="16"/>
  <c r="A213" i="16"/>
  <c r="A220" i="16"/>
  <c r="A205" i="16"/>
  <c r="A207" i="16"/>
  <c r="A209" i="16"/>
  <c r="A225" i="16"/>
  <c r="A221" i="16"/>
  <c r="A210" i="16"/>
  <c r="A219" i="16"/>
  <c r="A223" i="16"/>
  <c r="A176" i="16"/>
  <c r="A185" i="16"/>
  <c r="A177" i="16"/>
  <c r="A191" i="16"/>
  <c r="X193" i="16"/>
  <c r="D193" i="16"/>
  <c r="D196" i="16"/>
  <c r="X196" i="16"/>
  <c r="X191" i="16"/>
  <c r="Y197" i="16"/>
  <c r="X194" i="16"/>
  <c r="D194" i="16"/>
  <c r="D192" i="16"/>
  <c r="D191" i="16"/>
  <c r="X195" i="16"/>
  <c r="D195" i="16"/>
  <c r="X192" i="16"/>
  <c r="A174" i="16"/>
  <c r="A182" i="16"/>
  <c r="A190" i="16"/>
  <c r="A195" i="16"/>
  <c r="A179" i="16"/>
  <c r="A192" i="16"/>
  <c r="A181" i="16"/>
  <c r="A194" i="16"/>
  <c r="A178" i="16"/>
  <c r="R191" i="16"/>
  <c r="A175" i="16"/>
  <c r="A183" i="16"/>
  <c r="A188" i="16"/>
  <c r="A196" i="16"/>
  <c r="A180" i="16"/>
  <c r="A189" i="16"/>
  <c r="A193" i="16"/>
  <c r="A197" i="16"/>
  <c r="A144" i="16"/>
  <c r="A149" i="16"/>
  <c r="A155" i="16"/>
  <c r="A147" i="16"/>
  <c r="A161" i="16"/>
  <c r="A146" i="16"/>
  <c r="X163" i="16"/>
  <c r="D163" i="16"/>
  <c r="D166" i="16"/>
  <c r="X161" i="16"/>
  <c r="Y167" i="16"/>
  <c r="X164" i="16"/>
  <c r="D164" i="16"/>
  <c r="X162" i="16"/>
  <c r="D161" i="16"/>
  <c r="X166" i="16"/>
  <c r="X165" i="16"/>
  <c r="D165" i="16"/>
  <c r="D162" i="16"/>
  <c r="A152" i="16"/>
  <c r="A160" i="16"/>
  <c r="A165" i="16"/>
  <c r="A162" i="16"/>
  <c r="A151" i="16"/>
  <c r="A164" i="16"/>
  <c r="A148" i="16"/>
  <c r="R161" i="16"/>
  <c r="A145" i="16"/>
  <c r="A153" i="16"/>
  <c r="A158" i="16"/>
  <c r="A166" i="16"/>
  <c r="A150" i="16"/>
  <c r="A159" i="16"/>
  <c r="A163" i="16"/>
  <c r="A167" i="16"/>
  <c r="A122" i="16"/>
  <c r="A125" i="16"/>
  <c r="A134" i="16"/>
  <c r="A114" i="16"/>
  <c r="A116" i="16"/>
  <c r="A118" i="16"/>
  <c r="R131" i="16"/>
  <c r="A136" i="16"/>
  <c r="A128" i="16"/>
  <c r="A132" i="16"/>
  <c r="A121" i="16"/>
  <c r="A123" i="16"/>
  <c r="A130" i="16"/>
  <c r="F129" i="16"/>
  <c r="D136" i="16" s="1"/>
  <c r="A115" i="16"/>
  <c r="A117" i="16"/>
  <c r="A119" i="16"/>
  <c r="A135" i="16"/>
  <c r="A131" i="16"/>
  <c r="A120" i="16"/>
  <c r="A129" i="16"/>
  <c r="A133" i="16"/>
  <c r="A102" i="16"/>
  <c r="A87" i="16"/>
  <c r="A85" i="16"/>
  <c r="A95" i="16"/>
  <c r="A92" i="16"/>
  <c r="A105" i="16"/>
  <c r="F99" i="16"/>
  <c r="X103" i="16" s="1"/>
  <c r="A100" i="16"/>
  <c r="A89" i="16"/>
  <c r="A84" i="16"/>
  <c r="A86" i="16"/>
  <c r="A88" i="16"/>
  <c r="A101" i="16"/>
  <c r="A91" i="16"/>
  <c r="A104" i="16"/>
  <c r="R101" i="16"/>
  <c r="A93" i="16"/>
  <c r="A98" i="16"/>
  <c r="A106" i="16"/>
  <c r="A90" i="16"/>
  <c r="A99" i="16"/>
  <c r="A103" i="16"/>
  <c r="A65" i="16"/>
  <c r="A55" i="16"/>
  <c r="A57" i="16"/>
  <c r="F69" i="16"/>
  <c r="D72" i="16" s="1"/>
  <c r="A71" i="16"/>
  <c r="A54" i="16"/>
  <c r="A56" i="16"/>
  <c r="A58" i="16"/>
  <c r="A62" i="16"/>
  <c r="A70" i="16"/>
  <c r="A75" i="16"/>
  <c r="A59" i="16"/>
  <c r="A72" i="16"/>
  <c r="A61" i="16"/>
  <c r="A74" i="16"/>
  <c r="R71" i="16"/>
  <c r="A63" i="16"/>
  <c r="A68" i="16"/>
  <c r="A76" i="16"/>
  <c r="A60" i="16"/>
  <c r="A69" i="16"/>
  <c r="A73" i="16"/>
  <c r="M19" i="39"/>
  <c r="C24" i="50"/>
  <c r="C25" i="50"/>
  <c r="C32" i="50"/>
  <c r="C33" i="50"/>
  <c r="C40" i="50"/>
  <c r="C41" i="50"/>
  <c r="C48" i="50"/>
  <c r="C49" i="50"/>
  <c r="C56" i="50"/>
  <c r="C57" i="50"/>
  <c r="C64" i="50"/>
  <c r="C65" i="50"/>
  <c r="C72" i="50"/>
  <c r="C73" i="50"/>
  <c r="C80" i="50"/>
  <c r="C81" i="50"/>
  <c r="C88" i="50"/>
  <c r="C89" i="50"/>
  <c r="C96" i="50"/>
  <c r="C97" i="50"/>
  <c r="C104" i="50"/>
  <c r="C105" i="50"/>
  <c r="D25" i="50"/>
  <c r="D33" i="50"/>
  <c r="D41" i="50"/>
  <c r="D49" i="50"/>
  <c r="D57" i="50"/>
  <c r="D65" i="50"/>
  <c r="D73" i="50"/>
  <c r="D81" i="50"/>
  <c r="D89" i="50"/>
  <c r="D97" i="50"/>
  <c r="D105" i="50"/>
  <c r="B107" i="50"/>
  <c r="C107" i="50" s="1"/>
  <c r="B106" i="50"/>
  <c r="C106" i="50" s="1"/>
  <c r="B105" i="50"/>
  <c r="B104" i="50"/>
  <c r="D104" i="50" s="1"/>
  <c r="B103" i="50"/>
  <c r="C103" i="50" s="1"/>
  <c r="B102" i="50"/>
  <c r="C102" i="50" s="1"/>
  <c r="B101" i="50"/>
  <c r="C101" i="50" s="1"/>
  <c r="B100" i="50"/>
  <c r="D100" i="50" s="1"/>
  <c r="B99" i="50"/>
  <c r="C99" i="50" s="1"/>
  <c r="B98" i="50"/>
  <c r="C98" i="50" s="1"/>
  <c r="B97" i="50"/>
  <c r="B96" i="50"/>
  <c r="D96" i="50" s="1"/>
  <c r="B95" i="50"/>
  <c r="D95" i="50" s="1"/>
  <c r="B94" i="50"/>
  <c r="C94" i="50" s="1"/>
  <c r="B93" i="50"/>
  <c r="C93" i="50" s="1"/>
  <c r="B92" i="50"/>
  <c r="C92" i="50" s="1"/>
  <c r="B91" i="50"/>
  <c r="C91" i="50" s="1"/>
  <c r="B90" i="50"/>
  <c r="C90" i="50" s="1"/>
  <c r="B89" i="50"/>
  <c r="B88" i="50"/>
  <c r="D88" i="50" s="1"/>
  <c r="B87" i="50"/>
  <c r="C87" i="50" s="1"/>
  <c r="B86" i="50"/>
  <c r="C86" i="50" s="1"/>
  <c r="B85" i="50"/>
  <c r="C85" i="50" s="1"/>
  <c r="B84" i="50"/>
  <c r="C84" i="50" s="1"/>
  <c r="B83" i="50"/>
  <c r="C83" i="50" s="1"/>
  <c r="B82" i="50"/>
  <c r="C82" i="50" s="1"/>
  <c r="B81" i="50"/>
  <c r="B80" i="50"/>
  <c r="D80" i="50" s="1"/>
  <c r="B79" i="50"/>
  <c r="C79" i="50" s="1"/>
  <c r="B78" i="50"/>
  <c r="C78" i="50" s="1"/>
  <c r="B77" i="50"/>
  <c r="C77" i="50" s="1"/>
  <c r="B76" i="50"/>
  <c r="C76" i="50" s="1"/>
  <c r="B75" i="50"/>
  <c r="C75" i="50" s="1"/>
  <c r="B74" i="50"/>
  <c r="C74" i="50" s="1"/>
  <c r="B73" i="50"/>
  <c r="B72" i="50"/>
  <c r="D72" i="50" s="1"/>
  <c r="B71" i="50"/>
  <c r="C71" i="50" s="1"/>
  <c r="B70" i="50"/>
  <c r="C70" i="50" s="1"/>
  <c r="B69" i="50"/>
  <c r="C69" i="50" s="1"/>
  <c r="B68" i="50"/>
  <c r="D68" i="50" s="1"/>
  <c r="B67" i="50"/>
  <c r="C67" i="50" s="1"/>
  <c r="B66" i="50"/>
  <c r="C66" i="50" s="1"/>
  <c r="B65" i="50"/>
  <c r="B64" i="50"/>
  <c r="D64" i="50" s="1"/>
  <c r="B63" i="50"/>
  <c r="C63" i="50" s="1"/>
  <c r="B62" i="50"/>
  <c r="C62" i="50" s="1"/>
  <c r="B61" i="50"/>
  <c r="C61" i="50" s="1"/>
  <c r="B60" i="50"/>
  <c r="C60" i="50" s="1"/>
  <c r="B59" i="50"/>
  <c r="C59" i="50" s="1"/>
  <c r="B58" i="50"/>
  <c r="C58" i="50" s="1"/>
  <c r="B57" i="50"/>
  <c r="B56" i="50"/>
  <c r="D56" i="50" s="1"/>
  <c r="B55" i="50"/>
  <c r="C55" i="50" s="1"/>
  <c r="B54" i="50"/>
  <c r="C54" i="50" s="1"/>
  <c r="B53" i="50"/>
  <c r="C53" i="50" s="1"/>
  <c r="B52" i="50"/>
  <c r="C52" i="50" s="1"/>
  <c r="B51" i="50"/>
  <c r="C51" i="50" s="1"/>
  <c r="B50" i="50"/>
  <c r="C50" i="50" s="1"/>
  <c r="B49" i="50"/>
  <c r="B48" i="50"/>
  <c r="D48" i="50" s="1"/>
  <c r="B47" i="50"/>
  <c r="C47" i="50" s="1"/>
  <c r="B46" i="50"/>
  <c r="C46" i="50" s="1"/>
  <c r="B45" i="50"/>
  <c r="C45" i="50" s="1"/>
  <c r="B44" i="50"/>
  <c r="C44" i="50" s="1"/>
  <c r="B43" i="50"/>
  <c r="C43" i="50" s="1"/>
  <c r="B42" i="50"/>
  <c r="C42" i="50" s="1"/>
  <c r="B41" i="50"/>
  <c r="B40" i="50"/>
  <c r="D40" i="50" s="1"/>
  <c r="B39" i="50"/>
  <c r="C39" i="50" s="1"/>
  <c r="B38" i="50"/>
  <c r="C38" i="50" s="1"/>
  <c r="B37" i="50"/>
  <c r="C37" i="50" s="1"/>
  <c r="B36" i="50"/>
  <c r="C36" i="50" s="1"/>
  <c r="B35" i="50"/>
  <c r="C35" i="50" s="1"/>
  <c r="B34" i="50"/>
  <c r="C34" i="50" s="1"/>
  <c r="B33" i="50"/>
  <c r="B32" i="50"/>
  <c r="D32" i="50" s="1"/>
  <c r="B31" i="50"/>
  <c r="C31" i="50" s="1"/>
  <c r="B30" i="50"/>
  <c r="C30" i="50" s="1"/>
  <c r="B29" i="50"/>
  <c r="C29" i="50" s="1"/>
  <c r="B28" i="50"/>
  <c r="C28" i="50" s="1"/>
  <c r="B27" i="50"/>
  <c r="C27" i="50" s="1"/>
  <c r="B26" i="50"/>
  <c r="C26" i="50" s="1"/>
  <c r="B25" i="50"/>
  <c r="B24" i="50"/>
  <c r="D24" i="50" s="1"/>
  <c r="B23" i="50"/>
  <c r="C23" i="50" s="1"/>
  <c r="B22" i="50"/>
  <c r="C22" i="50" s="1"/>
  <c r="B21" i="50"/>
  <c r="C21" i="50" s="1"/>
  <c r="B20" i="50"/>
  <c r="C20" i="50" s="1"/>
  <c r="C1" i="50"/>
  <c r="C20" i="49"/>
  <c r="D20" i="49" s="1"/>
  <c r="C21" i="49"/>
  <c r="D21" i="49" s="1"/>
  <c r="C22" i="49"/>
  <c r="D22" i="49" s="1"/>
  <c r="C23" i="49"/>
  <c r="D23" i="49" s="1"/>
  <c r="C24" i="49"/>
  <c r="D24" i="49" s="1"/>
  <c r="C25" i="49"/>
  <c r="D25" i="49" s="1"/>
  <c r="C26" i="49"/>
  <c r="D26" i="49" s="1"/>
  <c r="C27" i="49"/>
  <c r="D27" i="49" s="1"/>
  <c r="C28" i="49"/>
  <c r="D28" i="49" s="1"/>
  <c r="C29" i="49"/>
  <c r="D29" i="49" s="1"/>
  <c r="C30" i="49"/>
  <c r="D30" i="49" s="1"/>
  <c r="C31" i="49"/>
  <c r="D31" i="49" s="1"/>
  <c r="C32" i="49"/>
  <c r="D32" i="49" s="1"/>
  <c r="C33" i="49"/>
  <c r="D33" i="49" s="1"/>
  <c r="C34" i="49"/>
  <c r="D34" i="49" s="1"/>
  <c r="C35" i="49"/>
  <c r="D35" i="49" s="1"/>
  <c r="C36" i="49"/>
  <c r="D36" i="49" s="1"/>
  <c r="C37" i="49"/>
  <c r="D37" i="49" s="1"/>
  <c r="C38" i="49"/>
  <c r="D38" i="49" s="1"/>
  <c r="C39" i="49"/>
  <c r="D39" i="49" s="1"/>
  <c r="C40" i="49"/>
  <c r="D40" i="49" s="1"/>
  <c r="C41" i="49"/>
  <c r="D41" i="49" s="1"/>
  <c r="C42" i="49"/>
  <c r="D42" i="49" s="1"/>
  <c r="C43" i="49"/>
  <c r="D43" i="49" s="1"/>
  <c r="C44" i="49"/>
  <c r="D44" i="49" s="1"/>
  <c r="C45" i="49"/>
  <c r="D45" i="49" s="1"/>
  <c r="C46" i="49"/>
  <c r="D46" i="49" s="1"/>
  <c r="C47" i="49"/>
  <c r="D47" i="49" s="1"/>
  <c r="C48" i="49"/>
  <c r="D48" i="49" s="1"/>
  <c r="C49" i="49"/>
  <c r="D49" i="49" s="1"/>
  <c r="C50" i="49"/>
  <c r="D50" i="49" s="1"/>
  <c r="C51" i="49"/>
  <c r="D51" i="49" s="1"/>
  <c r="C52" i="49"/>
  <c r="D52" i="49" s="1"/>
  <c r="C53" i="49"/>
  <c r="D53" i="49" s="1"/>
  <c r="C54" i="49"/>
  <c r="D54" i="49" s="1"/>
  <c r="C55" i="49"/>
  <c r="D55" i="49" s="1"/>
  <c r="C56" i="49"/>
  <c r="D56" i="49" s="1"/>
  <c r="C57" i="49"/>
  <c r="D57" i="49" s="1"/>
  <c r="C58" i="49"/>
  <c r="D58" i="49" s="1"/>
  <c r="C59" i="49"/>
  <c r="D59" i="49" s="1"/>
  <c r="C60" i="49"/>
  <c r="D60" i="49" s="1"/>
  <c r="C61" i="49"/>
  <c r="D61" i="49" s="1"/>
  <c r="C62" i="49"/>
  <c r="D62" i="49" s="1"/>
  <c r="C63" i="49"/>
  <c r="D63" i="49" s="1"/>
  <c r="C64" i="49"/>
  <c r="D64" i="49" s="1"/>
  <c r="C65" i="49"/>
  <c r="D65" i="49" s="1"/>
  <c r="C66" i="49"/>
  <c r="D66" i="49" s="1"/>
  <c r="C67" i="49"/>
  <c r="D67" i="49" s="1"/>
  <c r="C68" i="49"/>
  <c r="D68" i="49" s="1"/>
  <c r="C69" i="49"/>
  <c r="D69" i="49" s="1"/>
  <c r="C70" i="49"/>
  <c r="D70" i="49" s="1"/>
  <c r="C71" i="49"/>
  <c r="D71" i="49" s="1"/>
  <c r="C72" i="49"/>
  <c r="D72" i="49" s="1"/>
  <c r="C73" i="49"/>
  <c r="D73" i="49" s="1"/>
  <c r="C74" i="49"/>
  <c r="D74" i="49" s="1"/>
  <c r="C75" i="49"/>
  <c r="D75" i="49" s="1"/>
  <c r="C76" i="49"/>
  <c r="D76" i="49" s="1"/>
  <c r="C77" i="49"/>
  <c r="D77" i="49" s="1"/>
  <c r="C78" i="49"/>
  <c r="D78" i="49" s="1"/>
  <c r="C79" i="49"/>
  <c r="D79" i="49" s="1"/>
  <c r="C80" i="49"/>
  <c r="D80" i="49" s="1"/>
  <c r="C81" i="49"/>
  <c r="D81" i="49" s="1"/>
  <c r="C82" i="49"/>
  <c r="D82" i="49" s="1"/>
  <c r="C83" i="49"/>
  <c r="D83" i="49" s="1"/>
  <c r="C84" i="49"/>
  <c r="D84" i="49" s="1"/>
  <c r="C85" i="49"/>
  <c r="D85" i="49" s="1"/>
  <c r="C86" i="49"/>
  <c r="D86" i="49" s="1"/>
  <c r="C87" i="49"/>
  <c r="D87" i="49" s="1"/>
  <c r="C88" i="49"/>
  <c r="D88" i="49" s="1"/>
  <c r="C89" i="49"/>
  <c r="D89" i="49" s="1"/>
  <c r="C90" i="49"/>
  <c r="D90" i="49" s="1"/>
  <c r="C91" i="49"/>
  <c r="D91" i="49" s="1"/>
  <c r="C92" i="49"/>
  <c r="D92" i="49" s="1"/>
  <c r="C93" i="49"/>
  <c r="D93" i="49" s="1"/>
  <c r="C94" i="49"/>
  <c r="D94" i="49" s="1"/>
  <c r="C95" i="49"/>
  <c r="D95" i="49" s="1"/>
  <c r="C96" i="49"/>
  <c r="D96" i="49" s="1"/>
  <c r="C97" i="49"/>
  <c r="D97" i="49" s="1"/>
  <c r="C98" i="49"/>
  <c r="D98" i="49" s="1"/>
  <c r="C99" i="49"/>
  <c r="D99" i="49" s="1"/>
  <c r="C100" i="49"/>
  <c r="D100" i="49" s="1"/>
  <c r="C101" i="49"/>
  <c r="D101" i="49" s="1"/>
  <c r="C102" i="49"/>
  <c r="D102" i="49" s="1"/>
  <c r="C103" i="49"/>
  <c r="D103" i="49" s="1"/>
  <c r="C104" i="49"/>
  <c r="D104" i="49" s="1"/>
  <c r="C105" i="49"/>
  <c r="D105" i="49" s="1"/>
  <c r="C106" i="49"/>
  <c r="D106" i="49" s="1"/>
  <c r="C107" i="49"/>
  <c r="D107" i="49" s="1"/>
  <c r="C108" i="49"/>
  <c r="D108" i="49" s="1"/>
  <c r="B107" i="49"/>
  <c r="B106" i="49"/>
  <c r="B105" i="49"/>
  <c r="B104" i="49"/>
  <c r="B103" i="49"/>
  <c r="B102" i="49"/>
  <c r="B101" i="49"/>
  <c r="B100" i="49"/>
  <c r="B99" i="49"/>
  <c r="B98" i="49"/>
  <c r="B97" i="49"/>
  <c r="B96" i="49"/>
  <c r="B95" i="49"/>
  <c r="B94" i="49"/>
  <c r="B93" i="49"/>
  <c r="B92" i="49"/>
  <c r="B91" i="49"/>
  <c r="B90" i="49"/>
  <c r="B89" i="49"/>
  <c r="B88" i="49"/>
  <c r="B87" i="49"/>
  <c r="B86" i="49"/>
  <c r="B85" i="49"/>
  <c r="B84" i="49"/>
  <c r="B83" i="49"/>
  <c r="B82" i="49"/>
  <c r="B81" i="49"/>
  <c r="B80" i="49"/>
  <c r="B79" i="49"/>
  <c r="B78" i="49"/>
  <c r="B77" i="49"/>
  <c r="B76" i="49"/>
  <c r="B75" i="49"/>
  <c r="B74" i="49"/>
  <c r="B73" i="49"/>
  <c r="B72" i="49"/>
  <c r="B71" i="49"/>
  <c r="B70" i="49"/>
  <c r="B69" i="49"/>
  <c r="B68" i="49"/>
  <c r="B67" i="49"/>
  <c r="B66" i="49"/>
  <c r="B65" i="49"/>
  <c r="B64" i="49"/>
  <c r="B63" i="49"/>
  <c r="B62" i="49"/>
  <c r="B61" i="49"/>
  <c r="B60" i="49"/>
  <c r="B59" i="49"/>
  <c r="B58" i="49"/>
  <c r="B57" i="49"/>
  <c r="B56" i="49"/>
  <c r="B55" i="49"/>
  <c r="B54" i="49"/>
  <c r="B53" i="49"/>
  <c r="B52" i="49"/>
  <c r="B51" i="49"/>
  <c r="B50" i="49"/>
  <c r="B49" i="49"/>
  <c r="B48" i="49"/>
  <c r="B47" i="49"/>
  <c r="B46" i="49"/>
  <c r="B45" i="49"/>
  <c r="B44" i="49"/>
  <c r="B43" i="49"/>
  <c r="B42" i="49"/>
  <c r="B41" i="49"/>
  <c r="B40" i="49"/>
  <c r="B39" i="49"/>
  <c r="B38" i="49"/>
  <c r="B37" i="49"/>
  <c r="B36" i="49"/>
  <c r="B35" i="49"/>
  <c r="B34" i="49"/>
  <c r="B33" i="49"/>
  <c r="B32" i="49"/>
  <c r="B31" i="49"/>
  <c r="B30" i="49"/>
  <c r="B29" i="49"/>
  <c r="B28" i="49"/>
  <c r="B27" i="49"/>
  <c r="B26" i="49"/>
  <c r="B25" i="49"/>
  <c r="B24" i="49"/>
  <c r="B23" i="49"/>
  <c r="B22" i="49"/>
  <c r="B21" i="49"/>
  <c r="B20" i="49"/>
  <c r="C19" i="49"/>
  <c r="D19" i="49" s="1"/>
  <c r="B108" i="50"/>
  <c r="C108" i="50" s="1"/>
  <c r="B19" i="50"/>
  <c r="C19" i="50" s="1"/>
  <c r="B108" i="49"/>
  <c r="B19" i="49"/>
  <c r="G1512" i="16" l="1"/>
  <c r="F1512" i="16"/>
  <c r="E1512" i="16"/>
  <c r="L1512" i="16" s="1"/>
  <c r="Y1638" i="16"/>
  <c r="D2353" i="16"/>
  <c r="H2353" i="16" s="1"/>
  <c r="D703" i="16"/>
  <c r="F703" i="16" s="1"/>
  <c r="D701" i="16"/>
  <c r="J1812" i="16"/>
  <c r="K1812" i="16" s="1"/>
  <c r="H1812" i="16"/>
  <c r="D853" i="16"/>
  <c r="D103" i="50"/>
  <c r="D87" i="50"/>
  <c r="D79" i="50"/>
  <c r="D71" i="50"/>
  <c r="D63" i="50"/>
  <c r="D55" i="50"/>
  <c r="D47" i="50"/>
  <c r="D39" i="50"/>
  <c r="D31" i="50"/>
  <c r="D23" i="50"/>
  <c r="D19" i="50"/>
  <c r="D102" i="50"/>
  <c r="D94" i="50"/>
  <c r="D86" i="50"/>
  <c r="D78" i="50"/>
  <c r="D70" i="50"/>
  <c r="D62" i="50"/>
  <c r="D54" i="50"/>
  <c r="D46" i="50"/>
  <c r="D38" i="50"/>
  <c r="D30" i="50"/>
  <c r="D22" i="50"/>
  <c r="C95" i="50"/>
  <c r="D108" i="50"/>
  <c r="D101" i="50"/>
  <c r="D93" i="50"/>
  <c r="D85" i="50"/>
  <c r="D77" i="50"/>
  <c r="D69" i="50"/>
  <c r="D61" i="50"/>
  <c r="D53" i="50"/>
  <c r="D45" i="50"/>
  <c r="D37" i="50"/>
  <c r="D29" i="50"/>
  <c r="D21" i="50"/>
  <c r="G2715" i="16"/>
  <c r="F2715" i="16"/>
  <c r="E2715" i="16"/>
  <c r="L2715" i="16" s="1"/>
  <c r="J2715" i="16"/>
  <c r="K2715" i="16" s="1"/>
  <c r="H2715" i="16"/>
  <c r="J2716" i="16"/>
  <c r="K2716" i="16" s="1"/>
  <c r="H2716" i="16"/>
  <c r="G2716" i="16"/>
  <c r="F2716" i="16"/>
  <c r="E2716" i="16"/>
  <c r="L2716" i="16" s="1"/>
  <c r="Z2712" i="16"/>
  <c r="AB2715" i="16"/>
  <c r="AB2717" i="16"/>
  <c r="AB2713" i="16"/>
  <c r="X2718" i="16"/>
  <c r="AB2716" i="16"/>
  <c r="AB2714" i="16"/>
  <c r="J2713" i="16"/>
  <c r="K2713" i="16" s="1"/>
  <c r="H2713" i="16"/>
  <c r="G2713" i="16"/>
  <c r="F2713" i="16"/>
  <c r="E2713" i="16"/>
  <c r="L2713" i="16" s="1"/>
  <c r="E2717" i="16"/>
  <c r="L2717" i="16" s="1"/>
  <c r="J2717" i="16"/>
  <c r="K2717" i="16" s="1"/>
  <c r="H2717" i="16"/>
  <c r="G2717" i="16"/>
  <c r="F2717" i="16"/>
  <c r="J2714" i="16"/>
  <c r="K2714" i="16" s="1"/>
  <c r="H2714" i="16"/>
  <c r="G2714" i="16"/>
  <c r="F2714" i="16"/>
  <c r="E2714" i="16"/>
  <c r="L2714" i="16" s="1"/>
  <c r="H2712" i="16"/>
  <c r="G2712" i="16"/>
  <c r="F2712" i="16"/>
  <c r="E2712" i="16"/>
  <c r="L2712" i="16" s="1"/>
  <c r="J2712" i="16"/>
  <c r="K2712" i="16" s="1"/>
  <c r="G2685" i="16"/>
  <c r="F2685" i="16"/>
  <c r="Z2685" i="16" s="1"/>
  <c r="AB2685" i="16" s="1"/>
  <c r="E2685" i="16"/>
  <c r="L2685" i="16" s="1"/>
  <c r="J2685" i="16"/>
  <c r="K2685" i="16" s="1"/>
  <c r="H2685" i="16"/>
  <c r="J2686" i="16"/>
  <c r="K2686" i="16" s="1"/>
  <c r="H2686" i="16"/>
  <c r="G2686" i="16"/>
  <c r="F2686" i="16"/>
  <c r="Z2686" i="16" s="1"/>
  <c r="AB2686" i="16" s="1"/>
  <c r="E2686" i="16"/>
  <c r="L2686" i="16" s="1"/>
  <c r="X2688" i="16"/>
  <c r="E2687" i="16"/>
  <c r="L2687" i="16" s="1"/>
  <c r="J2687" i="16"/>
  <c r="K2687" i="16" s="1"/>
  <c r="H2687" i="16"/>
  <c r="G2687" i="16"/>
  <c r="F2687" i="16"/>
  <c r="Z2687" i="16" s="1"/>
  <c r="AB2687" i="16" s="1"/>
  <c r="J2684" i="16"/>
  <c r="K2684" i="16" s="1"/>
  <c r="H2684" i="16"/>
  <c r="G2684" i="16"/>
  <c r="F2684" i="16"/>
  <c r="Z2684" i="16" s="1"/>
  <c r="AB2684" i="16" s="1"/>
  <c r="E2684" i="16"/>
  <c r="L2684" i="16" s="1"/>
  <c r="J2656" i="16"/>
  <c r="K2656" i="16" s="1"/>
  <c r="H2656" i="16"/>
  <c r="G2656" i="16"/>
  <c r="F2656" i="16"/>
  <c r="E2656" i="16"/>
  <c r="L2656" i="16" s="1"/>
  <c r="X2658" i="16"/>
  <c r="AB2656" i="16"/>
  <c r="E2657" i="16"/>
  <c r="L2657" i="16" s="1"/>
  <c r="F2657" i="16"/>
  <c r="AB2657" i="16" s="1"/>
  <c r="G2657" i="16"/>
  <c r="J2657" i="16"/>
  <c r="K2657" i="16" s="1"/>
  <c r="H2657" i="16"/>
  <c r="E2654" i="16"/>
  <c r="L2654" i="16" s="1"/>
  <c r="J2654" i="16"/>
  <c r="K2654" i="16" s="1"/>
  <c r="H2654" i="16"/>
  <c r="G2654" i="16"/>
  <c r="F2654" i="16"/>
  <c r="AB2654" i="16" s="1"/>
  <c r="G2655" i="16"/>
  <c r="J2655" i="16"/>
  <c r="K2655" i="16" s="1"/>
  <c r="H2655" i="16"/>
  <c r="F2655" i="16"/>
  <c r="AB2655" i="16" s="1"/>
  <c r="E2655" i="16"/>
  <c r="L2655" i="16" s="1"/>
  <c r="D2592" i="16"/>
  <c r="G2592" i="16" s="1"/>
  <c r="G2625" i="16"/>
  <c r="F2625" i="16"/>
  <c r="Z2625" i="16" s="1"/>
  <c r="AB2625" i="16" s="1"/>
  <c r="E2625" i="16"/>
  <c r="L2625" i="16" s="1"/>
  <c r="J2625" i="16"/>
  <c r="K2625" i="16" s="1"/>
  <c r="H2625" i="16"/>
  <c r="J2626" i="16"/>
  <c r="K2626" i="16" s="1"/>
  <c r="H2626" i="16"/>
  <c r="G2626" i="16"/>
  <c r="F2626" i="16"/>
  <c r="Z2626" i="16" s="1"/>
  <c r="AB2626" i="16" s="1"/>
  <c r="E2626" i="16"/>
  <c r="L2626" i="16" s="1"/>
  <c r="X2628" i="16"/>
  <c r="D2594" i="16"/>
  <c r="F2594" i="16" s="1"/>
  <c r="X2595" i="16"/>
  <c r="E2627" i="16"/>
  <c r="L2627" i="16" s="1"/>
  <c r="J2627" i="16"/>
  <c r="K2627" i="16" s="1"/>
  <c r="H2627" i="16"/>
  <c r="G2627" i="16"/>
  <c r="F2627" i="16"/>
  <c r="Z2627" i="16" s="1"/>
  <c r="AB2627" i="16" s="1"/>
  <c r="J2624" i="16"/>
  <c r="K2624" i="16" s="1"/>
  <c r="H2624" i="16"/>
  <c r="G2624" i="16"/>
  <c r="F2624" i="16"/>
  <c r="Z2624" i="16" s="1"/>
  <c r="AB2624" i="16" s="1"/>
  <c r="E2624" i="16"/>
  <c r="L2624" i="16" s="1"/>
  <c r="Y2598" i="16"/>
  <c r="X2598" i="16" s="1"/>
  <c r="X2597" i="16"/>
  <c r="X2596" i="16"/>
  <c r="D2596" i="16"/>
  <c r="X2593" i="16"/>
  <c r="D2593" i="16"/>
  <c r="D2597" i="16"/>
  <c r="H2597" i="16" s="1"/>
  <c r="D2595" i="16"/>
  <c r="F2595" i="16" s="1"/>
  <c r="X2592" i="16"/>
  <c r="G2565" i="16"/>
  <c r="F2565" i="16"/>
  <c r="E2565" i="16"/>
  <c r="L2565" i="16" s="1"/>
  <c r="J2565" i="16"/>
  <c r="K2565" i="16" s="1"/>
  <c r="H2565" i="16"/>
  <c r="J2566" i="16"/>
  <c r="K2566" i="16" s="1"/>
  <c r="H2566" i="16"/>
  <c r="G2566" i="16"/>
  <c r="F2566" i="16"/>
  <c r="E2566" i="16"/>
  <c r="L2566" i="16" s="1"/>
  <c r="Z2562" i="16"/>
  <c r="AB2565" i="16"/>
  <c r="AB2567" i="16"/>
  <c r="AB2563" i="16"/>
  <c r="X2568" i="16"/>
  <c r="AB2566" i="16"/>
  <c r="AB2564" i="16"/>
  <c r="J2563" i="16"/>
  <c r="K2563" i="16" s="1"/>
  <c r="H2563" i="16"/>
  <c r="G2563" i="16"/>
  <c r="F2563" i="16"/>
  <c r="E2563" i="16"/>
  <c r="L2563" i="16" s="1"/>
  <c r="E2567" i="16"/>
  <c r="L2567" i="16" s="1"/>
  <c r="J2567" i="16"/>
  <c r="K2567" i="16" s="1"/>
  <c r="H2567" i="16"/>
  <c r="G2567" i="16"/>
  <c r="F2567" i="16"/>
  <c r="J2564" i="16"/>
  <c r="K2564" i="16" s="1"/>
  <c r="H2564" i="16"/>
  <c r="G2564" i="16"/>
  <c r="F2564" i="16"/>
  <c r="E2564" i="16"/>
  <c r="L2564" i="16" s="1"/>
  <c r="H2562" i="16"/>
  <c r="G2562" i="16"/>
  <c r="F2562" i="16"/>
  <c r="E2562" i="16"/>
  <c r="L2562" i="16" s="1"/>
  <c r="J2562" i="16"/>
  <c r="K2562" i="16" s="1"/>
  <c r="D404" i="16"/>
  <c r="G404" i="16" s="1"/>
  <c r="AB2535" i="16"/>
  <c r="AB2537" i="16"/>
  <c r="AB2533" i="16"/>
  <c r="X2538" i="16"/>
  <c r="AB2536" i="16"/>
  <c r="AB2534" i="16"/>
  <c r="G2535" i="16"/>
  <c r="F2535" i="16"/>
  <c r="E2535" i="16"/>
  <c r="L2535" i="16" s="1"/>
  <c r="J2535" i="16"/>
  <c r="K2535" i="16" s="1"/>
  <c r="H2535" i="16"/>
  <c r="J2533" i="16"/>
  <c r="K2533" i="16" s="1"/>
  <c r="H2533" i="16"/>
  <c r="G2533" i="16"/>
  <c r="F2533" i="16"/>
  <c r="E2533" i="16"/>
  <c r="L2533" i="16" s="1"/>
  <c r="E2537" i="16"/>
  <c r="L2537" i="16" s="1"/>
  <c r="J2537" i="16"/>
  <c r="K2537" i="16" s="1"/>
  <c r="H2537" i="16"/>
  <c r="G2537" i="16"/>
  <c r="F2537" i="16"/>
  <c r="J2534" i="16"/>
  <c r="K2534" i="16" s="1"/>
  <c r="H2534" i="16"/>
  <c r="G2534" i="16"/>
  <c r="F2534" i="16"/>
  <c r="E2534" i="16"/>
  <c r="L2534" i="16" s="1"/>
  <c r="Y317" i="16"/>
  <c r="Z311" i="16" s="1"/>
  <c r="J2536" i="16"/>
  <c r="K2536" i="16" s="1"/>
  <c r="H2536" i="16"/>
  <c r="G2536" i="16"/>
  <c r="F2536" i="16"/>
  <c r="E2536" i="16"/>
  <c r="L2536" i="16" s="1"/>
  <c r="H2532" i="16"/>
  <c r="G2532" i="16"/>
  <c r="F2532" i="16"/>
  <c r="E2532" i="16"/>
  <c r="J2532" i="16"/>
  <c r="D2506" i="16"/>
  <c r="X2506" i="16" s="1"/>
  <c r="D2504" i="16"/>
  <c r="D2505" i="16"/>
  <c r="D2507" i="16"/>
  <c r="X2508" i="16"/>
  <c r="G2475" i="16"/>
  <c r="F2475" i="16"/>
  <c r="E2475" i="16"/>
  <c r="L2475" i="16" s="1"/>
  <c r="J2475" i="16"/>
  <c r="K2475" i="16" s="1"/>
  <c r="H2475" i="16"/>
  <c r="J2476" i="16"/>
  <c r="K2476" i="16" s="1"/>
  <c r="H2476" i="16"/>
  <c r="G2476" i="16"/>
  <c r="F2476" i="16"/>
  <c r="E2476" i="16"/>
  <c r="L2476" i="16" s="1"/>
  <c r="Z2472" i="16"/>
  <c r="AB2475" i="16"/>
  <c r="AB2477" i="16"/>
  <c r="AB2473" i="16"/>
  <c r="X2478" i="16"/>
  <c r="AB2476" i="16"/>
  <c r="AB2474" i="16"/>
  <c r="J2473" i="16"/>
  <c r="K2473" i="16" s="1"/>
  <c r="H2473" i="16"/>
  <c r="G2473" i="16"/>
  <c r="F2473" i="16"/>
  <c r="E2473" i="16"/>
  <c r="L2473" i="16" s="1"/>
  <c r="E2477" i="16"/>
  <c r="L2477" i="16" s="1"/>
  <c r="J2477" i="16"/>
  <c r="K2477" i="16" s="1"/>
  <c r="H2477" i="16"/>
  <c r="G2477" i="16"/>
  <c r="F2477" i="16"/>
  <c r="J2474" i="16"/>
  <c r="K2474" i="16" s="1"/>
  <c r="H2474" i="16"/>
  <c r="G2474" i="16"/>
  <c r="F2474" i="16"/>
  <c r="E2474" i="16"/>
  <c r="L2474" i="16" s="1"/>
  <c r="X2355" i="16"/>
  <c r="H2472" i="16"/>
  <c r="G2472" i="16"/>
  <c r="F2472" i="16"/>
  <c r="E2472" i="16"/>
  <c r="L2472" i="16" s="1"/>
  <c r="J2472" i="16"/>
  <c r="G2445" i="16"/>
  <c r="F2445" i="16"/>
  <c r="Z2445" i="16" s="1"/>
  <c r="AB2445" i="16" s="1"/>
  <c r="E2445" i="16"/>
  <c r="L2445" i="16" s="1"/>
  <c r="J2445" i="16"/>
  <c r="K2445" i="16" s="1"/>
  <c r="H2445" i="16"/>
  <c r="X2352" i="16"/>
  <c r="J2446" i="16"/>
  <c r="K2446" i="16" s="1"/>
  <c r="H2446" i="16"/>
  <c r="G2446" i="16"/>
  <c r="F2446" i="16"/>
  <c r="Z2446" i="16" s="1"/>
  <c r="AB2446" i="16" s="1"/>
  <c r="E2446" i="16"/>
  <c r="L2446" i="16" s="1"/>
  <c r="X2448" i="16"/>
  <c r="E2447" i="16"/>
  <c r="L2447" i="16" s="1"/>
  <c r="J2447" i="16"/>
  <c r="K2447" i="16" s="1"/>
  <c r="H2447" i="16"/>
  <c r="G2447" i="16"/>
  <c r="F2447" i="16"/>
  <c r="Z2447" i="16" s="1"/>
  <c r="AB2447" i="16" s="1"/>
  <c r="J2444" i="16"/>
  <c r="K2444" i="16" s="1"/>
  <c r="H2444" i="16"/>
  <c r="G2444" i="16"/>
  <c r="F2444" i="16"/>
  <c r="Z2444" i="16" s="1"/>
  <c r="AB2444" i="16" s="1"/>
  <c r="E2444" i="16"/>
  <c r="L2444" i="16" s="1"/>
  <c r="D2352" i="16"/>
  <c r="G2352" i="16" s="1"/>
  <c r="X2356" i="16"/>
  <c r="X2357" i="16"/>
  <c r="G2415" i="16"/>
  <c r="F2415" i="16"/>
  <c r="E2415" i="16"/>
  <c r="L2415" i="16" s="1"/>
  <c r="J2415" i="16"/>
  <c r="K2415" i="16" s="1"/>
  <c r="H2415" i="16"/>
  <c r="J2416" i="16"/>
  <c r="K2416" i="16" s="1"/>
  <c r="H2416" i="16"/>
  <c r="G2416" i="16"/>
  <c r="F2416" i="16"/>
  <c r="E2416" i="16"/>
  <c r="L2416" i="16" s="1"/>
  <c r="X2353" i="16"/>
  <c r="D2355" i="16"/>
  <c r="G2355" i="16" s="1"/>
  <c r="Z2412" i="16"/>
  <c r="AB2415" i="16"/>
  <c r="AB2417" i="16"/>
  <c r="AB2413" i="16"/>
  <c r="X2418" i="16"/>
  <c r="AB2416" i="16"/>
  <c r="AB2414" i="16"/>
  <c r="X2354" i="16"/>
  <c r="AB2353" i="16"/>
  <c r="J2413" i="16"/>
  <c r="K2413" i="16" s="1"/>
  <c r="H2413" i="16"/>
  <c r="G2413" i="16"/>
  <c r="F2413" i="16"/>
  <c r="E2413" i="16"/>
  <c r="L2413" i="16" s="1"/>
  <c r="E2417" i="16"/>
  <c r="L2417" i="16" s="1"/>
  <c r="J2417" i="16"/>
  <c r="K2417" i="16" s="1"/>
  <c r="H2417" i="16"/>
  <c r="G2417" i="16"/>
  <c r="F2417" i="16"/>
  <c r="D2354" i="16"/>
  <c r="E2354" i="16" s="1"/>
  <c r="L2354" i="16" s="1"/>
  <c r="D2356" i="16"/>
  <c r="J2356" i="16" s="1"/>
  <c r="K2356" i="16" s="1"/>
  <c r="AB2354" i="16"/>
  <c r="J2414" i="16"/>
  <c r="K2414" i="16" s="1"/>
  <c r="H2414" i="16"/>
  <c r="G2414" i="16"/>
  <c r="F2414" i="16"/>
  <c r="E2414" i="16"/>
  <c r="L2414" i="16" s="1"/>
  <c r="D2357" i="16"/>
  <c r="E2357" i="16" s="1"/>
  <c r="L2357" i="16" s="1"/>
  <c r="X2358" i="16"/>
  <c r="AB2356" i="16"/>
  <c r="AB2355" i="16"/>
  <c r="Z2352" i="16"/>
  <c r="AB2352" i="16" s="1"/>
  <c r="H2412" i="16"/>
  <c r="G2412" i="16"/>
  <c r="F2412" i="16"/>
  <c r="E2412" i="16"/>
  <c r="J2412" i="16"/>
  <c r="D2384" i="16"/>
  <c r="D2387" i="16"/>
  <c r="E2387" i="16" s="1"/>
  <c r="L2387" i="16" s="1"/>
  <c r="D2386" i="16"/>
  <c r="H2386" i="16" s="1"/>
  <c r="D2385" i="16"/>
  <c r="D2207" i="16"/>
  <c r="X2207" i="16" s="1"/>
  <c r="X2388" i="16"/>
  <c r="J2352" i="16"/>
  <c r="K2352" i="16" s="1"/>
  <c r="D2297" i="16"/>
  <c r="E2297" i="16" s="1"/>
  <c r="L2297" i="16" s="1"/>
  <c r="D2204" i="16"/>
  <c r="X2204" i="16" s="1"/>
  <c r="H2354" i="16"/>
  <c r="Y2208" i="16"/>
  <c r="X2208" i="16" s="1"/>
  <c r="D2206" i="16"/>
  <c r="X2206" i="16" s="1"/>
  <c r="D2205" i="16"/>
  <c r="G2205" i="16" s="1"/>
  <c r="G2325" i="16"/>
  <c r="F2325" i="16"/>
  <c r="Z2325" i="16" s="1"/>
  <c r="AB2325" i="16" s="1"/>
  <c r="E2325" i="16"/>
  <c r="L2325" i="16" s="1"/>
  <c r="J2325" i="16"/>
  <c r="K2325" i="16" s="1"/>
  <c r="H2325" i="16"/>
  <c r="J2326" i="16"/>
  <c r="K2326" i="16" s="1"/>
  <c r="H2326" i="16"/>
  <c r="G2326" i="16"/>
  <c r="F2326" i="16"/>
  <c r="Z2326" i="16" s="1"/>
  <c r="AB2326" i="16" s="1"/>
  <c r="E2326" i="16"/>
  <c r="L2326" i="16" s="1"/>
  <c r="X2328" i="16"/>
  <c r="D2295" i="16"/>
  <c r="E2327" i="16"/>
  <c r="L2327" i="16" s="1"/>
  <c r="J2327" i="16"/>
  <c r="K2327" i="16" s="1"/>
  <c r="H2327" i="16"/>
  <c r="G2327" i="16"/>
  <c r="F2327" i="16"/>
  <c r="Z2327" i="16" s="1"/>
  <c r="AB2327" i="16" s="1"/>
  <c r="J2324" i="16"/>
  <c r="K2324" i="16" s="1"/>
  <c r="H2324" i="16"/>
  <c r="G2324" i="16"/>
  <c r="F2324" i="16"/>
  <c r="Z2324" i="16" s="1"/>
  <c r="AB2324" i="16" s="1"/>
  <c r="E2324" i="16"/>
  <c r="L2324" i="16" s="1"/>
  <c r="D2296" i="16"/>
  <c r="D2294" i="16"/>
  <c r="Y2298" i="16"/>
  <c r="J2266" i="16"/>
  <c r="K2266" i="16" s="1"/>
  <c r="H2266" i="16"/>
  <c r="G2266" i="16"/>
  <c r="F2266" i="16"/>
  <c r="E2266" i="16"/>
  <c r="L2266" i="16" s="1"/>
  <c r="Z2262" i="16"/>
  <c r="AB2265" i="16"/>
  <c r="AB2267" i="16"/>
  <c r="AB2263" i="16"/>
  <c r="X2268" i="16"/>
  <c r="AB2266" i="16"/>
  <c r="AB2264" i="16"/>
  <c r="J2263" i="16"/>
  <c r="K2263" i="16" s="1"/>
  <c r="H2263" i="16"/>
  <c r="G2263" i="16"/>
  <c r="F2263" i="16"/>
  <c r="E2263" i="16"/>
  <c r="L2263" i="16" s="1"/>
  <c r="E2267" i="16"/>
  <c r="L2267" i="16" s="1"/>
  <c r="J2267" i="16"/>
  <c r="K2267" i="16" s="1"/>
  <c r="H2267" i="16"/>
  <c r="G2267" i="16"/>
  <c r="F2267" i="16"/>
  <c r="J2264" i="16"/>
  <c r="K2264" i="16" s="1"/>
  <c r="H2264" i="16"/>
  <c r="G2264" i="16"/>
  <c r="F2264" i="16"/>
  <c r="E2264" i="16"/>
  <c r="L2264" i="16" s="1"/>
  <c r="H2262" i="16"/>
  <c r="G2262" i="16"/>
  <c r="F2262" i="16"/>
  <c r="E2262" i="16"/>
  <c r="L2262" i="16" s="1"/>
  <c r="J2262" i="16"/>
  <c r="G2265" i="16"/>
  <c r="F2265" i="16"/>
  <c r="E2265" i="16"/>
  <c r="L2265" i="16" s="1"/>
  <c r="J2265" i="16"/>
  <c r="K2265" i="16" s="1"/>
  <c r="H2265" i="16"/>
  <c r="G2235" i="16"/>
  <c r="F2235" i="16"/>
  <c r="E2235" i="16"/>
  <c r="L2235" i="16" s="1"/>
  <c r="J2235" i="16"/>
  <c r="K2235" i="16" s="1"/>
  <c r="H2235" i="16"/>
  <c r="J2236" i="16"/>
  <c r="K2236" i="16" s="1"/>
  <c r="H2236" i="16"/>
  <c r="G2236" i="16"/>
  <c r="F2236" i="16"/>
  <c r="E2236" i="16"/>
  <c r="L2236" i="16" s="1"/>
  <c r="Z2232" i="16"/>
  <c r="AB2235" i="16"/>
  <c r="AB2237" i="16"/>
  <c r="AB2233" i="16"/>
  <c r="X2238" i="16"/>
  <c r="AB2236" i="16"/>
  <c r="AB2234" i="16"/>
  <c r="J2233" i="16"/>
  <c r="K2233" i="16" s="1"/>
  <c r="H2233" i="16"/>
  <c r="G2233" i="16"/>
  <c r="F2233" i="16"/>
  <c r="E2233" i="16"/>
  <c r="L2233" i="16" s="1"/>
  <c r="E2237" i="16"/>
  <c r="L2237" i="16" s="1"/>
  <c r="J2237" i="16"/>
  <c r="K2237" i="16" s="1"/>
  <c r="H2237" i="16"/>
  <c r="G2237" i="16"/>
  <c r="F2237" i="16"/>
  <c r="J2234" i="16"/>
  <c r="K2234" i="16" s="1"/>
  <c r="H2234" i="16"/>
  <c r="G2234" i="16"/>
  <c r="F2234" i="16"/>
  <c r="E2234" i="16"/>
  <c r="L2234" i="16" s="1"/>
  <c r="H2232" i="16"/>
  <c r="G2232" i="16"/>
  <c r="F2232" i="16"/>
  <c r="E2232" i="16"/>
  <c r="L2232" i="16" s="1"/>
  <c r="J2232" i="16"/>
  <c r="K2232" i="16" s="1"/>
  <c r="J2204" i="16"/>
  <c r="K2204" i="16" s="1"/>
  <c r="E2204" i="16"/>
  <c r="L2204" i="16" s="1"/>
  <c r="E2207" i="16"/>
  <c r="L2207" i="16" s="1"/>
  <c r="G2175" i="16"/>
  <c r="F2175" i="16"/>
  <c r="E2175" i="16"/>
  <c r="L2175" i="16" s="1"/>
  <c r="J2175" i="16"/>
  <c r="K2175" i="16" s="1"/>
  <c r="H2175" i="16"/>
  <c r="J2176" i="16"/>
  <c r="K2176" i="16" s="1"/>
  <c r="H2176" i="16"/>
  <c r="G2176" i="16"/>
  <c r="F2176" i="16"/>
  <c r="E2176" i="16"/>
  <c r="L2176" i="16" s="1"/>
  <c r="Z2172" i="16"/>
  <c r="AB2175" i="16"/>
  <c r="AB2177" i="16"/>
  <c r="AB2173" i="16"/>
  <c r="X2178" i="16"/>
  <c r="AB2176" i="16"/>
  <c r="AB2174" i="16"/>
  <c r="J2173" i="16"/>
  <c r="K2173" i="16" s="1"/>
  <c r="H2173" i="16"/>
  <c r="G2173" i="16"/>
  <c r="F2173" i="16"/>
  <c r="E2173" i="16"/>
  <c r="L2173" i="16" s="1"/>
  <c r="E2177" i="16"/>
  <c r="L2177" i="16" s="1"/>
  <c r="J2177" i="16"/>
  <c r="K2177" i="16" s="1"/>
  <c r="H2177" i="16"/>
  <c r="G2177" i="16"/>
  <c r="F2177" i="16"/>
  <c r="J2174" i="16"/>
  <c r="K2174" i="16" s="1"/>
  <c r="H2174" i="16"/>
  <c r="G2174" i="16"/>
  <c r="F2174" i="16"/>
  <c r="E2174" i="16"/>
  <c r="L2174" i="16" s="1"/>
  <c r="H2172" i="16"/>
  <c r="G2172" i="16"/>
  <c r="F2172" i="16"/>
  <c r="E2172" i="16"/>
  <c r="L2172" i="16" s="1"/>
  <c r="J2172" i="16"/>
  <c r="Z2142" i="16"/>
  <c r="AB2145" i="16"/>
  <c r="AB2147" i="16"/>
  <c r="AB2143" i="16"/>
  <c r="X2148" i="16"/>
  <c r="AB2146" i="16"/>
  <c r="AB2144" i="16"/>
  <c r="J2143" i="16"/>
  <c r="K2143" i="16" s="1"/>
  <c r="H2143" i="16"/>
  <c r="G2143" i="16"/>
  <c r="F2143" i="16"/>
  <c r="E2143" i="16"/>
  <c r="L2143" i="16" s="1"/>
  <c r="E2147" i="16"/>
  <c r="L2147" i="16" s="1"/>
  <c r="J2147" i="16"/>
  <c r="K2147" i="16" s="1"/>
  <c r="H2147" i="16"/>
  <c r="G2147" i="16"/>
  <c r="F2147" i="16"/>
  <c r="J2144" i="16"/>
  <c r="K2144" i="16" s="1"/>
  <c r="H2144" i="16"/>
  <c r="G2144" i="16"/>
  <c r="F2144" i="16"/>
  <c r="E2144" i="16"/>
  <c r="L2144" i="16" s="1"/>
  <c r="J2146" i="16"/>
  <c r="K2146" i="16" s="1"/>
  <c r="H2146" i="16"/>
  <c r="G2146" i="16"/>
  <c r="F2146" i="16"/>
  <c r="E2146" i="16"/>
  <c r="L2146" i="16" s="1"/>
  <c r="H2142" i="16"/>
  <c r="G2142" i="16"/>
  <c r="F2142" i="16"/>
  <c r="E2142" i="16"/>
  <c r="J2142" i="16"/>
  <c r="G2145" i="16"/>
  <c r="F2145" i="16"/>
  <c r="E2145" i="16"/>
  <c r="L2145" i="16" s="1"/>
  <c r="J2145" i="16"/>
  <c r="K2145" i="16" s="1"/>
  <c r="H2145" i="16"/>
  <c r="X2118" i="16"/>
  <c r="J2116" i="16"/>
  <c r="K2116" i="16" s="1"/>
  <c r="E2116" i="16"/>
  <c r="L2116" i="16" s="1"/>
  <c r="H2116" i="16"/>
  <c r="G2116" i="16"/>
  <c r="F2116" i="16"/>
  <c r="Z2116" i="16" s="1"/>
  <c r="AB2116" i="16" s="1"/>
  <c r="E2117" i="16"/>
  <c r="L2117" i="16" s="1"/>
  <c r="H2117" i="16"/>
  <c r="J2117" i="16"/>
  <c r="K2117" i="16" s="1"/>
  <c r="G2117" i="16"/>
  <c r="F2117" i="16"/>
  <c r="Z2117" i="16" s="1"/>
  <c r="AB2117" i="16" s="1"/>
  <c r="G2114" i="16"/>
  <c r="J2114" i="16"/>
  <c r="K2114" i="16" s="1"/>
  <c r="H2114" i="16"/>
  <c r="F2114" i="16"/>
  <c r="Z2114" i="16" s="1"/>
  <c r="AB2114" i="16" s="1"/>
  <c r="E2114" i="16"/>
  <c r="L2114" i="16" s="1"/>
  <c r="G2115" i="16"/>
  <c r="F2115" i="16"/>
  <c r="Z2115" i="16" s="1"/>
  <c r="AB2115" i="16" s="1"/>
  <c r="E2115" i="16"/>
  <c r="L2115" i="16" s="1"/>
  <c r="J2115" i="16"/>
  <c r="K2115" i="16" s="1"/>
  <c r="H2115" i="16"/>
  <c r="X2088" i="16"/>
  <c r="E2087" i="16"/>
  <c r="L2087" i="16" s="1"/>
  <c r="G2087" i="16"/>
  <c r="J2087" i="16"/>
  <c r="K2087" i="16" s="1"/>
  <c r="H2087" i="16"/>
  <c r="F2087" i="16"/>
  <c r="Z2087" i="16" s="1"/>
  <c r="AB2087" i="16" s="1"/>
  <c r="J2086" i="16"/>
  <c r="K2086" i="16" s="1"/>
  <c r="H2086" i="16"/>
  <c r="G2086" i="16"/>
  <c r="F2086" i="16"/>
  <c r="Z2086" i="16" s="1"/>
  <c r="AB2086" i="16" s="1"/>
  <c r="E2086" i="16"/>
  <c r="L2086" i="16" s="1"/>
  <c r="F2084" i="16"/>
  <c r="Z2084" i="16" s="1"/>
  <c r="AB2084" i="16" s="1"/>
  <c r="J2084" i="16"/>
  <c r="K2084" i="16" s="1"/>
  <c r="H2084" i="16"/>
  <c r="G2084" i="16"/>
  <c r="E2084" i="16"/>
  <c r="L2084" i="16" s="1"/>
  <c r="G2085" i="16"/>
  <c r="F2085" i="16"/>
  <c r="Z2085" i="16" s="1"/>
  <c r="AB2085" i="16" s="1"/>
  <c r="E2085" i="16"/>
  <c r="L2085" i="16" s="1"/>
  <c r="H2085" i="16"/>
  <c r="J2085" i="16"/>
  <c r="K2085" i="16" s="1"/>
  <c r="Z2052" i="16"/>
  <c r="AB2055" i="16"/>
  <c r="AB2057" i="16"/>
  <c r="AB2053" i="16"/>
  <c r="X2058" i="16"/>
  <c r="AB2056" i="16"/>
  <c r="AB2054" i="16"/>
  <c r="J2053" i="16"/>
  <c r="K2053" i="16" s="1"/>
  <c r="H2053" i="16"/>
  <c r="G2053" i="16"/>
  <c r="F2053" i="16"/>
  <c r="E2053" i="16"/>
  <c r="L2053" i="16" s="1"/>
  <c r="E2057" i="16"/>
  <c r="L2057" i="16" s="1"/>
  <c r="J2057" i="16"/>
  <c r="K2057" i="16" s="1"/>
  <c r="H2057" i="16"/>
  <c r="G2057" i="16"/>
  <c r="F2057" i="16"/>
  <c r="J2054" i="16"/>
  <c r="K2054" i="16" s="1"/>
  <c r="H2054" i="16"/>
  <c r="G2054" i="16"/>
  <c r="F2054" i="16"/>
  <c r="E2054" i="16"/>
  <c r="L2054" i="16" s="1"/>
  <c r="H2052" i="16"/>
  <c r="G2052" i="16"/>
  <c r="F2052" i="16"/>
  <c r="E2052" i="16"/>
  <c r="J2052" i="16"/>
  <c r="G2055" i="16"/>
  <c r="F2055" i="16"/>
  <c r="E2055" i="16"/>
  <c r="L2055" i="16" s="1"/>
  <c r="J2055" i="16"/>
  <c r="K2055" i="16" s="1"/>
  <c r="H2055" i="16"/>
  <c r="J2056" i="16"/>
  <c r="K2056" i="16" s="1"/>
  <c r="H2056" i="16"/>
  <c r="G2056" i="16"/>
  <c r="F2056" i="16"/>
  <c r="E2056" i="16"/>
  <c r="L2056" i="16" s="1"/>
  <c r="J2026" i="16"/>
  <c r="K2026" i="16" s="1"/>
  <c r="H2026" i="16"/>
  <c r="G2026" i="16"/>
  <c r="F2026" i="16"/>
  <c r="Z2026" i="16" s="1"/>
  <c r="AB2026" i="16" s="1"/>
  <c r="E2026" i="16"/>
  <c r="L2026" i="16" s="1"/>
  <c r="X2028" i="16"/>
  <c r="E2027" i="16"/>
  <c r="L2027" i="16" s="1"/>
  <c r="J2027" i="16"/>
  <c r="K2027" i="16" s="1"/>
  <c r="H2027" i="16"/>
  <c r="G2027" i="16"/>
  <c r="F2027" i="16"/>
  <c r="Z2027" i="16" s="1"/>
  <c r="AB2027" i="16" s="1"/>
  <c r="J2024" i="16"/>
  <c r="K2024" i="16" s="1"/>
  <c r="H2024" i="16"/>
  <c r="G2024" i="16"/>
  <c r="F2024" i="16"/>
  <c r="Z2024" i="16" s="1"/>
  <c r="AB2024" i="16" s="1"/>
  <c r="E2024" i="16"/>
  <c r="L2024" i="16" s="1"/>
  <c r="G2025" i="16"/>
  <c r="F2025" i="16"/>
  <c r="Z2025" i="16" s="1"/>
  <c r="AB2025" i="16" s="1"/>
  <c r="E2025" i="16"/>
  <c r="L2025" i="16" s="1"/>
  <c r="J2025" i="16"/>
  <c r="K2025" i="16" s="1"/>
  <c r="H2025" i="16"/>
  <c r="J1996" i="16"/>
  <c r="K1996" i="16" s="1"/>
  <c r="H1996" i="16"/>
  <c r="G1996" i="16"/>
  <c r="F1996" i="16"/>
  <c r="Z1996" i="16" s="1"/>
  <c r="AB1996" i="16" s="1"/>
  <c r="E1996" i="16"/>
  <c r="L1996" i="16" s="1"/>
  <c r="X1998" i="16"/>
  <c r="E1997" i="16"/>
  <c r="L1997" i="16" s="1"/>
  <c r="J1997" i="16"/>
  <c r="K1997" i="16" s="1"/>
  <c r="H1997" i="16"/>
  <c r="G1997" i="16"/>
  <c r="F1997" i="16"/>
  <c r="Z1997" i="16" s="1"/>
  <c r="AB1997" i="16" s="1"/>
  <c r="J1994" i="16"/>
  <c r="K1994" i="16" s="1"/>
  <c r="G1994" i="16"/>
  <c r="H1994" i="16"/>
  <c r="F1994" i="16"/>
  <c r="Z1994" i="16" s="1"/>
  <c r="AB1994" i="16" s="1"/>
  <c r="E1994" i="16"/>
  <c r="L1994" i="16" s="1"/>
  <c r="G1995" i="16"/>
  <c r="F1995" i="16"/>
  <c r="Z1995" i="16" s="1"/>
  <c r="AB1995" i="16" s="1"/>
  <c r="E1995" i="16"/>
  <c r="L1995" i="16" s="1"/>
  <c r="J1995" i="16"/>
  <c r="K1995" i="16" s="1"/>
  <c r="H1995" i="16"/>
  <c r="J1966" i="16"/>
  <c r="K1966" i="16" s="1"/>
  <c r="H1966" i="16"/>
  <c r="E1966" i="16"/>
  <c r="L1966" i="16" s="1"/>
  <c r="G1966" i="16"/>
  <c r="F1966" i="16"/>
  <c r="Z1962" i="16"/>
  <c r="AB1965" i="16"/>
  <c r="AB1967" i="16"/>
  <c r="AB1963" i="16"/>
  <c r="X1968" i="16"/>
  <c r="AB1966" i="16"/>
  <c r="AB1964" i="16"/>
  <c r="J1963" i="16"/>
  <c r="K1963" i="16" s="1"/>
  <c r="H1963" i="16"/>
  <c r="G1963" i="16"/>
  <c r="F1963" i="16"/>
  <c r="E1963" i="16"/>
  <c r="L1963" i="16" s="1"/>
  <c r="E1967" i="16"/>
  <c r="L1967" i="16" s="1"/>
  <c r="J1967" i="16"/>
  <c r="K1967" i="16" s="1"/>
  <c r="H1967" i="16"/>
  <c r="G1967" i="16"/>
  <c r="F1967" i="16"/>
  <c r="H1962" i="16"/>
  <c r="G1962" i="16"/>
  <c r="F1962" i="16"/>
  <c r="E1962" i="16"/>
  <c r="L1962" i="16" s="1"/>
  <c r="J1962" i="16"/>
  <c r="G1964" i="16"/>
  <c r="J1964" i="16"/>
  <c r="K1964" i="16" s="1"/>
  <c r="H1964" i="16"/>
  <c r="F1964" i="16"/>
  <c r="E1964" i="16"/>
  <c r="L1964" i="16" s="1"/>
  <c r="G1965" i="16"/>
  <c r="F1965" i="16"/>
  <c r="E1965" i="16"/>
  <c r="L1965" i="16" s="1"/>
  <c r="J1965" i="16"/>
  <c r="K1965" i="16" s="1"/>
  <c r="H1965" i="16"/>
  <c r="Y1938" i="16"/>
  <c r="D1935" i="16"/>
  <c r="D1936" i="16"/>
  <c r="X1936" i="16" s="1"/>
  <c r="D1937" i="16"/>
  <c r="J1903" i="16"/>
  <c r="K1903" i="16" s="1"/>
  <c r="H1903" i="16"/>
  <c r="G1903" i="16"/>
  <c r="F1903" i="16"/>
  <c r="E1903" i="16"/>
  <c r="L1903" i="16" s="1"/>
  <c r="E1906" i="16"/>
  <c r="L1906" i="16" s="1"/>
  <c r="J1906" i="16"/>
  <c r="K1906" i="16" s="1"/>
  <c r="H1906" i="16"/>
  <c r="G1906" i="16"/>
  <c r="F1906" i="16"/>
  <c r="H1902" i="16"/>
  <c r="G1902" i="16"/>
  <c r="J1902" i="16"/>
  <c r="K1902" i="16" s="1"/>
  <c r="F1902" i="16"/>
  <c r="E1902" i="16"/>
  <c r="L1902" i="16" s="1"/>
  <c r="E1907" i="16"/>
  <c r="L1907" i="16" s="1"/>
  <c r="G1907" i="16"/>
  <c r="F1907" i="16"/>
  <c r="J1907" i="16"/>
  <c r="K1907" i="16" s="1"/>
  <c r="H1907" i="16"/>
  <c r="G1905" i="16"/>
  <c r="F1905" i="16"/>
  <c r="E1905" i="16"/>
  <c r="L1905" i="16" s="1"/>
  <c r="J1905" i="16"/>
  <c r="K1905" i="16" s="1"/>
  <c r="H1905" i="16"/>
  <c r="F1904" i="16"/>
  <c r="G1904" i="16"/>
  <c r="E1904" i="16"/>
  <c r="L1904" i="16" s="1"/>
  <c r="J1904" i="16"/>
  <c r="K1904" i="16" s="1"/>
  <c r="H1904" i="16"/>
  <c r="Z1902" i="16"/>
  <c r="AB1905" i="16"/>
  <c r="AB1907" i="16"/>
  <c r="AB1903" i="16"/>
  <c r="X1908" i="16"/>
  <c r="AB1906" i="16"/>
  <c r="AB1904" i="16"/>
  <c r="J1876" i="16"/>
  <c r="K1876" i="16" s="1"/>
  <c r="H1876" i="16"/>
  <c r="G1876" i="16"/>
  <c r="F1876" i="16"/>
  <c r="Z1876" i="16" s="1"/>
  <c r="AB1876" i="16" s="1"/>
  <c r="E1876" i="16"/>
  <c r="L1876" i="16" s="1"/>
  <c r="X1878" i="16"/>
  <c r="D1845" i="16"/>
  <c r="E1877" i="16"/>
  <c r="L1877" i="16" s="1"/>
  <c r="H1877" i="16"/>
  <c r="J1877" i="16"/>
  <c r="K1877" i="16" s="1"/>
  <c r="G1877" i="16"/>
  <c r="F1877" i="16"/>
  <c r="Z1877" i="16" s="1"/>
  <c r="AB1877" i="16" s="1"/>
  <c r="J1874" i="16"/>
  <c r="K1874" i="16" s="1"/>
  <c r="H1874" i="16"/>
  <c r="G1874" i="16"/>
  <c r="F1874" i="16"/>
  <c r="Z1874" i="16" s="1"/>
  <c r="AB1874" i="16" s="1"/>
  <c r="E1874" i="16"/>
  <c r="L1874" i="16" s="1"/>
  <c r="G1875" i="16"/>
  <c r="F1875" i="16"/>
  <c r="Z1875" i="16" s="1"/>
  <c r="AB1875" i="16" s="1"/>
  <c r="E1875" i="16"/>
  <c r="L1875" i="16" s="1"/>
  <c r="J1875" i="16"/>
  <c r="K1875" i="16" s="1"/>
  <c r="H1875" i="16"/>
  <c r="D1847" i="16"/>
  <c r="J1847" i="16" s="1"/>
  <c r="K1847" i="16" s="1"/>
  <c r="Y1848" i="16"/>
  <c r="D1846" i="16"/>
  <c r="D1844" i="16"/>
  <c r="X1847" i="16"/>
  <c r="E1817" i="16"/>
  <c r="L1817" i="16" s="1"/>
  <c r="J1817" i="16"/>
  <c r="K1817" i="16" s="1"/>
  <c r="G1817" i="16"/>
  <c r="H1817" i="16"/>
  <c r="F1817" i="16"/>
  <c r="G1812" i="16"/>
  <c r="F1812" i="16"/>
  <c r="E1812" i="16"/>
  <c r="L1812" i="16" s="1"/>
  <c r="G1815" i="16"/>
  <c r="F1815" i="16"/>
  <c r="E1815" i="16"/>
  <c r="L1815" i="16" s="1"/>
  <c r="J1815" i="16"/>
  <c r="K1815" i="16" s="1"/>
  <c r="H1815" i="16"/>
  <c r="G1814" i="16"/>
  <c r="J1814" i="16"/>
  <c r="K1814" i="16" s="1"/>
  <c r="H1814" i="16"/>
  <c r="F1814" i="16"/>
  <c r="E1814" i="16"/>
  <c r="L1814" i="16" s="1"/>
  <c r="Z1812" i="16"/>
  <c r="AB1815" i="16"/>
  <c r="AB1817" i="16"/>
  <c r="AB1813" i="16"/>
  <c r="X1818" i="16"/>
  <c r="AB1816" i="16"/>
  <c r="AB1814" i="16"/>
  <c r="J1813" i="16"/>
  <c r="K1813" i="16" s="1"/>
  <c r="H1813" i="16"/>
  <c r="G1813" i="16"/>
  <c r="F1813" i="16"/>
  <c r="E1813" i="16"/>
  <c r="L1813" i="16" s="1"/>
  <c r="D1784" i="16"/>
  <c r="J1816" i="16"/>
  <c r="K1816" i="16" s="1"/>
  <c r="H1816" i="16"/>
  <c r="E1816" i="16"/>
  <c r="L1816" i="16" s="1"/>
  <c r="G1816" i="16"/>
  <c r="F1816" i="16"/>
  <c r="D1787" i="16"/>
  <c r="G1787" i="16" s="1"/>
  <c r="D1786" i="16"/>
  <c r="X1786" i="16" s="1"/>
  <c r="D1785" i="16"/>
  <c r="X1785" i="16" s="1"/>
  <c r="Z1752" i="16"/>
  <c r="AB1755" i="16"/>
  <c r="AB1757" i="16"/>
  <c r="AB1753" i="16"/>
  <c r="X1758" i="16"/>
  <c r="AB1756" i="16"/>
  <c r="AB1754" i="16"/>
  <c r="J1753" i="16"/>
  <c r="K1753" i="16" s="1"/>
  <c r="H1753" i="16"/>
  <c r="G1753" i="16"/>
  <c r="F1753" i="16"/>
  <c r="E1753" i="16"/>
  <c r="L1753" i="16" s="1"/>
  <c r="E1757" i="16"/>
  <c r="L1757" i="16" s="1"/>
  <c r="H1757" i="16"/>
  <c r="J1757" i="16"/>
  <c r="K1757" i="16" s="1"/>
  <c r="G1757" i="16"/>
  <c r="F1757" i="16"/>
  <c r="J1754" i="16"/>
  <c r="K1754" i="16" s="1"/>
  <c r="H1754" i="16"/>
  <c r="G1754" i="16"/>
  <c r="F1754" i="16"/>
  <c r="E1754" i="16"/>
  <c r="L1754" i="16" s="1"/>
  <c r="H1752" i="16"/>
  <c r="G1752" i="16"/>
  <c r="F1752" i="16"/>
  <c r="E1752" i="16"/>
  <c r="J1752" i="16"/>
  <c r="G1755" i="16"/>
  <c r="F1755" i="16"/>
  <c r="E1755" i="16"/>
  <c r="L1755" i="16" s="1"/>
  <c r="J1755" i="16"/>
  <c r="K1755" i="16" s="1"/>
  <c r="H1755" i="16"/>
  <c r="E1756" i="16"/>
  <c r="L1756" i="16" s="1"/>
  <c r="J1756" i="16"/>
  <c r="K1756" i="16" s="1"/>
  <c r="H1756" i="16"/>
  <c r="G1756" i="16"/>
  <c r="F1756" i="16"/>
  <c r="Y1668" i="16"/>
  <c r="AB1665" i="16" s="1"/>
  <c r="J1726" i="16"/>
  <c r="K1726" i="16" s="1"/>
  <c r="H1726" i="16"/>
  <c r="G1726" i="16"/>
  <c r="F1726" i="16"/>
  <c r="Z1726" i="16" s="1"/>
  <c r="AB1726" i="16" s="1"/>
  <c r="E1726" i="16"/>
  <c r="L1726" i="16" s="1"/>
  <c r="X1728" i="16"/>
  <c r="E1727" i="16"/>
  <c r="L1727" i="16" s="1"/>
  <c r="H1727" i="16"/>
  <c r="J1727" i="16"/>
  <c r="K1727" i="16" s="1"/>
  <c r="G1727" i="16"/>
  <c r="F1727" i="16"/>
  <c r="Z1727" i="16" s="1"/>
  <c r="AB1727" i="16" s="1"/>
  <c r="G1724" i="16"/>
  <c r="J1724" i="16"/>
  <c r="K1724" i="16" s="1"/>
  <c r="H1724" i="16"/>
  <c r="F1724" i="16"/>
  <c r="Z1724" i="16" s="1"/>
  <c r="AB1724" i="16" s="1"/>
  <c r="E1724" i="16"/>
  <c r="L1724" i="16" s="1"/>
  <c r="G1725" i="16"/>
  <c r="F1725" i="16"/>
  <c r="Z1725" i="16" s="1"/>
  <c r="AB1725" i="16" s="1"/>
  <c r="E1725" i="16"/>
  <c r="L1725" i="16" s="1"/>
  <c r="J1725" i="16"/>
  <c r="K1725" i="16" s="1"/>
  <c r="H1725" i="16"/>
  <c r="J1696" i="16"/>
  <c r="K1696" i="16" s="1"/>
  <c r="H1696" i="16"/>
  <c r="G1696" i="16"/>
  <c r="F1696" i="16"/>
  <c r="Z1696" i="16" s="1"/>
  <c r="AB1696" i="16" s="1"/>
  <c r="E1696" i="16"/>
  <c r="L1696" i="16" s="1"/>
  <c r="X1698" i="16"/>
  <c r="E1697" i="16"/>
  <c r="L1697" i="16" s="1"/>
  <c r="H1697" i="16"/>
  <c r="J1697" i="16"/>
  <c r="K1697" i="16" s="1"/>
  <c r="G1697" i="16"/>
  <c r="F1697" i="16"/>
  <c r="Z1697" i="16" s="1"/>
  <c r="AB1697" i="16" s="1"/>
  <c r="J1694" i="16"/>
  <c r="K1694" i="16" s="1"/>
  <c r="H1694" i="16"/>
  <c r="G1694" i="16"/>
  <c r="F1694" i="16"/>
  <c r="Z1694" i="16" s="1"/>
  <c r="AB1694" i="16" s="1"/>
  <c r="E1694" i="16"/>
  <c r="L1694" i="16" s="1"/>
  <c r="G1695" i="16"/>
  <c r="F1695" i="16"/>
  <c r="Z1695" i="16" s="1"/>
  <c r="AB1695" i="16" s="1"/>
  <c r="E1695" i="16"/>
  <c r="L1695" i="16" s="1"/>
  <c r="J1695" i="16"/>
  <c r="K1695" i="16" s="1"/>
  <c r="H1695" i="16"/>
  <c r="X1667" i="16"/>
  <c r="X1663" i="16"/>
  <c r="D1663" i="16"/>
  <c r="X1665" i="16"/>
  <c r="X1666" i="16"/>
  <c r="D1665" i="16"/>
  <c r="E1665" i="16" s="1"/>
  <c r="L1665" i="16" s="1"/>
  <c r="D1666" i="16"/>
  <c r="E1666" i="16" s="1"/>
  <c r="L1666" i="16" s="1"/>
  <c r="X1664" i="16"/>
  <c r="D1664" i="16"/>
  <c r="G1664" i="16" s="1"/>
  <c r="X1662" i="16"/>
  <c r="D1667" i="16"/>
  <c r="E1667" i="16" s="1"/>
  <c r="L1667" i="16" s="1"/>
  <c r="D1602" i="16"/>
  <c r="H1602" i="16" s="1"/>
  <c r="H1662" i="16"/>
  <c r="G1662" i="16"/>
  <c r="F1662" i="16"/>
  <c r="E1662" i="16"/>
  <c r="L1662" i="16" s="1"/>
  <c r="J1662" i="16"/>
  <c r="Y1608" i="16"/>
  <c r="AB1605" i="16" s="1"/>
  <c r="D1604" i="16"/>
  <c r="F1604" i="16" s="1"/>
  <c r="D1635" i="16"/>
  <c r="F1635" i="16" s="1"/>
  <c r="D1634" i="16"/>
  <c r="D1637" i="16"/>
  <c r="H1637" i="16" s="1"/>
  <c r="X1636" i="16"/>
  <c r="D1544" i="16"/>
  <c r="F1544" i="16" s="1"/>
  <c r="Y1548" i="16"/>
  <c r="AB1547" i="16" s="1"/>
  <c r="X1602" i="16"/>
  <c r="D1607" i="16"/>
  <c r="G1607" i="16" s="1"/>
  <c r="D1542" i="16"/>
  <c r="G1542" i="16" s="1"/>
  <c r="X1605" i="16"/>
  <c r="X1606" i="16"/>
  <c r="X1603" i="16"/>
  <c r="D1605" i="16"/>
  <c r="H1605" i="16" s="1"/>
  <c r="D1606" i="16"/>
  <c r="G1606" i="16" s="1"/>
  <c r="J1636" i="16"/>
  <c r="K1636" i="16" s="1"/>
  <c r="H1636" i="16"/>
  <c r="G1636" i="16"/>
  <c r="F1636" i="16"/>
  <c r="E1636" i="16"/>
  <c r="L1636" i="16" s="1"/>
  <c r="X1604" i="16"/>
  <c r="D1603" i="16"/>
  <c r="E1603" i="16" s="1"/>
  <c r="L1603" i="16" s="1"/>
  <c r="X1638" i="16"/>
  <c r="X1543" i="16"/>
  <c r="X1545" i="16"/>
  <c r="X1542" i="16"/>
  <c r="X1572" i="16"/>
  <c r="D1577" i="16"/>
  <c r="E1577" i="16" s="1"/>
  <c r="L1577" i="16" s="1"/>
  <c r="X1577" i="16"/>
  <c r="X1576" i="16"/>
  <c r="D1576" i="16"/>
  <c r="X1573" i="16"/>
  <c r="D1573" i="16"/>
  <c r="Y1578" i="16"/>
  <c r="Z1572" i="16" s="1"/>
  <c r="X1574" i="16"/>
  <c r="X1575" i="16"/>
  <c r="D1574" i="16"/>
  <c r="F1574" i="16" s="1"/>
  <c r="D1575" i="16"/>
  <c r="G1575" i="16" s="1"/>
  <c r="H1572" i="16"/>
  <c r="G1572" i="16"/>
  <c r="F1572" i="16"/>
  <c r="J1572" i="16"/>
  <c r="E1572" i="16"/>
  <c r="D1545" i="16"/>
  <c r="H1545" i="16" s="1"/>
  <c r="X1546" i="16"/>
  <c r="X1544" i="16"/>
  <c r="D1546" i="16"/>
  <c r="H1546" i="16" s="1"/>
  <c r="D1547" i="16"/>
  <c r="F1547" i="16" s="1"/>
  <c r="D1543" i="16"/>
  <c r="J1516" i="16"/>
  <c r="K1516" i="16" s="1"/>
  <c r="H1516" i="16"/>
  <c r="G1516" i="16"/>
  <c r="F1516" i="16"/>
  <c r="E1516" i="16"/>
  <c r="L1516" i="16" s="1"/>
  <c r="Z1512" i="16"/>
  <c r="AB1515" i="16"/>
  <c r="AB1517" i="16"/>
  <c r="AB1513" i="16"/>
  <c r="X1518" i="16"/>
  <c r="AB1516" i="16"/>
  <c r="AB1514" i="16"/>
  <c r="E1517" i="16"/>
  <c r="L1517" i="16" s="1"/>
  <c r="H1517" i="16"/>
  <c r="J1517" i="16"/>
  <c r="K1517" i="16" s="1"/>
  <c r="G1517" i="16"/>
  <c r="F1517" i="16"/>
  <c r="J1513" i="16"/>
  <c r="K1513" i="16" s="1"/>
  <c r="H1513" i="16"/>
  <c r="G1513" i="16"/>
  <c r="F1513" i="16"/>
  <c r="E1513" i="16"/>
  <c r="L1513" i="16" s="1"/>
  <c r="J1514" i="16"/>
  <c r="K1514" i="16" s="1"/>
  <c r="G1514" i="16"/>
  <c r="H1514" i="16"/>
  <c r="F1514" i="16"/>
  <c r="E1514" i="16"/>
  <c r="L1514" i="16" s="1"/>
  <c r="D1487" i="16"/>
  <c r="H1487" i="16" s="1"/>
  <c r="G1515" i="16"/>
  <c r="F1515" i="16"/>
  <c r="E1515" i="16"/>
  <c r="L1515" i="16" s="1"/>
  <c r="J1515" i="16"/>
  <c r="K1515" i="16" s="1"/>
  <c r="H1515" i="16"/>
  <c r="D1485" i="16"/>
  <c r="D1486" i="16"/>
  <c r="D1484" i="16"/>
  <c r="Y1488" i="16"/>
  <c r="D1426" i="16"/>
  <c r="G1426" i="16" s="1"/>
  <c r="D1424" i="16"/>
  <c r="F1424" i="16" s="1"/>
  <c r="J1456" i="16"/>
  <c r="K1456" i="16" s="1"/>
  <c r="H1456" i="16"/>
  <c r="E1456" i="16"/>
  <c r="L1456" i="16" s="1"/>
  <c r="G1456" i="16"/>
  <c r="F1456" i="16"/>
  <c r="Y1428" i="16"/>
  <c r="H1452" i="16"/>
  <c r="G1452" i="16"/>
  <c r="L1452" i="16"/>
  <c r="J1452" i="16"/>
  <c r="K1452" i="16" s="1"/>
  <c r="J1453" i="16"/>
  <c r="K1453" i="16" s="1"/>
  <c r="H1453" i="16"/>
  <c r="G1453" i="16"/>
  <c r="F1453" i="16"/>
  <c r="E1453" i="16"/>
  <c r="L1453" i="16" s="1"/>
  <c r="E1457" i="16"/>
  <c r="L1457" i="16" s="1"/>
  <c r="F1457" i="16"/>
  <c r="G1457" i="16"/>
  <c r="H1457" i="16"/>
  <c r="J1457" i="16"/>
  <c r="K1457" i="16" s="1"/>
  <c r="D1425" i="16"/>
  <c r="G1455" i="16"/>
  <c r="F1455" i="16"/>
  <c r="E1455" i="16"/>
  <c r="L1455" i="16" s="1"/>
  <c r="J1455" i="16"/>
  <c r="K1455" i="16" s="1"/>
  <c r="H1455" i="16"/>
  <c r="E1454" i="16"/>
  <c r="L1454" i="16" s="1"/>
  <c r="J1454" i="16"/>
  <c r="K1454" i="16" s="1"/>
  <c r="G1454" i="16"/>
  <c r="F1454" i="16"/>
  <c r="H1454" i="16"/>
  <c r="D1427" i="16"/>
  <c r="Z1452" i="16"/>
  <c r="AB1455" i="16"/>
  <c r="AB1454" i="16"/>
  <c r="AB1457" i="16"/>
  <c r="AB1453" i="16"/>
  <c r="X1458" i="16"/>
  <c r="AB1456" i="16"/>
  <c r="Y1368" i="16"/>
  <c r="X1368" i="16" s="1"/>
  <c r="D1365" i="16"/>
  <c r="H1365" i="16" s="1"/>
  <c r="D1394" i="16"/>
  <c r="J1394" i="16" s="1"/>
  <c r="K1394" i="16" s="1"/>
  <c r="X1395" i="16"/>
  <c r="Y1398" i="16"/>
  <c r="Z1392" i="16" s="1"/>
  <c r="D1392" i="16"/>
  <c r="G1392" i="16" s="1"/>
  <c r="D1395" i="16"/>
  <c r="G1395" i="16" s="1"/>
  <c r="X1396" i="16"/>
  <c r="X1394" i="16"/>
  <c r="D1396" i="16"/>
  <c r="J1396" i="16" s="1"/>
  <c r="K1396" i="16" s="1"/>
  <c r="X1392" i="16"/>
  <c r="X1397" i="16"/>
  <c r="X1393" i="16"/>
  <c r="D1393" i="16"/>
  <c r="X1365" i="16"/>
  <c r="Y918" i="16"/>
  <c r="E1397" i="16"/>
  <c r="L1397" i="16" s="1"/>
  <c r="H1397" i="16"/>
  <c r="J1397" i="16"/>
  <c r="K1397" i="16" s="1"/>
  <c r="G1397" i="16"/>
  <c r="F1397" i="16"/>
  <c r="D917" i="16"/>
  <c r="E917" i="16" s="1"/>
  <c r="L917" i="16" s="1"/>
  <c r="D1362" i="16"/>
  <c r="E1362" i="16" s="1"/>
  <c r="X1366" i="16"/>
  <c r="X1364" i="16"/>
  <c r="D1366" i="16"/>
  <c r="E1366" i="16" s="1"/>
  <c r="L1366" i="16" s="1"/>
  <c r="D1364" i="16"/>
  <c r="J1364" i="16" s="1"/>
  <c r="K1364" i="16" s="1"/>
  <c r="X1362" i="16"/>
  <c r="X1367" i="16"/>
  <c r="X1363" i="16"/>
  <c r="D1363" i="16"/>
  <c r="D1304" i="16"/>
  <c r="D1307" i="16"/>
  <c r="G1307" i="16" s="1"/>
  <c r="D1306" i="16"/>
  <c r="E1306" i="16" s="1"/>
  <c r="L1306" i="16" s="1"/>
  <c r="E1367" i="16"/>
  <c r="L1367" i="16" s="1"/>
  <c r="H1367" i="16"/>
  <c r="J1367" i="16"/>
  <c r="K1367" i="16" s="1"/>
  <c r="G1367" i="16"/>
  <c r="F1367" i="16"/>
  <c r="X1334" i="16"/>
  <c r="D1337" i="16"/>
  <c r="J1337" i="16" s="1"/>
  <c r="K1337" i="16" s="1"/>
  <c r="Y1338" i="16"/>
  <c r="D1336" i="16"/>
  <c r="X1336" i="16" s="1"/>
  <c r="D1335" i="16"/>
  <c r="X1335" i="16" s="1"/>
  <c r="Y1308" i="16"/>
  <c r="D1305" i="16"/>
  <c r="F1334" i="16"/>
  <c r="J1334" i="16"/>
  <c r="H1334" i="16"/>
  <c r="G1334" i="16"/>
  <c r="E1334" i="16"/>
  <c r="G1275" i="16"/>
  <c r="F1275" i="16"/>
  <c r="Z1275" i="16" s="1"/>
  <c r="AB1275" i="16" s="1"/>
  <c r="E1275" i="16"/>
  <c r="L1275" i="16" s="1"/>
  <c r="J1275" i="16"/>
  <c r="K1275" i="16" s="1"/>
  <c r="H1275" i="16"/>
  <c r="J1276" i="16"/>
  <c r="K1276" i="16" s="1"/>
  <c r="E1276" i="16"/>
  <c r="L1276" i="16" s="1"/>
  <c r="H1276" i="16"/>
  <c r="G1276" i="16"/>
  <c r="F1276" i="16"/>
  <c r="Z1276" i="16" s="1"/>
  <c r="AB1276" i="16" s="1"/>
  <c r="X1278" i="16"/>
  <c r="E1277" i="16"/>
  <c r="L1277" i="16" s="1"/>
  <c r="H1277" i="16"/>
  <c r="J1277" i="16"/>
  <c r="K1277" i="16" s="1"/>
  <c r="G1277" i="16"/>
  <c r="F1277" i="16"/>
  <c r="Z1277" i="16" s="1"/>
  <c r="AB1277" i="16" s="1"/>
  <c r="J1274" i="16"/>
  <c r="K1274" i="16" s="1"/>
  <c r="G1274" i="16"/>
  <c r="H1274" i="16"/>
  <c r="F1274" i="16"/>
  <c r="Z1274" i="16" s="1"/>
  <c r="AB1274" i="16" s="1"/>
  <c r="E1274" i="16"/>
  <c r="L1274" i="16" s="1"/>
  <c r="D1246" i="16"/>
  <c r="X1246" i="16" s="1"/>
  <c r="D1244" i="16"/>
  <c r="D1245" i="16"/>
  <c r="D1247" i="16"/>
  <c r="Y1248" i="16"/>
  <c r="X1218" i="16"/>
  <c r="J1216" i="16"/>
  <c r="K1216" i="16" s="1"/>
  <c r="H1216" i="16"/>
  <c r="E1216" i="16"/>
  <c r="L1216" i="16" s="1"/>
  <c r="G1216" i="16"/>
  <c r="F1216" i="16"/>
  <c r="Z1216" i="16" s="1"/>
  <c r="AB1216" i="16" s="1"/>
  <c r="D1187" i="16"/>
  <c r="E1187" i="16" s="1"/>
  <c r="L1187" i="16" s="1"/>
  <c r="E1217" i="16"/>
  <c r="L1217" i="16" s="1"/>
  <c r="H1217" i="16"/>
  <c r="J1217" i="16"/>
  <c r="K1217" i="16" s="1"/>
  <c r="G1217" i="16"/>
  <c r="F1217" i="16"/>
  <c r="Z1217" i="16" s="1"/>
  <c r="AB1217" i="16" s="1"/>
  <c r="G1214" i="16"/>
  <c r="J1214" i="16"/>
  <c r="K1214" i="16" s="1"/>
  <c r="H1214" i="16"/>
  <c r="F1214" i="16"/>
  <c r="Z1214" i="16" s="1"/>
  <c r="AB1214" i="16" s="1"/>
  <c r="E1214" i="16"/>
  <c r="L1214" i="16" s="1"/>
  <c r="G1215" i="16"/>
  <c r="F1215" i="16"/>
  <c r="Z1215" i="16" s="1"/>
  <c r="AB1215" i="16" s="1"/>
  <c r="E1215" i="16"/>
  <c r="L1215" i="16" s="1"/>
  <c r="J1215" i="16"/>
  <c r="K1215" i="16" s="1"/>
  <c r="H1215" i="16"/>
  <c r="D1185" i="16"/>
  <c r="D1186" i="16"/>
  <c r="D1184" i="16"/>
  <c r="Y1188" i="16"/>
  <c r="D1097" i="16"/>
  <c r="F1097" i="16" s="1"/>
  <c r="X1158" i="16"/>
  <c r="E1157" i="16"/>
  <c r="L1157" i="16" s="1"/>
  <c r="H1157" i="16"/>
  <c r="J1157" i="16"/>
  <c r="K1157" i="16" s="1"/>
  <c r="G1157" i="16"/>
  <c r="F1157" i="16"/>
  <c r="Z1157" i="16" s="1"/>
  <c r="AB1157" i="16" s="1"/>
  <c r="Y437" i="16"/>
  <c r="D1093" i="16"/>
  <c r="F1093" i="16" s="1"/>
  <c r="J1154" i="16"/>
  <c r="K1154" i="16" s="1"/>
  <c r="H1154" i="16"/>
  <c r="G1154" i="16"/>
  <c r="F1154" i="16"/>
  <c r="Z1154" i="16" s="1"/>
  <c r="AB1154" i="16" s="1"/>
  <c r="E1154" i="16"/>
  <c r="L1154" i="16" s="1"/>
  <c r="D1064" i="16"/>
  <c r="F1064" i="16" s="1"/>
  <c r="X1094" i="16"/>
  <c r="D1095" i="16"/>
  <c r="G1095" i="16" s="1"/>
  <c r="X1125" i="16"/>
  <c r="D1067" i="16"/>
  <c r="H1067" i="16" s="1"/>
  <c r="G1155" i="16"/>
  <c r="F1155" i="16"/>
  <c r="Z1155" i="16" s="1"/>
  <c r="AB1155" i="16" s="1"/>
  <c r="E1155" i="16"/>
  <c r="L1155" i="16" s="1"/>
  <c r="J1155" i="16"/>
  <c r="K1155" i="16" s="1"/>
  <c r="H1155" i="16"/>
  <c r="D1062" i="16"/>
  <c r="F1062" i="16" s="1"/>
  <c r="E1156" i="16"/>
  <c r="L1156" i="16" s="1"/>
  <c r="J1156" i="16"/>
  <c r="K1156" i="16" s="1"/>
  <c r="H1156" i="16"/>
  <c r="G1156" i="16"/>
  <c r="F1156" i="16"/>
  <c r="Z1156" i="16" s="1"/>
  <c r="AB1156" i="16" s="1"/>
  <c r="D1125" i="16"/>
  <c r="J1125" i="16" s="1"/>
  <c r="K1125" i="16" s="1"/>
  <c r="X1126" i="16"/>
  <c r="X1124" i="16"/>
  <c r="D1126" i="16"/>
  <c r="F1126" i="16" s="1"/>
  <c r="D1124" i="16"/>
  <c r="G1124" i="16" s="1"/>
  <c r="X1122" i="16"/>
  <c r="D1127" i="16"/>
  <c r="E1127" i="16" s="1"/>
  <c r="L1127" i="16" s="1"/>
  <c r="D1122" i="16"/>
  <c r="G1122" i="16" s="1"/>
  <c r="X1127" i="16"/>
  <c r="X1123" i="16"/>
  <c r="D1123" i="16"/>
  <c r="D1096" i="16"/>
  <c r="H1096" i="16" s="1"/>
  <c r="D1094" i="16"/>
  <c r="G1094" i="16" s="1"/>
  <c r="X1092" i="16"/>
  <c r="Z1122" i="16"/>
  <c r="AB1125" i="16"/>
  <c r="AB1127" i="16"/>
  <c r="AB1123" i="16"/>
  <c r="X1128" i="16"/>
  <c r="AB1126" i="16"/>
  <c r="AB1124" i="16"/>
  <c r="Y1098" i="16"/>
  <c r="X1098" i="16" s="1"/>
  <c r="D1092" i="16"/>
  <c r="H1092" i="16" s="1"/>
  <c r="X1095" i="16"/>
  <c r="X1064" i="16"/>
  <c r="X1096" i="16"/>
  <c r="X1093" i="16"/>
  <c r="D1063" i="16"/>
  <c r="E1063" i="16" s="1"/>
  <c r="L1063" i="16" s="1"/>
  <c r="X1062" i="16"/>
  <c r="Y1068" i="16"/>
  <c r="AB1063" i="16" s="1"/>
  <c r="X1065" i="16"/>
  <c r="X1066" i="16"/>
  <c r="D1065" i="16"/>
  <c r="G1065" i="16" s="1"/>
  <c r="D1066" i="16"/>
  <c r="J1066" i="16" s="1"/>
  <c r="K1066" i="16" s="1"/>
  <c r="X1063" i="16"/>
  <c r="D1036" i="16"/>
  <c r="X1036" i="16" s="1"/>
  <c r="D1034" i="16"/>
  <c r="D1035" i="16"/>
  <c r="D1037" i="16"/>
  <c r="Y1038" i="16"/>
  <c r="D1006" i="16"/>
  <c r="X1006" i="16" s="1"/>
  <c r="D1005" i="16"/>
  <c r="G1005" i="16" s="1"/>
  <c r="D1007" i="16"/>
  <c r="Y1008" i="16"/>
  <c r="X975" i="16"/>
  <c r="X974" i="16"/>
  <c r="X977" i="16"/>
  <c r="X976" i="16"/>
  <c r="D976" i="16"/>
  <c r="X973" i="16"/>
  <c r="D973" i="16"/>
  <c r="D974" i="16"/>
  <c r="J974" i="16" s="1"/>
  <c r="K974" i="16" s="1"/>
  <c r="D975" i="16"/>
  <c r="H975" i="16" s="1"/>
  <c r="D977" i="16"/>
  <c r="E977" i="16" s="1"/>
  <c r="L977" i="16" s="1"/>
  <c r="X972" i="16"/>
  <c r="Y978" i="16"/>
  <c r="Z972" i="16" s="1"/>
  <c r="X945" i="16"/>
  <c r="H972" i="16"/>
  <c r="G972" i="16"/>
  <c r="F972" i="16"/>
  <c r="J972" i="16"/>
  <c r="K972" i="16" s="1"/>
  <c r="E972" i="16"/>
  <c r="L972" i="16" s="1"/>
  <c r="D947" i="16"/>
  <c r="H947" i="16" s="1"/>
  <c r="X947" i="16"/>
  <c r="X946" i="16"/>
  <c r="D946" i="16"/>
  <c r="X943" i="16"/>
  <c r="D943" i="16"/>
  <c r="D945" i="16"/>
  <c r="G945" i="16" s="1"/>
  <c r="X942" i="16"/>
  <c r="X944" i="16"/>
  <c r="D944" i="16"/>
  <c r="J944" i="16" s="1"/>
  <c r="K944" i="16" s="1"/>
  <c r="Y948" i="16"/>
  <c r="AB947" i="16" s="1"/>
  <c r="H942" i="16"/>
  <c r="G942" i="16"/>
  <c r="F942" i="16"/>
  <c r="J942" i="16"/>
  <c r="E942" i="16"/>
  <c r="L942" i="16" s="1"/>
  <c r="D883" i="16"/>
  <c r="F883" i="16" s="1"/>
  <c r="D611" i="16"/>
  <c r="H611" i="16" s="1"/>
  <c r="D494" i="16"/>
  <c r="D915" i="16"/>
  <c r="D914" i="16"/>
  <c r="X916" i="16"/>
  <c r="X917" i="16"/>
  <c r="D886" i="16"/>
  <c r="F886" i="16" s="1"/>
  <c r="Y887" i="16"/>
  <c r="J917" i="16"/>
  <c r="K917" i="16" s="1"/>
  <c r="J916" i="16"/>
  <c r="K916" i="16" s="1"/>
  <c r="E916" i="16"/>
  <c r="L916" i="16" s="1"/>
  <c r="H916" i="16"/>
  <c r="G916" i="16"/>
  <c r="F916" i="16"/>
  <c r="D885" i="16"/>
  <c r="X885" i="16" s="1"/>
  <c r="D884" i="16"/>
  <c r="Y857" i="16"/>
  <c r="D855" i="16"/>
  <c r="X855" i="16" s="1"/>
  <c r="D854" i="16"/>
  <c r="H854" i="16" s="1"/>
  <c r="D856" i="16"/>
  <c r="Y767" i="16"/>
  <c r="X767" i="16" s="1"/>
  <c r="D764" i="16"/>
  <c r="D793" i="16"/>
  <c r="E793" i="16" s="1"/>
  <c r="L793" i="16" s="1"/>
  <c r="D796" i="16"/>
  <c r="G796" i="16" s="1"/>
  <c r="D766" i="16"/>
  <c r="D765" i="16"/>
  <c r="Z821" i="16"/>
  <c r="AB824" i="16"/>
  <c r="AB826" i="16"/>
  <c r="AB822" i="16"/>
  <c r="X827" i="16"/>
  <c r="AB825" i="16"/>
  <c r="AB823" i="16"/>
  <c r="J822" i="16"/>
  <c r="K822" i="16" s="1"/>
  <c r="H822" i="16"/>
  <c r="G822" i="16"/>
  <c r="F822" i="16"/>
  <c r="E822" i="16"/>
  <c r="L822" i="16" s="1"/>
  <c r="J825" i="16"/>
  <c r="K825" i="16" s="1"/>
  <c r="H825" i="16"/>
  <c r="G825" i="16"/>
  <c r="F825" i="16"/>
  <c r="E825" i="16"/>
  <c r="L825" i="16" s="1"/>
  <c r="E826" i="16"/>
  <c r="L826" i="16" s="1"/>
  <c r="H826" i="16"/>
  <c r="J826" i="16"/>
  <c r="K826" i="16" s="1"/>
  <c r="G826" i="16"/>
  <c r="F826" i="16"/>
  <c r="X793" i="16"/>
  <c r="X791" i="16"/>
  <c r="X795" i="16"/>
  <c r="G823" i="16"/>
  <c r="J823" i="16"/>
  <c r="K823" i="16" s="1"/>
  <c r="H823" i="16"/>
  <c r="F823" i="16"/>
  <c r="E823" i="16"/>
  <c r="L823" i="16" s="1"/>
  <c r="H821" i="16"/>
  <c r="G821" i="16"/>
  <c r="F821" i="16"/>
  <c r="E821" i="16"/>
  <c r="J821" i="16"/>
  <c r="K821" i="16" s="1"/>
  <c r="D794" i="16"/>
  <c r="G794" i="16" s="1"/>
  <c r="G824" i="16"/>
  <c r="F824" i="16"/>
  <c r="E824" i="16"/>
  <c r="L824" i="16" s="1"/>
  <c r="J824" i="16"/>
  <c r="K824" i="16" s="1"/>
  <c r="H824" i="16"/>
  <c r="D795" i="16"/>
  <c r="G795" i="16" s="1"/>
  <c r="Y797" i="16"/>
  <c r="X797" i="16" s="1"/>
  <c r="X794" i="16"/>
  <c r="X796" i="16"/>
  <c r="X792" i="16"/>
  <c r="D792" i="16"/>
  <c r="H791" i="16"/>
  <c r="G791" i="16"/>
  <c r="F791" i="16"/>
  <c r="E791" i="16"/>
  <c r="L791" i="16" s="1"/>
  <c r="J791" i="16"/>
  <c r="H793" i="16"/>
  <c r="D675" i="16"/>
  <c r="X675" i="16" s="1"/>
  <c r="D673" i="16"/>
  <c r="Y677" i="16"/>
  <c r="J735" i="16"/>
  <c r="K735" i="16" s="1"/>
  <c r="H735" i="16"/>
  <c r="G735" i="16"/>
  <c r="F735" i="16"/>
  <c r="E735" i="16"/>
  <c r="L735" i="16" s="1"/>
  <c r="E736" i="16"/>
  <c r="L736" i="16" s="1"/>
  <c r="H736" i="16"/>
  <c r="J736" i="16"/>
  <c r="K736" i="16" s="1"/>
  <c r="G736" i="16"/>
  <c r="F736" i="16"/>
  <c r="J732" i="16"/>
  <c r="K732" i="16" s="1"/>
  <c r="H732" i="16"/>
  <c r="G732" i="16"/>
  <c r="F732" i="16"/>
  <c r="E732" i="16"/>
  <c r="L732" i="16" s="1"/>
  <c r="H731" i="16"/>
  <c r="G731" i="16"/>
  <c r="F731" i="16"/>
  <c r="E731" i="16"/>
  <c r="L731" i="16" s="1"/>
  <c r="J731" i="16"/>
  <c r="J733" i="16"/>
  <c r="K733" i="16" s="1"/>
  <c r="H733" i="16"/>
  <c r="G733" i="16"/>
  <c r="F733" i="16"/>
  <c r="E733" i="16"/>
  <c r="L733" i="16" s="1"/>
  <c r="G734" i="16"/>
  <c r="F734" i="16"/>
  <c r="E734" i="16"/>
  <c r="L734" i="16" s="1"/>
  <c r="J734" i="16"/>
  <c r="K734" i="16" s="1"/>
  <c r="H734" i="16"/>
  <c r="Z731" i="16"/>
  <c r="AB734" i="16"/>
  <c r="AB736" i="16"/>
  <c r="AB732" i="16"/>
  <c r="X737" i="16"/>
  <c r="AB735" i="16"/>
  <c r="AB733" i="16"/>
  <c r="D706" i="16"/>
  <c r="H706" i="16" s="1"/>
  <c r="X703" i="16"/>
  <c r="Y707" i="16"/>
  <c r="D705" i="16"/>
  <c r="X704" i="16"/>
  <c r="X702" i="16"/>
  <c r="D702" i="16"/>
  <c r="X706" i="16"/>
  <c r="D704" i="16"/>
  <c r="X701" i="16"/>
  <c r="X705" i="16"/>
  <c r="G703" i="16"/>
  <c r="J703" i="16"/>
  <c r="E703" i="16"/>
  <c r="L703" i="16" s="1"/>
  <c r="D674" i="16"/>
  <c r="J674" i="16" s="1"/>
  <c r="D676" i="16"/>
  <c r="J676" i="16" s="1"/>
  <c r="X646" i="16"/>
  <c r="X645" i="16"/>
  <c r="D645" i="16"/>
  <c r="X642" i="16"/>
  <c r="D642" i="16"/>
  <c r="X643" i="16"/>
  <c r="D644" i="16"/>
  <c r="G644" i="16" s="1"/>
  <c r="D643" i="16"/>
  <c r="J643" i="16" s="1"/>
  <c r="K643" i="16" s="1"/>
  <c r="D646" i="16"/>
  <c r="G646" i="16" s="1"/>
  <c r="X641" i="16"/>
  <c r="Y647" i="16"/>
  <c r="AB642" i="16" s="1"/>
  <c r="D641" i="16"/>
  <c r="H641" i="16" s="1"/>
  <c r="X584" i="16"/>
  <c r="D583" i="16"/>
  <c r="H583" i="16" s="1"/>
  <c r="X613" i="16"/>
  <c r="X616" i="16"/>
  <c r="X615" i="16"/>
  <c r="D615" i="16"/>
  <c r="X612" i="16"/>
  <c r="D612" i="16"/>
  <c r="D613" i="16"/>
  <c r="H613" i="16" s="1"/>
  <c r="X614" i="16"/>
  <c r="D616" i="16"/>
  <c r="J616" i="16" s="1"/>
  <c r="K616" i="16" s="1"/>
  <c r="D614" i="16"/>
  <c r="G614" i="16" s="1"/>
  <c r="X611" i="16"/>
  <c r="Y557" i="16"/>
  <c r="AB554" i="16" s="1"/>
  <c r="D586" i="16"/>
  <c r="E586" i="16" s="1"/>
  <c r="L586" i="16" s="1"/>
  <c r="D584" i="16"/>
  <c r="E584" i="16" s="1"/>
  <c r="L584" i="16" s="1"/>
  <c r="Z611" i="16"/>
  <c r="AB613" i="16"/>
  <c r="AB614" i="16"/>
  <c r="AB616" i="16"/>
  <c r="AB612" i="16"/>
  <c r="X617" i="16"/>
  <c r="AB615" i="16"/>
  <c r="X585" i="16"/>
  <c r="D585" i="16"/>
  <c r="E585" i="16" s="1"/>
  <c r="L585" i="16" s="1"/>
  <c r="X583" i="16"/>
  <c r="X586" i="16"/>
  <c r="X582" i="16"/>
  <c r="D582" i="16"/>
  <c r="Y587" i="16"/>
  <c r="AB584" i="16" s="1"/>
  <c r="D581" i="16"/>
  <c r="F581" i="16" s="1"/>
  <c r="X553" i="16"/>
  <c r="X554" i="16"/>
  <c r="X556" i="16"/>
  <c r="X555" i="16"/>
  <c r="D555" i="16"/>
  <c r="X552" i="16"/>
  <c r="D552" i="16"/>
  <c r="D553" i="16"/>
  <c r="F553" i="16" s="1"/>
  <c r="D554" i="16"/>
  <c r="G554" i="16" s="1"/>
  <c r="D556" i="16"/>
  <c r="J556" i="16" s="1"/>
  <c r="K556" i="16" s="1"/>
  <c r="X551" i="16"/>
  <c r="X403" i="16"/>
  <c r="D433" i="16"/>
  <c r="E433" i="16" s="1"/>
  <c r="L433" i="16" s="1"/>
  <c r="H551" i="16"/>
  <c r="G551" i="16"/>
  <c r="F551" i="16"/>
  <c r="E551" i="16"/>
  <c r="L551" i="16" s="1"/>
  <c r="J551" i="16"/>
  <c r="K551" i="16" s="1"/>
  <c r="E526" i="16"/>
  <c r="L526" i="16" s="1"/>
  <c r="H526" i="16"/>
  <c r="G526" i="16"/>
  <c r="F526" i="16"/>
  <c r="J526" i="16"/>
  <c r="K526" i="16" s="1"/>
  <c r="J525" i="16"/>
  <c r="K525" i="16" s="1"/>
  <c r="H525" i="16"/>
  <c r="E525" i="16"/>
  <c r="L525" i="16" s="1"/>
  <c r="G525" i="16"/>
  <c r="F525" i="16"/>
  <c r="J522" i="16"/>
  <c r="K522" i="16" s="1"/>
  <c r="G522" i="16"/>
  <c r="H522" i="16"/>
  <c r="F522" i="16"/>
  <c r="E522" i="16"/>
  <c r="L522" i="16" s="1"/>
  <c r="H521" i="16"/>
  <c r="F521" i="16"/>
  <c r="J521" i="16"/>
  <c r="K521" i="16" s="1"/>
  <c r="G521" i="16"/>
  <c r="E521" i="16"/>
  <c r="L521" i="16" s="1"/>
  <c r="Z521" i="16"/>
  <c r="AB523" i="16"/>
  <c r="AB524" i="16"/>
  <c r="AB526" i="16"/>
  <c r="AB522" i="16"/>
  <c r="X527" i="16"/>
  <c r="AB525" i="16"/>
  <c r="D493" i="16"/>
  <c r="J523" i="16"/>
  <c r="K523" i="16" s="1"/>
  <c r="F523" i="16"/>
  <c r="E523" i="16"/>
  <c r="L523" i="16" s="1"/>
  <c r="H523" i="16"/>
  <c r="G523" i="16"/>
  <c r="D436" i="16"/>
  <c r="H436" i="16" s="1"/>
  <c r="D496" i="16"/>
  <c r="F496" i="16" s="1"/>
  <c r="Y497" i="16"/>
  <c r="D495" i="16"/>
  <c r="G524" i="16"/>
  <c r="J524" i="16"/>
  <c r="K524" i="16" s="1"/>
  <c r="F524" i="16"/>
  <c r="E524" i="16"/>
  <c r="L524" i="16" s="1"/>
  <c r="H524" i="16"/>
  <c r="X496" i="16"/>
  <c r="X466" i="16"/>
  <c r="X462" i="16"/>
  <c r="D462" i="16"/>
  <c r="X464" i="16"/>
  <c r="D464" i="16"/>
  <c r="F464" i="16" s="1"/>
  <c r="X465" i="16"/>
  <c r="D461" i="16"/>
  <c r="J461" i="16" s="1"/>
  <c r="D465" i="16"/>
  <c r="H465" i="16" s="1"/>
  <c r="X463" i="16"/>
  <c r="Y467" i="16"/>
  <c r="AB462" i="16" s="1"/>
  <c r="D463" i="16"/>
  <c r="F463" i="16" s="1"/>
  <c r="X461" i="16"/>
  <c r="D466" i="16"/>
  <c r="J466" i="16" s="1"/>
  <c r="K466" i="16" s="1"/>
  <c r="D405" i="16"/>
  <c r="F405" i="16" s="1"/>
  <c r="D403" i="16"/>
  <c r="H403" i="16" s="1"/>
  <c r="D406" i="16"/>
  <c r="F406" i="16" s="1"/>
  <c r="Y407" i="16"/>
  <c r="AB406" i="16" s="1"/>
  <c r="X404" i="16"/>
  <c r="D434" i="16"/>
  <c r="X401" i="16"/>
  <c r="X405" i="16"/>
  <c r="D435" i="16"/>
  <c r="X374" i="16"/>
  <c r="X406" i="16"/>
  <c r="X402" i="16"/>
  <c r="D402" i="16"/>
  <c r="H401" i="16"/>
  <c r="G401" i="16"/>
  <c r="F401" i="16"/>
  <c r="E401" i="16"/>
  <c r="L401" i="16" s="1"/>
  <c r="J401" i="16"/>
  <c r="X313" i="16"/>
  <c r="X373" i="16"/>
  <c r="X376" i="16"/>
  <c r="X375" i="16"/>
  <c r="D375" i="16"/>
  <c r="X372" i="16"/>
  <c r="D372" i="16"/>
  <c r="D373" i="16"/>
  <c r="G373" i="16" s="1"/>
  <c r="D374" i="16"/>
  <c r="E374" i="16" s="1"/>
  <c r="L374" i="16" s="1"/>
  <c r="D376" i="16"/>
  <c r="G376" i="16" s="1"/>
  <c r="X371" i="16"/>
  <c r="Y377" i="16"/>
  <c r="AB372" i="16" s="1"/>
  <c r="D316" i="16"/>
  <c r="E316" i="16" s="1"/>
  <c r="L316" i="16" s="1"/>
  <c r="H371" i="16"/>
  <c r="G371" i="16"/>
  <c r="J371" i="16"/>
  <c r="K371" i="16" s="1"/>
  <c r="F371" i="16"/>
  <c r="E371" i="16"/>
  <c r="L371" i="16" s="1"/>
  <c r="D285" i="16"/>
  <c r="F285" i="16" s="1"/>
  <c r="D314" i="16"/>
  <c r="H314" i="16" s="1"/>
  <c r="H341" i="16"/>
  <c r="E341" i="16"/>
  <c r="L341" i="16" s="1"/>
  <c r="G341" i="16"/>
  <c r="F341" i="16"/>
  <c r="J341" i="16"/>
  <c r="K341" i="16" s="1"/>
  <c r="G344" i="16"/>
  <c r="J344" i="16"/>
  <c r="K344" i="16" s="1"/>
  <c r="H344" i="16"/>
  <c r="F344" i="16"/>
  <c r="E344" i="16"/>
  <c r="L344" i="16" s="1"/>
  <c r="D286" i="16"/>
  <c r="J286" i="16" s="1"/>
  <c r="K286" i="16" s="1"/>
  <c r="D284" i="16"/>
  <c r="X311" i="16"/>
  <c r="X315" i="16"/>
  <c r="E346" i="16"/>
  <c r="L346" i="16" s="1"/>
  <c r="J346" i="16"/>
  <c r="K346" i="16" s="1"/>
  <c r="H346" i="16"/>
  <c r="G346" i="16"/>
  <c r="F346" i="16"/>
  <c r="D315" i="16"/>
  <c r="E315" i="16" s="1"/>
  <c r="L315" i="16" s="1"/>
  <c r="H345" i="16"/>
  <c r="G345" i="16"/>
  <c r="F345" i="16"/>
  <c r="J345" i="16"/>
  <c r="K345" i="16" s="1"/>
  <c r="E345" i="16"/>
  <c r="L345" i="16" s="1"/>
  <c r="Z341" i="16"/>
  <c r="AB342" i="16"/>
  <c r="X347" i="16"/>
  <c r="AB345" i="16"/>
  <c r="AB343" i="16"/>
  <c r="AB344" i="16"/>
  <c r="AB346" i="16"/>
  <c r="D313" i="16"/>
  <c r="E313" i="16" s="1"/>
  <c r="L313" i="16" s="1"/>
  <c r="J343" i="16"/>
  <c r="K343" i="16" s="1"/>
  <c r="G343" i="16"/>
  <c r="F343" i="16"/>
  <c r="E343" i="16"/>
  <c r="L343" i="16" s="1"/>
  <c r="H343" i="16"/>
  <c r="X251" i="16"/>
  <c r="X314" i="16"/>
  <c r="J342" i="16"/>
  <c r="K342" i="16" s="1"/>
  <c r="F342" i="16"/>
  <c r="H342" i="16"/>
  <c r="G342" i="16"/>
  <c r="E342" i="16"/>
  <c r="L342" i="16" s="1"/>
  <c r="X316" i="16"/>
  <c r="X312" i="16"/>
  <c r="D312" i="16"/>
  <c r="D251" i="16"/>
  <c r="H251" i="16" s="1"/>
  <c r="D283" i="16"/>
  <c r="X285" i="16"/>
  <c r="H311" i="16"/>
  <c r="G311" i="16"/>
  <c r="F311" i="16"/>
  <c r="E311" i="16"/>
  <c r="J311" i="16"/>
  <c r="K311" i="16" s="1"/>
  <c r="AB316" i="16"/>
  <c r="AB312" i="16"/>
  <c r="AB313" i="16"/>
  <c r="Y287" i="16"/>
  <c r="X253" i="16"/>
  <c r="X255" i="16"/>
  <c r="D253" i="16"/>
  <c r="F253" i="16" s="1"/>
  <c r="D255" i="16"/>
  <c r="J255" i="16" s="1"/>
  <c r="K255" i="16" s="1"/>
  <c r="D256" i="16"/>
  <c r="E256" i="16" s="1"/>
  <c r="L256" i="16" s="1"/>
  <c r="Y257" i="16"/>
  <c r="AB252" i="16" s="1"/>
  <c r="X254" i="16"/>
  <c r="D101" i="16"/>
  <c r="G101" i="16" s="1"/>
  <c r="X256" i="16"/>
  <c r="X252" i="16"/>
  <c r="D252" i="16"/>
  <c r="G254" i="16"/>
  <c r="F254" i="16"/>
  <c r="E254" i="16"/>
  <c r="L254" i="16" s="1"/>
  <c r="J254" i="16"/>
  <c r="K254" i="16" s="1"/>
  <c r="H254" i="16"/>
  <c r="Y227" i="16"/>
  <c r="D225" i="16"/>
  <c r="X225" i="16" s="1"/>
  <c r="X226" i="16"/>
  <c r="E226" i="16"/>
  <c r="L226" i="16" s="1"/>
  <c r="J226" i="16"/>
  <c r="K226" i="16" s="1"/>
  <c r="H226" i="16"/>
  <c r="F226" i="16"/>
  <c r="G226" i="16"/>
  <c r="Z191" i="16"/>
  <c r="AB194" i="16"/>
  <c r="AB196" i="16"/>
  <c r="AB192" i="16"/>
  <c r="X197" i="16"/>
  <c r="AB195" i="16"/>
  <c r="AB193" i="16"/>
  <c r="J195" i="16"/>
  <c r="K195" i="16" s="1"/>
  <c r="H195" i="16"/>
  <c r="G195" i="16"/>
  <c r="F195" i="16"/>
  <c r="E195" i="16"/>
  <c r="L195" i="16" s="1"/>
  <c r="D73" i="16"/>
  <c r="H73" i="16" s="1"/>
  <c r="E196" i="16"/>
  <c r="L196" i="16" s="1"/>
  <c r="H196" i="16"/>
  <c r="J196" i="16"/>
  <c r="K196" i="16" s="1"/>
  <c r="G196" i="16"/>
  <c r="F196" i="16"/>
  <c r="H191" i="16"/>
  <c r="G191" i="16"/>
  <c r="F191" i="16"/>
  <c r="E191" i="16"/>
  <c r="L191" i="16" s="1"/>
  <c r="J191" i="16"/>
  <c r="K191" i="16" s="1"/>
  <c r="J193" i="16"/>
  <c r="K193" i="16" s="1"/>
  <c r="H193" i="16"/>
  <c r="F193" i="16"/>
  <c r="E193" i="16"/>
  <c r="L193" i="16" s="1"/>
  <c r="G193" i="16"/>
  <c r="X75" i="16"/>
  <c r="J192" i="16"/>
  <c r="K192" i="16" s="1"/>
  <c r="H192" i="16"/>
  <c r="G192" i="16"/>
  <c r="F192" i="16"/>
  <c r="E192" i="16"/>
  <c r="L192" i="16" s="1"/>
  <c r="G194" i="16"/>
  <c r="F194" i="16"/>
  <c r="E194" i="16"/>
  <c r="L194" i="16" s="1"/>
  <c r="J194" i="16"/>
  <c r="K194" i="16" s="1"/>
  <c r="H194" i="16"/>
  <c r="J165" i="16"/>
  <c r="K165" i="16" s="1"/>
  <c r="H165" i="16"/>
  <c r="G165" i="16"/>
  <c r="F165" i="16"/>
  <c r="E165" i="16"/>
  <c r="L165" i="16" s="1"/>
  <c r="Z161" i="16"/>
  <c r="AB164" i="16"/>
  <c r="AB166" i="16"/>
  <c r="AB162" i="16"/>
  <c r="X167" i="16"/>
  <c r="AB165" i="16"/>
  <c r="AB163" i="16"/>
  <c r="E166" i="16"/>
  <c r="L166" i="16" s="1"/>
  <c r="J166" i="16"/>
  <c r="K166" i="16" s="1"/>
  <c r="H166" i="16"/>
  <c r="G166" i="16"/>
  <c r="F166" i="16"/>
  <c r="G163" i="16"/>
  <c r="J163" i="16"/>
  <c r="K163" i="16" s="1"/>
  <c r="H163" i="16"/>
  <c r="F163" i="16"/>
  <c r="E163" i="16"/>
  <c r="L163" i="16" s="1"/>
  <c r="H161" i="16"/>
  <c r="G161" i="16"/>
  <c r="F161" i="16"/>
  <c r="E161" i="16"/>
  <c r="L161" i="16" s="1"/>
  <c r="J161" i="16"/>
  <c r="X74" i="16"/>
  <c r="G164" i="16"/>
  <c r="F164" i="16"/>
  <c r="E164" i="16"/>
  <c r="L164" i="16" s="1"/>
  <c r="J164" i="16"/>
  <c r="K164" i="16" s="1"/>
  <c r="H164" i="16"/>
  <c r="J162" i="16"/>
  <c r="K162" i="16" s="1"/>
  <c r="H162" i="16"/>
  <c r="G162" i="16"/>
  <c r="F162" i="16"/>
  <c r="E162" i="16"/>
  <c r="L162" i="16" s="1"/>
  <c r="Y137" i="16"/>
  <c r="D135" i="16"/>
  <c r="X132" i="16"/>
  <c r="X134" i="16"/>
  <c r="D132" i="16"/>
  <c r="X136" i="16"/>
  <c r="X131" i="16"/>
  <c r="D134" i="16"/>
  <c r="X135" i="16"/>
  <c r="D131" i="16"/>
  <c r="X133" i="16"/>
  <c r="D133" i="16"/>
  <c r="E133" i="16" s="1"/>
  <c r="L133" i="16" s="1"/>
  <c r="Y107" i="16"/>
  <c r="AB102" i="16" s="1"/>
  <c r="E136" i="16"/>
  <c r="L136" i="16" s="1"/>
  <c r="J136" i="16"/>
  <c r="K136" i="16" s="1"/>
  <c r="G136" i="16"/>
  <c r="F136" i="16"/>
  <c r="H136" i="16"/>
  <c r="D75" i="16"/>
  <c r="J75" i="16" s="1"/>
  <c r="K75" i="16" s="1"/>
  <c r="X106" i="16"/>
  <c r="X105" i="16"/>
  <c r="D105" i="16"/>
  <c r="X102" i="16"/>
  <c r="D102" i="16"/>
  <c r="D103" i="16"/>
  <c r="J103" i="16" s="1"/>
  <c r="K103" i="16" s="1"/>
  <c r="X104" i="16"/>
  <c r="D106" i="16"/>
  <c r="G106" i="16" s="1"/>
  <c r="D104" i="16"/>
  <c r="F104" i="16" s="1"/>
  <c r="X101" i="16"/>
  <c r="Y77" i="16"/>
  <c r="Z71" i="16" s="1"/>
  <c r="X76" i="16"/>
  <c r="D74" i="16"/>
  <c r="F74" i="16" s="1"/>
  <c r="X72" i="16"/>
  <c r="X73" i="16"/>
  <c r="X71" i="16"/>
  <c r="D71" i="16"/>
  <c r="G71" i="16" s="1"/>
  <c r="D76" i="16"/>
  <c r="H76" i="16" s="1"/>
  <c r="J72" i="16"/>
  <c r="K72" i="16" s="1"/>
  <c r="H72" i="16"/>
  <c r="G72" i="16"/>
  <c r="F72" i="16"/>
  <c r="E72" i="16"/>
  <c r="L72" i="16" s="1"/>
  <c r="D92" i="50"/>
  <c r="D84" i="50"/>
  <c r="D60" i="50"/>
  <c r="D52" i="50"/>
  <c r="D44" i="50"/>
  <c r="D36" i="50"/>
  <c r="D28" i="50"/>
  <c r="D20" i="50"/>
  <c r="D76" i="50"/>
  <c r="D99" i="50"/>
  <c r="D83" i="50"/>
  <c r="D67" i="50"/>
  <c r="D43" i="50"/>
  <c r="D27" i="50"/>
  <c r="D106" i="50"/>
  <c r="D90" i="50"/>
  <c r="D74" i="50"/>
  <c r="D58" i="50"/>
  <c r="D50" i="50"/>
  <c r="D26" i="50"/>
  <c r="C100" i="50"/>
  <c r="C68" i="50"/>
  <c r="D107" i="50"/>
  <c r="D91" i="50"/>
  <c r="D75" i="50"/>
  <c r="D59" i="50"/>
  <c r="D51" i="50"/>
  <c r="D35" i="50"/>
  <c r="D98" i="50"/>
  <c r="D82" i="50"/>
  <c r="D66" i="50"/>
  <c r="D42" i="50"/>
  <c r="D34" i="50"/>
  <c r="J25" i="16"/>
  <c r="J33" i="16"/>
  <c r="B25" i="16"/>
  <c r="B26" i="16" s="1"/>
  <c r="B27" i="16" s="1"/>
  <c r="B28" i="16" s="1"/>
  <c r="B29" i="16" s="1"/>
  <c r="B30" i="16" s="1"/>
  <c r="B31" i="16" s="1"/>
  <c r="B32" i="16" s="1"/>
  <c r="B33" i="16" s="1"/>
  <c r="J32" i="16"/>
  <c r="J31" i="16"/>
  <c r="J30" i="16"/>
  <c r="J29" i="16"/>
  <c r="J28" i="16"/>
  <c r="J27" i="16"/>
  <c r="J26" i="16"/>
  <c r="G10" i="17"/>
  <c r="H917" i="16" l="1"/>
  <c r="F2204" i="16"/>
  <c r="E2353" i="16"/>
  <c r="L2353" i="16" s="1"/>
  <c r="F917" i="16"/>
  <c r="Z917" i="16" s="1"/>
  <c r="AB917" i="16" s="1"/>
  <c r="G2204" i="16"/>
  <c r="G2353" i="16"/>
  <c r="X1635" i="16"/>
  <c r="Z1635" i="16" s="1"/>
  <c r="AB1635" i="16" s="1"/>
  <c r="G917" i="16"/>
  <c r="H2204" i="16"/>
  <c r="Z1636" i="16"/>
  <c r="AB1636" i="16" s="1"/>
  <c r="J2353" i="16"/>
  <c r="K2353" i="16" s="1"/>
  <c r="F2207" i="16"/>
  <c r="Z2207" i="16" s="1"/>
  <c r="AB2207" i="16" s="1"/>
  <c r="J2207" i="16"/>
  <c r="K2207" i="16" s="1"/>
  <c r="F2353" i="16"/>
  <c r="AB315" i="16"/>
  <c r="AB314" i="16"/>
  <c r="H703" i="16"/>
  <c r="E2206" i="16"/>
  <c r="L2206" i="16" s="1"/>
  <c r="H2356" i="16"/>
  <c r="X317" i="16"/>
  <c r="J2206" i="16"/>
  <c r="K2206" i="16" s="1"/>
  <c r="E2592" i="16"/>
  <c r="L2592" i="16" s="1"/>
  <c r="H2592" i="16"/>
  <c r="J2597" i="16"/>
  <c r="K2597" i="16" s="1"/>
  <c r="J2357" i="16"/>
  <c r="K2357" i="16" s="1"/>
  <c r="H2205" i="16"/>
  <c r="H2355" i="16"/>
  <c r="X1787" i="16"/>
  <c r="F2206" i="16"/>
  <c r="Z2206" i="16" s="1"/>
  <c r="AB2206" i="16" s="1"/>
  <c r="F2357" i="16"/>
  <c r="J2354" i="16"/>
  <c r="K2354" i="16" s="1"/>
  <c r="J2355" i="16"/>
  <c r="K2355" i="16" s="1"/>
  <c r="J2386" i="16"/>
  <c r="K2386" i="16" s="1"/>
  <c r="E2595" i="16"/>
  <c r="L2595" i="16" s="1"/>
  <c r="G2206" i="16"/>
  <c r="G2357" i="16"/>
  <c r="G2354" i="16"/>
  <c r="F2354" i="16"/>
  <c r="X286" i="16"/>
  <c r="H2206" i="16"/>
  <c r="X2297" i="16"/>
  <c r="H2357" i="16"/>
  <c r="J1095" i="16"/>
  <c r="K1095" i="16" s="1"/>
  <c r="X1426" i="16"/>
  <c r="F2592" i="16"/>
  <c r="X1187" i="16"/>
  <c r="X1487" i="16"/>
  <c r="G2207" i="16"/>
  <c r="X433" i="16"/>
  <c r="X854" i="16"/>
  <c r="H2207" i="16"/>
  <c r="G2597" i="16"/>
  <c r="Z2592" i="16"/>
  <c r="AB2592" i="16" s="1"/>
  <c r="X1935" i="16"/>
  <c r="E1935" i="16"/>
  <c r="F673" i="16"/>
  <c r="J673" i="16"/>
  <c r="K673" i="16" s="1"/>
  <c r="E675" i="16"/>
  <c r="L675" i="16" s="1"/>
  <c r="J675" i="16"/>
  <c r="E853" i="16"/>
  <c r="L853" i="16" s="1"/>
  <c r="F853" i="16"/>
  <c r="G853" i="16"/>
  <c r="H853" i="16"/>
  <c r="J853" i="16"/>
  <c r="K853" i="16" s="1"/>
  <c r="X1637" i="16"/>
  <c r="X2387" i="16"/>
  <c r="E2597" i="16"/>
  <c r="L2597" i="16" s="1"/>
  <c r="X436" i="16"/>
  <c r="X673" i="16"/>
  <c r="X886" i="16"/>
  <c r="Z886" i="16" s="1"/>
  <c r="AB886" i="16" s="1"/>
  <c r="X883" i="16"/>
  <c r="X1307" i="16"/>
  <c r="X1337" i="16"/>
  <c r="X1424" i="16"/>
  <c r="Z1424" i="16" s="1"/>
  <c r="AB1424" i="16" s="1"/>
  <c r="X1306" i="16"/>
  <c r="F2597" i="16"/>
  <c r="E2507" i="16"/>
  <c r="L2507" i="16" s="1"/>
  <c r="X2507" i="16"/>
  <c r="F2505" i="16"/>
  <c r="X2505" i="16"/>
  <c r="G2504" i="16"/>
  <c r="X2504" i="16"/>
  <c r="H1844" i="16"/>
  <c r="X1844" i="16"/>
  <c r="J1846" i="16"/>
  <c r="K1846" i="16" s="1"/>
  <c r="X1846" i="16"/>
  <c r="G1845" i="16"/>
  <c r="X1845" i="16"/>
  <c r="E1937" i="16"/>
  <c r="L1937" i="16" s="1"/>
  <c r="X1937" i="16"/>
  <c r="H1305" i="16"/>
  <c r="X1305" i="16"/>
  <c r="G1304" i="16"/>
  <c r="X1304" i="16"/>
  <c r="F1784" i="16"/>
  <c r="X1784" i="16"/>
  <c r="E1247" i="16"/>
  <c r="L1247" i="16" s="1"/>
  <c r="X1247" i="16"/>
  <c r="J1245" i="16"/>
  <c r="K1245" i="16" s="1"/>
  <c r="X1245" i="16"/>
  <c r="J1244" i="16"/>
  <c r="K1244" i="16" s="1"/>
  <c r="X1244" i="16"/>
  <c r="J1634" i="16"/>
  <c r="K1634" i="16" s="1"/>
  <c r="X1634" i="16"/>
  <c r="H1184" i="16"/>
  <c r="X1184" i="16"/>
  <c r="J1186" i="16"/>
  <c r="K1186" i="16" s="1"/>
  <c r="X1186" i="16"/>
  <c r="E1185" i="16"/>
  <c r="L1185" i="16" s="1"/>
  <c r="X1185" i="16"/>
  <c r="E2385" i="16"/>
  <c r="L2385" i="16" s="1"/>
  <c r="X2385" i="16"/>
  <c r="G2386" i="16"/>
  <c r="X2386" i="16"/>
  <c r="J2384" i="16"/>
  <c r="K2384" i="16" s="1"/>
  <c r="X2384" i="16"/>
  <c r="J1484" i="16"/>
  <c r="K1484" i="16" s="1"/>
  <c r="X1484" i="16"/>
  <c r="G1486" i="16"/>
  <c r="X1486" i="16"/>
  <c r="F1485" i="16"/>
  <c r="X1485" i="16"/>
  <c r="J2294" i="16"/>
  <c r="K2294" i="16" s="1"/>
  <c r="X2294" i="16"/>
  <c r="J2296" i="16"/>
  <c r="K2296" i="16" s="1"/>
  <c r="X2296" i="16"/>
  <c r="E2295" i="16"/>
  <c r="L2295" i="16" s="1"/>
  <c r="X2295" i="16"/>
  <c r="E1037" i="16"/>
  <c r="L1037" i="16" s="1"/>
  <c r="X1037" i="16"/>
  <c r="J1035" i="16"/>
  <c r="K1035" i="16" s="1"/>
  <c r="X1035" i="16"/>
  <c r="H1034" i="16"/>
  <c r="X1034" i="16"/>
  <c r="J1427" i="16"/>
  <c r="K1427" i="16" s="1"/>
  <c r="X1427" i="16"/>
  <c r="J1425" i="16"/>
  <c r="K1425" i="16" s="1"/>
  <c r="X1425" i="16"/>
  <c r="E1007" i="16"/>
  <c r="L1007" i="16" s="1"/>
  <c r="X1007" i="16"/>
  <c r="E1005" i="16"/>
  <c r="L1005" i="16" s="1"/>
  <c r="X1005" i="16"/>
  <c r="F914" i="16"/>
  <c r="X914" i="16"/>
  <c r="F915" i="16"/>
  <c r="X915" i="16"/>
  <c r="F676" i="16"/>
  <c r="X676" i="16"/>
  <c r="G674" i="16"/>
  <c r="X674" i="16"/>
  <c r="G884" i="16"/>
  <c r="X884" i="16"/>
  <c r="X853" i="16"/>
  <c r="E856" i="16"/>
  <c r="X856" i="16"/>
  <c r="F495" i="16"/>
  <c r="X495" i="16"/>
  <c r="G493" i="16"/>
  <c r="X493" i="16"/>
  <c r="J494" i="16"/>
  <c r="K494" i="16" s="1"/>
  <c r="X494" i="16"/>
  <c r="E765" i="16"/>
  <c r="L765" i="16" s="1"/>
  <c r="X765" i="16"/>
  <c r="H766" i="16"/>
  <c r="X766" i="16"/>
  <c r="F764" i="16"/>
  <c r="X764" i="16"/>
  <c r="F2205" i="16"/>
  <c r="X2205" i="16"/>
  <c r="G435" i="16"/>
  <c r="X435" i="16"/>
  <c r="G434" i="16"/>
  <c r="X434" i="16"/>
  <c r="G283" i="16"/>
  <c r="X283" i="16"/>
  <c r="J284" i="16"/>
  <c r="K284" i="16" s="1"/>
  <c r="X284" i="16"/>
  <c r="J2205" i="16"/>
  <c r="K2205" i="16" s="1"/>
  <c r="E2205" i="16"/>
  <c r="L2205" i="16" s="1"/>
  <c r="Z2204" i="16"/>
  <c r="AB2204" i="16" s="1"/>
  <c r="G2594" i="16"/>
  <c r="J2504" i="16"/>
  <c r="K2504" i="16" s="1"/>
  <c r="H2594" i="16"/>
  <c r="Z2718" i="16"/>
  <c r="AB2712" i="16"/>
  <c r="AB2593" i="16"/>
  <c r="H2718" i="16"/>
  <c r="AB2597" i="16"/>
  <c r="H2504" i="16"/>
  <c r="J2718" i="16"/>
  <c r="E2594" i="16"/>
  <c r="L2594" i="16" s="1"/>
  <c r="E2505" i="16"/>
  <c r="L2505" i="16" s="1"/>
  <c r="J2592" i="16"/>
  <c r="AB2596" i="16"/>
  <c r="G2595" i="16"/>
  <c r="AB2595" i="16"/>
  <c r="AB2358" i="16"/>
  <c r="F2504" i="16"/>
  <c r="J2595" i="16"/>
  <c r="K2595" i="16" s="1"/>
  <c r="J2594" i="16"/>
  <c r="K2594" i="16" s="1"/>
  <c r="AB2594" i="16"/>
  <c r="H2595" i="16"/>
  <c r="F2507" i="16"/>
  <c r="J2507" i="16"/>
  <c r="K2507" i="16" s="1"/>
  <c r="H2507" i="16"/>
  <c r="J2593" i="16"/>
  <c r="K2593" i="16" s="1"/>
  <c r="H2593" i="16"/>
  <c r="F2593" i="16"/>
  <c r="G2593" i="16"/>
  <c r="E2593" i="16"/>
  <c r="L2593" i="16" s="1"/>
  <c r="E2596" i="16"/>
  <c r="L2596" i="16" s="1"/>
  <c r="J2596" i="16"/>
  <c r="K2596" i="16" s="1"/>
  <c r="H2596" i="16"/>
  <c r="G2596" i="16"/>
  <c r="F2596" i="16"/>
  <c r="H404" i="16"/>
  <c r="J2505" i="16"/>
  <c r="K2505" i="16" s="1"/>
  <c r="J404" i="16"/>
  <c r="K404" i="16" s="1"/>
  <c r="J2418" i="16"/>
  <c r="AA2358" i="16"/>
  <c r="H2505" i="16"/>
  <c r="E404" i="16"/>
  <c r="L404" i="16" s="1"/>
  <c r="G2505" i="16"/>
  <c r="F404" i="16"/>
  <c r="K2592" i="16"/>
  <c r="Z2568" i="16"/>
  <c r="AB2562" i="16"/>
  <c r="H2568" i="16"/>
  <c r="F2297" i="16"/>
  <c r="H2297" i="16"/>
  <c r="J2568" i="16"/>
  <c r="H2538" i="16"/>
  <c r="J2538" i="16"/>
  <c r="G2507" i="16"/>
  <c r="K2532" i="16"/>
  <c r="Z2538" i="16"/>
  <c r="AB2532" i="16"/>
  <c r="L2532" i="16"/>
  <c r="E2504" i="16"/>
  <c r="L2504" i="16" s="1"/>
  <c r="F2506" i="16"/>
  <c r="Z2506" i="16" s="1"/>
  <c r="AB2506" i="16" s="1"/>
  <c r="J2506" i="16"/>
  <c r="K2506" i="16" s="1"/>
  <c r="H2506" i="16"/>
  <c r="E2506" i="16"/>
  <c r="L2506" i="16" s="1"/>
  <c r="G2506" i="16"/>
  <c r="H2352" i="16"/>
  <c r="Z2358" i="16"/>
  <c r="E2352" i="16"/>
  <c r="L2352" i="16" s="1"/>
  <c r="F2352" i="16"/>
  <c r="H2478" i="16"/>
  <c r="Z2478" i="16"/>
  <c r="AB2472" i="16"/>
  <c r="J2385" i="16"/>
  <c r="K2385" i="16" s="1"/>
  <c r="F2385" i="16"/>
  <c r="H2294" i="16"/>
  <c r="J2478" i="16"/>
  <c r="K2472" i="16"/>
  <c r="G2385" i="16"/>
  <c r="G2297" i="16"/>
  <c r="E2384" i="16"/>
  <c r="L2384" i="16" s="1"/>
  <c r="E494" i="16"/>
  <c r="L494" i="16" s="1"/>
  <c r="J2297" i="16"/>
  <c r="K2297" i="16" s="1"/>
  <c r="G2384" i="16"/>
  <c r="G2294" i="16"/>
  <c r="H2385" i="16"/>
  <c r="H2384" i="16"/>
  <c r="G1544" i="16"/>
  <c r="G2295" i="16"/>
  <c r="H2418" i="16"/>
  <c r="G1602" i="16"/>
  <c r="F2384" i="16"/>
  <c r="L2412" i="16"/>
  <c r="G2356" i="16"/>
  <c r="F2356" i="16"/>
  <c r="E2356" i="16"/>
  <c r="L2356" i="16" s="1"/>
  <c r="F2387" i="16"/>
  <c r="Z2418" i="16"/>
  <c r="AB2412" i="16"/>
  <c r="E1544" i="16"/>
  <c r="L1544" i="16" s="1"/>
  <c r="G2296" i="16"/>
  <c r="H2387" i="16"/>
  <c r="E2355" i="16"/>
  <c r="L2355" i="16" s="1"/>
  <c r="F2355" i="16"/>
  <c r="H2296" i="16"/>
  <c r="K2412" i="16"/>
  <c r="G2387" i="16"/>
  <c r="E2386" i="16"/>
  <c r="L2386" i="16" s="1"/>
  <c r="F2386" i="16"/>
  <c r="J2387" i="16"/>
  <c r="K2387" i="16" s="1"/>
  <c r="E2296" i="16"/>
  <c r="L2296" i="16" s="1"/>
  <c r="J2295" i="16"/>
  <c r="K2295" i="16" s="1"/>
  <c r="F2296" i="16"/>
  <c r="F2295" i="16"/>
  <c r="AB1667" i="16"/>
  <c r="F2294" i="16"/>
  <c r="H2295" i="16"/>
  <c r="Z1662" i="16"/>
  <c r="AB1662" i="16" s="1"/>
  <c r="Z1542" i="16"/>
  <c r="X2298" i="16"/>
  <c r="H1544" i="16"/>
  <c r="J2268" i="16"/>
  <c r="J1544" i="16"/>
  <c r="K1544" i="16" s="1"/>
  <c r="AB1664" i="16"/>
  <c r="E2294" i="16"/>
  <c r="L2294" i="16" s="1"/>
  <c r="AB1603" i="16"/>
  <c r="AB1545" i="16"/>
  <c r="H1845" i="16"/>
  <c r="X1608" i="16"/>
  <c r="K2262" i="16"/>
  <c r="Z2268" i="16"/>
  <c r="AB2262" i="16"/>
  <c r="H2268" i="16"/>
  <c r="Z2238" i="16"/>
  <c r="AB2232" i="16"/>
  <c r="H2238" i="16"/>
  <c r="J2238" i="16"/>
  <c r="E1602" i="16"/>
  <c r="L1602" i="16" s="1"/>
  <c r="AB1666" i="16"/>
  <c r="AB1663" i="16"/>
  <c r="J2178" i="16"/>
  <c r="K2172" i="16"/>
  <c r="Z2178" i="16"/>
  <c r="AB2172" i="16"/>
  <c r="H2178" i="16"/>
  <c r="H1542" i="16"/>
  <c r="J2148" i="16"/>
  <c r="H2148" i="16"/>
  <c r="J1542" i="16"/>
  <c r="K1542" i="16" s="1"/>
  <c r="L2142" i="16"/>
  <c r="E1542" i="16"/>
  <c r="L1542" i="16" s="1"/>
  <c r="F1542" i="16"/>
  <c r="AB1604" i="16"/>
  <c r="AB1606" i="16"/>
  <c r="AB1607" i="16"/>
  <c r="K2142" i="16"/>
  <c r="Z2148" i="16"/>
  <c r="AB2142" i="16"/>
  <c r="AB1546" i="16"/>
  <c r="X1668" i="16"/>
  <c r="X1548" i="16"/>
  <c r="AB1543" i="16"/>
  <c r="H2058" i="16"/>
  <c r="F1847" i="16"/>
  <c r="Z1847" i="16" s="1"/>
  <c r="AB1847" i="16" s="1"/>
  <c r="J1845" i="16"/>
  <c r="K1845" i="16" s="1"/>
  <c r="AB1363" i="16"/>
  <c r="E1845" i="16"/>
  <c r="L1845" i="16" s="1"/>
  <c r="AB1367" i="16"/>
  <c r="F1845" i="16"/>
  <c r="J1937" i="16"/>
  <c r="K1937" i="16" s="1"/>
  <c r="H1847" i="16"/>
  <c r="E1844" i="16"/>
  <c r="L1844" i="16" s="1"/>
  <c r="J1968" i="16"/>
  <c r="J2058" i="16"/>
  <c r="G1844" i="16"/>
  <c r="K2052" i="16"/>
  <c r="J1844" i="16"/>
  <c r="K1844" i="16" s="1"/>
  <c r="L2052" i="16"/>
  <c r="Z2058" i="16"/>
  <c r="AB2052" i="16"/>
  <c r="H1846" i="16"/>
  <c r="F1605" i="16"/>
  <c r="E1847" i="16"/>
  <c r="L1847" i="16" s="1"/>
  <c r="H1937" i="16"/>
  <c r="F1937" i="16"/>
  <c r="Z1937" i="16" s="1"/>
  <c r="AB1937" i="16" s="1"/>
  <c r="G1937" i="16"/>
  <c r="H1968" i="16"/>
  <c r="Z1968" i="16"/>
  <c r="AB1962" i="16"/>
  <c r="E1846" i="16"/>
  <c r="L1846" i="16" s="1"/>
  <c r="G1605" i="16"/>
  <c r="K1962" i="16"/>
  <c r="G1935" i="16"/>
  <c r="J1935" i="16"/>
  <c r="K1935" i="16" s="1"/>
  <c r="H1935" i="16"/>
  <c r="F1935" i="16"/>
  <c r="L1935" i="16"/>
  <c r="E1936" i="16"/>
  <c r="L1936" i="16" s="1"/>
  <c r="G1936" i="16"/>
  <c r="J1936" i="16"/>
  <c r="K1936" i="16" s="1"/>
  <c r="F1936" i="16"/>
  <c r="Z1936" i="16" s="1"/>
  <c r="AB1936" i="16" s="1"/>
  <c r="H1936" i="16"/>
  <c r="X1938" i="16"/>
  <c r="G1846" i="16"/>
  <c r="G1424" i="16"/>
  <c r="AB1573" i="16"/>
  <c r="E1604" i="16"/>
  <c r="L1604" i="16" s="1"/>
  <c r="F1846" i="16"/>
  <c r="Z1846" i="16" s="1"/>
  <c r="AB1846" i="16" s="1"/>
  <c r="H1426" i="16"/>
  <c r="F1546" i="16"/>
  <c r="G1847" i="16"/>
  <c r="AB1574" i="16"/>
  <c r="E1606" i="16"/>
  <c r="L1606" i="16" s="1"/>
  <c r="H1784" i="16"/>
  <c r="Z1908" i="16"/>
  <c r="AB1902" i="16"/>
  <c r="H1908" i="16"/>
  <c r="J1784" i="16"/>
  <c r="K1784" i="16" s="1"/>
  <c r="J1908" i="16"/>
  <c r="J1602" i="16"/>
  <c r="K1602" i="16" s="1"/>
  <c r="G1784" i="16"/>
  <c r="X1848" i="16"/>
  <c r="F1844" i="16"/>
  <c r="AB1364" i="16"/>
  <c r="H1787" i="16"/>
  <c r="E1784" i="16"/>
  <c r="L1784" i="16" s="1"/>
  <c r="F1787" i="16"/>
  <c r="E643" i="16"/>
  <c r="L643" i="16" s="1"/>
  <c r="F1425" i="16"/>
  <c r="F1487" i="16"/>
  <c r="Z1487" i="16" s="1"/>
  <c r="AB1487" i="16" s="1"/>
  <c r="E1787" i="16"/>
  <c r="L1787" i="16" s="1"/>
  <c r="Z1362" i="16"/>
  <c r="AB1362" i="16" s="1"/>
  <c r="E1487" i="16"/>
  <c r="L1487" i="16" s="1"/>
  <c r="G1546" i="16"/>
  <c r="E1426" i="16"/>
  <c r="L1426" i="16" s="1"/>
  <c r="J1818" i="16"/>
  <c r="E1545" i="16"/>
  <c r="L1545" i="16" s="1"/>
  <c r="J1604" i="16"/>
  <c r="K1604" i="16" s="1"/>
  <c r="F1426" i="16"/>
  <c r="F1607" i="16"/>
  <c r="E1605" i="16"/>
  <c r="L1605" i="16" s="1"/>
  <c r="G1666" i="16"/>
  <c r="H1667" i="16"/>
  <c r="J1787" i="16"/>
  <c r="K1787" i="16" s="1"/>
  <c r="Z1818" i="16"/>
  <c r="AB1812" i="16"/>
  <c r="E1607" i="16"/>
  <c r="L1607" i="16" s="1"/>
  <c r="E1634" i="16"/>
  <c r="L1634" i="16" s="1"/>
  <c r="J1666" i="16"/>
  <c r="K1666" i="16" s="1"/>
  <c r="H1818" i="16"/>
  <c r="J1665" i="16"/>
  <c r="K1665" i="16" s="1"/>
  <c r="G1786" i="16"/>
  <c r="E1786" i="16"/>
  <c r="L1786" i="16" s="1"/>
  <c r="H1786" i="16"/>
  <c r="J1786" i="16"/>
  <c r="K1786" i="16" s="1"/>
  <c r="F1786" i="16"/>
  <c r="Z1786" i="16" s="1"/>
  <c r="AB1786" i="16" s="1"/>
  <c r="X1788" i="16"/>
  <c r="G1785" i="16"/>
  <c r="J1785" i="16"/>
  <c r="K1785" i="16" s="1"/>
  <c r="H1785" i="16"/>
  <c r="F1785" i="16"/>
  <c r="Z1785" i="16" s="1"/>
  <c r="AB1785" i="16" s="1"/>
  <c r="E1785" i="16"/>
  <c r="L1785" i="16" s="1"/>
  <c r="E1637" i="16"/>
  <c r="L1637" i="16" s="1"/>
  <c r="AB1544" i="16"/>
  <c r="H1607" i="16"/>
  <c r="H1606" i="16"/>
  <c r="F1602" i="16"/>
  <c r="H1635" i="16"/>
  <c r="H1666" i="16"/>
  <c r="E1546" i="16"/>
  <c r="L1546" i="16" s="1"/>
  <c r="J1606" i="16"/>
  <c r="K1606" i="16" s="1"/>
  <c r="AB1366" i="16"/>
  <c r="H1424" i="16"/>
  <c r="J1546" i="16"/>
  <c r="K1546" i="16" s="1"/>
  <c r="G1604" i="16"/>
  <c r="G1665" i="16"/>
  <c r="E1664" i="16"/>
  <c r="L1664" i="16" s="1"/>
  <c r="J1637" i="16"/>
  <c r="K1637" i="16" s="1"/>
  <c r="G1547" i="16"/>
  <c r="E1635" i="16"/>
  <c r="L1635" i="16" s="1"/>
  <c r="H1758" i="16"/>
  <c r="J1547" i="16"/>
  <c r="K1547" i="16" s="1"/>
  <c r="E1547" i="16"/>
  <c r="L1547" i="16" s="1"/>
  <c r="F1606" i="16"/>
  <c r="H1665" i="16"/>
  <c r="J1758" i="16"/>
  <c r="J1664" i="16"/>
  <c r="K1664" i="16" s="1"/>
  <c r="K1752" i="16"/>
  <c r="J1605" i="16"/>
  <c r="K1605" i="16" s="1"/>
  <c r="J1635" i="16"/>
  <c r="K1635" i="16" s="1"/>
  <c r="L1752" i="16"/>
  <c r="Z1758" i="16"/>
  <c r="AB1752" i="16"/>
  <c r="J1607" i="16"/>
  <c r="K1607" i="16" s="1"/>
  <c r="H1604" i="16"/>
  <c r="Z1602" i="16"/>
  <c r="G1637" i="16"/>
  <c r="G1635" i="16"/>
  <c r="F1666" i="16"/>
  <c r="F1665" i="16"/>
  <c r="G1667" i="16"/>
  <c r="J1574" i="16"/>
  <c r="K1574" i="16" s="1"/>
  <c r="J1667" i="16"/>
  <c r="K1667" i="16" s="1"/>
  <c r="J1365" i="16"/>
  <c r="K1365" i="16" s="1"/>
  <c r="G1574" i="16"/>
  <c r="F1365" i="16"/>
  <c r="G1545" i="16"/>
  <c r="F1637" i="16"/>
  <c r="F1667" i="16"/>
  <c r="F1634" i="16"/>
  <c r="F1664" i="16"/>
  <c r="H1634" i="16"/>
  <c r="H1664" i="16"/>
  <c r="E1575" i="16"/>
  <c r="L1575" i="16" s="1"/>
  <c r="G1634" i="16"/>
  <c r="J1575" i="16"/>
  <c r="K1575" i="16" s="1"/>
  <c r="J1545" i="16"/>
  <c r="K1545" i="16" s="1"/>
  <c r="AB1576" i="16"/>
  <c r="E1574" i="16"/>
  <c r="L1574" i="16" s="1"/>
  <c r="J1663" i="16"/>
  <c r="G1663" i="16"/>
  <c r="F1663" i="16"/>
  <c r="H1663" i="16"/>
  <c r="E1663" i="16"/>
  <c r="F1486" i="16"/>
  <c r="H1574" i="16"/>
  <c r="K1662" i="16"/>
  <c r="J1603" i="16"/>
  <c r="K1603" i="16" s="1"/>
  <c r="G1603" i="16"/>
  <c r="F1603" i="16"/>
  <c r="H1603" i="16"/>
  <c r="X1578" i="16"/>
  <c r="AB1577" i="16"/>
  <c r="G1427" i="16"/>
  <c r="G1425" i="16"/>
  <c r="AB1575" i="16"/>
  <c r="J1064" i="16"/>
  <c r="K1064" i="16" s="1"/>
  <c r="E1427" i="16"/>
  <c r="L1427" i="16" s="1"/>
  <c r="G1064" i="16"/>
  <c r="G1485" i="16"/>
  <c r="G1487" i="16"/>
  <c r="H1547" i="16"/>
  <c r="F1545" i="16"/>
  <c r="J1577" i="16"/>
  <c r="K1577" i="16" s="1"/>
  <c r="H1577" i="16"/>
  <c r="E1395" i="16"/>
  <c r="L1395" i="16" s="1"/>
  <c r="H1427" i="16"/>
  <c r="F1577" i="16"/>
  <c r="E1484" i="16"/>
  <c r="L1484" i="16" s="1"/>
  <c r="G1577" i="16"/>
  <c r="H1484" i="16"/>
  <c r="H1306" i="16"/>
  <c r="J1573" i="16"/>
  <c r="K1573" i="16" s="1"/>
  <c r="E1573" i="16"/>
  <c r="L1573" i="16" s="1"/>
  <c r="H1573" i="16"/>
  <c r="F1573" i="16"/>
  <c r="G1573" i="16"/>
  <c r="H1575" i="16"/>
  <c r="H1576" i="16"/>
  <c r="F1576" i="16"/>
  <c r="G1576" i="16"/>
  <c r="E1576" i="16"/>
  <c r="L1576" i="16" s="1"/>
  <c r="J1576" i="16"/>
  <c r="K1576" i="16" s="1"/>
  <c r="K1572" i="16"/>
  <c r="F1575" i="16"/>
  <c r="J1307" i="16"/>
  <c r="K1307" i="16" s="1"/>
  <c r="F1484" i="16"/>
  <c r="E1485" i="16"/>
  <c r="L1485" i="16" s="1"/>
  <c r="L1572" i="16"/>
  <c r="J1486" i="16"/>
  <c r="K1486" i="16" s="1"/>
  <c r="AB1572" i="16"/>
  <c r="G1484" i="16"/>
  <c r="H1485" i="16"/>
  <c r="X1488" i="16"/>
  <c r="J1543" i="16"/>
  <c r="E1543" i="16"/>
  <c r="L1543" i="16" s="1"/>
  <c r="H1543" i="16"/>
  <c r="F1543" i="16"/>
  <c r="G1543" i="16"/>
  <c r="J1485" i="16"/>
  <c r="K1485" i="16" s="1"/>
  <c r="H1486" i="16"/>
  <c r="F1306" i="16"/>
  <c r="Z1306" i="16" s="1"/>
  <c r="AB1306" i="16" s="1"/>
  <c r="J1362" i="16"/>
  <c r="K1362" i="16" s="1"/>
  <c r="E1486" i="16"/>
  <c r="L1486" i="16" s="1"/>
  <c r="H1064" i="16"/>
  <c r="G1306" i="16"/>
  <c r="E1425" i="16"/>
  <c r="L1425" i="16" s="1"/>
  <c r="J1306" i="16"/>
  <c r="K1306" i="16" s="1"/>
  <c r="H1337" i="16"/>
  <c r="F1337" i="16"/>
  <c r="F1304" i="16"/>
  <c r="AB1365" i="16"/>
  <c r="E1365" i="16"/>
  <c r="L1365" i="16" s="1"/>
  <c r="J1424" i="16"/>
  <c r="K1424" i="16" s="1"/>
  <c r="AB1542" i="16"/>
  <c r="H1518" i="16"/>
  <c r="Z1518" i="16"/>
  <c r="AB1512" i="16"/>
  <c r="E1097" i="16"/>
  <c r="L1097" i="16" s="1"/>
  <c r="E1307" i="16"/>
  <c r="L1307" i="16" s="1"/>
  <c r="G1337" i="16"/>
  <c r="F1395" i="16"/>
  <c r="F1427" i="16"/>
  <c r="J1487" i="16"/>
  <c r="K1487" i="16" s="1"/>
  <c r="J1518" i="16"/>
  <c r="E764" i="16"/>
  <c r="L764" i="16" s="1"/>
  <c r="G1244" i="16"/>
  <c r="H1395" i="16"/>
  <c r="J1395" i="16"/>
  <c r="K1395" i="16" s="1"/>
  <c r="G764" i="16"/>
  <c r="J1304" i="16"/>
  <c r="K1304" i="16" s="1"/>
  <c r="X1428" i="16"/>
  <c r="F1396" i="16"/>
  <c r="J1392" i="16"/>
  <c r="K1392" i="16" s="1"/>
  <c r="F433" i="16"/>
  <c r="G1097" i="16"/>
  <c r="G1396" i="16"/>
  <c r="E1392" i="16"/>
  <c r="L1392" i="16" s="1"/>
  <c r="J1426" i="16"/>
  <c r="K1426" i="16" s="1"/>
  <c r="E1424" i="16"/>
  <c r="L1424" i="16" s="1"/>
  <c r="H1425" i="16"/>
  <c r="H433" i="16"/>
  <c r="H1097" i="16"/>
  <c r="H1392" i="16"/>
  <c r="F1362" i="16"/>
  <c r="F1392" i="16"/>
  <c r="H1458" i="16"/>
  <c r="X437" i="16"/>
  <c r="F1067" i="16"/>
  <c r="F1366" i="16"/>
  <c r="AB1394" i="16"/>
  <c r="E1337" i="16"/>
  <c r="L1337" i="16" s="1"/>
  <c r="H1366" i="16"/>
  <c r="E1394" i="16"/>
  <c r="L1394" i="16" s="1"/>
  <c r="AB1396" i="16"/>
  <c r="Z916" i="16"/>
  <c r="AB916" i="16" s="1"/>
  <c r="F1394" i="16"/>
  <c r="AB1393" i="16"/>
  <c r="AB1452" i="16"/>
  <c r="Z1458" i="16"/>
  <c r="X918" i="16"/>
  <c r="H1307" i="16"/>
  <c r="H1394" i="16"/>
  <c r="AB1397" i="16"/>
  <c r="G1394" i="16"/>
  <c r="J1458" i="16"/>
  <c r="J1185" i="16"/>
  <c r="K1185" i="16" s="1"/>
  <c r="H1304" i="16"/>
  <c r="J1366" i="16"/>
  <c r="K1366" i="16" s="1"/>
  <c r="G1365" i="16"/>
  <c r="E1396" i="16"/>
  <c r="L1396" i="16" s="1"/>
  <c r="X1398" i="16"/>
  <c r="E1064" i="16"/>
  <c r="L1064" i="16" s="1"/>
  <c r="G1067" i="16"/>
  <c r="F1307" i="16"/>
  <c r="G1362" i="16"/>
  <c r="H1396" i="16"/>
  <c r="AB1395" i="16"/>
  <c r="H764" i="16"/>
  <c r="E1067" i="16"/>
  <c r="L1067" i="16" s="1"/>
  <c r="H1185" i="16"/>
  <c r="H1362" i="16"/>
  <c r="J1393" i="16"/>
  <c r="F1393" i="16"/>
  <c r="G1393" i="16"/>
  <c r="E1393" i="16"/>
  <c r="L1393" i="16" s="1"/>
  <c r="H1393" i="16"/>
  <c r="G1062" i="16"/>
  <c r="G1185" i="16"/>
  <c r="F1305" i="16"/>
  <c r="G1364" i="16"/>
  <c r="H1062" i="16"/>
  <c r="X1308" i="16"/>
  <c r="E1304" i="16"/>
  <c r="L1304" i="16" s="1"/>
  <c r="J1062" i="16"/>
  <c r="K1062" i="16" s="1"/>
  <c r="E1062" i="16"/>
  <c r="L1062" i="16" s="1"/>
  <c r="J1097" i="16"/>
  <c r="K1097" i="16" s="1"/>
  <c r="F1185" i="16"/>
  <c r="F1364" i="16"/>
  <c r="AB1392" i="16"/>
  <c r="J1363" i="16"/>
  <c r="K1363" i="16" s="1"/>
  <c r="E1363" i="16"/>
  <c r="L1363" i="16" s="1"/>
  <c r="H1363" i="16"/>
  <c r="F1363" i="16"/>
  <c r="G1363" i="16"/>
  <c r="E1364" i="16"/>
  <c r="L1364" i="16" s="1"/>
  <c r="G1366" i="16"/>
  <c r="H1364" i="16"/>
  <c r="J1247" i="16"/>
  <c r="K1247" i="16" s="1"/>
  <c r="F1247" i="16"/>
  <c r="H1247" i="16"/>
  <c r="J1305" i="16"/>
  <c r="K1305" i="16" s="1"/>
  <c r="H1095" i="16"/>
  <c r="G1247" i="16"/>
  <c r="E1305" i="16"/>
  <c r="L1305" i="16" s="1"/>
  <c r="G1305" i="16"/>
  <c r="E1186" i="16"/>
  <c r="L1186" i="16" s="1"/>
  <c r="L1362" i="16"/>
  <c r="G1335" i="16"/>
  <c r="J1335" i="16"/>
  <c r="K1335" i="16" s="1"/>
  <c r="H1335" i="16"/>
  <c r="F1335" i="16"/>
  <c r="Z1335" i="16" s="1"/>
  <c r="AB1335" i="16" s="1"/>
  <c r="E1335" i="16"/>
  <c r="L1335" i="16" s="1"/>
  <c r="F1336" i="16"/>
  <c r="Z1336" i="16" s="1"/>
  <c r="AB1336" i="16" s="1"/>
  <c r="H1336" i="16"/>
  <c r="J1336" i="16"/>
  <c r="K1336" i="16" s="1"/>
  <c r="E1336" i="16"/>
  <c r="L1336" i="16" s="1"/>
  <c r="G1336" i="16"/>
  <c r="L1334" i="16"/>
  <c r="Z1334" i="16"/>
  <c r="AB1334" i="16" s="1"/>
  <c r="X1338" i="16"/>
  <c r="H1245" i="16"/>
  <c r="J1187" i="16"/>
  <c r="K1187" i="16" s="1"/>
  <c r="E1245" i="16"/>
  <c r="L1245" i="16" s="1"/>
  <c r="G1126" i="16"/>
  <c r="E1244" i="16"/>
  <c r="L1244" i="16" s="1"/>
  <c r="K1334" i="16"/>
  <c r="E1096" i="16"/>
  <c r="L1096" i="16" s="1"/>
  <c r="J1096" i="16"/>
  <c r="K1096" i="16" s="1"/>
  <c r="F1094" i="16"/>
  <c r="E1095" i="16"/>
  <c r="L1095" i="16" s="1"/>
  <c r="E1126" i="16"/>
  <c r="L1126" i="16" s="1"/>
  <c r="AB1064" i="16"/>
  <c r="F1095" i="16"/>
  <c r="J1126" i="16"/>
  <c r="K1126" i="16" s="1"/>
  <c r="J1067" i="16"/>
  <c r="K1067" i="16" s="1"/>
  <c r="F1186" i="16"/>
  <c r="F1245" i="16"/>
  <c r="H1093" i="16"/>
  <c r="G1245" i="16"/>
  <c r="X1248" i="16"/>
  <c r="G1184" i="16"/>
  <c r="H1244" i="16"/>
  <c r="F1246" i="16"/>
  <c r="Z1246" i="16" s="1"/>
  <c r="AB1246" i="16" s="1"/>
  <c r="E1246" i="16"/>
  <c r="L1246" i="16" s="1"/>
  <c r="J1246" i="16"/>
  <c r="K1246" i="16" s="1"/>
  <c r="H1246" i="16"/>
  <c r="G1246" i="16"/>
  <c r="F1244" i="16"/>
  <c r="AB1093" i="16"/>
  <c r="E1124" i="16"/>
  <c r="L1124" i="16" s="1"/>
  <c r="G675" i="16"/>
  <c r="G975" i="16"/>
  <c r="G1187" i="16"/>
  <c r="H1094" i="16"/>
  <c r="F1092" i="16"/>
  <c r="AB1094" i="16"/>
  <c r="F1037" i="16"/>
  <c r="F1187" i="16"/>
  <c r="Z1187" i="16" s="1"/>
  <c r="AB1187" i="16" s="1"/>
  <c r="J1184" i="16"/>
  <c r="K1184" i="16" s="1"/>
  <c r="F675" i="16"/>
  <c r="Z675" i="16" s="1"/>
  <c r="AB675" i="16" s="1"/>
  <c r="J764" i="16"/>
  <c r="K764" i="16" s="1"/>
  <c r="AB1097" i="16"/>
  <c r="H1187" i="16"/>
  <c r="H675" i="16"/>
  <c r="F793" i="16"/>
  <c r="H1063" i="16"/>
  <c r="F1124" i="16"/>
  <c r="G1093" i="16"/>
  <c r="E1184" i="16"/>
  <c r="L1184" i="16" s="1"/>
  <c r="G1186" i="16"/>
  <c r="K675" i="16"/>
  <c r="F1096" i="16"/>
  <c r="J1124" i="16"/>
  <c r="K1124" i="16" s="1"/>
  <c r="F1184" i="16"/>
  <c r="Z1184" i="16" s="1"/>
  <c r="AB1184" i="16" s="1"/>
  <c r="H1186" i="16"/>
  <c r="X1038" i="16"/>
  <c r="AB1066" i="16"/>
  <c r="G1096" i="16"/>
  <c r="E1092" i="16"/>
  <c r="L1092" i="16" s="1"/>
  <c r="X1188" i="16"/>
  <c r="J975" i="16"/>
  <c r="K975" i="16" s="1"/>
  <c r="H1037" i="16"/>
  <c r="E1094" i="16"/>
  <c r="L1094" i="16" s="1"/>
  <c r="J1092" i="16"/>
  <c r="K1092" i="16" s="1"/>
  <c r="AB1095" i="16"/>
  <c r="H1126" i="16"/>
  <c r="J1034" i="16"/>
  <c r="K1034" i="16" s="1"/>
  <c r="E1122" i="16"/>
  <c r="L1122" i="16" s="1"/>
  <c r="E1034" i="16"/>
  <c r="L1034" i="16" s="1"/>
  <c r="AB1067" i="16"/>
  <c r="J1094" i="16"/>
  <c r="K1094" i="16" s="1"/>
  <c r="G1092" i="16"/>
  <c r="F1122" i="16"/>
  <c r="AB1065" i="16"/>
  <c r="F765" i="16"/>
  <c r="G1035" i="16"/>
  <c r="Z1092" i="16"/>
  <c r="AB1092" i="16" s="1"/>
  <c r="G1127" i="16"/>
  <c r="J1093" i="16"/>
  <c r="K1093" i="16" s="1"/>
  <c r="E1093" i="16"/>
  <c r="L1093" i="16" s="1"/>
  <c r="G765" i="16"/>
  <c r="J1127" i="16"/>
  <c r="K1127" i="16" s="1"/>
  <c r="H765" i="16"/>
  <c r="H1127" i="16"/>
  <c r="F1065" i="16"/>
  <c r="F1127" i="16"/>
  <c r="J765" i="16"/>
  <c r="K765" i="16" s="1"/>
  <c r="E884" i="16"/>
  <c r="L884" i="16" s="1"/>
  <c r="F1034" i="16"/>
  <c r="Z1034" i="16" s="1"/>
  <c r="AB1034" i="16" s="1"/>
  <c r="G1066" i="16"/>
  <c r="AB1096" i="16"/>
  <c r="H1124" i="16"/>
  <c r="H1125" i="16"/>
  <c r="E1125" i="16"/>
  <c r="L1125" i="16" s="1"/>
  <c r="E1065" i="16"/>
  <c r="L1065" i="16" s="1"/>
  <c r="F1125" i="16"/>
  <c r="H1122" i="16"/>
  <c r="G1125" i="16"/>
  <c r="J1122" i="16"/>
  <c r="K1122" i="16" s="1"/>
  <c r="J1123" i="16"/>
  <c r="H1123" i="16"/>
  <c r="E1123" i="16"/>
  <c r="L1123" i="16" s="1"/>
  <c r="F1123" i="16"/>
  <c r="G1123" i="16"/>
  <c r="F1035" i="16"/>
  <c r="Z1128" i="16"/>
  <c r="AB1122" i="16"/>
  <c r="E1035" i="16"/>
  <c r="L1035" i="16" s="1"/>
  <c r="F1066" i="16"/>
  <c r="H945" i="16"/>
  <c r="H1035" i="16"/>
  <c r="E1066" i="16"/>
  <c r="L1066" i="16" s="1"/>
  <c r="J914" i="16"/>
  <c r="K914" i="16" s="1"/>
  <c r="H614" i="16"/>
  <c r="G974" i="16"/>
  <c r="H1065" i="16"/>
  <c r="Z1062" i="16"/>
  <c r="J1065" i="16"/>
  <c r="K1065" i="16" s="1"/>
  <c r="E975" i="16"/>
  <c r="L975" i="16" s="1"/>
  <c r="G1037" i="16"/>
  <c r="H1066" i="16"/>
  <c r="X1068" i="16"/>
  <c r="AB946" i="16"/>
  <c r="F975" i="16"/>
  <c r="J1063" i="16"/>
  <c r="K1063" i="16" s="1"/>
  <c r="F1063" i="16"/>
  <c r="G1063" i="16"/>
  <c r="F944" i="16"/>
  <c r="J977" i="16"/>
  <c r="K977" i="16" s="1"/>
  <c r="X1008" i="16"/>
  <c r="J1037" i="16"/>
  <c r="K1037" i="16" s="1"/>
  <c r="H944" i="16"/>
  <c r="H977" i="16"/>
  <c r="H1005" i="16"/>
  <c r="F947" i="16"/>
  <c r="X857" i="16"/>
  <c r="E944" i="16"/>
  <c r="L944" i="16" s="1"/>
  <c r="G1034" i="16"/>
  <c r="F1036" i="16"/>
  <c r="Z1036" i="16" s="1"/>
  <c r="AB1036" i="16" s="1"/>
  <c r="J1036" i="16"/>
  <c r="K1036" i="16" s="1"/>
  <c r="E1036" i="16"/>
  <c r="L1036" i="16" s="1"/>
  <c r="H1036" i="16"/>
  <c r="G1036" i="16"/>
  <c r="F766" i="16"/>
  <c r="J915" i="16"/>
  <c r="K915" i="16" s="1"/>
  <c r="AB945" i="16"/>
  <c r="E947" i="16"/>
  <c r="L947" i="16" s="1"/>
  <c r="F977" i="16"/>
  <c r="F1005" i="16"/>
  <c r="Z1005" i="16" s="1"/>
  <c r="AB1005" i="16" s="1"/>
  <c r="G556" i="16"/>
  <c r="X948" i="16"/>
  <c r="J947" i="16"/>
  <c r="K947" i="16" s="1"/>
  <c r="H974" i="16"/>
  <c r="J886" i="16"/>
  <c r="K886" i="16" s="1"/>
  <c r="X887" i="16"/>
  <c r="H915" i="16"/>
  <c r="AB943" i="16"/>
  <c r="G947" i="16"/>
  <c r="G977" i="16"/>
  <c r="E974" i="16"/>
  <c r="L974" i="16" s="1"/>
  <c r="J1005" i="16"/>
  <c r="K1005" i="16" s="1"/>
  <c r="J1007" i="16"/>
  <c r="K1007" i="16" s="1"/>
  <c r="F1007" i="16"/>
  <c r="G1007" i="16"/>
  <c r="H1007" i="16"/>
  <c r="G1006" i="16"/>
  <c r="J1006" i="16"/>
  <c r="K1006" i="16" s="1"/>
  <c r="F1006" i="16"/>
  <c r="Z1006" i="16" s="1"/>
  <c r="AB1006" i="16" s="1"/>
  <c r="H1006" i="16"/>
  <c r="E1006" i="16"/>
  <c r="L1006" i="16" s="1"/>
  <c r="G886" i="16"/>
  <c r="E914" i="16"/>
  <c r="L914" i="16" s="1"/>
  <c r="G944" i="16"/>
  <c r="F974" i="16"/>
  <c r="AB976" i="16"/>
  <c r="H886" i="16"/>
  <c r="G914" i="16"/>
  <c r="X978" i="16"/>
  <c r="E886" i="16"/>
  <c r="L886" i="16" s="1"/>
  <c r="AB973" i="16"/>
  <c r="F856" i="16"/>
  <c r="AB977" i="16"/>
  <c r="AB974" i="16"/>
  <c r="AB975" i="16"/>
  <c r="J973" i="16"/>
  <c r="K973" i="16" s="1"/>
  <c r="E973" i="16"/>
  <c r="L973" i="16" s="1"/>
  <c r="H973" i="16"/>
  <c r="F973" i="16"/>
  <c r="G973" i="16"/>
  <c r="F976" i="16"/>
  <c r="J976" i="16"/>
  <c r="K976" i="16" s="1"/>
  <c r="E976" i="16"/>
  <c r="L976" i="16" s="1"/>
  <c r="H976" i="16"/>
  <c r="G976" i="16"/>
  <c r="Z883" i="16"/>
  <c r="AB883" i="16" s="1"/>
  <c r="AB944" i="16"/>
  <c r="J584" i="16"/>
  <c r="K584" i="16" s="1"/>
  <c r="Z942" i="16"/>
  <c r="AB942" i="16" s="1"/>
  <c r="G433" i="16"/>
  <c r="H616" i="16"/>
  <c r="E854" i="16"/>
  <c r="L854" i="16" s="1"/>
  <c r="F796" i="16"/>
  <c r="F884" i="16"/>
  <c r="AB972" i="16"/>
  <c r="J945" i="16"/>
  <c r="K945" i="16" s="1"/>
  <c r="J943" i="16"/>
  <c r="K943" i="16" s="1"/>
  <c r="E943" i="16"/>
  <c r="L943" i="16" s="1"/>
  <c r="F943" i="16"/>
  <c r="H943" i="16"/>
  <c r="G943" i="16"/>
  <c r="F946" i="16"/>
  <c r="E946" i="16"/>
  <c r="L946" i="16" s="1"/>
  <c r="H946" i="16"/>
  <c r="J946" i="16"/>
  <c r="K946" i="16" s="1"/>
  <c r="G946" i="16"/>
  <c r="E945" i="16"/>
  <c r="L945" i="16" s="1"/>
  <c r="F945" i="16"/>
  <c r="F494" i="16"/>
  <c r="G494" i="16"/>
  <c r="H673" i="16"/>
  <c r="J766" i="16"/>
  <c r="K766" i="16" s="1"/>
  <c r="J796" i="16"/>
  <c r="K796" i="16" s="1"/>
  <c r="H883" i="16"/>
  <c r="H914" i="16"/>
  <c r="E464" i="16"/>
  <c r="L464" i="16" s="1"/>
  <c r="J611" i="16"/>
  <c r="K611" i="16" s="1"/>
  <c r="X677" i="16"/>
  <c r="E766" i="16"/>
  <c r="L766" i="16" s="1"/>
  <c r="H796" i="16"/>
  <c r="E883" i="16"/>
  <c r="L883" i="16" s="1"/>
  <c r="H101" i="16"/>
  <c r="E611" i="16"/>
  <c r="L611" i="16" s="1"/>
  <c r="E676" i="16"/>
  <c r="L676" i="16" s="1"/>
  <c r="E796" i="16"/>
  <c r="L796" i="16" s="1"/>
  <c r="G883" i="16"/>
  <c r="F586" i="16"/>
  <c r="F611" i="16"/>
  <c r="J883" i="16"/>
  <c r="K883" i="16" s="1"/>
  <c r="H494" i="16"/>
  <c r="G611" i="16"/>
  <c r="K942" i="16"/>
  <c r="H405" i="16"/>
  <c r="G766" i="16"/>
  <c r="F101" i="16"/>
  <c r="J793" i="16"/>
  <c r="K793" i="16" s="1"/>
  <c r="H884" i="16"/>
  <c r="G915" i="16"/>
  <c r="E915" i="16"/>
  <c r="L915" i="16" s="1"/>
  <c r="F584" i="16"/>
  <c r="G673" i="16"/>
  <c r="G793" i="16"/>
  <c r="AB796" i="16"/>
  <c r="Z791" i="16"/>
  <c r="AB791" i="16" s="1"/>
  <c r="J884" i="16"/>
  <c r="K884" i="16" s="1"/>
  <c r="H795" i="16"/>
  <c r="G854" i="16"/>
  <c r="J101" i="16"/>
  <c r="K101" i="16" s="1"/>
  <c r="E284" i="16"/>
  <c r="L284" i="16" s="1"/>
  <c r="K676" i="16"/>
  <c r="E673" i="16"/>
  <c r="L673" i="16" s="1"/>
  <c r="G856" i="16"/>
  <c r="E101" i="16"/>
  <c r="L101" i="16" s="1"/>
  <c r="F286" i="16"/>
  <c r="Z286" i="16" s="1"/>
  <c r="AB286" i="16" s="1"/>
  <c r="E403" i="16"/>
  <c r="L403" i="16" s="1"/>
  <c r="J433" i="16"/>
  <c r="K433" i="16" s="1"/>
  <c r="H676" i="16"/>
  <c r="J856" i="16"/>
  <c r="K856" i="16" s="1"/>
  <c r="H885" i="16"/>
  <c r="E885" i="16"/>
  <c r="L885" i="16" s="1"/>
  <c r="G885" i="16"/>
  <c r="F885" i="16"/>
  <c r="Z885" i="16" s="1"/>
  <c r="AB885" i="16" s="1"/>
  <c r="J885" i="16"/>
  <c r="K885" i="16" s="1"/>
  <c r="H285" i="16"/>
  <c r="H584" i="16"/>
  <c r="L856" i="16"/>
  <c r="F73" i="16"/>
  <c r="J73" i="16"/>
  <c r="K73" i="16" s="1"/>
  <c r="E616" i="16"/>
  <c r="L616" i="16" s="1"/>
  <c r="H856" i="16"/>
  <c r="F854" i="16"/>
  <c r="Z854" i="16" s="1"/>
  <c r="AB854" i="16" s="1"/>
  <c r="H794" i="16"/>
  <c r="AB792" i="16"/>
  <c r="J854" i="16"/>
  <c r="K854" i="16" s="1"/>
  <c r="G285" i="16"/>
  <c r="E794" i="16"/>
  <c r="L794" i="16" s="1"/>
  <c r="F855" i="16"/>
  <c r="Z855" i="16" s="1"/>
  <c r="AB855" i="16" s="1"/>
  <c r="J855" i="16"/>
  <c r="K855" i="16" s="1"/>
  <c r="H855" i="16"/>
  <c r="E855" i="16"/>
  <c r="L855" i="16" s="1"/>
  <c r="G855" i="16"/>
  <c r="H674" i="16"/>
  <c r="G405" i="16"/>
  <c r="X407" i="16"/>
  <c r="J795" i="16"/>
  <c r="K795" i="16" s="1"/>
  <c r="H827" i="16"/>
  <c r="E706" i="16"/>
  <c r="L706" i="16" s="1"/>
  <c r="F583" i="16"/>
  <c r="E614" i="16"/>
  <c r="L614" i="16" s="1"/>
  <c r="E795" i="16"/>
  <c r="L795" i="16" s="1"/>
  <c r="J794" i="16"/>
  <c r="K794" i="16" s="1"/>
  <c r="AB794" i="16"/>
  <c r="J827" i="16"/>
  <c r="G583" i="16"/>
  <c r="AB555" i="16"/>
  <c r="E613" i="16"/>
  <c r="L613" i="16" s="1"/>
  <c r="F706" i="16"/>
  <c r="F794" i="16"/>
  <c r="AB793" i="16"/>
  <c r="L821" i="16"/>
  <c r="E495" i="16"/>
  <c r="L495" i="16" s="1"/>
  <c r="AB552" i="16"/>
  <c r="J706" i="16"/>
  <c r="K706" i="16" s="1"/>
  <c r="F795" i="16"/>
  <c r="AB795" i="16"/>
  <c r="Z827" i="16"/>
  <c r="AB821" i="16"/>
  <c r="AB556" i="16"/>
  <c r="G676" i="16"/>
  <c r="G706" i="16"/>
  <c r="J792" i="16"/>
  <c r="E792" i="16"/>
  <c r="L792" i="16" s="1"/>
  <c r="H792" i="16"/>
  <c r="G792" i="16"/>
  <c r="F792" i="16"/>
  <c r="H553" i="16"/>
  <c r="K674" i="16"/>
  <c r="E406" i="16"/>
  <c r="L406" i="16" s="1"/>
  <c r="E674" i="16"/>
  <c r="L674" i="16" s="1"/>
  <c r="G584" i="16"/>
  <c r="F674" i="16"/>
  <c r="J583" i="16"/>
  <c r="K583" i="16" s="1"/>
  <c r="J614" i="16"/>
  <c r="K614" i="16" s="1"/>
  <c r="AB644" i="16"/>
  <c r="G585" i="16"/>
  <c r="J403" i="16"/>
  <c r="K403" i="16" s="1"/>
  <c r="E556" i="16"/>
  <c r="L556" i="16" s="1"/>
  <c r="J586" i="16"/>
  <c r="K586" i="16" s="1"/>
  <c r="F614" i="16"/>
  <c r="G643" i="16"/>
  <c r="J314" i="16"/>
  <c r="K314" i="16" s="1"/>
  <c r="G403" i="16"/>
  <c r="G406" i="16"/>
  <c r="J554" i="16"/>
  <c r="K554" i="16" s="1"/>
  <c r="H586" i="16"/>
  <c r="H644" i="16"/>
  <c r="E314" i="16"/>
  <c r="L314" i="16" s="1"/>
  <c r="G316" i="16"/>
  <c r="J406" i="16"/>
  <c r="K406" i="16" s="1"/>
  <c r="E583" i="16"/>
  <c r="L583" i="16" s="1"/>
  <c r="G616" i="16"/>
  <c r="J251" i="16"/>
  <c r="K251" i="16" s="1"/>
  <c r="F284" i="16"/>
  <c r="F314" i="16"/>
  <c r="F316" i="16"/>
  <c r="Z551" i="16"/>
  <c r="AB551" i="16" s="1"/>
  <c r="F616" i="16"/>
  <c r="J641" i="16"/>
  <c r="K641" i="16" s="1"/>
  <c r="Z737" i="16"/>
  <c r="AB731" i="16"/>
  <c r="J737" i="16"/>
  <c r="J405" i="16"/>
  <c r="K405" i="16" s="1"/>
  <c r="AB404" i="16"/>
  <c r="F641" i="16"/>
  <c r="H737" i="16"/>
  <c r="H701" i="16"/>
  <c r="J701" i="16"/>
  <c r="K701" i="16" s="1"/>
  <c r="F701" i="16"/>
  <c r="E701" i="16"/>
  <c r="L701" i="16" s="1"/>
  <c r="G701" i="16"/>
  <c r="J702" i="16"/>
  <c r="K702" i="16" s="1"/>
  <c r="F702" i="16"/>
  <c r="H702" i="16"/>
  <c r="E702" i="16"/>
  <c r="L702" i="16" s="1"/>
  <c r="G702" i="16"/>
  <c r="G705" i="16"/>
  <c r="E705" i="16"/>
  <c r="L705" i="16" s="1"/>
  <c r="H705" i="16"/>
  <c r="F705" i="16"/>
  <c r="J705" i="16"/>
  <c r="K705" i="16" s="1"/>
  <c r="Z701" i="16"/>
  <c r="AB702" i="16"/>
  <c r="AB706" i="16"/>
  <c r="AB703" i="16"/>
  <c r="AB704" i="16"/>
  <c r="X707" i="16"/>
  <c r="AB705" i="16"/>
  <c r="G704" i="16"/>
  <c r="J704" i="16"/>
  <c r="K704" i="16" s="1"/>
  <c r="H704" i="16"/>
  <c r="F704" i="16"/>
  <c r="E704" i="16"/>
  <c r="L704" i="16" s="1"/>
  <c r="H554" i="16"/>
  <c r="E554" i="16"/>
  <c r="L554" i="16" s="1"/>
  <c r="F585" i="16"/>
  <c r="H581" i="16"/>
  <c r="AB645" i="16"/>
  <c r="E644" i="16"/>
  <c r="L644" i="16" s="1"/>
  <c r="AB643" i="16"/>
  <c r="K703" i="16"/>
  <c r="F613" i="16"/>
  <c r="J646" i="16"/>
  <c r="K646" i="16" s="1"/>
  <c r="E405" i="16"/>
  <c r="L405" i="16" s="1"/>
  <c r="J613" i="16"/>
  <c r="K613" i="16" s="1"/>
  <c r="E286" i="16"/>
  <c r="L286" i="16" s="1"/>
  <c r="H435" i="16"/>
  <c r="F436" i="16"/>
  <c r="J465" i="16"/>
  <c r="K465" i="16" s="1"/>
  <c r="F643" i="16"/>
  <c r="AB646" i="16"/>
  <c r="E646" i="16"/>
  <c r="L646" i="16" s="1"/>
  <c r="E435" i="16"/>
  <c r="L435" i="16" s="1"/>
  <c r="G436" i="16"/>
  <c r="J435" i="16"/>
  <c r="K435" i="16" s="1"/>
  <c r="E436" i="16"/>
  <c r="L436" i="16" s="1"/>
  <c r="E285" i="16"/>
  <c r="L285" i="16" s="1"/>
  <c r="F403" i="16"/>
  <c r="Z401" i="16"/>
  <c r="AB401" i="16" s="1"/>
  <c r="H406" i="16"/>
  <c r="J434" i="16"/>
  <c r="K434" i="16" s="1"/>
  <c r="H464" i="16"/>
  <c r="H556" i="16"/>
  <c r="X557" i="16"/>
  <c r="G586" i="16"/>
  <c r="G613" i="16"/>
  <c r="J644" i="16"/>
  <c r="K644" i="16" s="1"/>
  <c r="E641" i="16"/>
  <c r="L641" i="16" s="1"/>
  <c r="Z641" i="16"/>
  <c r="AB641" i="16" s="1"/>
  <c r="F646" i="16"/>
  <c r="G286" i="16"/>
  <c r="J285" i="16"/>
  <c r="K285" i="16" s="1"/>
  <c r="AB553" i="16"/>
  <c r="H585" i="16"/>
  <c r="Z581" i="16"/>
  <c r="AB581" i="16" s="1"/>
  <c r="X647" i="16"/>
  <c r="E73" i="16"/>
  <c r="L73" i="16" s="1"/>
  <c r="H286" i="16"/>
  <c r="H646" i="16"/>
  <c r="J642" i="16"/>
  <c r="K642" i="16" s="1"/>
  <c r="E642" i="16"/>
  <c r="L642" i="16" s="1"/>
  <c r="H642" i="16"/>
  <c r="G642" i="16"/>
  <c r="F642" i="16"/>
  <c r="H643" i="16"/>
  <c r="F644" i="16"/>
  <c r="G641" i="16"/>
  <c r="G645" i="16"/>
  <c r="F645" i="16"/>
  <c r="J645" i="16"/>
  <c r="K645" i="16" s="1"/>
  <c r="H645" i="16"/>
  <c r="E645" i="16"/>
  <c r="L645" i="16" s="1"/>
  <c r="J315" i="16"/>
  <c r="K315" i="16" s="1"/>
  <c r="G284" i="16"/>
  <c r="H316" i="16"/>
  <c r="E463" i="16"/>
  <c r="L463" i="16" s="1"/>
  <c r="G463" i="16"/>
  <c r="H284" i="16"/>
  <c r="J612" i="16"/>
  <c r="K612" i="16" s="1"/>
  <c r="H612" i="16"/>
  <c r="F612" i="16"/>
  <c r="G612" i="16"/>
  <c r="E612" i="16"/>
  <c r="L612" i="16" s="1"/>
  <c r="F615" i="16"/>
  <c r="J615" i="16"/>
  <c r="K615" i="16" s="1"/>
  <c r="H615" i="16"/>
  <c r="G615" i="16"/>
  <c r="E615" i="16"/>
  <c r="L615" i="16" s="1"/>
  <c r="G314" i="16"/>
  <c r="AB403" i="16"/>
  <c r="J436" i="16"/>
  <c r="K436" i="16" s="1"/>
  <c r="G495" i="16"/>
  <c r="E553" i="16"/>
  <c r="L553" i="16" s="1"/>
  <c r="J585" i="16"/>
  <c r="K585" i="16" s="1"/>
  <c r="Z617" i="16"/>
  <c r="AB611" i="16"/>
  <c r="AB405" i="16"/>
  <c r="E434" i="16"/>
  <c r="L434" i="16" s="1"/>
  <c r="G464" i="16"/>
  <c r="H495" i="16"/>
  <c r="J553" i="16"/>
  <c r="K553" i="16" s="1"/>
  <c r="G581" i="16"/>
  <c r="F465" i="16"/>
  <c r="G553" i="16"/>
  <c r="AB402" i="16"/>
  <c r="F435" i="16"/>
  <c r="E465" i="16"/>
  <c r="L465" i="16" s="1"/>
  <c r="AB583" i="16"/>
  <c r="X467" i="16"/>
  <c r="AB585" i="16"/>
  <c r="J582" i="16"/>
  <c r="K582" i="16" s="1"/>
  <c r="H582" i="16"/>
  <c r="E582" i="16"/>
  <c r="L582" i="16" s="1"/>
  <c r="G582" i="16"/>
  <c r="F582" i="16"/>
  <c r="X587" i="16"/>
  <c r="J581" i="16"/>
  <c r="K581" i="16" s="1"/>
  <c r="AB582" i="16"/>
  <c r="E581" i="16"/>
  <c r="AB586" i="16"/>
  <c r="F315" i="16"/>
  <c r="H493" i="16"/>
  <c r="AB465" i="16"/>
  <c r="J493" i="16"/>
  <c r="K493" i="16" s="1"/>
  <c r="AB464" i="16"/>
  <c r="Z461" i="16"/>
  <c r="AB461" i="16" s="1"/>
  <c r="F493" i="16"/>
  <c r="J552" i="16"/>
  <c r="K552" i="16" s="1"/>
  <c r="H552" i="16"/>
  <c r="F552" i="16"/>
  <c r="G552" i="16"/>
  <c r="E552" i="16"/>
  <c r="L552" i="16" s="1"/>
  <c r="F555" i="16"/>
  <c r="J555" i="16"/>
  <c r="K555" i="16" s="1"/>
  <c r="E555" i="16"/>
  <c r="L555" i="16" s="1"/>
  <c r="H555" i="16"/>
  <c r="G555" i="16"/>
  <c r="F556" i="16"/>
  <c r="F554" i="16"/>
  <c r="F376" i="16"/>
  <c r="E376" i="16"/>
  <c r="L376" i="16" s="1"/>
  <c r="F461" i="16"/>
  <c r="G496" i="16"/>
  <c r="G73" i="16"/>
  <c r="E251" i="16"/>
  <c r="L251" i="16" s="1"/>
  <c r="J316" i="16"/>
  <c r="K316" i="16" s="1"/>
  <c r="G461" i="16"/>
  <c r="E493" i="16"/>
  <c r="L493" i="16" s="1"/>
  <c r="J495" i="16"/>
  <c r="K495" i="16" s="1"/>
  <c r="J496" i="16"/>
  <c r="K496" i="16" s="1"/>
  <c r="H466" i="16"/>
  <c r="F313" i="16"/>
  <c r="J464" i="16"/>
  <c r="K464" i="16" s="1"/>
  <c r="X497" i="16"/>
  <c r="J527" i="16"/>
  <c r="F251" i="16"/>
  <c r="H463" i="16"/>
  <c r="H461" i="16"/>
  <c r="H496" i="16"/>
  <c r="G251" i="16"/>
  <c r="J376" i="16"/>
  <c r="K376" i="16" s="1"/>
  <c r="H434" i="16"/>
  <c r="J463" i="16"/>
  <c r="K463" i="16" s="1"/>
  <c r="G465" i="16"/>
  <c r="AB463" i="16"/>
  <c r="E496" i="16"/>
  <c r="L496" i="16" s="1"/>
  <c r="Z527" i="16"/>
  <c r="AB521" i="16"/>
  <c r="Z496" i="16"/>
  <c r="AB496" i="16" s="1"/>
  <c r="H374" i="16"/>
  <c r="F434" i="16"/>
  <c r="AB466" i="16"/>
  <c r="H527" i="16"/>
  <c r="E461" i="16"/>
  <c r="L461" i="16" s="1"/>
  <c r="AB256" i="16"/>
  <c r="F466" i="16"/>
  <c r="E466" i="16"/>
  <c r="L466" i="16" s="1"/>
  <c r="AB375" i="16"/>
  <c r="J462" i="16"/>
  <c r="E462" i="16"/>
  <c r="L462" i="16" s="1"/>
  <c r="H462" i="16"/>
  <c r="G462" i="16"/>
  <c r="F462" i="16"/>
  <c r="G466" i="16"/>
  <c r="H255" i="16"/>
  <c r="G313" i="16"/>
  <c r="J373" i="16"/>
  <c r="K373" i="16" s="1"/>
  <c r="K461" i="16"/>
  <c r="F373" i="16"/>
  <c r="AB373" i="16"/>
  <c r="H376" i="16"/>
  <c r="E373" i="16"/>
  <c r="L373" i="16" s="1"/>
  <c r="H373" i="16"/>
  <c r="J402" i="16"/>
  <c r="H402" i="16"/>
  <c r="E402" i="16"/>
  <c r="L402" i="16" s="1"/>
  <c r="G402" i="16"/>
  <c r="F402" i="16"/>
  <c r="G256" i="16"/>
  <c r="G315" i="16"/>
  <c r="H313" i="16"/>
  <c r="X377" i="16"/>
  <c r="F255" i="16"/>
  <c r="X257" i="16"/>
  <c r="H256" i="16"/>
  <c r="H315" i="16"/>
  <c r="J313" i="16"/>
  <c r="K313" i="16" s="1"/>
  <c r="AB376" i="16"/>
  <c r="K401" i="16"/>
  <c r="E255" i="16"/>
  <c r="L255" i="16" s="1"/>
  <c r="E283" i="16"/>
  <c r="L283" i="16" s="1"/>
  <c r="F374" i="16"/>
  <c r="AB374" i="16"/>
  <c r="H283" i="16"/>
  <c r="G374" i="16"/>
  <c r="Z371" i="16"/>
  <c r="J283" i="16"/>
  <c r="K283" i="16" s="1"/>
  <c r="J372" i="16"/>
  <c r="K372" i="16" s="1"/>
  <c r="E372" i="16"/>
  <c r="L372" i="16" s="1"/>
  <c r="H372" i="16"/>
  <c r="F372" i="16"/>
  <c r="G372" i="16"/>
  <c r="F375" i="16"/>
  <c r="J375" i="16"/>
  <c r="K375" i="16" s="1"/>
  <c r="H375" i="16"/>
  <c r="E375" i="16"/>
  <c r="L375" i="16" s="1"/>
  <c r="G375" i="16"/>
  <c r="J374" i="16"/>
  <c r="K374" i="16" s="1"/>
  <c r="J253" i="16"/>
  <c r="K253" i="16" s="1"/>
  <c r="E75" i="16"/>
  <c r="L75" i="16" s="1"/>
  <c r="F283" i="16"/>
  <c r="J256" i="16"/>
  <c r="K256" i="16" s="1"/>
  <c r="AB72" i="16"/>
  <c r="G255" i="16"/>
  <c r="F256" i="16"/>
  <c r="Z285" i="16"/>
  <c r="AB285" i="16" s="1"/>
  <c r="AB341" i="16"/>
  <c r="Z347" i="16"/>
  <c r="H347" i="16"/>
  <c r="Z101" i="16"/>
  <c r="AB101" i="16" s="1"/>
  <c r="AB104" i="16"/>
  <c r="H253" i="16"/>
  <c r="J347" i="16"/>
  <c r="J312" i="16"/>
  <c r="K312" i="16" s="1"/>
  <c r="H312" i="16"/>
  <c r="E312" i="16"/>
  <c r="L312" i="16" s="1"/>
  <c r="G312" i="16"/>
  <c r="F312" i="16"/>
  <c r="H75" i="16"/>
  <c r="AB254" i="16"/>
  <c r="G253" i="16"/>
  <c r="Z251" i="16"/>
  <c r="AB251" i="16" s="1"/>
  <c r="L311" i="16"/>
  <c r="AB253" i="16"/>
  <c r="E253" i="16"/>
  <c r="L253" i="16" s="1"/>
  <c r="Z317" i="16"/>
  <c r="AB311" i="16"/>
  <c r="H103" i="16"/>
  <c r="AB255" i="16"/>
  <c r="X287" i="16"/>
  <c r="F75" i="16"/>
  <c r="G75" i="16"/>
  <c r="X77" i="16"/>
  <c r="J252" i="16"/>
  <c r="K252" i="16" s="1"/>
  <c r="H252" i="16"/>
  <c r="E252" i="16"/>
  <c r="L252" i="16" s="1"/>
  <c r="G252" i="16"/>
  <c r="F252" i="16"/>
  <c r="H225" i="16"/>
  <c r="J225" i="16"/>
  <c r="K225" i="16" s="1"/>
  <c r="E225" i="16"/>
  <c r="L225" i="16" s="1"/>
  <c r="F225" i="16"/>
  <c r="Z225" i="16" s="1"/>
  <c r="AB225" i="16" s="1"/>
  <c r="G225" i="16"/>
  <c r="X227" i="16"/>
  <c r="Z226" i="16"/>
  <c r="AB226" i="16" s="1"/>
  <c r="G104" i="16"/>
  <c r="X107" i="16"/>
  <c r="E104" i="16"/>
  <c r="L104" i="16" s="1"/>
  <c r="AB106" i="16"/>
  <c r="G133" i="16"/>
  <c r="H74" i="16"/>
  <c r="E103" i="16"/>
  <c r="L103" i="16" s="1"/>
  <c r="AB103" i="16"/>
  <c r="J104" i="16"/>
  <c r="K104" i="16" s="1"/>
  <c r="AB105" i="16"/>
  <c r="J197" i="16"/>
  <c r="F71" i="16"/>
  <c r="H197" i="16"/>
  <c r="G74" i="16"/>
  <c r="E74" i="16"/>
  <c r="L74" i="16" s="1"/>
  <c r="Z197" i="16"/>
  <c r="AB191" i="16"/>
  <c r="J167" i="16"/>
  <c r="AB73" i="16"/>
  <c r="AB75" i="16"/>
  <c r="H104" i="16"/>
  <c r="G103" i="16"/>
  <c r="H133" i="16"/>
  <c r="H167" i="16"/>
  <c r="Z167" i="16"/>
  <c r="AB161" i="16"/>
  <c r="F133" i="16"/>
  <c r="AB76" i="16"/>
  <c r="K161" i="16"/>
  <c r="G134" i="16"/>
  <c r="J134" i="16"/>
  <c r="K134" i="16" s="1"/>
  <c r="H134" i="16"/>
  <c r="F134" i="16"/>
  <c r="E134" i="16"/>
  <c r="L134" i="16" s="1"/>
  <c r="J132" i="16"/>
  <c r="K132" i="16" s="1"/>
  <c r="F132" i="16"/>
  <c r="G132" i="16"/>
  <c r="E132" i="16"/>
  <c r="L132" i="16" s="1"/>
  <c r="H132" i="16"/>
  <c r="H131" i="16"/>
  <c r="J131" i="16"/>
  <c r="K131" i="16" s="1"/>
  <c r="G131" i="16"/>
  <c r="E131" i="16"/>
  <c r="F131" i="16"/>
  <c r="H135" i="16"/>
  <c r="J135" i="16"/>
  <c r="K135" i="16" s="1"/>
  <c r="F135" i="16"/>
  <c r="E135" i="16"/>
  <c r="L135" i="16" s="1"/>
  <c r="G135" i="16"/>
  <c r="J133" i="16"/>
  <c r="Z131" i="16"/>
  <c r="AB132" i="16"/>
  <c r="X137" i="16"/>
  <c r="AB135" i="16"/>
  <c r="AB133" i="16"/>
  <c r="AB134" i="16"/>
  <c r="AB136" i="16"/>
  <c r="J106" i="16"/>
  <c r="K106" i="16" s="1"/>
  <c r="F106" i="16"/>
  <c r="J74" i="16"/>
  <c r="K74" i="16" s="1"/>
  <c r="AB74" i="16"/>
  <c r="F103" i="16"/>
  <c r="H106" i="16"/>
  <c r="E106" i="16"/>
  <c r="L106" i="16" s="1"/>
  <c r="J102" i="16"/>
  <c r="K102" i="16" s="1"/>
  <c r="H102" i="16"/>
  <c r="E102" i="16"/>
  <c r="L102" i="16" s="1"/>
  <c r="F102" i="16"/>
  <c r="G102" i="16"/>
  <c r="F105" i="16"/>
  <c r="G105" i="16"/>
  <c r="J105" i="16"/>
  <c r="K105" i="16" s="1"/>
  <c r="E105" i="16"/>
  <c r="L105" i="16" s="1"/>
  <c r="H105" i="16"/>
  <c r="E71" i="16"/>
  <c r="L71" i="16" s="1"/>
  <c r="E76" i="16"/>
  <c r="L76" i="16" s="1"/>
  <c r="H71" i="16"/>
  <c r="F76" i="16"/>
  <c r="G76" i="16"/>
  <c r="J71" i="16"/>
  <c r="J76" i="16"/>
  <c r="K76" i="16" s="1"/>
  <c r="AB71" i="16"/>
  <c r="N26" i="16"/>
  <c r="N25" i="16"/>
  <c r="N24" i="16"/>
  <c r="B6" i="42"/>
  <c r="C6" i="42" s="1"/>
  <c r="B7" i="42"/>
  <c r="C7" i="42" s="1"/>
  <c r="B8" i="42"/>
  <c r="B9" i="42"/>
  <c r="B10" i="42"/>
  <c r="B11" i="42"/>
  <c r="B12" i="42"/>
  <c r="B13" i="42"/>
  <c r="C13" i="42" s="1"/>
  <c r="B14" i="42"/>
  <c r="C14" i="42" s="1"/>
  <c r="B15" i="42"/>
  <c r="C15" i="42" s="1"/>
  <c r="B16" i="42"/>
  <c r="B17" i="42"/>
  <c r="B18" i="42"/>
  <c r="B19" i="42"/>
  <c r="B20" i="42"/>
  <c r="B21" i="42"/>
  <c r="C21" i="42" s="1"/>
  <c r="B22" i="42"/>
  <c r="C22" i="42" s="1"/>
  <c r="B23" i="42"/>
  <c r="C23" i="42" s="1"/>
  <c r="B24" i="42"/>
  <c r="B25" i="42"/>
  <c r="B26" i="42"/>
  <c r="B27" i="42"/>
  <c r="B28" i="42"/>
  <c r="B29" i="42"/>
  <c r="C29" i="42" s="1"/>
  <c r="B30" i="42"/>
  <c r="C30" i="42" s="1"/>
  <c r="B31" i="42"/>
  <c r="C31" i="42" s="1"/>
  <c r="B32" i="42"/>
  <c r="B33" i="42"/>
  <c r="B34" i="42"/>
  <c r="B35" i="42"/>
  <c r="B36" i="42"/>
  <c r="B37" i="42"/>
  <c r="C37" i="42" s="1"/>
  <c r="B38" i="42"/>
  <c r="C38" i="42" s="1"/>
  <c r="B39" i="42"/>
  <c r="C39" i="42" s="1"/>
  <c r="B40" i="42"/>
  <c r="B41" i="42"/>
  <c r="B42" i="42"/>
  <c r="B43" i="42"/>
  <c r="B44" i="42"/>
  <c r="B45" i="42"/>
  <c r="C45" i="42" s="1"/>
  <c r="B46" i="42"/>
  <c r="C46" i="42" s="1"/>
  <c r="B47" i="42"/>
  <c r="C47" i="42" s="1"/>
  <c r="B48" i="42"/>
  <c r="B49" i="42"/>
  <c r="B50" i="42"/>
  <c r="B51" i="42"/>
  <c r="B52" i="42"/>
  <c r="B53" i="42"/>
  <c r="C53" i="42" s="1"/>
  <c r="B54" i="42"/>
  <c r="C54" i="42" s="1"/>
  <c r="B55" i="42"/>
  <c r="C55" i="42" s="1"/>
  <c r="B56" i="42"/>
  <c r="B57" i="42"/>
  <c r="B58" i="42"/>
  <c r="B59" i="42"/>
  <c r="B60" i="42"/>
  <c r="B61" i="42"/>
  <c r="C61" i="42" s="1"/>
  <c r="B62" i="42"/>
  <c r="C62" i="42" s="1"/>
  <c r="B63" i="42"/>
  <c r="C63" i="42" s="1"/>
  <c r="B64" i="42"/>
  <c r="B65" i="42"/>
  <c r="B66" i="42"/>
  <c r="B67" i="42"/>
  <c r="B68" i="42"/>
  <c r="B69" i="42"/>
  <c r="C69" i="42" s="1"/>
  <c r="B70" i="42"/>
  <c r="C70" i="42" s="1"/>
  <c r="B71" i="42"/>
  <c r="C71" i="42" s="1"/>
  <c r="B72" i="42"/>
  <c r="B73" i="42"/>
  <c r="B74" i="42"/>
  <c r="B75" i="42"/>
  <c r="B76" i="42"/>
  <c r="B77" i="42"/>
  <c r="C77" i="42" s="1"/>
  <c r="B78" i="42"/>
  <c r="C78" i="42" s="1"/>
  <c r="B79" i="42"/>
  <c r="C79" i="42" s="1"/>
  <c r="B80" i="42"/>
  <c r="B81" i="42"/>
  <c r="B82" i="42"/>
  <c r="B83" i="42"/>
  <c r="B84" i="42"/>
  <c r="B85" i="42"/>
  <c r="C85" i="42" s="1"/>
  <c r="B86" i="42"/>
  <c r="C86" i="42" s="1"/>
  <c r="B87" i="42"/>
  <c r="C87" i="42" s="1"/>
  <c r="B88" i="42"/>
  <c r="B89" i="42"/>
  <c r="B90" i="42"/>
  <c r="B91" i="42"/>
  <c r="B92" i="42"/>
  <c r="B93" i="42"/>
  <c r="C93" i="42" s="1"/>
  <c r="B94" i="42"/>
  <c r="C94" i="42" s="1"/>
  <c r="B5" i="42"/>
  <c r="C20" i="33"/>
  <c r="C21" i="33"/>
  <c r="C22" i="33"/>
  <c r="C23" i="33"/>
  <c r="C24" i="33"/>
  <c r="C25" i="33"/>
  <c r="C26" i="33"/>
  <c r="C27" i="33"/>
  <c r="C28" i="33"/>
  <c r="C29" i="33"/>
  <c r="C30" i="33"/>
  <c r="C31" i="33"/>
  <c r="C32" i="33"/>
  <c r="C33" i="33"/>
  <c r="C34" i="33"/>
  <c r="C35" i="33"/>
  <c r="C36" i="33"/>
  <c r="C37" i="33"/>
  <c r="C38" i="33"/>
  <c r="C39" i="33"/>
  <c r="C40" i="33"/>
  <c r="C41" i="33"/>
  <c r="C42" i="33"/>
  <c r="C43" i="33"/>
  <c r="C44" i="33"/>
  <c r="C45" i="33"/>
  <c r="C46" i="33"/>
  <c r="C47" i="33"/>
  <c r="C48" i="33"/>
  <c r="C49" i="33"/>
  <c r="C50" i="33"/>
  <c r="C51" i="33"/>
  <c r="C52" i="33"/>
  <c r="C53" i="33"/>
  <c r="C54" i="33"/>
  <c r="C55" i="33"/>
  <c r="C56" i="33"/>
  <c r="C57" i="33"/>
  <c r="C58" i="33"/>
  <c r="C59" i="33"/>
  <c r="C60" i="33"/>
  <c r="C61" i="33"/>
  <c r="C62" i="33"/>
  <c r="C63" i="33"/>
  <c r="C64" i="33"/>
  <c r="C65" i="33"/>
  <c r="C66" i="33"/>
  <c r="C67" i="33"/>
  <c r="C68" i="33"/>
  <c r="C69" i="33"/>
  <c r="C70" i="33"/>
  <c r="C71" i="33"/>
  <c r="C72" i="33"/>
  <c r="C73" i="33"/>
  <c r="C74" i="33"/>
  <c r="C75" i="33"/>
  <c r="C76" i="33"/>
  <c r="C77" i="33"/>
  <c r="C78" i="33"/>
  <c r="C79" i="33"/>
  <c r="C80" i="33"/>
  <c r="C81" i="33"/>
  <c r="C82" i="33"/>
  <c r="C83" i="33"/>
  <c r="C84" i="33"/>
  <c r="C85" i="33"/>
  <c r="C86" i="33"/>
  <c r="C87" i="33"/>
  <c r="C88" i="33"/>
  <c r="C89" i="33"/>
  <c r="C90" i="33"/>
  <c r="C91" i="33"/>
  <c r="C92" i="33"/>
  <c r="C93" i="33"/>
  <c r="C94" i="33"/>
  <c r="C95" i="33"/>
  <c r="C96" i="33"/>
  <c r="C97" i="33"/>
  <c r="C98" i="33"/>
  <c r="C99" i="33"/>
  <c r="C100" i="33"/>
  <c r="C101" i="33"/>
  <c r="C102" i="33"/>
  <c r="C103" i="33"/>
  <c r="C104" i="33"/>
  <c r="C105" i="33"/>
  <c r="C106" i="33"/>
  <c r="C107" i="33"/>
  <c r="C108" i="33"/>
  <c r="C19" i="33"/>
  <c r="B22" i="39"/>
  <c r="B23" i="39"/>
  <c r="B24" i="39"/>
  <c r="B25" i="39"/>
  <c r="B26" i="39"/>
  <c r="B27" i="39"/>
  <c r="B28" i="39"/>
  <c r="B29" i="39"/>
  <c r="B30" i="39"/>
  <c r="B31" i="39"/>
  <c r="B32" i="39"/>
  <c r="B33" i="39"/>
  <c r="C33" i="39" s="1"/>
  <c r="D33" i="39" s="1"/>
  <c r="B34" i="39"/>
  <c r="B35" i="39"/>
  <c r="B36" i="39"/>
  <c r="B37" i="39"/>
  <c r="B38" i="39"/>
  <c r="B39" i="39"/>
  <c r="B40" i="39"/>
  <c r="B41" i="39"/>
  <c r="C41" i="39" s="1"/>
  <c r="D41" i="39" s="1"/>
  <c r="B42" i="39"/>
  <c r="B43" i="39"/>
  <c r="B44" i="39"/>
  <c r="B45" i="39"/>
  <c r="B46" i="39"/>
  <c r="B47" i="39"/>
  <c r="B48" i="39"/>
  <c r="B49" i="39"/>
  <c r="B50" i="39"/>
  <c r="B51" i="39"/>
  <c r="B52" i="39"/>
  <c r="B53" i="39"/>
  <c r="B54" i="39"/>
  <c r="B55" i="39"/>
  <c r="B56" i="39"/>
  <c r="B57" i="39"/>
  <c r="B58" i="39"/>
  <c r="B59" i="39"/>
  <c r="B60" i="39"/>
  <c r="B61" i="39"/>
  <c r="B62" i="39"/>
  <c r="B63" i="39"/>
  <c r="B64" i="39"/>
  <c r="B65" i="39"/>
  <c r="B66" i="39"/>
  <c r="B67" i="39"/>
  <c r="B68" i="39"/>
  <c r="B69" i="39"/>
  <c r="B70" i="39"/>
  <c r="B71" i="39"/>
  <c r="B72" i="39"/>
  <c r="B73" i="39"/>
  <c r="B74" i="39"/>
  <c r="B75" i="39"/>
  <c r="B76" i="39"/>
  <c r="B77" i="39"/>
  <c r="B78" i="39"/>
  <c r="B79" i="39"/>
  <c r="B80" i="39"/>
  <c r="B81" i="39"/>
  <c r="B82" i="39"/>
  <c r="B83" i="39"/>
  <c r="B84" i="39"/>
  <c r="B85" i="39"/>
  <c r="B86" i="39"/>
  <c r="B87" i="39"/>
  <c r="B88" i="39"/>
  <c r="B89" i="39"/>
  <c r="B90" i="39"/>
  <c r="B91" i="39"/>
  <c r="B92" i="39"/>
  <c r="B93" i="39"/>
  <c r="B94" i="39"/>
  <c r="B95" i="39"/>
  <c r="B96" i="39"/>
  <c r="B97" i="39"/>
  <c r="C97" i="39" s="1"/>
  <c r="D97" i="39" s="1"/>
  <c r="B98" i="39"/>
  <c r="B99" i="39"/>
  <c r="B100" i="39"/>
  <c r="B101" i="39"/>
  <c r="B102" i="39"/>
  <c r="B103" i="39"/>
  <c r="B104" i="39"/>
  <c r="B105" i="39"/>
  <c r="C105" i="39" s="1"/>
  <c r="D105" i="39" s="1"/>
  <c r="B106" i="39"/>
  <c r="B107" i="39"/>
  <c r="B108" i="39"/>
  <c r="B109" i="39"/>
  <c r="B110" i="39"/>
  <c r="B21" i="39"/>
  <c r="B20" i="40"/>
  <c r="B21" i="40"/>
  <c r="B22" i="40"/>
  <c r="B23" i="40"/>
  <c r="B24" i="40"/>
  <c r="B25" i="40"/>
  <c r="B26" i="40"/>
  <c r="B27" i="40"/>
  <c r="B28" i="40"/>
  <c r="B29" i="40"/>
  <c r="B30" i="40"/>
  <c r="B31" i="40"/>
  <c r="B32" i="40"/>
  <c r="B33" i="40"/>
  <c r="B34" i="40"/>
  <c r="B35" i="40"/>
  <c r="B36" i="40"/>
  <c r="B37" i="40"/>
  <c r="B38" i="40"/>
  <c r="B39" i="40"/>
  <c r="B40" i="40"/>
  <c r="B41" i="40"/>
  <c r="B42" i="40"/>
  <c r="B43" i="40"/>
  <c r="B44" i="40"/>
  <c r="B45" i="40"/>
  <c r="B46" i="40"/>
  <c r="B47" i="40"/>
  <c r="B48" i="40"/>
  <c r="B49" i="40"/>
  <c r="B50" i="40"/>
  <c r="B51" i="40"/>
  <c r="B52" i="40"/>
  <c r="B53" i="40"/>
  <c r="B54" i="40"/>
  <c r="B55" i="40"/>
  <c r="B56" i="40"/>
  <c r="B57" i="40"/>
  <c r="B58" i="40"/>
  <c r="B59" i="40"/>
  <c r="B60" i="40"/>
  <c r="B61" i="40"/>
  <c r="B62" i="40"/>
  <c r="B63" i="40"/>
  <c r="B64" i="40"/>
  <c r="B65" i="40"/>
  <c r="B66" i="40"/>
  <c r="B67" i="40"/>
  <c r="B68" i="40"/>
  <c r="B69" i="40"/>
  <c r="B70" i="40"/>
  <c r="B71" i="40"/>
  <c r="B72" i="40"/>
  <c r="B73" i="40"/>
  <c r="B74" i="40"/>
  <c r="B75" i="40"/>
  <c r="B76" i="40"/>
  <c r="B77" i="40"/>
  <c r="B78" i="40"/>
  <c r="B79" i="40"/>
  <c r="B80" i="40"/>
  <c r="B81" i="40"/>
  <c r="B82" i="40"/>
  <c r="B83" i="40"/>
  <c r="B84" i="40"/>
  <c r="B85" i="40"/>
  <c r="B86" i="40"/>
  <c r="B87" i="40"/>
  <c r="B88" i="40"/>
  <c r="B89" i="40"/>
  <c r="B90" i="40"/>
  <c r="B91" i="40"/>
  <c r="B92" i="40"/>
  <c r="B93" i="40"/>
  <c r="B94" i="40"/>
  <c r="B95" i="40"/>
  <c r="B96" i="40"/>
  <c r="B97" i="40"/>
  <c r="B98" i="40"/>
  <c r="B99" i="40"/>
  <c r="B100" i="40"/>
  <c r="B101" i="40"/>
  <c r="B102" i="40"/>
  <c r="B103" i="40"/>
  <c r="B104" i="40"/>
  <c r="B105" i="40"/>
  <c r="B106" i="40"/>
  <c r="B107" i="40"/>
  <c r="B108" i="40"/>
  <c r="B19" i="40"/>
  <c r="B20" i="48"/>
  <c r="D20" i="48" s="1"/>
  <c r="B21" i="48"/>
  <c r="D21" i="48" s="1"/>
  <c r="B22" i="48"/>
  <c r="D22" i="48" s="1"/>
  <c r="B23" i="48"/>
  <c r="D23" i="48" s="1"/>
  <c r="B24" i="48"/>
  <c r="D24" i="48" s="1"/>
  <c r="B25" i="48"/>
  <c r="D25" i="48" s="1"/>
  <c r="B26" i="48"/>
  <c r="D26" i="48" s="1"/>
  <c r="B27" i="48"/>
  <c r="D27" i="48" s="1"/>
  <c r="B28" i="48"/>
  <c r="D28" i="48" s="1"/>
  <c r="B29" i="48"/>
  <c r="D29" i="48" s="1"/>
  <c r="B30" i="48"/>
  <c r="D30" i="48" s="1"/>
  <c r="B31" i="48"/>
  <c r="D31" i="48" s="1"/>
  <c r="B32" i="48"/>
  <c r="D32" i="48" s="1"/>
  <c r="B33" i="48"/>
  <c r="D33" i="48" s="1"/>
  <c r="B34" i="48"/>
  <c r="D34" i="48" s="1"/>
  <c r="B35" i="48"/>
  <c r="D35" i="48" s="1"/>
  <c r="B36" i="48"/>
  <c r="D36" i="48" s="1"/>
  <c r="B37" i="48"/>
  <c r="D37" i="48" s="1"/>
  <c r="B38" i="48"/>
  <c r="D38" i="48" s="1"/>
  <c r="B39" i="48"/>
  <c r="D39" i="48" s="1"/>
  <c r="B40" i="48"/>
  <c r="D40" i="48" s="1"/>
  <c r="B41" i="48"/>
  <c r="D41" i="48" s="1"/>
  <c r="B42" i="48"/>
  <c r="D42" i="48" s="1"/>
  <c r="B43" i="48"/>
  <c r="D43" i="48" s="1"/>
  <c r="B44" i="48"/>
  <c r="D44" i="48" s="1"/>
  <c r="B45" i="48"/>
  <c r="D45" i="48" s="1"/>
  <c r="B46" i="48"/>
  <c r="D46" i="48" s="1"/>
  <c r="B47" i="48"/>
  <c r="D47" i="48" s="1"/>
  <c r="B48" i="48"/>
  <c r="D48" i="48" s="1"/>
  <c r="B49" i="48"/>
  <c r="D49" i="48" s="1"/>
  <c r="B50" i="48"/>
  <c r="D50" i="48" s="1"/>
  <c r="B51" i="48"/>
  <c r="D51" i="48" s="1"/>
  <c r="B52" i="48"/>
  <c r="D52" i="48" s="1"/>
  <c r="B53" i="48"/>
  <c r="D53" i="48" s="1"/>
  <c r="B54" i="48"/>
  <c r="D54" i="48" s="1"/>
  <c r="B55" i="48"/>
  <c r="D55" i="48" s="1"/>
  <c r="B56" i="48"/>
  <c r="D56" i="48" s="1"/>
  <c r="B57" i="48"/>
  <c r="D57" i="48" s="1"/>
  <c r="B58" i="48"/>
  <c r="D58" i="48" s="1"/>
  <c r="B59" i="48"/>
  <c r="D59" i="48" s="1"/>
  <c r="B60" i="48"/>
  <c r="D60" i="48" s="1"/>
  <c r="B61" i="48"/>
  <c r="D61" i="48" s="1"/>
  <c r="B62" i="48"/>
  <c r="D62" i="48" s="1"/>
  <c r="B63" i="48"/>
  <c r="D63" i="48" s="1"/>
  <c r="B64" i="48"/>
  <c r="D64" i="48" s="1"/>
  <c r="B65" i="48"/>
  <c r="D65" i="48" s="1"/>
  <c r="B66" i="48"/>
  <c r="D66" i="48" s="1"/>
  <c r="B67" i="48"/>
  <c r="D67" i="48" s="1"/>
  <c r="B68" i="48"/>
  <c r="D68" i="48" s="1"/>
  <c r="B69" i="48"/>
  <c r="D69" i="48" s="1"/>
  <c r="B70" i="48"/>
  <c r="D70" i="48" s="1"/>
  <c r="B71" i="48"/>
  <c r="D71" i="48" s="1"/>
  <c r="B72" i="48"/>
  <c r="D72" i="48" s="1"/>
  <c r="B73" i="48"/>
  <c r="D73" i="48" s="1"/>
  <c r="B74" i="48"/>
  <c r="D74" i="48" s="1"/>
  <c r="B75" i="48"/>
  <c r="D75" i="48" s="1"/>
  <c r="B76" i="48"/>
  <c r="D76" i="48" s="1"/>
  <c r="B77" i="48"/>
  <c r="D77" i="48" s="1"/>
  <c r="B78" i="48"/>
  <c r="D78" i="48" s="1"/>
  <c r="B79" i="48"/>
  <c r="D79" i="48" s="1"/>
  <c r="B80" i="48"/>
  <c r="D80" i="48" s="1"/>
  <c r="B81" i="48"/>
  <c r="D81" i="48" s="1"/>
  <c r="B82" i="48"/>
  <c r="D82" i="48" s="1"/>
  <c r="B83" i="48"/>
  <c r="D83" i="48" s="1"/>
  <c r="B84" i="48"/>
  <c r="D84" i="48" s="1"/>
  <c r="B85" i="48"/>
  <c r="D85" i="48" s="1"/>
  <c r="B86" i="48"/>
  <c r="D86" i="48" s="1"/>
  <c r="B87" i="48"/>
  <c r="D87" i="48" s="1"/>
  <c r="B88" i="48"/>
  <c r="D88" i="48" s="1"/>
  <c r="B89" i="48"/>
  <c r="D89" i="48" s="1"/>
  <c r="B90" i="48"/>
  <c r="D90" i="48" s="1"/>
  <c r="B91" i="48"/>
  <c r="D91" i="48" s="1"/>
  <c r="B92" i="48"/>
  <c r="D92" i="48" s="1"/>
  <c r="B93" i="48"/>
  <c r="D93" i="48" s="1"/>
  <c r="B94" i="48"/>
  <c r="D94" i="48" s="1"/>
  <c r="B95" i="48"/>
  <c r="D95" i="48" s="1"/>
  <c r="B96" i="48"/>
  <c r="D96" i="48" s="1"/>
  <c r="B97" i="48"/>
  <c r="D97" i="48" s="1"/>
  <c r="B98" i="48"/>
  <c r="D98" i="48" s="1"/>
  <c r="B99" i="48"/>
  <c r="D99" i="48" s="1"/>
  <c r="B100" i="48"/>
  <c r="D100" i="48" s="1"/>
  <c r="B101" i="48"/>
  <c r="D101" i="48" s="1"/>
  <c r="B102" i="48"/>
  <c r="D102" i="48" s="1"/>
  <c r="B103" i="48"/>
  <c r="D103" i="48" s="1"/>
  <c r="B104" i="48"/>
  <c r="D104" i="48" s="1"/>
  <c r="B105" i="48"/>
  <c r="D105" i="48" s="1"/>
  <c r="B106" i="48"/>
  <c r="D106" i="48" s="1"/>
  <c r="B107" i="48"/>
  <c r="D107" i="48" s="1"/>
  <c r="B108" i="48"/>
  <c r="D108" i="48" s="1"/>
  <c r="B19" i="48"/>
  <c r="D19" i="48" s="1"/>
  <c r="B20" i="43"/>
  <c r="D20" i="43" s="1"/>
  <c r="B21" i="43"/>
  <c r="D21" i="43" s="1"/>
  <c r="B22" i="43"/>
  <c r="D22" i="43" s="1"/>
  <c r="B23" i="43"/>
  <c r="D23" i="43" s="1"/>
  <c r="B24" i="43"/>
  <c r="D24" i="43" s="1"/>
  <c r="B25" i="43"/>
  <c r="D25" i="43" s="1"/>
  <c r="B26" i="43"/>
  <c r="D26" i="43" s="1"/>
  <c r="B27" i="43"/>
  <c r="D27" i="43" s="1"/>
  <c r="B28" i="43"/>
  <c r="D28" i="43" s="1"/>
  <c r="B29" i="43"/>
  <c r="D29" i="43" s="1"/>
  <c r="B30" i="43"/>
  <c r="D30" i="43" s="1"/>
  <c r="B31" i="43"/>
  <c r="D31" i="43" s="1"/>
  <c r="B32" i="43"/>
  <c r="D32" i="43" s="1"/>
  <c r="B33" i="43"/>
  <c r="D33" i="43" s="1"/>
  <c r="B34" i="43"/>
  <c r="D34" i="43" s="1"/>
  <c r="B35" i="43"/>
  <c r="D35" i="43" s="1"/>
  <c r="B36" i="43"/>
  <c r="D36" i="43" s="1"/>
  <c r="B37" i="43"/>
  <c r="D37" i="43" s="1"/>
  <c r="B38" i="43"/>
  <c r="D38" i="43" s="1"/>
  <c r="B39" i="43"/>
  <c r="D39" i="43" s="1"/>
  <c r="B40" i="43"/>
  <c r="D40" i="43" s="1"/>
  <c r="B41" i="43"/>
  <c r="D41" i="43" s="1"/>
  <c r="B42" i="43"/>
  <c r="D42" i="43" s="1"/>
  <c r="B43" i="43"/>
  <c r="D43" i="43" s="1"/>
  <c r="B44" i="43"/>
  <c r="D44" i="43" s="1"/>
  <c r="B45" i="43"/>
  <c r="D45" i="43" s="1"/>
  <c r="B46" i="43"/>
  <c r="D46" i="43" s="1"/>
  <c r="B47" i="43"/>
  <c r="D47" i="43" s="1"/>
  <c r="B48" i="43"/>
  <c r="D48" i="43" s="1"/>
  <c r="B49" i="43"/>
  <c r="D49" i="43" s="1"/>
  <c r="B50" i="43"/>
  <c r="D50" i="43" s="1"/>
  <c r="B51" i="43"/>
  <c r="D51" i="43" s="1"/>
  <c r="B52" i="43"/>
  <c r="D52" i="43" s="1"/>
  <c r="B53" i="43"/>
  <c r="D53" i="43" s="1"/>
  <c r="B54" i="43"/>
  <c r="D54" i="43" s="1"/>
  <c r="B55" i="43"/>
  <c r="D55" i="43" s="1"/>
  <c r="B56" i="43"/>
  <c r="D56" i="43" s="1"/>
  <c r="B57" i="43"/>
  <c r="D57" i="43" s="1"/>
  <c r="B58" i="43"/>
  <c r="D58" i="43" s="1"/>
  <c r="B59" i="43"/>
  <c r="D59" i="43" s="1"/>
  <c r="B60" i="43"/>
  <c r="D60" i="43" s="1"/>
  <c r="B61" i="43"/>
  <c r="D61" i="43" s="1"/>
  <c r="B62" i="43"/>
  <c r="D62" i="43" s="1"/>
  <c r="B63" i="43"/>
  <c r="D63" i="43" s="1"/>
  <c r="B64" i="43"/>
  <c r="D64" i="43" s="1"/>
  <c r="B65" i="43"/>
  <c r="D65" i="43" s="1"/>
  <c r="B66" i="43"/>
  <c r="D66" i="43" s="1"/>
  <c r="B67" i="43"/>
  <c r="D67" i="43" s="1"/>
  <c r="B68" i="43"/>
  <c r="D68" i="43" s="1"/>
  <c r="B69" i="43"/>
  <c r="D69" i="43" s="1"/>
  <c r="B70" i="43"/>
  <c r="D70" i="43" s="1"/>
  <c r="B71" i="43"/>
  <c r="D71" i="43" s="1"/>
  <c r="B72" i="43"/>
  <c r="D72" i="43" s="1"/>
  <c r="B73" i="43"/>
  <c r="D73" i="43" s="1"/>
  <c r="B74" i="43"/>
  <c r="D74" i="43" s="1"/>
  <c r="B75" i="43"/>
  <c r="D75" i="43" s="1"/>
  <c r="B76" i="43"/>
  <c r="D76" i="43" s="1"/>
  <c r="B77" i="43"/>
  <c r="D77" i="43" s="1"/>
  <c r="B78" i="43"/>
  <c r="D78" i="43" s="1"/>
  <c r="B79" i="43"/>
  <c r="D79" i="43" s="1"/>
  <c r="B80" i="43"/>
  <c r="D80" i="43" s="1"/>
  <c r="B81" i="43"/>
  <c r="D81" i="43" s="1"/>
  <c r="B82" i="43"/>
  <c r="D82" i="43" s="1"/>
  <c r="B83" i="43"/>
  <c r="D83" i="43" s="1"/>
  <c r="B84" i="43"/>
  <c r="D84" i="43" s="1"/>
  <c r="B85" i="43"/>
  <c r="D85" i="43" s="1"/>
  <c r="B86" i="43"/>
  <c r="D86" i="43" s="1"/>
  <c r="B87" i="43"/>
  <c r="D87" i="43" s="1"/>
  <c r="B88" i="43"/>
  <c r="D88" i="43" s="1"/>
  <c r="B89" i="43"/>
  <c r="D89" i="43" s="1"/>
  <c r="B90" i="43"/>
  <c r="D90" i="43" s="1"/>
  <c r="B91" i="43"/>
  <c r="D91" i="43" s="1"/>
  <c r="B92" i="43"/>
  <c r="D92" i="43" s="1"/>
  <c r="B93" i="43"/>
  <c r="D93" i="43" s="1"/>
  <c r="B94" i="43"/>
  <c r="D94" i="43" s="1"/>
  <c r="B95" i="43"/>
  <c r="D95" i="43" s="1"/>
  <c r="B96" i="43"/>
  <c r="D96" i="43" s="1"/>
  <c r="B97" i="43"/>
  <c r="D97" i="43" s="1"/>
  <c r="B98" i="43"/>
  <c r="D98" i="43" s="1"/>
  <c r="B99" i="43"/>
  <c r="D99" i="43" s="1"/>
  <c r="B100" i="43"/>
  <c r="D100" i="43" s="1"/>
  <c r="B101" i="43"/>
  <c r="D101" i="43" s="1"/>
  <c r="B102" i="43"/>
  <c r="D102" i="43" s="1"/>
  <c r="B103" i="43"/>
  <c r="D103" i="43" s="1"/>
  <c r="B104" i="43"/>
  <c r="D104" i="43" s="1"/>
  <c r="B105" i="43"/>
  <c r="D105" i="43" s="1"/>
  <c r="B106" i="43"/>
  <c r="D106" i="43" s="1"/>
  <c r="B107" i="43"/>
  <c r="D107" i="43" s="1"/>
  <c r="B108" i="43"/>
  <c r="D108" i="43" s="1"/>
  <c r="B19" i="43"/>
  <c r="C44" i="46"/>
  <c r="D19" i="21"/>
  <c r="B20" i="25"/>
  <c r="D20" i="25" s="1"/>
  <c r="B21" i="25"/>
  <c r="D21" i="25" s="1"/>
  <c r="B22" i="25"/>
  <c r="D22" i="25" s="1"/>
  <c r="B23" i="25"/>
  <c r="D23" i="25" s="1"/>
  <c r="B24" i="25"/>
  <c r="D24" i="25" s="1"/>
  <c r="B25" i="25"/>
  <c r="D25" i="25" s="1"/>
  <c r="B26" i="25"/>
  <c r="D26" i="25" s="1"/>
  <c r="B27" i="25"/>
  <c r="D27" i="25" s="1"/>
  <c r="B28" i="25"/>
  <c r="D28" i="25" s="1"/>
  <c r="B29" i="25"/>
  <c r="D29" i="25" s="1"/>
  <c r="B30" i="25"/>
  <c r="D30" i="25" s="1"/>
  <c r="B31" i="25"/>
  <c r="D31" i="25" s="1"/>
  <c r="B32" i="25"/>
  <c r="D32" i="25" s="1"/>
  <c r="B33" i="25"/>
  <c r="D33" i="25" s="1"/>
  <c r="B34" i="25"/>
  <c r="D34" i="25" s="1"/>
  <c r="B35" i="25"/>
  <c r="D35" i="25" s="1"/>
  <c r="B36" i="25"/>
  <c r="D36" i="25" s="1"/>
  <c r="B37" i="25"/>
  <c r="D37" i="25" s="1"/>
  <c r="B38" i="25"/>
  <c r="D38" i="25" s="1"/>
  <c r="B39" i="25"/>
  <c r="D39" i="25" s="1"/>
  <c r="B40" i="25"/>
  <c r="D40" i="25" s="1"/>
  <c r="B41" i="25"/>
  <c r="D41" i="25" s="1"/>
  <c r="B42" i="25"/>
  <c r="D42" i="25" s="1"/>
  <c r="B43" i="25"/>
  <c r="D43" i="25" s="1"/>
  <c r="B44" i="25"/>
  <c r="D44" i="25" s="1"/>
  <c r="B45" i="25"/>
  <c r="D45" i="25" s="1"/>
  <c r="B46" i="25"/>
  <c r="B47" i="25"/>
  <c r="D47" i="25" s="1"/>
  <c r="B48" i="25"/>
  <c r="D48" i="25" s="1"/>
  <c r="B49" i="25"/>
  <c r="D49" i="25" s="1"/>
  <c r="B50" i="25"/>
  <c r="D50" i="25" s="1"/>
  <c r="B51" i="25"/>
  <c r="D51" i="25" s="1"/>
  <c r="B52" i="25"/>
  <c r="D52" i="25" s="1"/>
  <c r="B53" i="25"/>
  <c r="D53" i="25" s="1"/>
  <c r="B54" i="25"/>
  <c r="D54" i="25" s="1"/>
  <c r="B55" i="25"/>
  <c r="D55" i="25" s="1"/>
  <c r="B56" i="25"/>
  <c r="D56" i="25" s="1"/>
  <c r="B57" i="25"/>
  <c r="D57" i="25" s="1"/>
  <c r="B58" i="25"/>
  <c r="D58" i="25" s="1"/>
  <c r="B59" i="25"/>
  <c r="D59" i="25" s="1"/>
  <c r="B60" i="25"/>
  <c r="D60" i="25" s="1"/>
  <c r="B61" i="25"/>
  <c r="D61" i="25" s="1"/>
  <c r="B62" i="25"/>
  <c r="D62" i="25" s="1"/>
  <c r="B63" i="25"/>
  <c r="D63" i="25" s="1"/>
  <c r="B64" i="25"/>
  <c r="D64" i="25" s="1"/>
  <c r="B65" i="25"/>
  <c r="D65" i="25" s="1"/>
  <c r="B66" i="25"/>
  <c r="D66" i="25" s="1"/>
  <c r="B67" i="25"/>
  <c r="D67" i="25" s="1"/>
  <c r="B68" i="25"/>
  <c r="D68" i="25" s="1"/>
  <c r="B69" i="25"/>
  <c r="D69" i="25" s="1"/>
  <c r="B70" i="25"/>
  <c r="D70" i="25" s="1"/>
  <c r="B71" i="25"/>
  <c r="D71" i="25" s="1"/>
  <c r="B72" i="25"/>
  <c r="D72" i="25" s="1"/>
  <c r="B73" i="25"/>
  <c r="D73" i="25" s="1"/>
  <c r="B74" i="25"/>
  <c r="D74" i="25" s="1"/>
  <c r="B75" i="25"/>
  <c r="D75" i="25" s="1"/>
  <c r="B76" i="25"/>
  <c r="D76" i="25" s="1"/>
  <c r="B77" i="25"/>
  <c r="D77" i="25" s="1"/>
  <c r="B78" i="25"/>
  <c r="D78" i="25" s="1"/>
  <c r="B79" i="25"/>
  <c r="D79" i="25" s="1"/>
  <c r="B80" i="25"/>
  <c r="D80" i="25" s="1"/>
  <c r="B81" i="25"/>
  <c r="D81" i="25" s="1"/>
  <c r="B82" i="25"/>
  <c r="D82" i="25" s="1"/>
  <c r="B83" i="25"/>
  <c r="D83" i="25" s="1"/>
  <c r="B84" i="25"/>
  <c r="D84" i="25" s="1"/>
  <c r="B85" i="25"/>
  <c r="D85" i="25" s="1"/>
  <c r="B86" i="25"/>
  <c r="D86" i="25" s="1"/>
  <c r="B87" i="25"/>
  <c r="D87" i="25" s="1"/>
  <c r="B88" i="25"/>
  <c r="D88" i="25" s="1"/>
  <c r="B89" i="25"/>
  <c r="D89" i="25" s="1"/>
  <c r="B90" i="25"/>
  <c r="D90" i="25" s="1"/>
  <c r="B91" i="25"/>
  <c r="D91" i="25" s="1"/>
  <c r="B92" i="25"/>
  <c r="D92" i="25" s="1"/>
  <c r="B93" i="25"/>
  <c r="D93" i="25" s="1"/>
  <c r="B94" i="25"/>
  <c r="D94" i="25" s="1"/>
  <c r="B95" i="25"/>
  <c r="D95" i="25" s="1"/>
  <c r="B96" i="25"/>
  <c r="D96" i="25" s="1"/>
  <c r="B97" i="25"/>
  <c r="D97" i="25" s="1"/>
  <c r="B98" i="25"/>
  <c r="D98" i="25" s="1"/>
  <c r="B99" i="25"/>
  <c r="D99" i="25" s="1"/>
  <c r="B100" i="25"/>
  <c r="D100" i="25" s="1"/>
  <c r="B101" i="25"/>
  <c r="D101" i="25" s="1"/>
  <c r="B102" i="25"/>
  <c r="D102" i="25" s="1"/>
  <c r="B103" i="25"/>
  <c r="D103" i="25" s="1"/>
  <c r="B104" i="25"/>
  <c r="D104" i="25" s="1"/>
  <c r="B105" i="25"/>
  <c r="D105" i="25" s="1"/>
  <c r="B106" i="25"/>
  <c r="D106" i="25" s="1"/>
  <c r="B107" i="25"/>
  <c r="D107" i="25" s="1"/>
  <c r="B108" i="25"/>
  <c r="D108" i="25" s="1"/>
  <c r="B19" i="25"/>
  <c r="D19" i="25" s="1"/>
  <c r="B20" i="47"/>
  <c r="D20" i="47" s="1"/>
  <c r="B21" i="47"/>
  <c r="D21" i="47" s="1"/>
  <c r="B22" i="47"/>
  <c r="D22" i="47" s="1"/>
  <c r="B23" i="47"/>
  <c r="D23" i="47" s="1"/>
  <c r="B24" i="47"/>
  <c r="D24" i="47" s="1"/>
  <c r="B25" i="47"/>
  <c r="D25" i="47" s="1"/>
  <c r="B26" i="47"/>
  <c r="D26" i="47" s="1"/>
  <c r="B27" i="47"/>
  <c r="D27" i="47" s="1"/>
  <c r="B28" i="47"/>
  <c r="D28" i="47" s="1"/>
  <c r="B29" i="47"/>
  <c r="D29" i="47" s="1"/>
  <c r="B30" i="47"/>
  <c r="D30" i="47" s="1"/>
  <c r="B31" i="47"/>
  <c r="D31" i="47" s="1"/>
  <c r="B32" i="47"/>
  <c r="D32" i="47" s="1"/>
  <c r="B33" i="47"/>
  <c r="D33" i="47" s="1"/>
  <c r="B34" i="47"/>
  <c r="D34" i="47" s="1"/>
  <c r="B35" i="47"/>
  <c r="D35" i="47" s="1"/>
  <c r="B36" i="47"/>
  <c r="D36" i="47" s="1"/>
  <c r="B37" i="47"/>
  <c r="D37" i="47" s="1"/>
  <c r="B38" i="47"/>
  <c r="D38" i="47" s="1"/>
  <c r="B39" i="47"/>
  <c r="D39" i="47" s="1"/>
  <c r="B40" i="47"/>
  <c r="D40" i="47" s="1"/>
  <c r="B41" i="47"/>
  <c r="D41" i="47" s="1"/>
  <c r="B42" i="47"/>
  <c r="D42" i="47" s="1"/>
  <c r="B43" i="47"/>
  <c r="D43" i="47" s="1"/>
  <c r="B44" i="47"/>
  <c r="D44" i="47" s="1"/>
  <c r="B45" i="47"/>
  <c r="D45" i="47" s="1"/>
  <c r="B46" i="47"/>
  <c r="D46" i="47" s="1"/>
  <c r="B47" i="47"/>
  <c r="D47" i="47" s="1"/>
  <c r="B48" i="47"/>
  <c r="D48" i="47" s="1"/>
  <c r="B49" i="47"/>
  <c r="D49" i="47" s="1"/>
  <c r="B50" i="47"/>
  <c r="D50" i="47" s="1"/>
  <c r="B51" i="47"/>
  <c r="D51" i="47" s="1"/>
  <c r="B52" i="47"/>
  <c r="D52" i="47" s="1"/>
  <c r="B53" i="47"/>
  <c r="D53" i="47" s="1"/>
  <c r="B54" i="47"/>
  <c r="D54" i="47" s="1"/>
  <c r="B55" i="47"/>
  <c r="D55" i="47" s="1"/>
  <c r="B56" i="47"/>
  <c r="D56" i="47" s="1"/>
  <c r="B57" i="47"/>
  <c r="D57" i="47" s="1"/>
  <c r="B58" i="47"/>
  <c r="D58" i="47" s="1"/>
  <c r="B59" i="47"/>
  <c r="D59" i="47" s="1"/>
  <c r="B60" i="47"/>
  <c r="D60" i="47" s="1"/>
  <c r="B61" i="47"/>
  <c r="D61" i="47" s="1"/>
  <c r="B62" i="47"/>
  <c r="D62" i="47" s="1"/>
  <c r="B63" i="47"/>
  <c r="D63" i="47" s="1"/>
  <c r="B64" i="47"/>
  <c r="D64" i="47" s="1"/>
  <c r="B65" i="47"/>
  <c r="D65" i="47" s="1"/>
  <c r="B66" i="47"/>
  <c r="D66" i="47" s="1"/>
  <c r="B67" i="47"/>
  <c r="D67" i="47" s="1"/>
  <c r="B68" i="47"/>
  <c r="D68" i="47" s="1"/>
  <c r="B69" i="47"/>
  <c r="D69" i="47" s="1"/>
  <c r="B70" i="47"/>
  <c r="D70" i="47" s="1"/>
  <c r="B71" i="47"/>
  <c r="D71" i="47" s="1"/>
  <c r="B72" i="47"/>
  <c r="D72" i="47" s="1"/>
  <c r="B73" i="47"/>
  <c r="D73" i="47" s="1"/>
  <c r="B74" i="47"/>
  <c r="D74" i="47" s="1"/>
  <c r="B75" i="47"/>
  <c r="D75" i="47" s="1"/>
  <c r="B76" i="47"/>
  <c r="D76" i="47" s="1"/>
  <c r="B77" i="47"/>
  <c r="D77" i="47" s="1"/>
  <c r="B78" i="47"/>
  <c r="D78" i="47" s="1"/>
  <c r="B79" i="47"/>
  <c r="D79" i="47" s="1"/>
  <c r="B80" i="47"/>
  <c r="D80" i="47" s="1"/>
  <c r="B81" i="47"/>
  <c r="D81" i="47" s="1"/>
  <c r="B82" i="47"/>
  <c r="D82" i="47" s="1"/>
  <c r="B83" i="47"/>
  <c r="D83" i="47" s="1"/>
  <c r="B84" i="47"/>
  <c r="D84" i="47" s="1"/>
  <c r="B85" i="47"/>
  <c r="D85" i="47" s="1"/>
  <c r="B86" i="47"/>
  <c r="D86" i="47" s="1"/>
  <c r="B87" i="47"/>
  <c r="D87" i="47" s="1"/>
  <c r="B88" i="47"/>
  <c r="D88" i="47" s="1"/>
  <c r="B89" i="47"/>
  <c r="D89" i="47" s="1"/>
  <c r="B90" i="47"/>
  <c r="D90" i="47" s="1"/>
  <c r="B91" i="47"/>
  <c r="D91" i="47" s="1"/>
  <c r="B92" i="47"/>
  <c r="D92" i="47" s="1"/>
  <c r="B93" i="47"/>
  <c r="D93" i="47" s="1"/>
  <c r="B94" i="47"/>
  <c r="D94" i="47" s="1"/>
  <c r="B95" i="47"/>
  <c r="D95" i="47" s="1"/>
  <c r="B96" i="47"/>
  <c r="D96" i="47" s="1"/>
  <c r="B97" i="47"/>
  <c r="D97" i="47" s="1"/>
  <c r="B98" i="47"/>
  <c r="D98" i="47" s="1"/>
  <c r="B99" i="47"/>
  <c r="D99" i="47" s="1"/>
  <c r="B100" i="47"/>
  <c r="D100" i="47" s="1"/>
  <c r="B101" i="47"/>
  <c r="D101" i="47" s="1"/>
  <c r="B102" i="47"/>
  <c r="D102" i="47" s="1"/>
  <c r="B103" i="47"/>
  <c r="D103" i="47" s="1"/>
  <c r="B104" i="47"/>
  <c r="D104" i="47" s="1"/>
  <c r="B105" i="47"/>
  <c r="D105" i="47" s="1"/>
  <c r="B106" i="47"/>
  <c r="D106" i="47" s="1"/>
  <c r="B107" i="47"/>
  <c r="D107" i="47" s="1"/>
  <c r="B108" i="47"/>
  <c r="D108" i="47" s="1"/>
  <c r="B19" i="47"/>
  <c r="D19" i="47" s="1"/>
  <c r="Z764" i="16" l="1"/>
  <c r="AB764" i="16" s="1"/>
  <c r="Z2297" i="16"/>
  <c r="AB2297" i="16" s="1"/>
  <c r="Z676" i="16"/>
  <c r="AB676" i="16" s="1"/>
  <c r="Z914" i="16"/>
  <c r="AB914" i="16" s="1"/>
  <c r="Z1784" i="16"/>
  <c r="AB1784" i="16" s="1"/>
  <c r="Z284" i="16"/>
  <c r="AB284" i="16" s="1"/>
  <c r="Z1185" i="16"/>
  <c r="AB1185" i="16" s="1"/>
  <c r="Z1247" i="16"/>
  <c r="AB1247" i="16" s="1"/>
  <c r="Z1304" i="16"/>
  <c r="AB1304" i="16" s="1"/>
  <c r="Z766" i="16"/>
  <c r="AB766" i="16" s="1"/>
  <c r="Z1037" i="16"/>
  <c r="AB1037" i="16" s="1"/>
  <c r="Z1935" i="16"/>
  <c r="AB1935" i="16" s="1"/>
  <c r="H2598" i="16"/>
  <c r="Z495" i="16"/>
  <c r="AB495" i="16" s="1"/>
  <c r="Z915" i="16"/>
  <c r="AB915" i="16" s="1"/>
  <c r="Z434" i="16"/>
  <c r="AB434" i="16" s="1"/>
  <c r="Z674" i="16"/>
  <c r="AB674" i="16" s="1"/>
  <c r="Z1244" i="16"/>
  <c r="AB1244" i="16" s="1"/>
  <c r="K1818" i="16"/>
  <c r="K2418" i="16"/>
  <c r="Z494" i="16"/>
  <c r="AB494" i="16" s="1"/>
  <c r="Z2296" i="16"/>
  <c r="AB2296" i="16" s="1"/>
  <c r="Z2387" i="16"/>
  <c r="AB2387" i="16" s="1"/>
  <c r="Z2294" i="16"/>
  <c r="AB2294" i="16" s="1"/>
  <c r="Z1426" i="16"/>
  <c r="AB1426" i="16" s="1"/>
  <c r="Z1035" i="16"/>
  <c r="AB1035" i="16" s="1"/>
  <c r="Z856" i="16"/>
  <c r="AB856" i="16" s="1"/>
  <c r="Z1845" i="16"/>
  <c r="AB1845" i="16" s="1"/>
  <c r="Z436" i="16"/>
  <c r="AB436" i="16" s="1"/>
  <c r="Z1186" i="16"/>
  <c r="AB1186" i="16" s="1"/>
  <c r="Z493" i="16"/>
  <c r="AB493" i="16" s="1"/>
  <c r="Z1787" i="16"/>
  <c r="AB1787" i="16" s="1"/>
  <c r="Z435" i="16"/>
  <c r="AB435" i="16" s="1"/>
  <c r="Z1307" i="16"/>
  <c r="AB1307" i="16" s="1"/>
  <c r="Z884" i="16"/>
  <c r="AB884" i="16" s="1"/>
  <c r="Z1007" i="16"/>
  <c r="AB1007" i="16" s="1"/>
  <c r="Z1305" i="16"/>
  <c r="AB1305" i="16" s="1"/>
  <c r="Z1427" i="16"/>
  <c r="AB1427" i="16" s="1"/>
  <c r="Z283" i="16"/>
  <c r="AB283" i="16" s="1"/>
  <c r="Z765" i="16"/>
  <c r="AB765" i="16" s="1"/>
  <c r="Z1245" i="16"/>
  <c r="AB1245" i="16" s="1"/>
  <c r="Z1844" i="16"/>
  <c r="AB1844" i="16" s="1"/>
  <c r="J2358" i="16"/>
  <c r="Z1337" i="16"/>
  <c r="AB1337" i="16" s="1"/>
  <c r="Z673" i="16"/>
  <c r="AB673" i="16" s="1"/>
  <c r="Z853" i="16"/>
  <c r="AB853" i="16" s="1"/>
  <c r="Z433" i="16"/>
  <c r="AB433" i="16" s="1"/>
  <c r="Z1637" i="16"/>
  <c r="AB1637" i="16" s="1"/>
  <c r="Z2205" i="16"/>
  <c r="AB2205" i="16" s="1"/>
  <c r="Z1485" i="16"/>
  <c r="AB1485" i="16" s="1"/>
  <c r="Z1484" i="16"/>
  <c r="AB1484" i="16" s="1"/>
  <c r="Z1486" i="16"/>
  <c r="AB1486" i="16" s="1"/>
  <c r="Z2505" i="16"/>
  <c r="AB2505" i="16" s="1"/>
  <c r="Z2504" i="16"/>
  <c r="AB2504" i="16" s="1"/>
  <c r="Z2507" i="16"/>
  <c r="AB2507" i="16" s="1"/>
  <c r="Z1634" i="16"/>
  <c r="AB1634" i="16" s="1"/>
  <c r="Z2384" i="16"/>
  <c r="AB2384" i="16" s="1"/>
  <c r="Z2386" i="16"/>
  <c r="AB2386" i="16" s="1"/>
  <c r="Z2385" i="16"/>
  <c r="AB2385" i="16" s="1"/>
  <c r="Z2295" i="16"/>
  <c r="AB2295" i="16" s="1"/>
  <c r="Z1425" i="16"/>
  <c r="AB1425" i="16" s="1"/>
  <c r="K2718" i="16"/>
  <c r="AB2718" i="16"/>
  <c r="AA2718" i="16"/>
  <c r="Z2598" i="16"/>
  <c r="K2568" i="16"/>
  <c r="K2538" i="16"/>
  <c r="J2598" i="16"/>
  <c r="AB2598" i="16"/>
  <c r="AA2598" i="16"/>
  <c r="Z1608" i="16"/>
  <c r="AB2568" i="16"/>
  <c r="AA2568" i="16"/>
  <c r="AB2538" i="16"/>
  <c r="AA2538" i="16"/>
  <c r="Z1368" i="16"/>
  <c r="Z1668" i="16"/>
  <c r="K2178" i="16"/>
  <c r="AB2478" i="16"/>
  <c r="AA2478" i="16"/>
  <c r="K2478" i="16"/>
  <c r="K2058" i="16"/>
  <c r="K2268" i="16"/>
  <c r="H2358" i="16"/>
  <c r="K2358" i="16" s="1"/>
  <c r="AB2418" i="16"/>
  <c r="AA2418" i="16"/>
  <c r="K1968" i="16"/>
  <c r="K2238" i="16"/>
  <c r="AB2268" i="16"/>
  <c r="AA2268" i="16"/>
  <c r="AB2238" i="16"/>
  <c r="AA2238" i="16"/>
  <c r="K1908" i="16"/>
  <c r="K2148" i="16"/>
  <c r="AB2178" i="16"/>
  <c r="AA2178" i="16"/>
  <c r="AB2148" i="16"/>
  <c r="AA2148" i="16"/>
  <c r="Z1548" i="16"/>
  <c r="H1668" i="16"/>
  <c r="AB2058" i="16"/>
  <c r="AA2058" i="16"/>
  <c r="AB1968" i="16"/>
  <c r="AA1968" i="16"/>
  <c r="AB1908" i="16"/>
  <c r="AA1908" i="16"/>
  <c r="J1668" i="16"/>
  <c r="J1398" i="16"/>
  <c r="H1608" i="16"/>
  <c r="J1548" i="16"/>
  <c r="AB1818" i="16"/>
  <c r="AA1818" i="16"/>
  <c r="AB1602" i="16"/>
  <c r="AB1608" i="16" s="1"/>
  <c r="J1608" i="16"/>
  <c r="AB1758" i="16"/>
  <c r="AA1758" i="16"/>
  <c r="K1758" i="16"/>
  <c r="K1663" i="16"/>
  <c r="Z1578" i="16"/>
  <c r="L1663" i="16"/>
  <c r="J1368" i="16"/>
  <c r="AB1668" i="16"/>
  <c r="AA1668" i="16"/>
  <c r="H1578" i="16"/>
  <c r="K1518" i="16"/>
  <c r="J1578" i="16"/>
  <c r="K1543" i="16"/>
  <c r="H1548" i="16"/>
  <c r="AB1578" i="16"/>
  <c r="AA1578" i="16"/>
  <c r="AB1548" i="16"/>
  <c r="AA1548" i="16"/>
  <c r="AB1518" i="16"/>
  <c r="AA1518" i="16"/>
  <c r="K1458" i="16"/>
  <c r="AB1458" i="16"/>
  <c r="AA1458" i="16"/>
  <c r="Z1098" i="16"/>
  <c r="Z1068" i="16"/>
  <c r="K1393" i="16"/>
  <c r="Z1398" i="16"/>
  <c r="H1398" i="16"/>
  <c r="AB1398" i="16"/>
  <c r="AA1398" i="16"/>
  <c r="H1368" i="16"/>
  <c r="AB1368" i="16"/>
  <c r="AA1368" i="16"/>
  <c r="J1098" i="16"/>
  <c r="Z557" i="16"/>
  <c r="J1128" i="16"/>
  <c r="K827" i="16"/>
  <c r="AB1062" i="16"/>
  <c r="AB1068" i="16" s="1"/>
  <c r="H1068" i="16"/>
  <c r="K1123" i="16"/>
  <c r="H1128" i="16"/>
  <c r="J407" i="16"/>
  <c r="H1098" i="16"/>
  <c r="Z978" i="16"/>
  <c r="J1068" i="16"/>
  <c r="AB1128" i="16"/>
  <c r="AA1128" i="16"/>
  <c r="AB1098" i="16"/>
  <c r="AA1098" i="16"/>
  <c r="J797" i="16"/>
  <c r="Z948" i="16"/>
  <c r="Z107" i="16"/>
  <c r="Z407" i="16"/>
  <c r="H797" i="16"/>
  <c r="J978" i="16"/>
  <c r="H978" i="16"/>
  <c r="J948" i="16"/>
  <c r="AB978" i="16"/>
  <c r="AA978" i="16"/>
  <c r="H948" i="16"/>
  <c r="AB948" i="16"/>
  <c r="AA948" i="16"/>
  <c r="K737" i="16"/>
  <c r="Z797" i="16"/>
  <c r="K792" i="16"/>
  <c r="AB827" i="16"/>
  <c r="AA827" i="16"/>
  <c r="Z647" i="16"/>
  <c r="J647" i="16"/>
  <c r="H587" i="16"/>
  <c r="AB797" i="16"/>
  <c r="AA797" i="16"/>
  <c r="J707" i="16"/>
  <c r="J467" i="16"/>
  <c r="AB737" i="16"/>
  <c r="AA737" i="16"/>
  <c r="H707" i="16"/>
  <c r="AB701" i="16"/>
  <c r="Z707" i="16"/>
  <c r="J617" i="16"/>
  <c r="J557" i="16"/>
  <c r="Z587" i="16"/>
  <c r="H647" i="16"/>
  <c r="J587" i="16"/>
  <c r="Z467" i="16"/>
  <c r="L581" i="16"/>
  <c r="AB647" i="16"/>
  <c r="AA647" i="16"/>
  <c r="H617" i="16"/>
  <c r="K462" i="16"/>
  <c r="AB617" i="16"/>
  <c r="AA617" i="16"/>
  <c r="Z377" i="16"/>
  <c r="AB587" i="16"/>
  <c r="AA587" i="16"/>
  <c r="H407" i="16"/>
  <c r="K527" i="16"/>
  <c r="H557" i="16"/>
  <c r="AB557" i="16"/>
  <c r="AA557" i="16"/>
  <c r="H467" i="16"/>
  <c r="K402" i="16"/>
  <c r="AB371" i="16"/>
  <c r="AA377" i="16" s="1"/>
  <c r="AB527" i="16"/>
  <c r="AA527" i="16"/>
  <c r="K167" i="16"/>
  <c r="Z77" i="16"/>
  <c r="J317" i="16"/>
  <c r="AB467" i="16"/>
  <c r="AA467" i="16"/>
  <c r="H377" i="16"/>
  <c r="Z257" i="16"/>
  <c r="J257" i="16"/>
  <c r="AB407" i="16"/>
  <c r="AA407" i="16"/>
  <c r="J377" i="16"/>
  <c r="H317" i="16"/>
  <c r="K347" i="16"/>
  <c r="AB347" i="16"/>
  <c r="AA347" i="16"/>
  <c r="H257" i="16"/>
  <c r="AB317" i="16"/>
  <c r="AA317" i="16"/>
  <c r="K197" i="16"/>
  <c r="AB257" i="16"/>
  <c r="AA257" i="16"/>
  <c r="J137" i="16"/>
  <c r="H77" i="16"/>
  <c r="AB197" i="16"/>
  <c r="AA197" i="16"/>
  <c r="AB167" i="16"/>
  <c r="AA167" i="16"/>
  <c r="J107" i="16"/>
  <c r="AB131" i="16"/>
  <c r="Z137" i="16"/>
  <c r="L131" i="16"/>
  <c r="H137" i="16"/>
  <c r="K133" i="16"/>
  <c r="H107" i="16"/>
  <c r="J77" i="16"/>
  <c r="AB107" i="16"/>
  <c r="AA107" i="16"/>
  <c r="K71" i="16"/>
  <c r="AB77" i="16"/>
  <c r="AA77" i="16"/>
  <c r="C107" i="48"/>
  <c r="C99" i="48"/>
  <c r="C91" i="48"/>
  <c r="C83" i="48"/>
  <c r="C75" i="48"/>
  <c r="C67" i="48"/>
  <c r="C59" i="48"/>
  <c r="C51" i="48"/>
  <c r="C43" i="48"/>
  <c r="C35" i="48"/>
  <c r="C27" i="48"/>
  <c r="C106" i="48"/>
  <c r="C98" i="48"/>
  <c r="C90" i="48"/>
  <c r="C82" i="48"/>
  <c r="C74" i="48"/>
  <c r="C66" i="48"/>
  <c r="C58" i="48"/>
  <c r="C50" i="48"/>
  <c r="C42" i="48"/>
  <c r="C34" i="48"/>
  <c r="C26" i="48"/>
  <c r="C105" i="48"/>
  <c r="C97" i="48"/>
  <c r="C89" i="48"/>
  <c r="C81" i="48"/>
  <c r="C73" i="48"/>
  <c r="C65" i="48"/>
  <c r="C57" i="48"/>
  <c r="C49" i="48"/>
  <c r="C41" i="48"/>
  <c r="C33" i="48"/>
  <c r="C25" i="48"/>
  <c r="C104" i="48"/>
  <c r="C96" i="48"/>
  <c r="C88" i="48"/>
  <c r="C80" i="48"/>
  <c r="C72" i="48"/>
  <c r="C64" i="48"/>
  <c r="C56" i="48"/>
  <c r="C48" i="48"/>
  <c r="C40" i="48"/>
  <c r="C32" i="48"/>
  <c r="C24" i="48"/>
  <c r="C103" i="48"/>
  <c r="C95" i="48"/>
  <c r="C87" i="48"/>
  <c r="C79" i="48"/>
  <c r="C71" i="48"/>
  <c r="C63" i="48"/>
  <c r="C55" i="48"/>
  <c r="C47" i="48"/>
  <c r="C39" i="48"/>
  <c r="C31" i="48"/>
  <c r="C23" i="48"/>
  <c r="C102" i="48"/>
  <c r="C94" i="48"/>
  <c r="C86" i="48"/>
  <c r="C78" i="48"/>
  <c r="C70" i="48"/>
  <c r="C62" i="48"/>
  <c r="C54" i="48"/>
  <c r="C46" i="48"/>
  <c r="C38" i="48"/>
  <c r="C30" i="48"/>
  <c r="C22" i="48"/>
  <c r="C19" i="48"/>
  <c r="C101" i="48"/>
  <c r="C93" i="48"/>
  <c r="C85" i="48"/>
  <c r="C77" i="48"/>
  <c r="C69" i="48"/>
  <c r="C61" i="48"/>
  <c r="C53" i="48"/>
  <c r="C45" i="48"/>
  <c r="C37" i="48"/>
  <c r="C29" i="48"/>
  <c r="C21" i="48"/>
  <c r="C108" i="48"/>
  <c r="C100" i="48"/>
  <c r="C92" i="48"/>
  <c r="C84" i="48"/>
  <c r="C76" i="48"/>
  <c r="C68" i="48"/>
  <c r="C60" i="48"/>
  <c r="C52" i="48"/>
  <c r="C44" i="48"/>
  <c r="C36" i="48"/>
  <c r="C28" i="48"/>
  <c r="C20" i="48"/>
  <c r="C105" i="25"/>
  <c r="C97" i="25"/>
  <c r="C89" i="25"/>
  <c r="C81" i="25"/>
  <c r="C73" i="25"/>
  <c r="C65" i="25"/>
  <c r="C57" i="25"/>
  <c r="C49" i="25"/>
  <c r="C41" i="25"/>
  <c r="C33" i="25"/>
  <c r="C25" i="25"/>
  <c r="C104" i="25"/>
  <c r="C96" i="25"/>
  <c r="C88" i="25"/>
  <c r="C80" i="25"/>
  <c r="C72" i="25"/>
  <c r="C64" i="25"/>
  <c r="C56" i="25"/>
  <c r="C48" i="25"/>
  <c r="C40" i="25"/>
  <c r="C32" i="25"/>
  <c r="C24" i="25"/>
  <c r="C103" i="25"/>
  <c r="C95" i="25"/>
  <c r="C87" i="25"/>
  <c r="C79" i="25"/>
  <c r="C71" i="25"/>
  <c r="C63" i="25"/>
  <c r="C55" i="25"/>
  <c r="C47" i="25"/>
  <c r="C39" i="25"/>
  <c r="C31" i="25"/>
  <c r="C23" i="25"/>
  <c r="C102" i="25"/>
  <c r="C94" i="25"/>
  <c r="C86" i="25"/>
  <c r="C78" i="25"/>
  <c r="C70" i="25"/>
  <c r="C62" i="25"/>
  <c r="C54" i="25"/>
  <c r="C46" i="25"/>
  <c r="C38" i="25"/>
  <c r="C30" i="25"/>
  <c r="C22" i="25"/>
  <c r="C19" i="25"/>
  <c r="C101" i="25"/>
  <c r="C93" i="25"/>
  <c r="C85" i="25"/>
  <c r="C77" i="25"/>
  <c r="C69" i="25"/>
  <c r="C61" i="25"/>
  <c r="C53" i="25"/>
  <c r="C45" i="25"/>
  <c r="C37" i="25"/>
  <c r="C29" i="25"/>
  <c r="C21" i="25"/>
  <c r="C108" i="25"/>
  <c r="C100" i="25"/>
  <c r="C92" i="25"/>
  <c r="C84" i="25"/>
  <c r="C76" i="25"/>
  <c r="C68" i="25"/>
  <c r="C60" i="25"/>
  <c r="C52" i="25"/>
  <c r="C44" i="25"/>
  <c r="C36" i="25"/>
  <c r="C28" i="25"/>
  <c r="C20" i="25"/>
  <c r="C107" i="25"/>
  <c r="C99" i="25"/>
  <c r="C91" i="25"/>
  <c r="C83" i="25"/>
  <c r="C75" i="25"/>
  <c r="C67" i="25"/>
  <c r="C59" i="25"/>
  <c r="C51" i="25"/>
  <c r="C43" i="25"/>
  <c r="C35" i="25"/>
  <c r="C27" i="25"/>
  <c r="C106" i="25"/>
  <c r="C98" i="25"/>
  <c r="C90" i="25"/>
  <c r="C82" i="25"/>
  <c r="C74" i="25"/>
  <c r="C66" i="25"/>
  <c r="C58" i="25"/>
  <c r="C50" i="25"/>
  <c r="C42" i="25"/>
  <c r="C34" i="25"/>
  <c r="C26" i="25"/>
  <c r="C106" i="43"/>
  <c r="C98" i="43"/>
  <c r="C90" i="43"/>
  <c r="C82" i="43"/>
  <c r="C74" i="43"/>
  <c r="C66" i="43"/>
  <c r="C58" i="43"/>
  <c r="C50" i="43"/>
  <c r="C42" i="43"/>
  <c r="C34" i="43"/>
  <c r="C26" i="43"/>
  <c r="C105" i="43"/>
  <c r="C97" i="43"/>
  <c r="C89" i="43"/>
  <c r="C81" i="43"/>
  <c r="C73" i="43"/>
  <c r="C65" i="43"/>
  <c r="C57" i="43"/>
  <c r="C49" i="43"/>
  <c r="C41" i="43"/>
  <c r="C33" i="43"/>
  <c r="C25" i="43"/>
  <c r="C104" i="43"/>
  <c r="C96" i="43"/>
  <c r="C88" i="43"/>
  <c r="C80" i="43"/>
  <c r="C72" i="43"/>
  <c r="C64" i="43"/>
  <c r="C56" i="43"/>
  <c r="C48" i="43"/>
  <c r="C40" i="43"/>
  <c r="C32" i="43"/>
  <c r="C24" i="43"/>
  <c r="C103" i="43"/>
  <c r="C95" i="43"/>
  <c r="C87" i="43"/>
  <c r="C79" i="43"/>
  <c r="C71" i="43"/>
  <c r="C63" i="43"/>
  <c r="C55" i="43"/>
  <c r="C47" i="43"/>
  <c r="C39" i="43"/>
  <c r="C31" i="43"/>
  <c r="C23" i="43"/>
  <c r="D19" i="43"/>
  <c r="C19" i="43"/>
  <c r="C102" i="43"/>
  <c r="C94" i="43"/>
  <c r="C86" i="43"/>
  <c r="C78" i="43"/>
  <c r="C70" i="43"/>
  <c r="C62" i="43"/>
  <c r="C54" i="43"/>
  <c r="C46" i="43"/>
  <c r="C38" i="43"/>
  <c r="C30" i="43"/>
  <c r="C22" i="43"/>
  <c r="C101" i="43"/>
  <c r="C93" i="43"/>
  <c r="C85" i="43"/>
  <c r="C77" i="43"/>
  <c r="C69" i="43"/>
  <c r="C61" i="43"/>
  <c r="C53" i="43"/>
  <c r="C45" i="43"/>
  <c r="C37" i="43"/>
  <c r="C29" i="43"/>
  <c r="C21" i="43"/>
  <c r="C108" i="43"/>
  <c r="C100" i="43"/>
  <c r="C92" i="43"/>
  <c r="C84" i="43"/>
  <c r="C76" i="43"/>
  <c r="C68" i="43"/>
  <c r="C60" i="43"/>
  <c r="C52" i="43"/>
  <c r="C44" i="43"/>
  <c r="C36" i="43"/>
  <c r="C28" i="43"/>
  <c r="C20" i="43"/>
  <c r="C107" i="43"/>
  <c r="C99" i="43"/>
  <c r="C91" i="43"/>
  <c r="C83" i="43"/>
  <c r="C75" i="43"/>
  <c r="C67" i="43"/>
  <c r="C59" i="43"/>
  <c r="C51" i="43"/>
  <c r="C43" i="43"/>
  <c r="C35" i="43"/>
  <c r="C27" i="43"/>
  <c r="C103" i="47"/>
  <c r="C95" i="47"/>
  <c r="C87" i="47"/>
  <c r="C79" i="47"/>
  <c r="C71" i="47"/>
  <c r="C63" i="47"/>
  <c r="C55" i="47"/>
  <c r="C47" i="47"/>
  <c r="C39" i="47"/>
  <c r="C31" i="47"/>
  <c r="C23" i="47"/>
  <c r="C102" i="47"/>
  <c r="C94" i="47"/>
  <c r="C86" i="47"/>
  <c r="C78" i="47"/>
  <c r="C70" i="47"/>
  <c r="C62" i="47"/>
  <c r="C54" i="47"/>
  <c r="C46" i="47"/>
  <c r="C38" i="47"/>
  <c r="C30" i="47"/>
  <c r="C22" i="47"/>
  <c r="C19" i="47"/>
  <c r="C101" i="47"/>
  <c r="C93" i="47"/>
  <c r="C85" i="47"/>
  <c r="C77" i="47"/>
  <c r="C69" i="47"/>
  <c r="C61" i="47"/>
  <c r="C53" i="47"/>
  <c r="C45" i="47"/>
  <c r="C37" i="47"/>
  <c r="C29" i="47"/>
  <c r="C21" i="47"/>
  <c r="C108" i="47"/>
  <c r="C100" i="47"/>
  <c r="C92" i="47"/>
  <c r="C84" i="47"/>
  <c r="C76" i="47"/>
  <c r="C68" i="47"/>
  <c r="C60" i="47"/>
  <c r="C52" i="47"/>
  <c r="C44" i="47"/>
  <c r="C36" i="47"/>
  <c r="C28" i="47"/>
  <c r="C20" i="47"/>
  <c r="C107" i="47"/>
  <c r="C99" i="47"/>
  <c r="C91" i="47"/>
  <c r="C83" i="47"/>
  <c r="C75" i="47"/>
  <c r="C67" i="47"/>
  <c r="C59" i="47"/>
  <c r="C51" i="47"/>
  <c r="C43" i="47"/>
  <c r="C35" i="47"/>
  <c r="C27" i="47"/>
  <c r="C106" i="47"/>
  <c r="C98" i="47"/>
  <c r="C90" i="47"/>
  <c r="C82" i="47"/>
  <c r="C74" i="47"/>
  <c r="C66" i="47"/>
  <c r="C58" i="47"/>
  <c r="C50" i="47"/>
  <c r="C42" i="47"/>
  <c r="C34" i="47"/>
  <c r="C26" i="47"/>
  <c r="C105" i="47"/>
  <c r="C97" i="47"/>
  <c r="C89" i="47"/>
  <c r="C81" i="47"/>
  <c r="C73" i="47"/>
  <c r="C65" i="47"/>
  <c r="C57" i="47"/>
  <c r="C49" i="47"/>
  <c r="C41" i="47"/>
  <c r="C33" i="47"/>
  <c r="C25" i="47"/>
  <c r="C104" i="47"/>
  <c r="C96" i="47"/>
  <c r="C88" i="47"/>
  <c r="C80" i="47"/>
  <c r="C72" i="47"/>
  <c r="C64" i="47"/>
  <c r="C56" i="47"/>
  <c r="C48" i="47"/>
  <c r="C40" i="47"/>
  <c r="C32" i="47"/>
  <c r="C24" i="47"/>
  <c r="J87" i="42"/>
  <c r="J79" i="42"/>
  <c r="J71" i="42"/>
  <c r="J63" i="42"/>
  <c r="J55" i="42"/>
  <c r="J47" i="42"/>
  <c r="J39" i="42"/>
  <c r="J31" i="42"/>
  <c r="J23" i="42"/>
  <c r="J15" i="42"/>
  <c r="J7" i="42"/>
  <c r="J94" i="42"/>
  <c r="J86" i="42"/>
  <c r="J78" i="42"/>
  <c r="J70" i="42"/>
  <c r="J62" i="42"/>
  <c r="J54" i="42"/>
  <c r="J46" i="42"/>
  <c r="J38" i="42"/>
  <c r="J30" i="42"/>
  <c r="J22" i="42"/>
  <c r="J14" i="42"/>
  <c r="J6" i="42"/>
  <c r="J93" i="42"/>
  <c r="J85" i="42"/>
  <c r="J77" i="42"/>
  <c r="J69" i="42"/>
  <c r="J61" i="42"/>
  <c r="J53" i="42"/>
  <c r="J45" i="42"/>
  <c r="J37" i="42"/>
  <c r="J29" i="42"/>
  <c r="J21" i="42"/>
  <c r="J13" i="42"/>
  <c r="C5" i="42"/>
  <c r="C92" i="42"/>
  <c r="C84" i="42"/>
  <c r="C76" i="42"/>
  <c r="C68" i="42"/>
  <c r="C60" i="42"/>
  <c r="C52" i="42"/>
  <c r="C44" i="42"/>
  <c r="C36" i="42"/>
  <c r="C28" i="42"/>
  <c r="C20" i="42"/>
  <c r="C12" i="42"/>
  <c r="C91" i="42"/>
  <c r="C83" i="42"/>
  <c r="C75" i="42"/>
  <c r="C67" i="42"/>
  <c r="C59" i="42"/>
  <c r="C51" i="42"/>
  <c r="C43" i="42"/>
  <c r="C35" i="42"/>
  <c r="C27" i="42"/>
  <c r="C19" i="42"/>
  <c r="C11" i="42"/>
  <c r="C90" i="42"/>
  <c r="C82" i="42"/>
  <c r="C74" i="42"/>
  <c r="C66" i="42"/>
  <c r="C58" i="42"/>
  <c r="C50" i="42"/>
  <c r="C42" i="42"/>
  <c r="C34" i="42"/>
  <c r="C26" i="42"/>
  <c r="C18" i="42"/>
  <c r="C10" i="42"/>
  <c r="C89" i="42"/>
  <c r="C81" i="42"/>
  <c r="C73" i="42"/>
  <c r="C65" i="42"/>
  <c r="C57" i="42"/>
  <c r="C49" i="42"/>
  <c r="C41" i="42"/>
  <c r="C33" i="42"/>
  <c r="C25" i="42"/>
  <c r="C17" i="42"/>
  <c r="C9" i="42"/>
  <c r="C88" i="42"/>
  <c r="C80" i="42"/>
  <c r="C72" i="42"/>
  <c r="C64" i="42"/>
  <c r="C56" i="42"/>
  <c r="C48" i="42"/>
  <c r="C40" i="42"/>
  <c r="C32" i="42"/>
  <c r="C24" i="42"/>
  <c r="C16" i="42"/>
  <c r="C8" i="42"/>
  <c r="L105" i="39"/>
  <c r="L97" i="39"/>
  <c r="L41" i="39"/>
  <c r="L33" i="39"/>
  <c r="C89" i="39"/>
  <c r="D89" i="39" s="1"/>
  <c r="C25" i="39"/>
  <c r="D25" i="39" s="1"/>
  <c r="C81" i="39"/>
  <c r="D81" i="39" s="1"/>
  <c r="C73" i="39"/>
  <c r="D73" i="39" s="1"/>
  <c r="C65" i="39"/>
  <c r="D65" i="39" s="1"/>
  <c r="C57" i="39"/>
  <c r="D57" i="39" s="1"/>
  <c r="C49" i="39"/>
  <c r="D49" i="39" s="1"/>
  <c r="C109" i="39"/>
  <c r="D109" i="39" s="1"/>
  <c r="C101" i="39"/>
  <c r="D101" i="39" s="1"/>
  <c r="C93" i="39"/>
  <c r="D93" i="39" s="1"/>
  <c r="C85" i="39"/>
  <c r="D85" i="39" s="1"/>
  <c r="C77" i="39"/>
  <c r="D77" i="39" s="1"/>
  <c r="C69" i="39"/>
  <c r="D69" i="39" s="1"/>
  <c r="C61" i="39"/>
  <c r="D61" i="39" s="1"/>
  <c r="C53" i="39"/>
  <c r="D53" i="39" s="1"/>
  <c r="C45" i="39"/>
  <c r="D45" i="39" s="1"/>
  <c r="C37" i="39"/>
  <c r="D37" i="39" s="1"/>
  <c r="C29" i="39"/>
  <c r="D29" i="39" s="1"/>
  <c r="C21" i="39"/>
  <c r="C104" i="39"/>
  <c r="D104" i="39" s="1"/>
  <c r="C96" i="39"/>
  <c r="D96" i="39" s="1"/>
  <c r="C88" i="39"/>
  <c r="D88" i="39" s="1"/>
  <c r="C80" i="39"/>
  <c r="D80" i="39" s="1"/>
  <c r="C72" i="39"/>
  <c r="D72" i="39" s="1"/>
  <c r="C64" i="39"/>
  <c r="D64" i="39" s="1"/>
  <c r="C56" i="39"/>
  <c r="D56" i="39" s="1"/>
  <c r="C48" i="39"/>
  <c r="D48" i="39" s="1"/>
  <c r="C40" i="39"/>
  <c r="D40" i="39" s="1"/>
  <c r="C32" i="39"/>
  <c r="D32" i="39" s="1"/>
  <c r="C24" i="39"/>
  <c r="D24" i="39" s="1"/>
  <c r="C103" i="39"/>
  <c r="D103" i="39" s="1"/>
  <c r="C95" i="39"/>
  <c r="D95" i="39" s="1"/>
  <c r="C87" i="39"/>
  <c r="D87" i="39" s="1"/>
  <c r="C79" i="39"/>
  <c r="D79" i="39" s="1"/>
  <c r="C71" i="39"/>
  <c r="D71" i="39" s="1"/>
  <c r="C63" i="39"/>
  <c r="D63" i="39" s="1"/>
  <c r="C55" i="39"/>
  <c r="D55" i="39" s="1"/>
  <c r="C47" i="39"/>
  <c r="D47" i="39" s="1"/>
  <c r="C39" i="39"/>
  <c r="D39" i="39" s="1"/>
  <c r="C31" i="39"/>
  <c r="D31" i="39" s="1"/>
  <c r="C23" i="39"/>
  <c r="D23" i="39" s="1"/>
  <c r="C110" i="39"/>
  <c r="D110" i="39" s="1"/>
  <c r="C102" i="39"/>
  <c r="D102" i="39" s="1"/>
  <c r="C94" i="39"/>
  <c r="D94" i="39" s="1"/>
  <c r="C86" i="39"/>
  <c r="D86" i="39" s="1"/>
  <c r="C78" i="39"/>
  <c r="D78" i="39" s="1"/>
  <c r="C70" i="39"/>
  <c r="D70" i="39" s="1"/>
  <c r="C62" i="39"/>
  <c r="D62" i="39" s="1"/>
  <c r="C54" i="39"/>
  <c r="D54" i="39" s="1"/>
  <c r="C46" i="39"/>
  <c r="D46" i="39" s="1"/>
  <c r="C38" i="39"/>
  <c r="D38" i="39" s="1"/>
  <c r="C30" i="39"/>
  <c r="D30" i="39" s="1"/>
  <c r="C22" i="39"/>
  <c r="D22" i="39" s="1"/>
  <c r="C108" i="39"/>
  <c r="D108" i="39" s="1"/>
  <c r="C100" i="39"/>
  <c r="D100" i="39" s="1"/>
  <c r="C92" i="39"/>
  <c r="D92" i="39" s="1"/>
  <c r="C84" i="39"/>
  <c r="D84" i="39" s="1"/>
  <c r="C76" i="39"/>
  <c r="D76" i="39" s="1"/>
  <c r="C68" i="39"/>
  <c r="D68" i="39" s="1"/>
  <c r="C60" i="39"/>
  <c r="D60" i="39" s="1"/>
  <c r="C52" i="39"/>
  <c r="D52" i="39" s="1"/>
  <c r="C44" i="39"/>
  <c r="D44" i="39" s="1"/>
  <c r="C36" i="39"/>
  <c r="D36" i="39" s="1"/>
  <c r="C28" i="39"/>
  <c r="D28" i="39" s="1"/>
  <c r="C107" i="39"/>
  <c r="D107" i="39" s="1"/>
  <c r="C99" i="39"/>
  <c r="D99" i="39" s="1"/>
  <c r="C91" i="39"/>
  <c r="D91" i="39" s="1"/>
  <c r="C83" i="39"/>
  <c r="D83" i="39" s="1"/>
  <c r="C75" i="39"/>
  <c r="D75" i="39" s="1"/>
  <c r="C67" i="39"/>
  <c r="D67" i="39" s="1"/>
  <c r="C59" i="39"/>
  <c r="D59" i="39" s="1"/>
  <c r="C51" i="39"/>
  <c r="D51" i="39" s="1"/>
  <c r="C43" i="39"/>
  <c r="D43" i="39" s="1"/>
  <c r="C35" i="39"/>
  <c r="D35" i="39" s="1"/>
  <c r="C27" i="39"/>
  <c r="D27" i="39" s="1"/>
  <c r="C106" i="39"/>
  <c r="D106" i="39" s="1"/>
  <c r="C98" i="39"/>
  <c r="D98" i="39" s="1"/>
  <c r="C90" i="39"/>
  <c r="D90" i="39" s="1"/>
  <c r="C82" i="39"/>
  <c r="D82" i="39" s="1"/>
  <c r="C74" i="39"/>
  <c r="D74" i="39" s="1"/>
  <c r="C66" i="39"/>
  <c r="D66" i="39" s="1"/>
  <c r="C58" i="39"/>
  <c r="D58" i="39" s="1"/>
  <c r="C50" i="39"/>
  <c r="D50" i="39" s="1"/>
  <c r="C42" i="39"/>
  <c r="D42" i="39" s="1"/>
  <c r="C34" i="39"/>
  <c r="D34" i="39" s="1"/>
  <c r="C26" i="39"/>
  <c r="D26" i="39" s="1"/>
  <c r="H82" i="40"/>
  <c r="H34" i="40"/>
  <c r="H107" i="40"/>
  <c r="H99" i="40"/>
  <c r="H91" i="40"/>
  <c r="H83" i="40"/>
  <c r="H75" i="40"/>
  <c r="H67" i="40"/>
  <c r="H59" i="40"/>
  <c r="H51" i="40"/>
  <c r="H43" i="40"/>
  <c r="H35" i="40"/>
  <c r="H27" i="40"/>
  <c r="H98" i="40"/>
  <c r="H42" i="40"/>
  <c r="H105" i="40"/>
  <c r="H97" i="40"/>
  <c r="H89" i="40"/>
  <c r="H81" i="40"/>
  <c r="H73" i="40"/>
  <c r="H65" i="40"/>
  <c r="H57" i="40"/>
  <c r="H49" i="40"/>
  <c r="H41" i="40"/>
  <c r="H33" i="40"/>
  <c r="H25" i="40"/>
  <c r="H104" i="40"/>
  <c r="H96" i="40"/>
  <c r="H88" i="40"/>
  <c r="H80" i="40"/>
  <c r="H72" i="40"/>
  <c r="H64" i="40"/>
  <c r="H56" i="40"/>
  <c r="H48" i="40"/>
  <c r="H40" i="40"/>
  <c r="H32" i="40"/>
  <c r="H24" i="40"/>
  <c r="H50" i="40"/>
  <c r="H19" i="40"/>
  <c r="H103" i="40"/>
  <c r="H95" i="40"/>
  <c r="H87" i="40"/>
  <c r="H79" i="40"/>
  <c r="H71" i="40"/>
  <c r="H63" i="40"/>
  <c r="H55" i="40"/>
  <c r="H47" i="40"/>
  <c r="H39" i="40"/>
  <c r="H31" i="40"/>
  <c r="H23" i="40"/>
  <c r="H106" i="40"/>
  <c r="H74" i="40"/>
  <c r="H26" i="40"/>
  <c r="H102" i="40"/>
  <c r="H94" i="40"/>
  <c r="H86" i="40"/>
  <c r="H78" i="40"/>
  <c r="H70" i="40"/>
  <c r="H62" i="40"/>
  <c r="H54" i="40"/>
  <c r="H46" i="40"/>
  <c r="H38" i="40"/>
  <c r="H30" i="40"/>
  <c r="H22" i="40"/>
  <c r="H90" i="40"/>
  <c r="H58" i="40"/>
  <c r="H101" i="40"/>
  <c r="H93" i="40"/>
  <c r="H85" i="40"/>
  <c r="H77" i="40"/>
  <c r="H69" i="40"/>
  <c r="H61" i="40"/>
  <c r="H53" i="40"/>
  <c r="H45" i="40"/>
  <c r="H37" i="40"/>
  <c r="H29" i="40"/>
  <c r="H21" i="40"/>
  <c r="H66" i="40"/>
  <c r="H108" i="40"/>
  <c r="H100" i="40"/>
  <c r="H92" i="40"/>
  <c r="H84" i="40"/>
  <c r="H76" i="40"/>
  <c r="H68" i="40"/>
  <c r="H60" i="40"/>
  <c r="H52" i="40"/>
  <c r="H44" i="40"/>
  <c r="H36" i="40"/>
  <c r="H28" i="40"/>
  <c r="H20" i="40"/>
  <c r="K44" i="17"/>
  <c r="E44" i="17"/>
  <c r="I13" i="42" l="1"/>
  <c r="K2598" i="16"/>
  <c r="I6" i="42"/>
  <c r="S93" i="42"/>
  <c r="I70" i="42"/>
  <c r="S38" i="42"/>
  <c r="R6" i="42"/>
  <c r="S54" i="42"/>
  <c r="I71" i="42"/>
  <c r="I7" i="42"/>
  <c r="S29" i="42"/>
  <c r="S7" i="42"/>
  <c r="I53" i="42"/>
  <c r="S13" i="42"/>
  <c r="S77" i="42"/>
  <c r="S22" i="42"/>
  <c r="S86" i="42"/>
  <c r="R7" i="42"/>
  <c r="J97" i="39"/>
  <c r="I39" i="42"/>
  <c r="S61" i="42"/>
  <c r="S70" i="42"/>
  <c r="R14" i="42"/>
  <c r="S79" i="42"/>
  <c r="I63" i="42"/>
  <c r="K1398" i="16"/>
  <c r="I38" i="42"/>
  <c r="S45" i="42"/>
  <c r="I61" i="42"/>
  <c r="I21" i="42"/>
  <c r="I69" i="42"/>
  <c r="I14" i="42"/>
  <c r="I46" i="42"/>
  <c r="I78" i="42"/>
  <c r="I15" i="42"/>
  <c r="I47" i="42"/>
  <c r="I79" i="42"/>
  <c r="S14" i="42"/>
  <c r="S23" i="42"/>
  <c r="S39" i="42"/>
  <c r="S55" i="42"/>
  <c r="S71" i="42"/>
  <c r="S87" i="42"/>
  <c r="J33" i="39"/>
  <c r="I41" i="39"/>
  <c r="I97" i="39"/>
  <c r="I105" i="39"/>
  <c r="I45" i="42"/>
  <c r="I29" i="42"/>
  <c r="I77" i="42"/>
  <c r="I22" i="42"/>
  <c r="I54" i="42"/>
  <c r="I86" i="42"/>
  <c r="I23" i="42"/>
  <c r="I55" i="42"/>
  <c r="I87" i="42"/>
  <c r="S21" i="42"/>
  <c r="S37" i="42"/>
  <c r="S53" i="42"/>
  <c r="S69" i="42"/>
  <c r="S85" i="42"/>
  <c r="S6" i="42"/>
  <c r="S30" i="42"/>
  <c r="S46" i="42"/>
  <c r="S62" i="42"/>
  <c r="S78" i="42"/>
  <c r="S94" i="42"/>
  <c r="I33" i="39"/>
  <c r="J41" i="39"/>
  <c r="J105" i="39"/>
  <c r="I93" i="42"/>
  <c r="I37" i="42"/>
  <c r="I85" i="42"/>
  <c r="I30" i="42"/>
  <c r="I62" i="42"/>
  <c r="I94" i="42"/>
  <c r="I31" i="42"/>
  <c r="S15" i="42"/>
  <c r="S31" i="42"/>
  <c r="S47" i="42"/>
  <c r="S63" i="42"/>
  <c r="K467" i="16"/>
  <c r="K1668" i="16"/>
  <c r="K1548" i="16"/>
  <c r="R15" i="42"/>
  <c r="R86" i="42"/>
  <c r="R13" i="42"/>
  <c r="R87" i="42"/>
  <c r="K1578" i="16"/>
  <c r="K1608" i="16"/>
  <c r="AA1608" i="16"/>
  <c r="K407" i="16"/>
  <c r="AB377" i="16"/>
  <c r="K1128" i="16"/>
  <c r="K1368" i="16"/>
  <c r="AA1068" i="16"/>
  <c r="K647" i="16"/>
  <c r="K1068" i="16"/>
  <c r="K77" i="16"/>
  <c r="K257" i="16"/>
  <c r="K797" i="16"/>
  <c r="K978" i="16"/>
  <c r="K587" i="16"/>
  <c r="K1098" i="16"/>
  <c r="K557" i="16"/>
  <c r="K707" i="16"/>
  <c r="K317" i="16"/>
  <c r="K948" i="16"/>
  <c r="K617" i="16"/>
  <c r="K377" i="16"/>
  <c r="K107" i="16"/>
  <c r="AB707" i="16"/>
  <c r="AA707" i="16"/>
  <c r="K137" i="16"/>
  <c r="AB137" i="16"/>
  <c r="AA137" i="16"/>
  <c r="R29" i="42"/>
  <c r="R45" i="42"/>
  <c r="R61" i="42"/>
  <c r="R77" i="42"/>
  <c r="R93" i="42"/>
  <c r="R31" i="42"/>
  <c r="R47" i="42"/>
  <c r="R63" i="42"/>
  <c r="R79" i="42"/>
  <c r="R30" i="42"/>
  <c r="R46" i="42"/>
  <c r="R62" i="42"/>
  <c r="R78" i="42"/>
  <c r="R94" i="42"/>
  <c r="R21" i="42"/>
  <c r="R37" i="42"/>
  <c r="R53" i="42"/>
  <c r="R69" i="42"/>
  <c r="R85" i="42"/>
  <c r="R23" i="42"/>
  <c r="R39" i="42"/>
  <c r="R55" i="42"/>
  <c r="R71" i="42"/>
  <c r="R22" i="42"/>
  <c r="R38" i="42"/>
  <c r="R54" i="42"/>
  <c r="R70" i="42"/>
  <c r="D29" i="42"/>
  <c r="D69" i="42"/>
  <c r="D21" i="42"/>
  <c r="D30" i="42"/>
  <c r="D86" i="42"/>
  <c r="D14" i="42"/>
  <c r="D39" i="42"/>
  <c r="V17" i="42"/>
  <c r="V81" i="42"/>
  <c r="D61" i="42"/>
  <c r="D93" i="42"/>
  <c r="D53" i="42"/>
  <c r="D85" i="42"/>
  <c r="D62" i="42"/>
  <c r="V25" i="42"/>
  <c r="V89" i="42"/>
  <c r="D94" i="42"/>
  <c r="D15" i="42"/>
  <c r="D47" i="42"/>
  <c r="D79" i="42"/>
  <c r="D71" i="42"/>
  <c r="D45" i="42"/>
  <c r="D13" i="42"/>
  <c r="D22" i="42"/>
  <c r="D37" i="42"/>
  <c r="D77" i="42"/>
  <c r="D7" i="42"/>
  <c r="D21" i="39"/>
  <c r="D87" i="42"/>
  <c r="D55" i="42"/>
  <c r="D23" i="42"/>
  <c r="D70" i="42"/>
  <c r="D38" i="42"/>
  <c r="D6" i="42"/>
  <c r="D63" i="42"/>
  <c r="D31" i="42"/>
  <c r="D78" i="42"/>
  <c r="D46" i="42"/>
  <c r="D54" i="42"/>
  <c r="R88" i="42"/>
  <c r="S88" i="42"/>
  <c r="J88" i="42"/>
  <c r="S16" i="42"/>
  <c r="R16" i="42"/>
  <c r="J16" i="42"/>
  <c r="S80" i="42"/>
  <c r="R80" i="42"/>
  <c r="J80" i="42"/>
  <c r="R49" i="42"/>
  <c r="S49" i="42"/>
  <c r="J49" i="42"/>
  <c r="S26" i="42"/>
  <c r="R26" i="42"/>
  <c r="J26" i="42"/>
  <c r="S90" i="42"/>
  <c r="R90" i="42"/>
  <c r="J90" i="42"/>
  <c r="S67" i="42"/>
  <c r="R67" i="42"/>
  <c r="J67" i="42"/>
  <c r="R44" i="42"/>
  <c r="S44" i="42"/>
  <c r="J44" i="42"/>
  <c r="S34" i="42"/>
  <c r="R34" i="42"/>
  <c r="J34" i="42"/>
  <c r="S11" i="42"/>
  <c r="R11" i="42"/>
  <c r="J11" i="42"/>
  <c r="S75" i="42"/>
  <c r="R75" i="42"/>
  <c r="J75" i="42"/>
  <c r="S52" i="42"/>
  <c r="R52" i="42"/>
  <c r="J52" i="42"/>
  <c r="S32" i="42"/>
  <c r="R32" i="42"/>
  <c r="J32" i="42"/>
  <c r="R65" i="42"/>
  <c r="S65" i="42"/>
  <c r="J65" i="42"/>
  <c r="S42" i="42"/>
  <c r="R42" i="42"/>
  <c r="J42" i="42"/>
  <c r="S19" i="42"/>
  <c r="R19" i="42"/>
  <c r="J19" i="42"/>
  <c r="S83" i="42"/>
  <c r="R83" i="42"/>
  <c r="J83" i="42"/>
  <c r="R60" i="42"/>
  <c r="S60" i="42"/>
  <c r="J60" i="42"/>
  <c r="R9" i="42"/>
  <c r="S9" i="42"/>
  <c r="J9" i="42"/>
  <c r="R73" i="42"/>
  <c r="S73" i="42"/>
  <c r="J73" i="42"/>
  <c r="S50" i="42"/>
  <c r="R50" i="42"/>
  <c r="J50" i="42"/>
  <c r="S27" i="42"/>
  <c r="R27" i="42"/>
  <c r="J27" i="42"/>
  <c r="S91" i="42"/>
  <c r="R91" i="42"/>
  <c r="J91" i="42"/>
  <c r="S68" i="42"/>
  <c r="R68" i="42"/>
  <c r="J68" i="42"/>
  <c r="R57" i="42"/>
  <c r="S57" i="42"/>
  <c r="J57" i="42"/>
  <c r="S40" i="42"/>
  <c r="R40" i="42"/>
  <c r="J40" i="42"/>
  <c r="S48" i="42"/>
  <c r="R48" i="42"/>
  <c r="J48" i="42"/>
  <c r="R17" i="42"/>
  <c r="S17" i="42"/>
  <c r="J17" i="42"/>
  <c r="R81" i="42"/>
  <c r="S81" i="42"/>
  <c r="J81" i="42"/>
  <c r="S58" i="42"/>
  <c r="R58" i="42"/>
  <c r="J58" i="42"/>
  <c r="S35" i="42"/>
  <c r="R35" i="42"/>
  <c r="J35" i="42"/>
  <c r="S12" i="42"/>
  <c r="R12" i="42"/>
  <c r="J12" i="42"/>
  <c r="R76" i="42"/>
  <c r="S76" i="42"/>
  <c r="J76" i="42"/>
  <c r="R89" i="42"/>
  <c r="S89" i="42"/>
  <c r="J89" i="42"/>
  <c r="S66" i="42"/>
  <c r="R66" i="42"/>
  <c r="J66" i="42"/>
  <c r="S43" i="42"/>
  <c r="R43" i="42"/>
  <c r="J43" i="42"/>
  <c r="R20" i="42"/>
  <c r="S20" i="42"/>
  <c r="J20" i="42"/>
  <c r="R84" i="42"/>
  <c r="S84" i="42"/>
  <c r="J84" i="42"/>
  <c r="S24" i="42"/>
  <c r="R24" i="42"/>
  <c r="J24" i="42"/>
  <c r="R25" i="42"/>
  <c r="S25" i="42"/>
  <c r="J25" i="42"/>
  <c r="S64" i="42"/>
  <c r="R64" i="42"/>
  <c r="J64" i="42"/>
  <c r="R33" i="42"/>
  <c r="S33" i="42"/>
  <c r="J33" i="42"/>
  <c r="S10" i="42"/>
  <c r="R10" i="42"/>
  <c r="J10" i="42"/>
  <c r="S74" i="42"/>
  <c r="R74" i="42"/>
  <c r="J74" i="42"/>
  <c r="S51" i="42"/>
  <c r="R51" i="42"/>
  <c r="J51" i="42"/>
  <c r="R28" i="42"/>
  <c r="J28" i="42"/>
  <c r="S28" i="42"/>
  <c r="S92" i="42"/>
  <c r="R92" i="42"/>
  <c r="J92" i="42"/>
  <c r="S56" i="42"/>
  <c r="R56" i="42"/>
  <c r="J56" i="42"/>
  <c r="S8" i="42"/>
  <c r="R8" i="42"/>
  <c r="J8" i="42"/>
  <c r="R72" i="42"/>
  <c r="S72" i="42"/>
  <c r="J72" i="42"/>
  <c r="R41" i="42"/>
  <c r="S41" i="42"/>
  <c r="J41" i="42"/>
  <c r="S18" i="42"/>
  <c r="R18" i="42"/>
  <c r="J18" i="42"/>
  <c r="S82" i="42"/>
  <c r="R82" i="42"/>
  <c r="J82" i="42"/>
  <c r="S59" i="42"/>
  <c r="R59" i="42"/>
  <c r="J59" i="42"/>
  <c r="S36" i="42"/>
  <c r="R36" i="42"/>
  <c r="J36" i="42"/>
  <c r="S5" i="42"/>
  <c r="R5" i="42"/>
  <c r="J5" i="42"/>
  <c r="I32" i="42"/>
  <c r="D32" i="42"/>
  <c r="I57" i="42"/>
  <c r="D57" i="42"/>
  <c r="I66" i="42"/>
  <c r="D66" i="42"/>
  <c r="I11" i="42"/>
  <c r="D11" i="42"/>
  <c r="I75" i="42"/>
  <c r="D75" i="42"/>
  <c r="I20" i="42"/>
  <c r="D20" i="42"/>
  <c r="I84" i="42"/>
  <c r="D84" i="42"/>
  <c r="I40" i="42"/>
  <c r="D40" i="42"/>
  <c r="I65" i="42"/>
  <c r="D65" i="42"/>
  <c r="I10" i="42"/>
  <c r="D10" i="42"/>
  <c r="I74" i="42"/>
  <c r="D74" i="42"/>
  <c r="I19" i="42"/>
  <c r="D19" i="42"/>
  <c r="I83" i="42"/>
  <c r="D83" i="42"/>
  <c r="I28" i="42"/>
  <c r="D28" i="42"/>
  <c r="I92" i="42"/>
  <c r="D92" i="42"/>
  <c r="I48" i="42"/>
  <c r="D48" i="42"/>
  <c r="I9" i="42"/>
  <c r="D9" i="42"/>
  <c r="D73" i="42"/>
  <c r="I73" i="42"/>
  <c r="I18" i="42"/>
  <c r="D18" i="42"/>
  <c r="I82" i="42"/>
  <c r="D82" i="42"/>
  <c r="I27" i="42"/>
  <c r="D27" i="42"/>
  <c r="I91" i="42"/>
  <c r="D91" i="42"/>
  <c r="I36" i="42"/>
  <c r="D36" i="42"/>
  <c r="I56" i="42"/>
  <c r="D56" i="42"/>
  <c r="I17" i="42"/>
  <c r="D17" i="42"/>
  <c r="I81" i="42"/>
  <c r="D81" i="42"/>
  <c r="I26" i="42"/>
  <c r="D26" i="42"/>
  <c r="I90" i="42"/>
  <c r="D90" i="42"/>
  <c r="I35" i="42"/>
  <c r="D35" i="42"/>
  <c r="I44" i="42"/>
  <c r="D44" i="42"/>
  <c r="I64" i="42"/>
  <c r="D64" i="42"/>
  <c r="I25" i="42"/>
  <c r="D25" i="42"/>
  <c r="I89" i="42"/>
  <c r="D89" i="42"/>
  <c r="I34" i="42"/>
  <c r="D34" i="42"/>
  <c r="I43" i="42"/>
  <c r="D43" i="42"/>
  <c r="I52" i="42"/>
  <c r="D52" i="42"/>
  <c r="I8" i="42"/>
  <c r="D8" i="42"/>
  <c r="I72" i="42"/>
  <c r="D72" i="42"/>
  <c r="I33" i="42"/>
  <c r="D33" i="42"/>
  <c r="I42" i="42"/>
  <c r="D42" i="42"/>
  <c r="I51" i="42"/>
  <c r="D51" i="42"/>
  <c r="I60" i="42"/>
  <c r="D60" i="42"/>
  <c r="I16" i="42"/>
  <c r="D16" i="42"/>
  <c r="I80" i="42"/>
  <c r="D80" i="42"/>
  <c r="I41" i="42"/>
  <c r="D41" i="42"/>
  <c r="I50" i="42"/>
  <c r="D50" i="42"/>
  <c r="I59" i="42"/>
  <c r="D59" i="42"/>
  <c r="I68" i="42"/>
  <c r="D68" i="42"/>
  <c r="I5" i="42"/>
  <c r="D5" i="42"/>
  <c r="I24" i="42"/>
  <c r="D24" i="42"/>
  <c r="I88" i="42"/>
  <c r="D88" i="42"/>
  <c r="I49" i="42"/>
  <c r="D49" i="42"/>
  <c r="I58" i="42"/>
  <c r="D58" i="42"/>
  <c r="I67" i="42"/>
  <c r="D67" i="42"/>
  <c r="I12" i="42"/>
  <c r="D12" i="42"/>
  <c r="I76" i="42"/>
  <c r="D76" i="42"/>
  <c r="L42" i="39"/>
  <c r="V26" i="42" s="1"/>
  <c r="J42" i="39"/>
  <c r="I42" i="39"/>
  <c r="L106" i="39"/>
  <c r="V90" i="42" s="1"/>
  <c r="J106" i="39"/>
  <c r="I106" i="39"/>
  <c r="L83" i="39"/>
  <c r="V67" i="42" s="1"/>
  <c r="J83" i="39"/>
  <c r="I83" i="39"/>
  <c r="I76" i="39"/>
  <c r="L76" i="39"/>
  <c r="V60" i="42" s="1"/>
  <c r="J76" i="39"/>
  <c r="J30" i="39"/>
  <c r="L30" i="39"/>
  <c r="V14" i="42" s="1"/>
  <c r="I30" i="39"/>
  <c r="L94" i="39"/>
  <c r="V78" i="42" s="1"/>
  <c r="J94" i="39"/>
  <c r="I94" i="39"/>
  <c r="L63" i="39"/>
  <c r="V47" i="42" s="1"/>
  <c r="J63" i="39"/>
  <c r="I63" i="39"/>
  <c r="J24" i="39"/>
  <c r="L24" i="39"/>
  <c r="V8" i="42" s="1"/>
  <c r="I24" i="39"/>
  <c r="J88" i="39"/>
  <c r="L88" i="39"/>
  <c r="V72" i="42" s="1"/>
  <c r="I88" i="39"/>
  <c r="L61" i="39"/>
  <c r="V45" i="42" s="1"/>
  <c r="I61" i="39"/>
  <c r="J61" i="39"/>
  <c r="L109" i="39"/>
  <c r="V93" i="42" s="1"/>
  <c r="I109" i="39"/>
  <c r="J109" i="39"/>
  <c r="L50" i="39"/>
  <c r="V34" i="42" s="1"/>
  <c r="J50" i="39"/>
  <c r="I50" i="39"/>
  <c r="L27" i="39"/>
  <c r="V11" i="42" s="1"/>
  <c r="I27" i="39"/>
  <c r="J27" i="39"/>
  <c r="L91" i="39"/>
  <c r="V75" i="42" s="1"/>
  <c r="I91" i="39"/>
  <c r="J91" i="39"/>
  <c r="I84" i="39"/>
  <c r="L84" i="39"/>
  <c r="V68" i="42" s="1"/>
  <c r="J84" i="39"/>
  <c r="J38" i="39"/>
  <c r="L38" i="39"/>
  <c r="V22" i="42" s="1"/>
  <c r="I38" i="39"/>
  <c r="L102" i="39"/>
  <c r="V86" i="42" s="1"/>
  <c r="J102" i="39"/>
  <c r="I102" i="39"/>
  <c r="L71" i="39"/>
  <c r="V55" i="42" s="1"/>
  <c r="I71" i="39"/>
  <c r="J71" i="39"/>
  <c r="J32" i="39"/>
  <c r="L32" i="39"/>
  <c r="V16" i="42" s="1"/>
  <c r="I32" i="39"/>
  <c r="J96" i="39"/>
  <c r="L96" i="39"/>
  <c r="V80" i="42" s="1"/>
  <c r="I96" i="39"/>
  <c r="L21" i="39"/>
  <c r="V5" i="42" s="1"/>
  <c r="I21" i="39"/>
  <c r="L69" i="39"/>
  <c r="V53" i="42" s="1"/>
  <c r="I69" i="39"/>
  <c r="J69" i="39"/>
  <c r="L58" i="39"/>
  <c r="V42" i="42" s="1"/>
  <c r="J58" i="39"/>
  <c r="I58" i="39"/>
  <c r="L35" i="39"/>
  <c r="V19" i="42" s="1"/>
  <c r="J35" i="39"/>
  <c r="I35" i="39"/>
  <c r="L99" i="39"/>
  <c r="V83" i="42" s="1"/>
  <c r="J99" i="39"/>
  <c r="I99" i="39"/>
  <c r="L28" i="39"/>
  <c r="V12" i="42" s="1"/>
  <c r="J28" i="39"/>
  <c r="I28" i="39"/>
  <c r="L92" i="39"/>
  <c r="V76" i="42" s="1"/>
  <c r="I92" i="39"/>
  <c r="J92" i="39"/>
  <c r="L46" i="39"/>
  <c r="V30" i="42" s="1"/>
  <c r="I46" i="39"/>
  <c r="J46" i="39"/>
  <c r="L110" i="39"/>
  <c r="V94" i="42" s="1"/>
  <c r="I110" i="39"/>
  <c r="J110" i="39"/>
  <c r="L79" i="39"/>
  <c r="V63" i="42" s="1"/>
  <c r="J79" i="39"/>
  <c r="I79" i="39"/>
  <c r="J40" i="39"/>
  <c r="L40" i="39"/>
  <c r="V24" i="42" s="1"/>
  <c r="I40" i="39"/>
  <c r="L104" i="39"/>
  <c r="V88" i="42" s="1"/>
  <c r="J104" i="39"/>
  <c r="I104" i="39"/>
  <c r="L29" i="39"/>
  <c r="V13" i="42" s="1"/>
  <c r="J29" i="39"/>
  <c r="I29" i="39"/>
  <c r="L77" i="39"/>
  <c r="V61" i="42" s="1"/>
  <c r="I77" i="39"/>
  <c r="J77" i="39"/>
  <c r="J73" i="39"/>
  <c r="L73" i="39"/>
  <c r="V57" i="42" s="1"/>
  <c r="I73" i="39"/>
  <c r="L66" i="39"/>
  <c r="V50" i="42" s="1"/>
  <c r="I66" i="39"/>
  <c r="J66" i="39"/>
  <c r="L43" i="39"/>
  <c r="V27" i="42" s="1"/>
  <c r="J43" i="39"/>
  <c r="I43" i="39"/>
  <c r="L107" i="39"/>
  <c r="V91" i="42" s="1"/>
  <c r="J107" i="39"/>
  <c r="I107" i="39"/>
  <c r="I36" i="39"/>
  <c r="J36" i="39"/>
  <c r="L36" i="39"/>
  <c r="V20" i="42" s="1"/>
  <c r="I100" i="39"/>
  <c r="L100" i="39"/>
  <c r="V84" i="42" s="1"/>
  <c r="J100" i="39"/>
  <c r="L54" i="39"/>
  <c r="V38" i="42" s="1"/>
  <c r="J54" i="39"/>
  <c r="I54" i="39"/>
  <c r="L23" i="39"/>
  <c r="V7" i="42" s="1"/>
  <c r="J23" i="39"/>
  <c r="I23" i="39"/>
  <c r="L87" i="39"/>
  <c r="V71" i="42" s="1"/>
  <c r="I87" i="39"/>
  <c r="J87" i="39"/>
  <c r="J48" i="39"/>
  <c r="L48" i="39"/>
  <c r="V32" i="42" s="1"/>
  <c r="I48" i="39"/>
  <c r="L37" i="39"/>
  <c r="V21" i="42" s="1"/>
  <c r="I37" i="39"/>
  <c r="J37" i="39"/>
  <c r="L85" i="39"/>
  <c r="V69" i="42" s="1"/>
  <c r="I85" i="39"/>
  <c r="J85" i="39"/>
  <c r="J49" i="39"/>
  <c r="I49" i="39"/>
  <c r="L49" i="39"/>
  <c r="V33" i="42" s="1"/>
  <c r="L74" i="39"/>
  <c r="V58" i="42" s="1"/>
  <c r="J74" i="39"/>
  <c r="I74" i="39"/>
  <c r="L51" i="39"/>
  <c r="V35" i="42" s="1"/>
  <c r="J51" i="39"/>
  <c r="I51" i="39"/>
  <c r="I44" i="39"/>
  <c r="L44" i="39"/>
  <c r="V28" i="42" s="1"/>
  <c r="J44" i="39"/>
  <c r="I108" i="39"/>
  <c r="L108" i="39"/>
  <c r="V92" i="42" s="1"/>
  <c r="J108" i="39"/>
  <c r="L62" i="39"/>
  <c r="V46" i="42" s="1"/>
  <c r="J62" i="39"/>
  <c r="I62" i="39"/>
  <c r="L31" i="39"/>
  <c r="V15" i="42" s="1"/>
  <c r="J31" i="39"/>
  <c r="I31" i="39"/>
  <c r="L95" i="39"/>
  <c r="V79" i="42" s="1"/>
  <c r="J95" i="39"/>
  <c r="I95" i="39"/>
  <c r="L56" i="39"/>
  <c r="V40" i="42" s="1"/>
  <c r="J56" i="39"/>
  <c r="I56" i="39"/>
  <c r="L93" i="39"/>
  <c r="V77" i="42" s="1"/>
  <c r="I93" i="39"/>
  <c r="J93" i="39"/>
  <c r="L81" i="39"/>
  <c r="V65" i="42" s="1"/>
  <c r="J81" i="39"/>
  <c r="I81" i="39"/>
  <c r="L82" i="39"/>
  <c r="V66" i="42" s="1"/>
  <c r="J82" i="39"/>
  <c r="I82" i="39"/>
  <c r="L59" i="39"/>
  <c r="V43" i="42" s="1"/>
  <c r="J59" i="39"/>
  <c r="I59" i="39"/>
  <c r="L52" i="39"/>
  <c r="V36" i="42" s="1"/>
  <c r="I52" i="39"/>
  <c r="J52" i="39"/>
  <c r="L70" i="39"/>
  <c r="V54" i="42" s="1"/>
  <c r="J70" i="39"/>
  <c r="I70" i="39"/>
  <c r="L39" i="39"/>
  <c r="V23" i="42" s="1"/>
  <c r="J39" i="39"/>
  <c r="I39" i="39"/>
  <c r="L103" i="39"/>
  <c r="V87" i="42" s="1"/>
  <c r="I103" i="39"/>
  <c r="J103" i="39"/>
  <c r="J64" i="39"/>
  <c r="L64" i="39"/>
  <c r="V48" i="42" s="1"/>
  <c r="I64" i="39"/>
  <c r="L45" i="39"/>
  <c r="V29" i="42" s="1"/>
  <c r="I45" i="39"/>
  <c r="J45" i="39"/>
  <c r="L57" i="39"/>
  <c r="V41" i="42" s="1"/>
  <c r="J57" i="39"/>
  <c r="I57" i="39"/>
  <c r="L26" i="39"/>
  <c r="V10" i="42" s="1"/>
  <c r="I26" i="39"/>
  <c r="J26" i="39"/>
  <c r="L90" i="39"/>
  <c r="V74" i="42" s="1"/>
  <c r="J90" i="39"/>
  <c r="I90" i="39"/>
  <c r="L67" i="39"/>
  <c r="V51" i="42" s="1"/>
  <c r="J67" i="39"/>
  <c r="I67" i="39"/>
  <c r="I60" i="39"/>
  <c r="L60" i="39"/>
  <c r="V44" i="42" s="1"/>
  <c r="J60" i="39"/>
  <c r="L78" i="39"/>
  <c r="V62" i="42" s="1"/>
  <c r="I78" i="39"/>
  <c r="J78" i="39"/>
  <c r="L47" i="39"/>
  <c r="V31" i="42" s="1"/>
  <c r="J47" i="39"/>
  <c r="I47" i="39"/>
  <c r="J72" i="39"/>
  <c r="L72" i="39"/>
  <c r="V56" i="42" s="1"/>
  <c r="I72" i="39"/>
  <c r="L101" i="39"/>
  <c r="V85" i="42" s="1"/>
  <c r="I101" i="39"/>
  <c r="J101" i="39"/>
  <c r="L25" i="39"/>
  <c r="V9" i="42" s="1"/>
  <c r="J25" i="39"/>
  <c r="I25" i="39"/>
  <c r="L34" i="39"/>
  <c r="V18" i="42" s="1"/>
  <c r="J34" i="39"/>
  <c r="I34" i="39"/>
  <c r="L98" i="39"/>
  <c r="V82" i="42" s="1"/>
  <c r="J98" i="39"/>
  <c r="I98" i="39"/>
  <c r="L75" i="39"/>
  <c r="V59" i="42" s="1"/>
  <c r="J75" i="39"/>
  <c r="I75" i="39"/>
  <c r="L68" i="39"/>
  <c r="V52" i="42" s="1"/>
  <c r="I68" i="39"/>
  <c r="J68" i="39"/>
  <c r="J22" i="39"/>
  <c r="L22" i="39"/>
  <c r="V6" i="42" s="1"/>
  <c r="I22" i="39"/>
  <c r="L86" i="39"/>
  <c r="V70" i="42" s="1"/>
  <c r="J86" i="39"/>
  <c r="I86" i="39"/>
  <c r="L55" i="39"/>
  <c r="V39" i="42" s="1"/>
  <c r="J55" i="39"/>
  <c r="I55" i="39"/>
  <c r="L80" i="39"/>
  <c r="V64" i="42" s="1"/>
  <c r="J80" i="39"/>
  <c r="I80" i="39"/>
  <c r="L53" i="39"/>
  <c r="V37" i="42" s="1"/>
  <c r="I53" i="39"/>
  <c r="J53" i="39"/>
  <c r="L65" i="39"/>
  <c r="V49" i="42" s="1"/>
  <c r="J65" i="39"/>
  <c r="I65" i="39"/>
  <c r="J89" i="39"/>
  <c r="L89" i="39"/>
  <c r="V73" i="42" s="1"/>
  <c r="I89" i="39"/>
  <c r="K19" i="39" l="1"/>
  <c r="F20" i="48"/>
  <c r="U6" i="42" s="1"/>
  <c r="F21" i="48"/>
  <c r="U7" i="42" s="1"/>
  <c r="F22" i="48"/>
  <c r="U8" i="42" s="1"/>
  <c r="F23" i="48"/>
  <c r="U9" i="42" s="1"/>
  <c r="F24" i="48"/>
  <c r="U10" i="42" s="1"/>
  <c r="F25" i="48"/>
  <c r="U11" i="42" s="1"/>
  <c r="F26" i="48"/>
  <c r="U12" i="42" s="1"/>
  <c r="F27" i="48"/>
  <c r="U13" i="42" s="1"/>
  <c r="F28" i="48"/>
  <c r="U14" i="42" s="1"/>
  <c r="F29" i="48"/>
  <c r="U15" i="42" s="1"/>
  <c r="F30" i="48"/>
  <c r="U16" i="42" s="1"/>
  <c r="F31" i="48"/>
  <c r="U17" i="42" s="1"/>
  <c r="F32" i="48"/>
  <c r="U18" i="42" s="1"/>
  <c r="F33" i="48"/>
  <c r="U19" i="42" s="1"/>
  <c r="F34" i="48"/>
  <c r="U20" i="42" s="1"/>
  <c r="F35" i="48"/>
  <c r="U21" i="42" s="1"/>
  <c r="F36" i="48"/>
  <c r="U22" i="42" s="1"/>
  <c r="F37" i="48"/>
  <c r="U23" i="42" s="1"/>
  <c r="F38" i="48"/>
  <c r="U24" i="42" s="1"/>
  <c r="F39" i="48"/>
  <c r="U25" i="42" s="1"/>
  <c r="F40" i="48"/>
  <c r="U26" i="42" s="1"/>
  <c r="F41" i="48"/>
  <c r="U27" i="42" s="1"/>
  <c r="F42" i="48"/>
  <c r="U28" i="42" s="1"/>
  <c r="F43" i="48"/>
  <c r="U29" i="42" s="1"/>
  <c r="F44" i="48"/>
  <c r="U30" i="42" s="1"/>
  <c r="F45" i="48"/>
  <c r="U31" i="42" s="1"/>
  <c r="F46" i="48"/>
  <c r="U32" i="42" s="1"/>
  <c r="F47" i="48"/>
  <c r="U33" i="42" s="1"/>
  <c r="F48" i="48"/>
  <c r="U34" i="42" s="1"/>
  <c r="F49" i="48"/>
  <c r="U35" i="42" s="1"/>
  <c r="F50" i="48"/>
  <c r="U36" i="42" s="1"/>
  <c r="F51" i="48"/>
  <c r="U37" i="42" s="1"/>
  <c r="F52" i="48"/>
  <c r="U38" i="42" s="1"/>
  <c r="F53" i="48"/>
  <c r="U39" i="42" s="1"/>
  <c r="F54" i="48"/>
  <c r="U40" i="42" s="1"/>
  <c r="F55" i="48"/>
  <c r="U41" i="42" s="1"/>
  <c r="F56" i="48"/>
  <c r="U42" i="42" s="1"/>
  <c r="F57" i="48"/>
  <c r="U43" i="42" s="1"/>
  <c r="F58" i="48"/>
  <c r="U44" i="42" s="1"/>
  <c r="F59" i="48"/>
  <c r="U45" i="42" s="1"/>
  <c r="F60" i="48"/>
  <c r="U46" i="42" s="1"/>
  <c r="F61" i="48"/>
  <c r="U47" i="42" s="1"/>
  <c r="F62" i="48"/>
  <c r="U48" i="42" s="1"/>
  <c r="F63" i="48"/>
  <c r="U49" i="42" s="1"/>
  <c r="F64" i="48"/>
  <c r="U50" i="42" s="1"/>
  <c r="F65" i="48"/>
  <c r="U51" i="42" s="1"/>
  <c r="F66" i="48"/>
  <c r="U52" i="42" s="1"/>
  <c r="F67" i="48"/>
  <c r="U53" i="42" s="1"/>
  <c r="F68" i="48"/>
  <c r="U54" i="42" s="1"/>
  <c r="F69" i="48"/>
  <c r="U55" i="42" s="1"/>
  <c r="F70" i="48"/>
  <c r="U56" i="42" s="1"/>
  <c r="F71" i="48"/>
  <c r="U57" i="42" s="1"/>
  <c r="F72" i="48"/>
  <c r="U58" i="42" s="1"/>
  <c r="F73" i="48"/>
  <c r="U59" i="42" s="1"/>
  <c r="F74" i="48"/>
  <c r="U60" i="42" s="1"/>
  <c r="F75" i="48"/>
  <c r="U61" i="42" s="1"/>
  <c r="F76" i="48"/>
  <c r="U62" i="42" s="1"/>
  <c r="F77" i="48"/>
  <c r="U63" i="42" s="1"/>
  <c r="F78" i="48"/>
  <c r="U64" i="42" s="1"/>
  <c r="F79" i="48"/>
  <c r="U65" i="42" s="1"/>
  <c r="F80" i="48"/>
  <c r="U66" i="42" s="1"/>
  <c r="F81" i="48"/>
  <c r="U67" i="42" s="1"/>
  <c r="F82" i="48"/>
  <c r="U68" i="42" s="1"/>
  <c r="F83" i="48"/>
  <c r="U69" i="42" s="1"/>
  <c r="F84" i="48"/>
  <c r="U70" i="42" s="1"/>
  <c r="F85" i="48"/>
  <c r="U71" i="42" s="1"/>
  <c r="F86" i="48"/>
  <c r="U72" i="42" s="1"/>
  <c r="F87" i="48"/>
  <c r="U73" i="42" s="1"/>
  <c r="F88" i="48"/>
  <c r="U74" i="42" s="1"/>
  <c r="F89" i="48"/>
  <c r="U75" i="42" s="1"/>
  <c r="F90" i="48"/>
  <c r="U76" i="42" s="1"/>
  <c r="F91" i="48"/>
  <c r="U77" i="42" s="1"/>
  <c r="F92" i="48"/>
  <c r="U78" i="42" s="1"/>
  <c r="F93" i="48"/>
  <c r="U79" i="42" s="1"/>
  <c r="F94" i="48"/>
  <c r="U80" i="42" s="1"/>
  <c r="F95" i="48"/>
  <c r="U81" i="42" s="1"/>
  <c r="F96" i="48"/>
  <c r="U82" i="42" s="1"/>
  <c r="F97" i="48"/>
  <c r="U83" i="42" s="1"/>
  <c r="F98" i="48"/>
  <c r="U84" i="42" s="1"/>
  <c r="F99" i="48"/>
  <c r="U85" i="42" s="1"/>
  <c r="F100" i="48"/>
  <c r="U86" i="42" s="1"/>
  <c r="F101" i="48"/>
  <c r="U87" i="42" s="1"/>
  <c r="F102" i="48"/>
  <c r="U88" i="42" s="1"/>
  <c r="F103" i="48"/>
  <c r="U89" i="42" s="1"/>
  <c r="F104" i="48"/>
  <c r="U90" i="42" s="1"/>
  <c r="F105" i="48"/>
  <c r="U91" i="42" s="1"/>
  <c r="F106" i="48"/>
  <c r="U92" i="42" s="1"/>
  <c r="F107" i="48"/>
  <c r="U93" i="42" s="1"/>
  <c r="F108" i="48"/>
  <c r="U94" i="42" s="1"/>
  <c r="F19" i="48"/>
  <c r="C1" i="48"/>
  <c r="U5" i="42" l="1"/>
  <c r="J21" i="39"/>
  <c r="N32" i="16"/>
  <c r="N33" i="16"/>
  <c r="D20" i="33" l="1"/>
  <c r="D21" i="33" s="1"/>
  <c r="D108" i="40"/>
  <c r="C108" i="40"/>
  <c r="D107" i="40"/>
  <c r="C107" i="40"/>
  <c r="D106" i="40"/>
  <c r="C106" i="40"/>
  <c r="D105" i="40"/>
  <c r="C105" i="40"/>
  <c r="D104" i="40"/>
  <c r="C104" i="40"/>
  <c r="D103" i="40"/>
  <c r="C103" i="40"/>
  <c r="D102" i="40"/>
  <c r="C102" i="40"/>
  <c r="D101" i="40"/>
  <c r="C101" i="40"/>
  <c r="D100" i="40"/>
  <c r="C100" i="40"/>
  <c r="D99" i="40"/>
  <c r="C99" i="40"/>
  <c r="D98" i="40"/>
  <c r="C98" i="40"/>
  <c r="D97" i="40"/>
  <c r="C97" i="40"/>
  <c r="D96" i="40"/>
  <c r="C96" i="40"/>
  <c r="D95" i="40"/>
  <c r="C95" i="40"/>
  <c r="D94" i="40"/>
  <c r="C94" i="40"/>
  <c r="D93" i="40"/>
  <c r="C93" i="40"/>
  <c r="D92" i="40"/>
  <c r="C92" i="40"/>
  <c r="D91" i="40"/>
  <c r="C91" i="40"/>
  <c r="D90" i="40"/>
  <c r="C90" i="40"/>
  <c r="D89" i="40"/>
  <c r="C89" i="40"/>
  <c r="D88" i="40"/>
  <c r="C88" i="40"/>
  <c r="D87" i="40"/>
  <c r="C87" i="40"/>
  <c r="D86" i="40"/>
  <c r="C86" i="40"/>
  <c r="D85" i="40"/>
  <c r="C85" i="40"/>
  <c r="D84" i="40"/>
  <c r="C84" i="40"/>
  <c r="D83" i="40"/>
  <c r="C83" i="40"/>
  <c r="D82" i="40"/>
  <c r="C82" i="40"/>
  <c r="D81" i="40"/>
  <c r="C81" i="40"/>
  <c r="D80" i="40"/>
  <c r="C80" i="40"/>
  <c r="D79" i="40"/>
  <c r="C79" i="40"/>
  <c r="D78" i="40"/>
  <c r="C78" i="40"/>
  <c r="D77" i="40"/>
  <c r="C77" i="40"/>
  <c r="D76" i="40"/>
  <c r="C76" i="40"/>
  <c r="D75" i="40"/>
  <c r="C75" i="40"/>
  <c r="D74" i="40"/>
  <c r="C74" i="40"/>
  <c r="D73" i="40"/>
  <c r="C73" i="40"/>
  <c r="D72" i="40"/>
  <c r="C72" i="40"/>
  <c r="D71" i="40"/>
  <c r="C71" i="40"/>
  <c r="D70" i="40"/>
  <c r="C70" i="40"/>
  <c r="D69" i="40"/>
  <c r="C69" i="40"/>
  <c r="D68" i="40"/>
  <c r="C68" i="40"/>
  <c r="D67" i="40"/>
  <c r="C67" i="40"/>
  <c r="D66" i="40"/>
  <c r="C66" i="40"/>
  <c r="D65" i="40"/>
  <c r="C65" i="40"/>
  <c r="D64" i="40"/>
  <c r="C64" i="40"/>
  <c r="D51" i="40"/>
  <c r="C51" i="40"/>
  <c r="D50" i="40"/>
  <c r="C50" i="40"/>
  <c r="D49" i="40"/>
  <c r="C49" i="40"/>
  <c r="D48" i="40"/>
  <c r="C48" i="40"/>
  <c r="D47" i="40"/>
  <c r="C47" i="40"/>
  <c r="D46" i="40"/>
  <c r="C46" i="40"/>
  <c r="D45" i="40"/>
  <c r="C45" i="40"/>
  <c r="D44" i="40"/>
  <c r="C44" i="40"/>
  <c r="D43" i="40"/>
  <c r="C43" i="40"/>
  <c r="D42" i="40"/>
  <c r="C42" i="40"/>
  <c r="D41" i="40"/>
  <c r="C41" i="40"/>
  <c r="D40" i="40"/>
  <c r="C40" i="40"/>
  <c r="D39" i="40"/>
  <c r="C39" i="40"/>
  <c r="D38" i="40"/>
  <c r="C38" i="40"/>
  <c r="D37" i="40"/>
  <c r="C37" i="40"/>
  <c r="D36" i="40"/>
  <c r="C36" i="40"/>
  <c r="D35" i="40"/>
  <c r="C35" i="40"/>
  <c r="D34" i="40"/>
  <c r="C34" i="40"/>
  <c r="D33" i="40"/>
  <c r="C33" i="40"/>
  <c r="D32" i="40"/>
  <c r="C32" i="40"/>
  <c r="D31" i="40"/>
  <c r="C31" i="40"/>
  <c r="D30" i="40"/>
  <c r="C30" i="40"/>
  <c r="D29" i="40"/>
  <c r="C29" i="40"/>
  <c r="D28" i="40"/>
  <c r="C28" i="40"/>
  <c r="D27" i="40"/>
  <c r="C27" i="40"/>
  <c r="D26" i="40"/>
  <c r="C26" i="40"/>
  <c r="D25" i="40"/>
  <c r="C25" i="40"/>
  <c r="D24" i="40"/>
  <c r="C24" i="40"/>
  <c r="D23" i="40"/>
  <c r="C23" i="40"/>
  <c r="D22" i="40"/>
  <c r="C22" i="40"/>
  <c r="D21" i="40"/>
  <c r="C21" i="40"/>
  <c r="D20" i="40"/>
  <c r="C20" i="40"/>
  <c r="D63" i="40"/>
  <c r="C63" i="40"/>
  <c r="D62" i="40"/>
  <c r="C62" i="40"/>
  <c r="D61" i="40"/>
  <c r="C61" i="40"/>
  <c r="D60" i="40"/>
  <c r="C60" i="40"/>
  <c r="D59" i="40"/>
  <c r="C59" i="40"/>
  <c r="D58" i="40"/>
  <c r="C58" i="40"/>
  <c r="D57" i="40"/>
  <c r="C57" i="40"/>
  <c r="D56" i="40"/>
  <c r="C56" i="40"/>
  <c r="D55" i="40"/>
  <c r="C55" i="40"/>
  <c r="D54" i="40"/>
  <c r="C54" i="40"/>
  <c r="D53" i="40"/>
  <c r="C53" i="40"/>
  <c r="D52" i="40"/>
  <c r="C52" i="40"/>
  <c r="D44" i="46"/>
  <c r="D133" i="46"/>
  <c r="C133" i="46"/>
  <c r="D132" i="46"/>
  <c r="C132" i="46"/>
  <c r="D131" i="46"/>
  <c r="C131" i="46"/>
  <c r="D130" i="46"/>
  <c r="C130" i="46"/>
  <c r="D129" i="46"/>
  <c r="C129" i="46"/>
  <c r="D128" i="46"/>
  <c r="C128" i="46"/>
  <c r="D127" i="46"/>
  <c r="C127" i="46"/>
  <c r="D126" i="46"/>
  <c r="C126" i="46"/>
  <c r="D125" i="46"/>
  <c r="C125" i="46"/>
  <c r="D124" i="46"/>
  <c r="C124" i="46"/>
  <c r="D123" i="46"/>
  <c r="C123" i="46"/>
  <c r="D122" i="46"/>
  <c r="C122" i="46"/>
  <c r="D121" i="46"/>
  <c r="C121" i="46"/>
  <c r="D120" i="46"/>
  <c r="C120" i="46"/>
  <c r="D119" i="46"/>
  <c r="C119" i="46"/>
  <c r="D118" i="46"/>
  <c r="C118" i="46"/>
  <c r="D117" i="46"/>
  <c r="C117" i="46"/>
  <c r="D116" i="46"/>
  <c r="C116" i="46"/>
  <c r="D115" i="46"/>
  <c r="C115" i="46"/>
  <c r="D114" i="46"/>
  <c r="C114" i="46"/>
  <c r="D113" i="46"/>
  <c r="C113" i="46"/>
  <c r="D112" i="46"/>
  <c r="C112" i="46"/>
  <c r="D111" i="46"/>
  <c r="C111" i="46"/>
  <c r="D110" i="46"/>
  <c r="C110" i="46"/>
  <c r="D109" i="46"/>
  <c r="C109" i="46"/>
  <c r="D108" i="46"/>
  <c r="C108" i="46"/>
  <c r="D107" i="46"/>
  <c r="C107" i="46"/>
  <c r="D106" i="46"/>
  <c r="C106" i="46"/>
  <c r="D105" i="46"/>
  <c r="C105" i="46"/>
  <c r="D104" i="46"/>
  <c r="C104" i="46"/>
  <c r="D103" i="46"/>
  <c r="C103" i="46"/>
  <c r="D102" i="46"/>
  <c r="C102" i="46"/>
  <c r="D101" i="46"/>
  <c r="C101" i="46"/>
  <c r="D100" i="46"/>
  <c r="C100" i="46"/>
  <c r="D99" i="46"/>
  <c r="C99" i="46"/>
  <c r="D98" i="46"/>
  <c r="C98" i="46"/>
  <c r="D97" i="46"/>
  <c r="C97" i="46"/>
  <c r="D96" i="46"/>
  <c r="C96" i="46"/>
  <c r="D95" i="46"/>
  <c r="C95" i="46"/>
  <c r="D94" i="46"/>
  <c r="C94" i="46"/>
  <c r="D93" i="46"/>
  <c r="C93" i="46"/>
  <c r="D92" i="46"/>
  <c r="C92" i="46"/>
  <c r="D91" i="46"/>
  <c r="C91" i="46"/>
  <c r="D90" i="46"/>
  <c r="C90" i="46"/>
  <c r="D89" i="46"/>
  <c r="C89" i="46"/>
  <c r="D88" i="46"/>
  <c r="C88" i="46"/>
  <c r="D87" i="46"/>
  <c r="C87" i="46"/>
  <c r="D86" i="46"/>
  <c r="C86" i="46"/>
  <c r="D85" i="46"/>
  <c r="C85" i="46"/>
  <c r="D84" i="46"/>
  <c r="C84" i="46"/>
  <c r="D83" i="46"/>
  <c r="C83" i="46"/>
  <c r="D82" i="46"/>
  <c r="C82" i="46"/>
  <c r="D81" i="46"/>
  <c r="C81" i="46"/>
  <c r="D80" i="46"/>
  <c r="C80" i="46"/>
  <c r="D79" i="46"/>
  <c r="C79" i="46"/>
  <c r="D78" i="46"/>
  <c r="C78" i="46"/>
  <c r="D77" i="46"/>
  <c r="C77" i="46"/>
  <c r="D76" i="46"/>
  <c r="C76" i="46"/>
  <c r="D75" i="46"/>
  <c r="C75" i="46"/>
  <c r="D74" i="46"/>
  <c r="C74" i="46"/>
  <c r="D73" i="46"/>
  <c r="C73" i="46"/>
  <c r="D72" i="46"/>
  <c r="C72" i="46"/>
  <c r="D71" i="46"/>
  <c r="C71" i="46"/>
  <c r="D70" i="46"/>
  <c r="C70" i="46"/>
  <c r="D69" i="46"/>
  <c r="C69" i="46"/>
  <c r="D68" i="46"/>
  <c r="C68" i="46"/>
  <c r="D67" i="46"/>
  <c r="C67" i="46"/>
  <c r="D66" i="46"/>
  <c r="C66" i="46"/>
  <c r="D65" i="46"/>
  <c r="C65" i="46"/>
  <c r="D64" i="46"/>
  <c r="C64" i="46"/>
  <c r="D63" i="46"/>
  <c r="C63" i="46"/>
  <c r="D62" i="46"/>
  <c r="C62" i="46"/>
  <c r="D61" i="46"/>
  <c r="C61" i="46"/>
  <c r="D60" i="46"/>
  <c r="C60" i="46"/>
  <c r="D59" i="46"/>
  <c r="C59" i="46"/>
  <c r="D58" i="46"/>
  <c r="C58" i="46"/>
  <c r="D57" i="46"/>
  <c r="C57" i="46"/>
  <c r="D56" i="46"/>
  <c r="C56" i="46"/>
  <c r="D55" i="46"/>
  <c r="C55" i="46"/>
  <c r="D54" i="46"/>
  <c r="C54" i="46"/>
  <c r="D53" i="46"/>
  <c r="C53" i="46"/>
  <c r="D52" i="46"/>
  <c r="C52" i="46"/>
  <c r="D51" i="46"/>
  <c r="C51" i="46"/>
  <c r="D50" i="46"/>
  <c r="C50" i="46"/>
  <c r="D49" i="46"/>
  <c r="C49" i="46"/>
  <c r="D48" i="46"/>
  <c r="C48" i="46"/>
  <c r="D47" i="46"/>
  <c r="C47" i="46"/>
  <c r="D46" i="46"/>
  <c r="C46" i="46"/>
  <c r="D45" i="46"/>
  <c r="C45" i="46"/>
  <c r="D21" i="21"/>
  <c r="J21" i="21" s="1"/>
  <c r="D22" i="21"/>
  <c r="J22" i="21" s="1"/>
  <c r="D23" i="21"/>
  <c r="J23" i="21" s="1"/>
  <c r="D24" i="21"/>
  <c r="J24" i="21" s="1"/>
  <c r="D25" i="21"/>
  <c r="J25" i="21" s="1"/>
  <c r="D30" i="21"/>
  <c r="J30" i="21" s="1"/>
  <c r="D31" i="21"/>
  <c r="J31" i="21" s="1"/>
  <c r="D34" i="21"/>
  <c r="J34" i="21" s="1"/>
  <c r="D35" i="21"/>
  <c r="J35" i="21" s="1"/>
  <c r="D36" i="21"/>
  <c r="J36" i="21" s="1"/>
  <c r="D37" i="21"/>
  <c r="J37" i="21" s="1"/>
  <c r="D38" i="21"/>
  <c r="J38" i="21" s="1"/>
  <c r="D41" i="21"/>
  <c r="J41" i="21" s="1"/>
  <c r="D42" i="21"/>
  <c r="J42" i="21" s="1"/>
  <c r="D45" i="21"/>
  <c r="J45" i="21" s="1"/>
  <c r="D46" i="21"/>
  <c r="J46" i="21" s="1"/>
  <c r="D47" i="21"/>
  <c r="J47" i="21" s="1"/>
  <c r="D48" i="21"/>
  <c r="J48" i="21" s="1"/>
  <c r="D49" i="21"/>
  <c r="J49" i="21" s="1"/>
  <c r="D50" i="21"/>
  <c r="J50" i="21" s="1"/>
  <c r="D53" i="21"/>
  <c r="J53" i="21" s="1"/>
  <c r="D54" i="21"/>
  <c r="J54" i="21" s="1"/>
  <c r="D55" i="21"/>
  <c r="J55" i="21" s="1"/>
  <c r="D59" i="21"/>
  <c r="J59" i="21" s="1"/>
  <c r="D60" i="21"/>
  <c r="J60" i="21" s="1"/>
  <c r="D61" i="21"/>
  <c r="J61" i="21" s="1"/>
  <c r="D64" i="21"/>
  <c r="J64" i="21" s="1"/>
  <c r="D67" i="21"/>
  <c r="J67" i="21" s="1"/>
  <c r="D70" i="21"/>
  <c r="J70" i="21" s="1"/>
  <c r="D71" i="21"/>
  <c r="J71" i="21" s="1"/>
  <c r="D72" i="21"/>
  <c r="J72" i="21" s="1"/>
  <c r="D76" i="21"/>
  <c r="J76" i="21" s="1"/>
  <c r="D79" i="21"/>
  <c r="D80" i="21"/>
  <c r="J80" i="21" s="1"/>
  <c r="D81" i="21"/>
  <c r="J81" i="21" s="1"/>
  <c r="D82" i="21"/>
  <c r="J82" i="21" s="1"/>
  <c r="D85" i="21"/>
  <c r="J85" i="21" s="1"/>
  <c r="D88" i="21"/>
  <c r="J88" i="21" s="1"/>
  <c r="D91" i="21"/>
  <c r="J91" i="21" s="1"/>
  <c r="D94" i="21"/>
  <c r="J94" i="21" s="1"/>
  <c r="D97" i="21"/>
  <c r="J97" i="21" s="1"/>
  <c r="D100" i="21"/>
  <c r="J100" i="21" s="1"/>
  <c r="D103" i="21"/>
  <c r="J103" i="21" s="1"/>
  <c r="D104" i="21"/>
  <c r="J104" i="21" s="1"/>
  <c r="D105" i="21"/>
  <c r="J105" i="21" s="1"/>
  <c r="D108" i="21"/>
  <c r="J108" i="21" s="1"/>
  <c r="D109" i="21"/>
  <c r="J109" i="21" s="1"/>
  <c r="D112" i="21"/>
  <c r="J112" i="21" s="1"/>
  <c r="D113" i="21"/>
  <c r="J113" i="21" s="1"/>
  <c r="D114" i="21"/>
  <c r="J114" i="21" s="1"/>
  <c r="D115" i="21"/>
  <c r="J115" i="21" s="1"/>
  <c r="D116" i="21"/>
  <c r="J116" i="21" s="1"/>
  <c r="D119" i="21"/>
  <c r="J119" i="21" s="1"/>
  <c r="D120" i="21"/>
  <c r="J120" i="21" s="1"/>
  <c r="D123" i="21"/>
  <c r="J123" i="21" s="1"/>
  <c r="D126" i="21"/>
  <c r="J126" i="21" s="1"/>
  <c r="D127" i="21"/>
  <c r="J127" i="21" s="1"/>
  <c r="D130" i="21"/>
  <c r="J130" i="21" s="1"/>
  <c r="D131" i="21"/>
  <c r="J131" i="21" s="1"/>
  <c r="D134" i="21"/>
  <c r="J134" i="21" s="1"/>
  <c r="D137" i="21"/>
  <c r="J137" i="21" s="1"/>
  <c r="D138" i="21"/>
  <c r="J138" i="21" s="1"/>
  <c r="D142" i="21"/>
  <c r="J142" i="21" s="1"/>
  <c r="D143" i="21"/>
  <c r="J143" i="21" s="1"/>
  <c r="D146" i="21"/>
  <c r="J146" i="21" s="1"/>
  <c r="D149" i="21"/>
  <c r="J149" i="21" s="1"/>
  <c r="D150" i="21"/>
  <c r="J150" i="21" s="1"/>
  <c r="D153" i="21"/>
  <c r="J153" i="21" s="1"/>
  <c r="D156" i="21"/>
  <c r="J156" i="21" s="1"/>
  <c r="D157" i="21"/>
  <c r="J157" i="21" s="1"/>
  <c r="D158" i="21"/>
  <c r="J158" i="21" s="1"/>
  <c r="D161" i="21"/>
  <c r="J161" i="21" s="1"/>
  <c r="D162" i="21"/>
  <c r="J162" i="21" s="1"/>
  <c r="D163" i="21"/>
  <c r="J163" i="21" s="1"/>
  <c r="D166" i="21"/>
  <c r="J166" i="21" s="1"/>
  <c r="D169" i="21"/>
  <c r="J169" i="21" s="1"/>
  <c r="D170" i="21"/>
  <c r="J170" i="21" s="1"/>
  <c r="D173" i="21"/>
  <c r="J173" i="21" s="1"/>
  <c r="D174" i="21"/>
  <c r="J174" i="21" s="1"/>
  <c r="D177" i="21"/>
  <c r="J177" i="21" s="1"/>
  <c r="D178" i="21"/>
  <c r="J178" i="21" s="1"/>
  <c r="D181" i="21"/>
  <c r="J181" i="21" s="1"/>
  <c r="D182" i="21"/>
  <c r="J182" i="21" s="1"/>
  <c r="D183" i="21"/>
  <c r="J183" i="21" s="1"/>
  <c r="D184" i="21"/>
  <c r="J184" i="21" s="1"/>
  <c r="D187" i="21"/>
  <c r="J187" i="21" s="1"/>
  <c r="D188" i="21"/>
  <c r="J188" i="21" s="1"/>
  <c r="D191" i="21"/>
  <c r="J191" i="21" s="1"/>
  <c r="D20" i="21"/>
  <c r="H108" i="2"/>
  <c r="H107" i="2"/>
  <c r="H106" i="2"/>
  <c r="H105" i="2"/>
  <c r="H104" i="2"/>
  <c r="H103"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J24" i="46"/>
  <c r="O16" i="1"/>
  <c r="J13" i="46"/>
  <c r="J12" i="46"/>
  <c r="D1872" i="16" l="1"/>
  <c r="D1932" i="16"/>
  <c r="D1873" i="16"/>
  <c r="J1856" i="16" s="1"/>
  <c r="D1934" i="16"/>
  <c r="E1934" i="16" s="1"/>
  <c r="D1993" i="16"/>
  <c r="D1933" i="16"/>
  <c r="D1992" i="16"/>
  <c r="D1722" i="16"/>
  <c r="E1722" i="16" s="1"/>
  <c r="D1693" i="16"/>
  <c r="E1693" i="16" s="1"/>
  <c r="D1723" i="16"/>
  <c r="D1422" i="16"/>
  <c r="E1422" i="16" s="1"/>
  <c r="D851" i="16"/>
  <c r="D852" i="16"/>
  <c r="D1183" i="16"/>
  <c r="D1182" i="16"/>
  <c r="J20" i="21"/>
  <c r="D2503" i="16"/>
  <c r="D2502" i="16"/>
  <c r="J79" i="21"/>
  <c r="E79" i="21"/>
  <c r="D2442" i="16"/>
  <c r="D2443" i="16"/>
  <c r="D1842" i="16"/>
  <c r="D1843" i="16"/>
  <c r="D2022" i="16"/>
  <c r="D2023" i="16"/>
  <c r="D1333" i="16"/>
  <c r="J1316" i="16" s="1"/>
  <c r="D1332" i="16"/>
  <c r="D1302" i="16"/>
  <c r="D1303" i="16"/>
  <c r="D2682" i="16"/>
  <c r="D2683" i="16"/>
  <c r="D1273" i="16"/>
  <c r="D1272" i="16"/>
  <c r="J1257" i="16" s="1"/>
  <c r="D2652" i="16"/>
  <c r="D2653" i="16"/>
  <c r="D2622" i="16"/>
  <c r="D2623" i="16"/>
  <c r="D1783" i="16"/>
  <c r="D1782" i="16"/>
  <c r="D1242" i="16"/>
  <c r="D1243" i="16"/>
  <c r="D1692" i="16"/>
  <c r="D1633" i="16"/>
  <c r="J1616" i="16" s="1"/>
  <c r="D1632" i="16"/>
  <c r="D1213" i="16"/>
  <c r="D1212" i="16"/>
  <c r="D1152" i="16"/>
  <c r="D1153" i="16"/>
  <c r="J1135" i="16" s="1"/>
  <c r="D2382" i="16"/>
  <c r="D2383" i="16"/>
  <c r="D2322" i="16"/>
  <c r="D2323" i="16"/>
  <c r="D1483" i="16"/>
  <c r="D1482" i="16"/>
  <c r="D2293" i="16"/>
  <c r="D2292" i="16"/>
  <c r="D1032" i="16"/>
  <c r="D1033" i="16"/>
  <c r="D1423" i="16"/>
  <c r="D1003" i="16"/>
  <c r="D1004" i="16"/>
  <c r="D1002" i="16"/>
  <c r="D912" i="16"/>
  <c r="J894" i="16" s="1"/>
  <c r="D913" i="16"/>
  <c r="D671" i="16"/>
  <c r="D672" i="16"/>
  <c r="D881" i="16"/>
  <c r="D882" i="16"/>
  <c r="D491" i="16"/>
  <c r="D492" i="16"/>
  <c r="D761" i="16"/>
  <c r="D762" i="16"/>
  <c r="D763" i="16"/>
  <c r="D2202" i="16"/>
  <c r="D2203" i="16"/>
  <c r="E2203" i="16" s="1"/>
  <c r="D431" i="16"/>
  <c r="D432" i="16"/>
  <c r="D2113" i="16"/>
  <c r="D2112" i="16"/>
  <c r="D2082" i="16"/>
  <c r="D2083" i="16"/>
  <c r="D282" i="16"/>
  <c r="D281" i="16"/>
  <c r="D223" i="16"/>
  <c r="J205" i="16" s="1"/>
  <c r="D221" i="16"/>
  <c r="J204" i="16" s="1"/>
  <c r="D222" i="16"/>
  <c r="J207" i="16" s="1"/>
  <c r="D224" i="16"/>
  <c r="J206" i="16" s="1"/>
  <c r="E47" i="46"/>
  <c r="E69" i="46"/>
  <c r="E101" i="46"/>
  <c r="E121" i="46"/>
  <c r="E53" i="46"/>
  <c r="E81" i="46"/>
  <c r="E109" i="46"/>
  <c r="E133" i="46"/>
  <c r="E73" i="46"/>
  <c r="E93" i="46"/>
  <c r="E117" i="46"/>
  <c r="E44" i="46"/>
  <c r="E48" i="46"/>
  <c r="E54" i="46"/>
  <c r="E58" i="46"/>
  <c r="E62" i="46"/>
  <c r="E66" i="46"/>
  <c r="E70" i="46"/>
  <c r="E74" i="46"/>
  <c r="E78" i="46"/>
  <c r="E82" i="46"/>
  <c r="E86" i="46"/>
  <c r="E90" i="46"/>
  <c r="E94" i="46"/>
  <c r="E98" i="46"/>
  <c r="E102" i="46"/>
  <c r="E106" i="46"/>
  <c r="E110" i="46"/>
  <c r="E114" i="46"/>
  <c r="E118" i="46"/>
  <c r="E122" i="46"/>
  <c r="E126" i="46"/>
  <c r="E130" i="46"/>
  <c r="E57" i="46"/>
  <c r="E85" i="46"/>
  <c r="E113" i="46"/>
  <c r="E61" i="46"/>
  <c r="E89" i="46"/>
  <c r="E129" i="46"/>
  <c r="E45" i="46"/>
  <c r="E49" i="46"/>
  <c r="E51" i="46"/>
  <c r="E55" i="46"/>
  <c r="E59" i="46"/>
  <c r="E63" i="46"/>
  <c r="E67" i="46"/>
  <c r="E71" i="46"/>
  <c r="E75" i="46"/>
  <c r="E79" i="46"/>
  <c r="E83" i="46"/>
  <c r="E87" i="46"/>
  <c r="E91" i="46"/>
  <c r="E95" i="46"/>
  <c r="E99" i="46"/>
  <c r="E103" i="46"/>
  <c r="E107" i="46"/>
  <c r="E111" i="46"/>
  <c r="E115" i="46"/>
  <c r="E119" i="46"/>
  <c r="E123" i="46"/>
  <c r="E127" i="46"/>
  <c r="E131" i="46"/>
  <c r="E65" i="46"/>
  <c r="E97" i="46"/>
  <c r="E125" i="46"/>
  <c r="E77" i="46"/>
  <c r="E105" i="46"/>
  <c r="E46" i="46"/>
  <c r="E50" i="46"/>
  <c r="E52" i="46"/>
  <c r="E56" i="46"/>
  <c r="E60" i="46"/>
  <c r="E64" i="46"/>
  <c r="E68" i="46"/>
  <c r="E72" i="46"/>
  <c r="E76" i="46"/>
  <c r="E80" i="46"/>
  <c r="E84" i="46"/>
  <c r="E88" i="46"/>
  <c r="E92" i="46"/>
  <c r="E96" i="46"/>
  <c r="E100" i="46"/>
  <c r="E104" i="46"/>
  <c r="E108" i="46"/>
  <c r="E112" i="46"/>
  <c r="E116" i="46"/>
  <c r="E120" i="46"/>
  <c r="E124" i="46"/>
  <c r="E128" i="46"/>
  <c r="E132" i="46"/>
  <c r="E49" i="21"/>
  <c r="E170" i="21"/>
  <c r="E41" i="21"/>
  <c r="E70" i="21"/>
  <c r="E184" i="21"/>
  <c r="E25" i="21"/>
  <c r="E137" i="21"/>
  <c r="E119" i="21"/>
  <c r="E105" i="21"/>
  <c r="E85" i="21"/>
  <c r="E103" i="21"/>
  <c r="E115" i="21"/>
  <c r="E131" i="21"/>
  <c r="E182" i="21"/>
  <c r="E23" i="21"/>
  <c r="E150" i="21"/>
  <c r="E37" i="21"/>
  <c r="E166" i="21"/>
  <c r="E64" i="21"/>
  <c r="E81" i="21"/>
  <c r="E82" i="21"/>
  <c r="E38" i="21"/>
  <c r="E174" i="21"/>
  <c r="E91" i="21"/>
  <c r="E142" i="21"/>
  <c r="E187" i="21"/>
  <c r="E157" i="21"/>
  <c r="E138" i="21"/>
  <c r="E120" i="21"/>
  <c r="E108" i="21"/>
  <c r="E88" i="21"/>
  <c r="E71" i="21"/>
  <c r="E54" i="21"/>
  <c r="E30" i="21"/>
  <c r="E45" i="21"/>
  <c r="E123" i="21"/>
  <c r="D22" i="33"/>
  <c r="E156" i="21"/>
  <c r="E53" i="21"/>
  <c r="E24" i="21"/>
  <c r="E183" i="21"/>
  <c r="E67" i="21"/>
  <c r="E50" i="21"/>
  <c r="E116" i="21"/>
  <c r="E169" i="21"/>
  <c r="E104" i="21"/>
  <c r="E153" i="21"/>
  <c r="E42" i="21"/>
  <c r="E173" i="21"/>
  <c r="E72" i="21"/>
  <c r="E31" i="21"/>
  <c r="E158" i="21"/>
  <c r="E109" i="21"/>
  <c r="E55" i="21"/>
  <c r="E188" i="21"/>
  <c r="E21" i="21"/>
  <c r="E35" i="21"/>
  <c r="E47" i="21"/>
  <c r="E60" i="21"/>
  <c r="E97" i="21"/>
  <c r="E113" i="21"/>
  <c r="E127" i="21"/>
  <c r="E146" i="21"/>
  <c r="E162" i="21"/>
  <c r="E178" i="21"/>
  <c r="E22" i="21"/>
  <c r="E36" i="21"/>
  <c r="E48" i="21"/>
  <c r="E61" i="21"/>
  <c r="E80" i="21"/>
  <c r="E100" i="21"/>
  <c r="E114" i="21"/>
  <c r="E130" i="21"/>
  <c r="E149" i="21"/>
  <c r="E163" i="21"/>
  <c r="E181" i="21"/>
  <c r="E20" i="21"/>
  <c r="E34" i="21"/>
  <c r="E46" i="21"/>
  <c r="E59" i="21"/>
  <c r="E76" i="21"/>
  <c r="E94" i="21"/>
  <c r="E112" i="21"/>
  <c r="E126" i="21"/>
  <c r="E143" i="21"/>
  <c r="E161" i="21"/>
  <c r="E177" i="21"/>
  <c r="E191" i="21"/>
  <c r="E149" i="46"/>
  <c r="B157" i="46"/>
  <c r="C157" i="46"/>
  <c r="C158" i="46"/>
  <c r="C159" i="46"/>
  <c r="K140" i="46"/>
  <c r="K143" i="46"/>
  <c r="J1827" i="16" l="1"/>
  <c r="J1828" i="16"/>
  <c r="J1829" i="16"/>
  <c r="J1825" i="16"/>
  <c r="J1830" i="16"/>
  <c r="J1826" i="16"/>
  <c r="J896" i="16"/>
  <c r="J895" i="16"/>
  <c r="J414" i="16"/>
  <c r="J654" i="16"/>
  <c r="J1677" i="16"/>
  <c r="J2005" i="16"/>
  <c r="F2023" i="16" s="1"/>
  <c r="J2006" i="16"/>
  <c r="E1992" i="16"/>
  <c r="E1873" i="16"/>
  <c r="J1918" i="16"/>
  <c r="E1933" i="16"/>
  <c r="E1932" i="16"/>
  <c r="J1915" i="16"/>
  <c r="J1916" i="16"/>
  <c r="J1917" i="16"/>
  <c r="J476" i="16"/>
  <c r="J655" i="16"/>
  <c r="E1993" i="16"/>
  <c r="J1855" i="16"/>
  <c r="E1872" i="16"/>
  <c r="J416" i="16"/>
  <c r="J415" i="16"/>
  <c r="J477" i="16"/>
  <c r="J475" i="16"/>
  <c r="J474" i="16"/>
  <c r="J1768" i="16"/>
  <c r="J1767" i="16"/>
  <c r="J1766" i="16"/>
  <c r="J1765" i="16"/>
  <c r="J2607" i="16"/>
  <c r="J2606" i="16"/>
  <c r="J2605" i="16"/>
  <c r="J1256" i="16"/>
  <c r="J1255" i="16"/>
  <c r="J2665" i="16"/>
  <c r="J1977" i="16"/>
  <c r="J1976" i="16"/>
  <c r="J1978" i="16"/>
  <c r="J1975" i="16"/>
  <c r="J1195" i="16"/>
  <c r="J1196" i="16"/>
  <c r="E1723" i="16"/>
  <c r="J1705" i="16"/>
  <c r="X1722" i="16"/>
  <c r="X1723" i="16"/>
  <c r="J2305" i="16"/>
  <c r="J2306" i="16"/>
  <c r="J2365" i="16"/>
  <c r="J2366" i="16"/>
  <c r="J1617" i="16"/>
  <c r="J1615" i="16"/>
  <c r="J1676" i="16"/>
  <c r="J1675" i="16"/>
  <c r="J1227" i="16"/>
  <c r="J1226" i="16"/>
  <c r="J1225" i="16"/>
  <c r="J1289" i="16"/>
  <c r="J1288" i="16"/>
  <c r="J1287" i="16"/>
  <c r="J1286" i="16"/>
  <c r="J1285" i="16"/>
  <c r="J1317" i="16"/>
  <c r="J1315" i="16"/>
  <c r="J2426" i="16"/>
  <c r="J2425" i="16"/>
  <c r="J2485" i="16"/>
  <c r="F2503" i="16" s="1"/>
  <c r="E2292" i="16"/>
  <c r="E1182" i="16"/>
  <c r="J1168" i="16"/>
  <c r="J1167" i="16"/>
  <c r="J1166" i="16"/>
  <c r="J1165" i="16"/>
  <c r="E852" i="16"/>
  <c r="J835" i="16"/>
  <c r="E851" i="16"/>
  <c r="J834" i="16"/>
  <c r="J2065" i="16"/>
  <c r="J985" i="16"/>
  <c r="J1018" i="16"/>
  <c r="J2277" i="16"/>
  <c r="J2276" i="16"/>
  <c r="J2275" i="16"/>
  <c r="J268" i="16"/>
  <c r="J267" i="16"/>
  <c r="F282" i="16" s="1"/>
  <c r="J266" i="16"/>
  <c r="J265" i="16"/>
  <c r="J264" i="16"/>
  <c r="J2096" i="16"/>
  <c r="J2095" i="16"/>
  <c r="J2098" i="16"/>
  <c r="J2097" i="16"/>
  <c r="J2188" i="16"/>
  <c r="J2187" i="16"/>
  <c r="J2186" i="16"/>
  <c r="J2185" i="16"/>
  <c r="J749" i="16"/>
  <c r="J868" i="16"/>
  <c r="J867" i="16"/>
  <c r="J866" i="16"/>
  <c r="J865" i="16"/>
  <c r="J864" i="16"/>
  <c r="J987" i="16"/>
  <c r="J986" i="16"/>
  <c r="J1406" i="16"/>
  <c r="J1407" i="16"/>
  <c r="E1423" i="16"/>
  <c r="J1017" i="16"/>
  <c r="J1016" i="16"/>
  <c r="J1015" i="16"/>
  <c r="J1470" i="16"/>
  <c r="J1469" i="16"/>
  <c r="J1468" i="16"/>
  <c r="J1467" i="16"/>
  <c r="J1466" i="16"/>
  <c r="J1465" i="16"/>
  <c r="J2066" i="16"/>
  <c r="J2067" i="16"/>
  <c r="J2068" i="16"/>
  <c r="J746" i="16"/>
  <c r="J747" i="16"/>
  <c r="J748" i="16"/>
  <c r="J1405" i="16"/>
  <c r="J745" i="16"/>
  <c r="J744" i="16"/>
  <c r="X2502" i="16"/>
  <c r="E2502" i="16"/>
  <c r="X2503" i="16"/>
  <c r="E2503" i="16"/>
  <c r="X2443" i="16"/>
  <c r="E2443" i="16"/>
  <c r="X2442" i="16"/>
  <c r="E2442" i="16"/>
  <c r="X1993" i="16"/>
  <c r="X1992" i="16"/>
  <c r="X1843" i="16"/>
  <c r="E1843" i="16"/>
  <c r="F1843" i="16"/>
  <c r="X1842" i="16"/>
  <c r="E1842" i="16"/>
  <c r="X1933" i="16"/>
  <c r="X1932" i="16"/>
  <c r="X1872" i="16"/>
  <c r="X1873" i="16"/>
  <c r="X2023" i="16"/>
  <c r="E2023" i="16"/>
  <c r="X2022" i="16"/>
  <c r="E2022" i="16"/>
  <c r="X1332" i="16"/>
  <c r="E1332" i="16"/>
  <c r="X1333" i="16"/>
  <c r="E1333" i="16"/>
  <c r="X1303" i="16"/>
  <c r="E1303" i="16"/>
  <c r="E1302" i="16"/>
  <c r="X1302" i="16"/>
  <c r="X2683" i="16"/>
  <c r="E2683" i="16"/>
  <c r="X2682" i="16"/>
  <c r="E2682" i="16"/>
  <c r="X1272" i="16"/>
  <c r="E1272" i="16"/>
  <c r="X1273" i="16"/>
  <c r="E1273" i="16"/>
  <c r="X2653" i="16"/>
  <c r="J2653" i="16"/>
  <c r="K2653" i="16" s="1"/>
  <c r="H2653" i="16"/>
  <c r="G2653" i="16"/>
  <c r="F2653" i="16"/>
  <c r="E2653" i="16"/>
  <c r="L2653" i="16" s="1"/>
  <c r="X2652" i="16"/>
  <c r="H2652" i="16"/>
  <c r="G2652" i="16"/>
  <c r="J2652" i="16"/>
  <c r="J2658" i="16" s="1"/>
  <c r="F2652" i="16"/>
  <c r="E2652" i="16"/>
  <c r="X2623" i="16"/>
  <c r="E2623" i="16"/>
  <c r="X2622" i="16"/>
  <c r="E2622" i="16"/>
  <c r="X1782" i="16"/>
  <c r="E1782" i="16"/>
  <c r="X1783" i="16"/>
  <c r="E1783" i="16"/>
  <c r="X1243" i="16"/>
  <c r="E1243" i="16"/>
  <c r="X1242" i="16"/>
  <c r="E1242" i="16"/>
  <c r="X1693" i="16"/>
  <c r="X1692" i="16"/>
  <c r="E1692" i="16"/>
  <c r="E1632" i="16"/>
  <c r="X1632" i="16"/>
  <c r="X1633" i="16"/>
  <c r="E1633" i="16"/>
  <c r="X1212" i="16"/>
  <c r="E1212" i="16"/>
  <c r="X1213" i="16"/>
  <c r="E1213" i="16"/>
  <c r="X1182" i="16"/>
  <c r="X1183" i="16"/>
  <c r="E1183" i="16"/>
  <c r="X1153" i="16"/>
  <c r="E1153" i="16"/>
  <c r="X1152" i="16"/>
  <c r="E1152" i="16"/>
  <c r="X2383" i="16"/>
  <c r="E2383" i="16"/>
  <c r="X2382" i="16"/>
  <c r="E2382" i="16"/>
  <c r="X2323" i="16"/>
  <c r="E2323" i="16"/>
  <c r="X2322" i="16"/>
  <c r="E2322" i="16"/>
  <c r="X1482" i="16"/>
  <c r="E1482" i="16"/>
  <c r="X1483" i="16"/>
  <c r="E1483" i="16"/>
  <c r="X2292" i="16"/>
  <c r="X2293" i="16"/>
  <c r="E2293" i="16"/>
  <c r="X1033" i="16"/>
  <c r="E1033" i="16"/>
  <c r="X1032" i="16"/>
  <c r="E1032" i="16"/>
  <c r="X1422" i="16"/>
  <c r="X1423" i="16"/>
  <c r="X1002" i="16"/>
  <c r="E1002" i="16"/>
  <c r="X1004" i="16"/>
  <c r="E1004" i="16"/>
  <c r="X1003" i="16"/>
  <c r="E1003" i="16"/>
  <c r="X913" i="16"/>
  <c r="E913" i="16"/>
  <c r="E912" i="16"/>
  <c r="X912" i="16"/>
  <c r="X672" i="16"/>
  <c r="E672" i="16"/>
  <c r="X671" i="16"/>
  <c r="E671" i="16"/>
  <c r="X882" i="16"/>
  <c r="E882" i="16"/>
  <c r="X881" i="16"/>
  <c r="E881" i="16"/>
  <c r="X852" i="16"/>
  <c r="X851" i="16"/>
  <c r="X492" i="16"/>
  <c r="E492" i="16"/>
  <c r="X491" i="16"/>
  <c r="E491" i="16"/>
  <c r="X763" i="16"/>
  <c r="E763" i="16"/>
  <c r="E762" i="16"/>
  <c r="X762" i="16"/>
  <c r="X761" i="16"/>
  <c r="E761" i="16"/>
  <c r="X2203" i="16"/>
  <c r="X2202" i="16"/>
  <c r="E2202" i="16"/>
  <c r="X432" i="16"/>
  <c r="E432" i="16"/>
  <c r="X431" i="16"/>
  <c r="E431" i="16"/>
  <c r="X2112" i="16"/>
  <c r="E2112" i="16"/>
  <c r="X2113" i="16"/>
  <c r="E2113" i="16"/>
  <c r="X2083" i="16"/>
  <c r="E2083" i="16"/>
  <c r="X2082" i="16"/>
  <c r="E2082" i="16"/>
  <c r="X281" i="16"/>
  <c r="E281" i="16"/>
  <c r="X282" i="16"/>
  <c r="E282" i="16"/>
  <c r="X224" i="16"/>
  <c r="F224" i="16"/>
  <c r="E224" i="16"/>
  <c r="X222" i="16"/>
  <c r="E222" i="16"/>
  <c r="X221" i="16"/>
  <c r="E221" i="16"/>
  <c r="F221" i="16"/>
  <c r="X223" i="16"/>
  <c r="E223" i="16"/>
  <c r="F223" i="16"/>
  <c r="D23" i="33"/>
  <c r="D24" i="33" s="1"/>
  <c r="B7" i="2"/>
  <c r="F1783" i="16" l="1"/>
  <c r="Z1783" i="16" s="1"/>
  <c r="AB1783" i="16" s="1"/>
  <c r="F1302" i="16"/>
  <c r="F1243" i="16"/>
  <c r="Z1243" i="16" s="1"/>
  <c r="AB1243" i="16" s="1"/>
  <c r="Z282" i="16"/>
  <c r="AB282" i="16" s="1"/>
  <c r="F1483" i="16"/>
  <c r="Y1483" i="16" s="1"/>
  <c r="F882" i="16"/>
  <c r="Z882" i="16" s="1"/>
  <c r="AB882" i="16" s="1"/>
  <c r="F2683" i="16"/>
  <c r="Y2683" i="16" s="1"/>
  <c r="F1722" i="16"/>
  <c r="Z1722" i="16" s="1"/>
  <c r="F2293" i="16"/>
  <c r="Z2293" i="16" s="1"/>
  <c r="AB2293" i="16" s="1"/>
  <c r="F2203" i="16"/>
  <c r="Z2203" i="16" s="1"/>
  <c r="AB2203" i="16" s="1"/>
  <c r="F1004" i="16"/>
  <c r="Z1004" i="16" s="1"/>
  <c r="AB1004" i="16" s="1"/>
  <c r="K2652" i="16"/>
  <c r="Z2503" i="16"/>
  <c r="AB2503" i="16" s="1"/>
  <c r="Z1843" i="16"/>
  <c r="AB1843" i="16" s="1"/>
  <c r="Z2023" i="16"/>
  <c r="AB2023" i="16" s="1"/>
  <c r="Z1302" i="16"/>
  <c r="L2652" i="16"/>
  <c r="H2658" i="16"/>
  <c r="K2658" i="16" s="1"/>
  <c r="Z2652" i="16"/>
  <c r="AB2653" i="16"/>
  <c r="Z223" i="16"/>
  <c r="AB223" i="16" s="1"/>
  <c r="Z221" i="16"/>
  <c r="Z224" i="16"/>
  <c r="AB224" i="16" s="1"/>
  <c r="C7" i="48"/>
  <c r="C7" i="50"/>
  <c r="D25" i="33"/>
  <c r="R17" i="16"/>
  <c r="Z2683" i="16" l="1"/>
  <c r="AB2683" i="16" s="1"/>
  <c r="Z1483" i="16"/>
  <c r="AB1722" i="16"/>
  <c r="AB1302" i="16"/>
  <c r="Z2658" i="16"/>
  <c r="AB2652" i="16"/>
  <c r="AB221" i="16"/>
  <c r="D26" i="33"/>
  <c r="K43" i="17"/>
  <c r="E19" i="21"/>
  <c r="J124" i="21" l="1"/>
  <c r="J122" i="21"/>
  <c r="J125" i="21"/>
  <c r="J121" i="21"/>
  <c r="J179" i="21"/>
  <c r="J180" i="21"/>
  <c r="J26" i="21"/>
  <c r="J27" i="21"/>
  <c r="J28" i="21"/>
  <c r="J29" i="21"/>
  <c r="J32" i="21"/>
  <c r="J33" i="21"/>
  <c r="J39" i="21"/>
  <c r="J40" i="21"/>
  <c r="J43" i="21"/>
  <c r="J44" i="21"/>
  <c r="J51" i="21"/>
  <c r="J52" i="21"/>
  <c r="J56" i="21"/>
  <c r="J57" i="21"/>
  <c r="J58" i="21"/>
  <c r="J62" i="21"/>
  <c r="J63" i="21"/>
  <c r="J65" i="21"/>
  <c r="J66" i="21"/>
  <c r="J68" i="21"/>
  <c r="J69" i="21"/>
  <c r="J73" i="21"/>
  <c r="J74" i="21"/>
  <c r="J75" i="21"/>
  <c r="J77" i="21"/>
  <c r="J78" i="21"/>
  <c r="J83" i="21"/>
  <c r="J84" i="21"/>
  <c r="J86" i="21"/>
  <c r="J87" i="21"/>
  <c r="J89" i="21"/>
  <c r="J90" i="21"/>
  <c r="J92" i="21"/>
  <c r="J93" i="21"/>
  <c r="J95" i="21"/>
  <c r="J96" i="21"/>
  <c r="J98" i="21"/>
  <c r="J99" i="21"/>
  <c r="J101" i="21"/>
  <c r="J102" i="21"/>
  <c r="J106" i="21"/>
  <c r="J107" i="21"/>
  <c r="J110" i="21"/>
  <c r="J111" i="21"/>
  <c r="J117" i="21"/>
  <c r="J118" i="21"/>
  <c r="J128" i="21"/>
  <c r="J129" i="21"/>
  <c r="J132" i="21"/>
  <c r="J133" i="21"/>
  <c r="J135" i="21"/>
  <c r="J136" i="21"/>
  <c r="J139" i="21"/>
  <c r="J140" i="21"/>
  <c r="J141" i="21"/>
  <c r="J144" i="21"/>
  <c r="J145" i="21"/>
  <c r="J147" i="21"/>
  <c r="J148" i="21"/>
  <c r="J151" i="21"/>
  <c r="J152" i="21"/>
  <c r="J154" i="21"/>
  <c r="J155" i="21"/>
  <c r="J159" i="21"/>
  <c r="J160" i="21"/>
  <c r="J164" i="21"/>
  <c r="J165" i="21"/>
  <c r="J167" i="21"/>
  <c r="J168" i="21"/>
  <c r="J171" i="21"/>
  <c r="J172" i="21"/>
  <c r="J175" i="21"/>
  <c r="J176" i="21"/>
  <c r="J185" i="21"/>
  <c r="J186" i="21"/>
  <c r="J189" i="21"/>
  <c r="J190" i="21"/>
  <c r="AB2658" i="16"/>
  <c r="AA2658" i="16"/>
  <c r="D27" i="33"/>
  <c r="J19" i="27"/>
  <c r="C1" i="47"/>
  <c r="D28" i="33" l="1"/>
  <c r="J14" i="46"/>
  <c r="G15" i="46" s="1"/>
  <c r="D29" i="33" l="1"/>
  <c r="F37" i="46"/>
  <c r="D30" i="33" l="1"/>
  <c r="D31" i="33" l="1"/>
  <c r="D32" i="33" l="1"/>
  <c r="P46" i="16"/>
  <c r="D33" i="33" l="1"/>
  <c r="D34" i="33" l="1"/>
  <c r="B9" i="1"/>
  <c r="D35" i="33" l="1"/>
  <c r="A25" i="16" l="1"/>
  <c r="A24" i="16"/>
  <c r="A26" i="16"/>
  <c r="A35" i="16"/>
  <c r="R41" i="16"/>
  <c r="D36" i="33"/>
  <c r="F39" i="16"/>
  <c r="X42" i="16" l="1"/>
  <c r="X46" i="16"/>
  <c r="X43" i="16"/>
  <c r="X44" i="16"/>
  <c r="X41" i="16"/>
  <c r="X45" i="16"/>
  <c r="D42" i="16"/>
  <c r="J42" i="16" s="1"/>
  <c r="D46" i="16"/>
  <c r="J46" i="16" s="1"/>
  <c r="D41" i="16"/>
  <c r="D37" i="33"/>
  <c r="F20" i="16"/>
  <c r="J24" i="16" s="1"/>
  <c r="J41" i="16" l="1"/>
  <c r="H41" i="16"/>
  <c r="F42" i="16"/>
  <c r="F41" i="16"/>
  <c r="D38" i="33"/>
  <c r="E42" i="16"/>
  <c r="E41" i="16"/>
  <c r="L41" i="16" l="1"/>
  <c r="K41" i="16"/>
  <c r="D39" i="33"/>
  <c r="H19" i="2"/>
  <c r="D40" i="33" l="1"/>
  <c r="B22" i="27"/>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D41" i="33" l="1"/>
  <c r="G52" i="27"/>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D42" i="33" l="1"/>
  <c r="H31" i="1"/>
  <c r="B26" i="1"/>
  <c r="D43" i="33" l="1"/>
  <c r="E41" i="17"/>
  <c r="E43" i="17"/>
  <c r="E42" i="17"/>
  <c r="D44" i="33" l="1"/>
  <c r="B11" i="40"/>
  <c r="C1" i="43"/>
  <c r="D45" i="33" l="1"/>
  <c r="D46" i="33" l="1"/>
  <c r="E40" i="17"/>
  <c r="D47" i="33" l="1"/>
  <c r="D48" i="33" l="1"/>
  <c r="E39" i="17"/>
  <c r="E38" i="17"/>
  <c r="B9" i="40"/>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N30" i="16"/>
  <c r="N31" i="16"/>
  <c r="D19" i="40"/>
  <c r="C19" i="40"/>
  <c r="B1" i="40"/>
  <c r="B1" i="39"/>
  <c r="B1" i="33"/>
  <c r="C14" i="31"/>
  <c r="F18" i="31" s="1"/>
  <c r="I3" i="31"/>
  <c r="F12" i="31" s="1"/>
  <c r="F14" i="31" s="1"/>
  <c r="F2" i="31"/>
  <c r="F3" i="31" s="1"/>
  <c r="C8" i="31"/>
  <c r="B4" i="2"/>
  <c r="B3" i="2"/>
  <c r="C3" i="50" s="1"/>
  <c r="B6" i="2"/>
  <c r="H10" i="17"/>
  <c r="B21" i="27"/>
  <c r="B1" i="27"/>
  <c r="C1" i="25"/>
  <c r="H26" i="1"/>
  <c r="D1" i="21"/>
  <c r="J19" i="21"/>
  <c r="Q17" i="16"/>
  <c r="B1" i="16"/>
  <c r="B2" i="2"/>
  <c r="N29" i="16"/>
  <c r="N28" i="16"/>
  <c r="N27" i="16"/>
  <c r="O1828" i="16" l="1"/>
  <c r="O1825" i="16"/>
  <c r="O1829" i="16"/>
  <c r="O594" i="16"/>
  <c r="O1826" i="16"/>
  <c r="O1830" i="16"/>
  <c r="O1827" i="16"/>
  <c r="O534" i="16"/>
  <c r="O654" i="16"/>
  <c r="F671" i="16" s="1"/>
  <c r="O1856" i="16"/>
  <c r="O895" i="16"/>
  <c r="O896" i="16"/>
  <c r="O655" i="16"/>
  <c r="F672" i="16" s="1"/>
  <c r="O1496" i="16"/>
  <c r="O1495" i="16"/>
  <c r="O2065" i="16"/>
  <c r="O834" i="16"/>
  <c r="O835" i="16"/>
  <c r="F852" i="16" s="1"/>
  <c r="O2702" i="16"/>
  <c r="O2697" i="16"/>
  <c r="O2700" i="16"/>
  <c r="O2703" i="16"/>
  <c r="O2695" i="16"/>
  <c r="O2698" i="16"/>
  <c r="O2701" i="16"/>
  <c r="O2704" i="16"/>
  <c r="O2696" i="16"/>
  <c r="O2699" i="16"/>
  <c r="O2672" i="16"/>
  <c r="O2667" i="16"/>
  <c r="O2670" i="16"/>
  <c r="O2673" i="16"/>
  <c r="O2665" i="16"/>
  <c r="O2668" i="16"/>
  <c r="O2671" i="16"/>
  <c r="O2674" i="16"/>
  <c r="O2666" i="16"/>
  <c r="O2669" i="16"/>
  <c r="O2642" i="16"/>
  <c r="O2639" i="16"/>
  <c r="O2637" i="16"/>
  <c r="O2636" i="16"/>
  <c r="O2640" i="16"/>
  <c r="O2643" i="16"/>
  <c r="O2635" i="16"/>
  <c r="O2638" i="16"/>
  <c r="O2644" i="16"/>
  <c r="O2641" i="16"/>
  <c r="O2612" i="16"/>
  <c r="O2607" i="16"/>
  <c r="O2610" i="16"/>
  <c r="O2613" i="16"/>
  <c r="O2605" i="16"/>
  <c r="O2608" i="16"/>
  <c r="O2611" i="16"/>
  <c r="O2614" i="16"/>
  <c r="O2606" i="16"/>
  <c r="F2623" i="16" s="1"/>
  <c r="O2609" i="16"/>
  <c r="O2582" i="16"/>
  <c r="O2576" i="16"/>
  <c r="O2577" i="16"/>
  <c r="O2584" i="16"/>
  <c r="O2580" i="16"/>
  <c r="O2583" i="16"/>
  <c r="O2575" i="16"/>
  <c r="O2578" i="16"/>
  <c r="O2579" i="16"/>
  <c r="O2581" i="16"/>
  <c r="O2552" i="16"/>
  <c r="O2547" i="16"/>
  <c r="O2550" i="16"/>
  <c r="O2553" i="16"/>
  <c r="O2545" i="16"/>
  <c r="O2548" i="16"/>
  <c r="O2551" i="16"/>
  <c r="O2554" i="16"/>
  <c r="O2546" i="16"/>
  <c r="O2549" i="16"/>
  <c r="O2522" i="16"/>
  <c r="O2517" i="16"/>
  <c r="O2520" i="16"/>
  <c r="O2523" i="16"/>
  <c r="O2515" i="16"/>
  <c r="O2518" i="16"/>
  <c r="O2521" i="16"/>
  <c r="O2524" i="16"/>
  <c r="O2516" i="16"/>
  <c r="O2519" i="16"/>
  <c r="O2492" i="16"/>
  <c r="O2491" i="16"/>
  <c r="O2487" i="16"/>
  <c r="O2494" i="16"/>
  <c r="O2486" i="16"/>
  <c r="O2490" i="16"/>
  <c r="O2489" i="16"/>
  <c r="O2493" i="16"/>
  <c r="O2485" i="16"/>
  <c r="O2502" i="16" s="1"/>
  <c r="O2488" i="16"/>
  <c r="O2462" i="16"/>
  <c r="O2457" i="16"/>
  <c r="O2460" i="16"/>
  <c r="O2463" i="16"/>
  <c r="O2455" i="16"/>
  <c r="O2458" i="16"/>
  <c r="O2461" i="16"/>
  <c r="O2464" i="16"/>
  <c r="O2456" i="16"/>
  <c r="O2459" i="16"/>
  <c r="O2432" i="16"/>
  <c r="O2427" i="16"/>
  <c r="O2430" i="16"/>
  <c r="O2433" i="16"/>
  <c r="O2425" i="16"/>
  <c r="O2428" i="16"/>
  <c r="O2431" i="16"/>
  <c r="O2434" i="16"/>
  <c r="O2426" i="16"/>
  <c r="F2443" i="16" s="1"/>
  <c r="O2429" i="16"/>
  <c r="O2402" i="16"/>
  <c r="O2397" i="16"/>
  <c r="O2400" i="16"/>
  <c r="O2403" i="16"/>
  <c r="O2395" i="16"/>
  <c r="O2398" i="16"/>
  <c r="O2401" i="16"/>
  <c r="O2404" i="16"/>
  <c r="O2396" i="16"/>
  <c r="O2399" i="16"/>
  <c r="O2372" i="16"/>
  <c r="O2367" i="16"/>
  <c r="O2370" i="16"/>
  <c r="O2373" i="16"/>
  <c r="O2365" i="16"/>
  <c r="O2368" i="16"/>
  <c r="O2371" i="16"/>
  <c r="O2374" i="16"/>
  <c r="O2366" i="16"/>
  <c r="F2382" i="16" s="1"/>
  <c r="O2369" i="16"/>
  <c r="O2342" i="16"/>
  <c r="O2337" i="16"/>
  <c r="O2340" i="16"/>
  <c r="O2344" i="16"/>
  <c r="O2339" i="16"/>
  <c r="O2343" i="16"/>
  <c r="O2335" i="16"/>
  <c r="O2336" i="16"/>
  <c r="O2338" i="16"/>
  <c r="O2341" i="16"/>
  <c r="O2312" i="16"/>
  <c r="O2307" i="16"/>
  <c r="O2310" i="16"/>
  <c r="O2313" i="16"/>
  <c r="O2305" i="16"/>
  <c r="F2323" i="16" s="1"/>
  <c r="O2308" i="16"/>
  <c r="O2311" i="16"/>
  <c r="O2314" i="16"/>
  <c r="O2306" i="16"/>
  <c r="O2309" i="16"/>
  <c r="O2282" i="16"/>
  <c r="O2277" i="16"/>
  <c r="O2280" i="16"/>
  <c r="O2283" i="16"/>
  <c r="O2275" i="16"/>
  <c r="O2278" i="16"/>
  <c r="O2281" i="16"/>
  <c r="O2284" i="16"/>
  <c r="O2276" i="16"/>
  <c r="O2279" i="16"/>
  <c r="O2252" i="16"/>
  <c r="O2247" i="16"/>
  <c r="O2250" i="16"/>
  <c r="O2253" i="16"/>
  <c r="O2245" i="16"/>
  <c r="O2248" i="16"/>
  <c r="O2251" i="16"/>
  <c r="O2254" i="16"/>
  <c r="O2246" i="16"/>
  <c r="O2249" i="16"/>
  <c r="O2222" i="16"/>
  <c r="O2217" i="16"/>
  <c r="O2220" i="16"/>
  <c r="O2223" i="16"/>
  <c r="O2215" i="16"/>
  <c r="O2218" i="16"/>
  <c r="O2221" i="16"/>
  <c r="O2224" i="16"/>
  <c r="O2216" i="16"/>
  <c r="O2219" i="16"/>
  <c r="O2192" i="16"/>
  <c r="O2187" i="16"/>
  <c r="O2190" i="16"/>
  <c r="O2193" i="16"/>
  <c r="O2185" i="16"/>
  <c r="O2188" i="16"/>
  <c r="O2191" i="16"/>
  <c r="O2194" i="16"/>
  <c r="O2186" i="16"/>
  <c r="O2189" i="16"/>
  <c r="O2162" i="16"/>
  <c r="O2157" i="16"/>
  <c r="O2160" i="16"/>
  <c r="O2163" i="16"/>
  <c r="O2155" i="16"/>
  <c r="O2158" i="16"/>
  <c r="O2161" i="16"/>
  <c r="O2164" i="16"/>
  <c r="O2156" i="16"/>
  <c r="O2159" i="16"/>
  <c r="O2132" i="16"/>
  <c r="O2127" i="16"/>
  <c r="O2130" i="16"/>
  <c r="O2133" i="16"/>
  <c r="O2125" i="16"/>
  <c r="O2128" i="16"/>
  <c r="O2131" i="16"/>
  <c r="O2134" i="16"/>
  <c r="O2126" i="16"/>
  <c r="O2129" i="16"/>
  <c r="O2102" i="16"/>
  <c r="O2097" i="16"/>
  <c r="O2100" i="16"/>
  <c r="O2103" i="16"/>
  <c r="O2095" i="16"/>
  <c r="O2101" i="16"/>
  <c r="O2098" i="16"/>
  <c r="F2113" i="16" s="1"/>
  <c r="O2104" i="16"/>
  <c r="O2096" i="16"/>
  <c r="O2099" i="16"/>
  <c r="O2072" i="16"/>
  <c r="O2074" i="16"/>
  <c r="O2067" i="16"/>
  <c r="O2066" i="16"/>
  <c r="O2070" i="16"/>
  <c r="O2073" i="16"/>
  <c r="O2068" i="16"/>
  <c r="O2069" i="16"/>
  <c r="O2071" i="16"/>
  <c r="O2042" i="16"/>
  <c r="O2037" i="16"/>
  <c r="O2040" i="16"/>
  <c r="O2043" i="16"/>
  <c r="O2035" i="16"/>
  <c r="O2038" i="16"/>
  <c r="O2041" i="16"/>
  <c r="O2044" i="16"/>
  <c r="O2036" i="16"/>
  <c r="O2039" i="16"/>
  <c r="O2012" i="16"/>
  <c r="O2007" i="16"/>
  <c r="O2010" i="16"/>
  <c r="O2013" i="16"/>
  <c r="O2005" i="16"/>
  <c r="O2008" i="16"/>
  <c r="O2011" i="16"/>
  <c r="O2014" i="16"/>
  <c r="O2006" i="16"/>
  <c r="S2021" i="16" s="1"/>
  <c r="O2009" i="16"/>
  <c r="O1982" i="16"/>
  <c r="O1977" i="16"/>
  <c r="O1980" i="16"/>
  <c r="O1983" i="16"/>
  <c r="O1975" i="16"/>
  <c r="O1978" i="16"/>
  <c r="O1981" i="16"/>
  <c r="O1984" i="16"/>
  <c r="O1976" i="16"/>
  <c r="O1979" i="16"/>
  <c r="O1952" i="16"/>
  <c r="O1947" i="16"/>
  <c r="O1950" i="16"/>
  <c r="O1953" i="16"/>
  <c r="O1945" i="16"/>
  <c r="O1951" i="16"/>
  <c r="O1948" i="16"/>
  <c r="O1954" i="16"/>
  <c r="O1946" i="16"/>
  <c r="S1961" i="16" s="1"/>
  <c r="O1949" i="16"/>
  <c r="O1922" i="16"/>
  <c r="O1920" i="16"/>
  <c r="O1917" i="16"/>
  <c r="O1923" i="16"/>
  <c r="O1915" i="16"/>
  <c r="O1916" i="16"/>
  <c r="O1918" i="16"/>
  <c r="O1924" i="16"/>
  <c r="O1919" i="16"/>
  <c r="O1921" i="16"/>
  <c r="O1892" i="16"/>
  <c r="O1886" i="16"/>
  <c r="O1887" i="16"/>
  <c r="O1894" i="16"/>
  <c r="O1890" i="16"/>
  <c r="O1891" i="16"/>
  <c r="O1893" i="16"/>
  <c r="O1885" i="16"/>
  <c r="O1888" i="16"/>
  <c r="O1889" i="16"/>
  <c r="O1862" i="16"/>
  <c r="F1873" i="16"/>
  <c r="O1860" i="16"/>
  <c r="O1863" i="16"/>
  <c r="O1855" i="16"/>
  <c r="O1858" i="16"/>
  <c r="O1864" i="16"/>
  <c r="O1861" i="16"/>
  <c r="O1859" i="16"/>
  <c r="O1832" i="16"/>
  <c r="O1833" i="16"/>
  <c r="O1831" i="16"/>
  <c r="O1834" i="16"/>
  <c r="O1802" i="16"/>
  <c r="O1797" i="16"/>
  <c r="O1800" i="16"/>
  <c r="O1801" i="16"/>
  <c r="O1803" i="16"/>
  <c r="O1795" i="16"/>
  <c r="O1798" i="16"/>
  <c r="O1804" i="16"/>
  <c r="O1796" i="16"/>
  <c r="O1799" i="16"/>
  <c r="O1772" i="16"/>
  <c r="O1767" i="16"/>
  <c r="O1770" i="16"/>
  <c r="O1773" i="16"/>
  <c r="O1765" i="16"/>
  <c r="O1766" i="16"/>
  <c r="O1768" i="16"/>
  <c r="O1771" i="16"/>
  <c r="O1774" i="16"/>
  <c r="O1769" i="16"/>
  <c r="O1742" i="16"/>
  <c r="O1737" i="16"/>
  <c r="O1740" i="16"/>
  <c r="O1743" i="16"/>
  <c r="O1735" i="16"/>
  <c r="O1741" i="16"/>
  <c r="O1738" i="16"/>
  <c r="O1744" i="16"/>
  <c r="O1736" i="16"/>
  <c r="O1739" i="16"/>
  <c r="O1712" i="16"/>
  <c r="O1707" i="16"/>
  <c r="O1710" i="16"/>
  <c r="O1713" i="16"/>
  <c r="O1705" i="16"/>
  <c r="O1708" i="16"/>
  <c r="O1711" i="16"/>
  <c r="O1714" i="16"/>
  <c r="O1706" i="16"/>
  <c r="O1709" i="16"/>
  <c r="O1682" i="16"/>
  <c r="O1677" i="16"/>
  <c r="F1693" i="16" s="1"/>
  <c r="O1680" i="16"/>
  <c r="O1683" i="16"/>
  <c r="O1675" i="16"/>
  <c r="O1678" i="16"/>
  <c r="O1681" i="16"/>
  <c r="O1684" i="16"/>
  <c r="O1676" i="16"/>
  <c r="O1679" i="16"/>
  <c r="O1652" i="16"/>
  <c r="O1647" i="16"/>
  <c r="O1650" i="16"/>
  <c r="O1651" i="16"/>
  <c r="O1653" i="16"/>
  <c r="O1645" i="16"/>
  <c r="O1648" i="16"/>
  <c r="O1654" i="16"/>
  <c r="O1646" i="16"/>
  <c r="O1649" i="16"/>
  <c r="O1622" i="16"/>
  <c r="O1617" i="16"/>
  <c r="O1620" i="16"/>
  <c r="O1623" i="16"/>
  <c r="O1615" i="16"/>
  <c r="O1618" i="16"/>
  <c r="O1621" i="16"/>
  <c r="O1624" i="16"/>
  <c r="O1616" i="16"/>
  <c r="O1619" i="16"/>
  <c r="O1592" i="16"/>
  <c r="O1587" i="16"/>
  <c r="O1590" i="16"/>
  <c r="O1591" i="16"/>
  <c r="O1593" i="16"/>
  <c r="O1585" i="16"/>
  <c r="O1588" i="16"/>
  <c r="O1594" i="16"/>
  <c r="O1586" i="16"/>
  <c r="O1589" i="16"/>
  <c r="O1562" i="16"/>
  <c r="O1559" i="16"/>
  <c r="O1557" i="16"/>
  <c r="O1561" i="16"/>
  <c r="O1556" i="16"/>
  <c r="O1560" i="16"/>
  <c r="O1563" i="16"/>
  <c r="O1555" i="16"/>
  <c r="O1564" i="16"/>
  <c r="O1558" i="16"/>
  <c r="O1532" i="16"/>
  <c r="O1527" i="16"/>
  <c r="O1531" i="16"/>
  <c r="O1530" i="16"/>
  <c r="O1533" i="16"/>
  <c r="O1525" i="16"/>
  <c r="O1528" i="16"/>
  <c r="O1534" i="16"/>
  <c r="O1526" i="16"/>
  <c r="O1529" i="16"/>
  <c r="O1502" i="16"/>
  <c r="O1497" i="16"/>
  <c r="O1500" i="16"/>
  <c r="O1503" i="16"/>
  <c r="O1498" i="16"/>
  <c r="O1501" i="16"/>
  <c r="O1504" i="16"/>
  <c r="O1499" i="16"/>
  <c r="O1472" i="16"/>
  <c r="O1467" i="16"/>
  <c r="O1470" i="16"/>
  <c r="O1471" i="16"/>
  <c r="O1473" i="16"/>
  <c r="O1465" i="16"/>
  <c r="O1468" i="16"/>
  <c r="O1474" i="16"/>
  <c r="O1466" i="16"/>
  <c r="O1469" i="16"/>
  <c r="O1442" i="16"/>
  <c r="O1444" i="16"/>
  <c r="O1436" i="16"/>
  <c r="O1437" i="16"/>
  <c r="O1440" i="16"/>
  <c r="O1443" i="16"/>
  <c r="O1435" i="16"/>
  <c r="O1441" i="16"/>
  <c r="O1438" i="16"/>
  <c r="O1439" i="16"/>
  <c r="O1412" i="16"/>
  <c r="O1407" i="16"/>
  <c r="O1410" i="16"/>
  <c r="O1413" i="16"/>
  <c r="O1405" i="16"/>
  <c r="O1408" i="16"/>
  <c r="O1414" i="16"/>
  <c r="O1406" i="16"/>
  <c r="O1409" i="16"/>
  <c r="O1411" i="16"/>
  <c r="O1382" i="16"/>
  <c r="O1377" i="16"/>
  <c r="O1380" i="16"/>
  <c r="O1383" i="16"/>
  <c r="O1375" i="16"/>
  <c r="O1378" i="16"/>
  <c r="O1381" i="16"/>
  <c r="O1384" i="16"/>
  <c r="O1376" i="16"/>
  <c r="O1379" i="16"/>
  <c r="O1352" i="16"/>
  <c r="O1347" i="16"/>
  <c r="O1350" i="16"/>
  <c r="O1353" i="16"/>
  <c r="O1345" i="16"/>
  <c r="O1348" i="16"/>
  <c r="O1351" i="16"/>
  <c r="O1354" i="16"/>
  <c r="O1346" i="16"/>
  <c r="O1349" i="16"/>
  <c r="O1322" i="16"/>
  <c r="O1317" i="16"/>
  <c r="O1320" i="16"/>
  <c r="O1323" i="16"/>
  <c r="O1315" i="16"/>
  <c r="O1324" i="16"/>
  <c r="O1318" i="16"/>
  <c r="O1319" i="16"/>
  <c r="O1321" i="16"/>
  <c r="O1316" i="16"/>
  <c r="F1333" i="16" s="1"/>
  <c r="O1292" i="16"/>
  <c r="O1287" i="16"/>
  <c r="O1290" i="16"/>
  <c r="O1293" i="16"/>
  <c r="O1285" i="16"/>
  <c r="O1291" i="16"/>
  <c r="O1288" i="16"/>
  <c r="O1294" i="16"/>
  <c r="O1286" i="16"/>
  <c r="O1289" i="16"/>
  <c r="O1262" i="16"/>
  <c r="O1257" i="16"/>
  <c r="O1260" i="16"/>
  <c r="O1263" i="16"/>
  <c r="O1255" i="16"/>
  <c r="O1258" i="16"/>
  <c r="O1264" i="16"/>
  <c r="O1256" i="16"/>
  <c r="O1259" i="16"/>
  <c r="O1261" i="16"/>
  <c r="O1232" i="16"/>
  <c r="O1229" i="16"/>
  <c r="O1227" i="16"/>
  <c r="O1231" i="16"/>
  <c r="O1234" i="16"/>
  <c r="O1230" i="16"/>
  <c r="O1226" i="16"/>
  <c r="O1233" i="16"/>
  <c r="O1225" i="16"/>
  <c r="O1228" i="16"/>
  <c r="O1202" i="16"/>
  <c r="O1197" i="16"/>
  <c r="O1200" i="16"/>
  <c r="O1203" i="16"/>
  <c r="O1195" i="16"/>
  <c r="O1198" i="16"/>
  <c r="O1201" i="16"/>
  <c r="O1204" i="16"/>
  <c r="O1196" i="16"/>
  <c r="O1199" i="16"/>
  <c r="O1172" i="16"/>
  <c r="O1167" i="16"/>
  <c r="O1171" i="16"/>
  <c r="O1170" i="16"/>
  <c r="O1173" i="16"/>
  <c r="O1165" i="16"/>
  <c r="O1168" i="16"/>
  <c r="F1182" i="16" s="1"/>
  <c r="O1174" i="16"/>
  <c r="O1166" i="16"/>
  <c r="O1169" i="16"/>
  <c r="O1142" i="16"/>
  <c r="O1137" i="16"/>
  <c r="O1140" i="16"/>
  <c r="O1143" i="16"/>
  <c r="O1135" i="16"/>
  <c r="O1138" i="16"/>
  <c r="O1141" i="16"/>
  <c r="O1144" i="16"/>
  <c r="O1136" i="16"/>
  <c r="F1152" i="16" s="1"/>
  <c r="O1139" i="16"/>
  <c r="O1112" i="16"/>
  <c r="O1107" i="16"/>
  <c r="O1110" i="16"/>
  <c r="O1113" i="16"/>
  <c r="O1105" i="16"/>
  <c r="O1108" i="16"/>
  <c r="O1114" i="16"/>
  <c r="O1106" i="16"/>
  <c r="O1109" i="16"/>
  <c r="O1111" i="16"/>
  <c r="O1082" i="16"/>
  <c r="O1077" i="16"/>
  <c r="O1080" i="16"/>
  <c r="O1083" i="16"/>
  <c r="O1075" i="16"/>
  <c r="O1078" i="16"/>
  <c r="O1081" i="16"/>
  <c r="O1084" i="16"/>
  <c r="O1076" i="16"/>
  <c r="O1079" i="16"/>
  <c r="O1052" i="16"/>
  <c r="O1047" i="16"/>
  <c r="O1050" i="16"/>
  <c r="O1053" i="16"/>
  <c r="O1045" i="16"/>
  <c r="O1048" i="16"/>
  <c r="O1051" i="16"/>
  <c r="O1054" i="16"/>
  <c r="O1046" i="16"/>
  <c r="O1049" i="16"/>
  <c r="O1022" i="16"/>
  <c r="O1024" i="16"/>
  <c r="O1017" i="16"/>
  <c r="O1021" i="16"/>
  <c r="O1020" i="16"/>
  <c r="O1023" i="16"/>
  <c r="O1015" i="16"/>
  <c r="O1016" i="16"/>
  <c r="O1018" i="16"/>
  <c r="O1019" i="16"/>
  <c r="O992" i="16"/>
  <c r="O991" i="16"/>
  <c r="O989" i="16"/>
  <c r="O987" i="16"/>
  <c r="O994" i="16"/>
  <c r="O986" i="16"/>
  <c r="F1002" i="16" s="1"/>
  <c r="O990" i="16"/>
  <c r="O993" i="16"/>
  <c r="O985" i="16"/>
  <c r="O1002" i="16" s="1"/>
  <c r="O988" i="16"/>
  <c r="O962" i="16"/>
  <c r="O956" i="16"/>
  <c r="O957" i="16"/>
  <c r="O960" i="16"/>
  <c r="O961" i="16"/>
  <c r="O963" i="16"/>
  <c r="O955" i="16"/>
  <c r="O959" i="16"/>
  <c r="O958" i="16"/>
  <c r="O964" i="16"/>
  <c r="O932" i="16"/>
  <c r="O934" i="16"/>
  <c r="O927" i="16"/>
  <c r="O930" i="16"/>
  <c r="O929" i="16"/>
  <c r="O933" i="16"/>
  <c r="O925" i="16"/>
  <c r="O928" i="16"/>
  <c r="O931" i="16"/>
  <c r="O926" i="16"/>
  <c r="O902" i="16"/>
  <c r="O900" i="16"/>
  <c r="O903" i="16"/>
  <c r="O894" i="16"/>
  <c r="O898" i="16"/>
  <c r="O904" i="16"/>
  <c r="O899" i="16"/>
  <c r="O901" i="16"/>
  <c r="O871" i="16"/>
  <c r="O866" i="16"/>
  <c r="O869" i="16"/>
  <c r="O865" i="16"/>
  <c r="O872" i="16"/>
  <c r="O864" i="16"/>
  <c r="O868" i="16"/>
  <c r="O867" i="16"/>
  <c r="O870" i="16"/>
  <c r="O873" i="16"/>
  <c r="O841" i="16"/>
  <c r="O836" i="16"/>
  <c r="O838" i="16"/>
  <c r="O839" i="16"/>
  <c r="O842" i="16"/>
  <c r="O840" i="16"/>
  <c r="O843" i="16"/>
  <c r="O837" i="16"/>
  <c r="O811" i="16"/>
  <c r="O806" i="16"/>
  <c r="O809" i="16"/>
  <c r="O812" i="16"/>
  <c r="O804" i="16"/>
  <c r="O807" i="16"/>
  <c r="O813" i="16"/>
  <c r="O805" i="16"/>
  <c r="O810" i="16"/>
  <c r="O808" i="16"/>
  <c r="O781" i="16"/>
  <c r="O780" i="16"/>
  <c r="O776" i="16"/>
  <c r="O779" i="16"/>
  <c r="O782" i="16"/>
  <c r="O774" i="16"/>
  <c r="O777" i="16"/>
  <c r="O783" i="16"/>
  <c r="O775" i="16"/>
  <c r="O778" i="16"/>
  <c r="O751" i="16"/>
  <c r="O746" i="16"/>
  <c r="O750" i="16"/>
  <c r="O749" i="16"/>
  <c r="F762" i="16" s="1"/>
  <c r="O752" i="16"/>
  <c r="O744" i="16"/>
  <c r="O747" i="16"/>
  <c r="O753" i="16"/>
  <c r="O745" i="16"/>
  <c r="O748" i="16"/>
  <c r="O721" i="16"/>
  <c r="O716" i="16"/>
  <c r="O719" i="16"/>
  <c r="O722" i="16"/>
  <c r="O714" i="16"/>
  <c r="O720" i="16"/>
  <c r="O717" i="16"/>
  <c r="O723" i="16"/>
  <c r="O715" i="16"/>
  <c r="O718" i="16"/>
  <c r="O691" i="16"/>
  <c r="O686" i="16"/>
  <c r="O689" i="16"/>
  <c r="O690" i="16"/>
  <c r="O693" i="16"/>
  <c r="O685" i="16"/>
  <c r="O692" i="16"/>
  <c r="O684" i="16"/>
  <c r="O688" i="16"/>
  <c r="O687" i="16"/>
  <c r="O661" i="16"/>
  <c r="O656" i="16"/>
  <c r="O660" i="16"/>
  <c r="O659" i="16"/>
  <c r="O662" i="16"/>
  <c r="O657" i="16"/>
  <c r="O663" i="16"/>
  <c r="O658" i="16"/>
  <c r="O631" i="16"/>
  <c r="O633" i="16"/>
  <c r="O625" i="16"/>
  <c r="O626" i="16"/>
  <c r="O629" i="16"/>
  <c r="O632" i="16"/>
  <c r="O624" i="16"/>
  <c r="O628" i="16"/>
  <c r="O627" i="16"/>
  <c r="O630" i="16"/>
  <c r="O601" i="16"/>
  <c r="O596" i="16"/>
  <c r="O598" i="16"/>
  <c r="O599" i="16"/>
  <c r="O595" i="16"/>
  <c r="S610" i="16" s="1"/>
  <c r="O602" i="16"/>
  <c r="O600" i="16"/>
  <c r="O603" i="16"/>
  <c r="O597" i="16"/>
  <c r="O571" i="16"/>
  <c r="O566" i="16"/>
  <c r="O570" i="16"/>
  <c r="O569" i="16"/>
  <c r="O572" i="16"/>
  <c r="O564" i="16"/>
  <c r="O567" i="16"/>
  <c r="O573" i="16"/>
  <c r="O565" i="16"/>
  <c r="O568" i="16"/>
  <c r="O541" i="16"/>
  <c r="O536" i="16"/>
  <c r="O543" i="16"/>
  <c r="O535" i="16"/>
  <c r="O539" i="16"/>
  <c r="O542" i="16"/>
  <c r="O537" i="16"/>
  <c r="O540" i="16"/>
  <c r="O538" i="16"/>
  <c r="O511" i="16"/>
  <c r="O509" i="16"/>
  <c r="O508" i="16"/>
  <c r="O506" i="16"/>
  <c r="O512" i="16"/>
  <c r="O504" i="16"/>
  <c r="O505" i="16"/>
  <c r="O513" i="16"/>
  <c r="O507" i="16"/>
  <c r="O510" i="16"/>
  <c r="O481" i="16"/>
  <c r="O476" i="16"/>
  <c r="F492" i="16" s="1"/>
  <c r="O479" i="16"/>
  <c r="O480" i="16"/>
  <c r="O482" i="16"/>
  <c r="O474" i="16"/>
  <c r="O477" i="16"/>
  <c r="F491" i="16" s="1"/>
  <c r="O483" i="16"/>
  <c r="O475" i="16"/>
  <c r="O478" i="16"/>
  <c r="O451" i="16"/>
  <c r="O446" i="16"/>
  <c r="O449" i="16"/>
  <c r="O452" i="16"/>
  <c r="O444" i="16"/>
  <c r="O447" i="16"/>
  <c r="O450" i="16"/>
  <c r="O453" i="16"/>
  <c r="O445" i="16"/>
  <c r="O448" i="16"/>
  <c r="O421" i="16"/>
  <c r="O416" i="16"/>
  <c r="F431" i="16" s="1"/>
  <c r="O419" i="16"/>
  <c r="O422" i="16"/>
  <c r="O414" i="16"/>
  <c r="O417" i="16"/>
  <c r="O423" i="16"/>
  <c r="O415" i="16"/>
  <c r="O420" i="16"/>
  <c r="O418" i="16"/>
  <c r="O391" i="16"/>
  <c r="O386" i="16"/>
  <c r="O389" i="16"/>
  <c r="O392" i="16"/>
  <c r="O384" i="16"/>
  <c r="O387" i="16"/>
  <c r="O393" i="16"/>
  <c r="O385" i="16"/>
  <c r="O388" i="16"/>
  <c r="O390" i="16"/>
  <c r="O361" i="16"/>
  <c r="O356" i="16"/>
  <c r="O363" i="16"/>
  <c r="O358" i="16"/>
  <c r="O359" i="16"/>
  <c r="O360" i="16"/>
  <c r="O362" i="16"/>
  <c r="O354" i="16"/>
  <c r="O355" i="16"/>
  <c r="O357" i="16"/>
  <c r="O331" i="16"/>
  <c r="O329" i="16"/>
  <c r="O332" i="16"/>
  <c r="O324" i="16"/>
  <c r="O327" i="16"/>
  <c r="O330" i="16"/>
  <c r="O326" i="16"/>
  <c r="O333" i="16"/>
  <c r="O325" i="16"/>
  <c r="O328" i="16"/>
  <c r="O301" i="16"/>
  <c r="O296" i="16"/>
  <c r="O300" i="16"/>
  <c r="O299" i="16"/>
  <c r="O302" i="16"/>
  <c r="O294" i="16"/>
  <c r="O297" i="16"/>
  <c r="O303" i="16"/>
  <c r="O295" i="16"/>
  <c r="O298" i="16"/>
  <c r="O271" i="16"/>
  <c r="O266" i="16"/>
  <c r="O269" i="16"/>
  <c r="O272" i="16"/>
  <c r="O264" i="16"/>
  <c r="O267" i="16"/>
  <c r="O273" i="16"/>
  <c r="O265" i="16"/>
  <c r="O270" i="16"/>
  <c r="O268" i="16"/>
  <c r="O241" i="16"/>
  <c r="O236" i="16"/>
  <c r="O239" i="16"/>
  <c r="O242" i="16"/>
  <c r="O234" i="16"/>
  <c r="O237" i="16"/>
  <c r="O240" i="16"/>
  <c r="O243" i="16"/>
  <c r="O235" i="16"/>
  <c r="S250" i="16" s="1"/>
  <c r="O238" i="16"/>
  <c r="O211" i="16"/>
  <c r="O209" i="16"/>
  <c r="O213" i="16"/>
  <c r="O206" i="16"/>
  <c r="O212" i="16"/>
  <c r="O204" i="16"/>
  <c r="O207" i="16"/>
  <c r="F222" i="16" s="1"/>
  <c r="O210" i="16"/>
  <c r="O205" i="16"/>
  <c r="O208" i="16"/>
  <c r="O181" i="16"/>
  <c r="O176" i="16"/>
  <c r="O179" i="16"/>
  <c r="O180" i="16"/>
  <c r="O182" i="16"/>
  <c r="O174" i="16"/>
  <c r="O177" i="16"/>
  <c r="O183" i="16"/>
  <c r="O175" i="16"/>
  <c r="O178" i="16"/>
  <c r="O151" i="16"/>
  <c r="O146" i="16"/>
  <c r="O149" i="16"/>
  <c r="O152" i="16"/>
  <c r="O144" i="16"/>
  <c r="O147" i="16"/>
  <c r="O153" i="16"/>
  <c r="O145" i="16"/>
  <c r="O148" i="16"/>
  <c r="O150" i="16"/>
  <c r="O121" i="16"/>
  <c r="O119" i="16"/>
  <c r="O114" i="16"/>
  <c r="O120" i="16"/>
  <c r="O123" i="16"/>
  <c r="O118" i="16"/>
  <c r="O116" i="16"/>
  <c r="O122" i="16"/>
  <c r="O117" i="16"/>
  <c r="O115" i="16"/>
  <c r="O91" i="16"/>
  <c r="O85" i="16"/>
  <c r="O86" i="16"/>
  <c r="O93" i="16"/>
  <c r="O89" i="16"/>
  <c r="O92" i="16"/>
  <c r="O84" i="16"/>
  <c r="O90" i="16"/>
  <c r="O87" i="16"/>
  <c r="O88" i="16"/>
  <c r="O24" i="16"/>
  <c r="O56" i="16"/>
  <c r="O60" i="16"/>
  <c r="O59" i="16"/>
  <c r="O54" i="16"/>
  <c r="O62" i="16"/>
  <c r="O57" i="16"/>
  <c r="O63" i="16"/>
  <c r="O55" i="16"/>
  <c r="O58" i="16"/>
  <c r="O61" i="16"/>
  <c r="C6" i="48"/>
  <c r="C6" i="50"/>
  <c r="C2" i="48"/>
  <c r="C2" i="50"/>
  <c r="I19" i="40"/>
  <c r="K5" i="42" s="1"/>
  <c r="K71" i="42"/>
  <c r="K87" i="42"/>
  <c r="K55" i="42"/>
  <c r="K23" i="42"/>
  <c r="K7" i="42"/>
  <c r="K39" i="42"/>
  <c r="K31" i="42"/>
  <c r="K94" i="42"/>
  <c r="K86" i="42"/>
  <c r="K61" i="42"/>
  <c r="G71" i="42"/>
  <c r="H63" i="42"/>
  <c r="F39" i="42"/>
  <c r="H31" i="42"/>
  <c r="F7" i="42"/>
  <c r="E86" i="42"/>
  <c r="H78" i="42"/>
  <c r="G46" i="42"/>
  <c r="G14" i="42"/>
  <c r="F85" i="42"/>
  <c r="K78" i="42"/>
  <c r="K70" i="42"/>
  <c r="K14" i="42"/>
  <c r="K6" i="42"/>
  <c r="K93" i="42"/>
  <c r="K62" i="42"/>
  <c r="K54" i="42"/>
  <c r="K46" i="42"/>
  <c r="G79" i="42"/>
  <c r="H71" i="42"/>
  <c r="F47" i="42"/>
  <c r="H39" i="42"/>
  <c r="F15" i="42"/>
  <c r="H7" i="42"/>
  <c r="H86" i="42"/>
  <c r="G54" i="42"/>
  <c r="K79" i="42"/>
  <c r="K85" i="42"/>
  <c r="K53" i="42"/>
  <c r="K37" i="42"/>
  <c r="K21" i="42"/>
  <c r="K47" i="42"/>
  <c r="K38" i="42"/>
  <c r="K15" i="42"/>
  <c r="K77" i="42"/>
  <c r="K69" i="42"/>
  <c r="K63" i="42"/>
  <c r="K22" i="42"/>
  <c r="K45" i="42"/>
  <c r="K29" i="42"/>
  <c r="K13" i="42"/>
  <c r="E71" i="42"/>
  <c r="G63" i="42"/>
  <c r="E39" i="42"/>
  <c r="G31" i="42"/>
  <c r="E7" i="42"/>
  <c r="G86" i="42"/>
  <c r="F78" i="42"/>
  <c r="H54" i="42"/>
  <c r="E46" i="42"/>
  <c r="F38" i="42"/>
  <c r="H22" i="42"/>
  <c r="E14" i="42"/>
  <c r="F6" i="42"/>
  <c r="E85" i="42"/>
  <c r="H77" i="42"/>
  <c r="E53" i="42"/>
  <c r="G37" i="42"/>
  <c r="E13" i="42"/>
  <c r="H79" i="42"/>
  <c r="F63" i="42"/>
  <c r="G47" i="42"/>
  <c r="F31" i="42"/>
  <c r="G15" i="42"/>
  <c r="H94" i="42"/>
  <c r="E78" i="42"/>
  <c r="H30" i="42"/>
  <c r="G22" i="42"/>
  <c r="F77" i="42"/>
  <c r="F53" i="42"/>
  <c r="E21" i="42"/>
  <c r="H13" i="42"/>
  <c r="H45" i="42"/>
  <c r="F61" i="42"/>
  <c r="E38" i="42"/>
  <c r="H47" i="42"/>
  <c r="H15" i="42"/>
  <c r="E94" i="42"/>
  <c r="E62" i="42"/>
  <c r="H46" i="42"/>
  <c r="F22" i="42"/>
  <c r="E6" i="42"/>
  <c r="G85" i="42"/>
  <c r="G53" i="42"/>
  <c r="F21" i="42"/>
  <c r="E93" i="42"/>
  <c r="G61" i="42"/>
  <c r="E87" i="42"/>
  <c r="F79" i="42"/>
  <c r="E55" i="42"/>
  <c r="E23" i="42"/>
  <c r="F94" i="42"/>
  <c r="G70" i="42"/>
  <c r="G62" i="42"/>
  <c r="E30" i="42"/>
  <c r="G6" i="42"/>
  <c r="G69" i="42"/>
  <c r="H53" i="42"/>
  <c r="E29" i="42"/>
  <c r="G21" i="42"/>
  <c r="F93" i="42"/>
  <c r="H61" i="42"/>
  <c r="G87" i="42"/>
  <c r="F55" i="42"/>
  <c r="F23" i="42"/>
  <c r="E70" i="42"/>
  <c r="F62" i="42"/>
  <c r="F46" i="42"/>
  <c r="G30" i="42"/>
  <c r="H14" i="42"/>
  <c r="H85" i="42"/>
  <c r="F29" i="42"/>
  <c r="H21" i="42"/>
  <c r="H93" i="42"/>
  <c r="F13" i="42"/>
  <c r="F87" i="42"/>
  <c r="G55" i="42"/>
  <c r="G39" i="42"/>
  <c r="G23" i="42"/>
  <c r="G7" i="42"/>
  <c r="F70" i="42"/>
  <c r="H38" i="42"/>
  <c r="F30" i="42"/>
  <c r="F69" i="42"/>
  <c r="G29" i="42"/>
  <c r="F86" i="42"/>
  <c r="E69" i="42"/>
  <c r="K30" i="42"/>
  <c r="H87" i="42"/>
  <c r="F71" i="42"/>
  <c r="H55" i="42"/>
  <c r="H23" i="42"/>
  <c r="H70" i="42"/>
  <c r="F14" i="42"/>
  <c r="G77" i="42"/>
  <c r="H69" i="42"/>
  <c r="E37" i="42"/>
  <c r="H29" i="42"/>
  <c r="E45" i="42"/>
  <c r="G94" i="42"/>
  <c r="F37" i="42"/>
  <c r="F45" i="42"/>
  <c r="E79" i="42"/>
  <c r="E63" i="42"/>
  <c r="E47" i="42"/>
  <c r="E31" i="42"/>
  <c r="E15" i="42"/>
  <c r="G78" i="42"/>
  <c r="H62" i="42"/>
  <c r="F54" i="42"/>
  <c r="G38" i="42"/>
  <c r="E22" i="42"/>
  <c r="H6" i="42"/>
  <c r="E77" i="42"/>
  <c r="H37" i="42"/>
  <c r="G13" i="42"/>
  <c r="G93" i="42"/>
  <c r="G45" i="42"/>
  <c r="E61" i="42"/>
  <c r="E54" i="42"/>
  <c r="K16" i="42"/>
  <c r="K34" i="42"/>
  <c r="K49" i="42"/>
  <c r="K75" i="42"/>
  <c r="K44" i="42"/>
  <c r="K90" i="42"/>
  <c r="K42" i="42"/>
  <c r="K80" i="42"/>
  <c r="K88" i="42"/>
  <c r="K26" i="42"/>
  <c r="K67" i="42"/>
  <c r="K65" i="42"/>
  <c r="K91" i="42"/>
  <c r="K40" i="42"/>
  <c r="K43" i="42"/>
  <c r="K17" i="42"/>
  <c r="K89" i="42"/>
  <c r="K84" i="42"/>
  <c r="K52" i="42"/>
  <c r="K73" i="42"/>
  <c r="K27" i="42"/>
  <c r="K68" i="42"/>
  <c r="K58" i="42"/>
  <c r="K12" i="42"/>
  <c r="K24" i="42"/>
  <c r="K33" i="42"/>
  <c r="K32" i="42"/>
  <c r="K19" i="42"/>
  <c r="K83" i="42"/>
  <c r="K60" i="42"/>
  <c r="K48" i="42"/>
  <c r="K66" i="42"/>
  <c r="K11" i="42"/>
  <c r="K9" i="42"/>
  <c r="K57" i="42"/>
  <c r="K8" i="42"/>
  <c r="K59" i="42"/>
  <c r="H57" i="42"/>
  <c r="H66" i="42"/>
  <c r="F75" i="42"/>
  <c r="G65" i="42"/>
  <c r="H10" i="42"/>
  <c r="F19" i="42"/>
  <c r="H83" i="42"/>
  <c r="E9" i="42"/>
  <c r="F18" i="42"/>
  <c r="G82" i="42"/>
  <c r="E32" i="42"/>
  <c r="G11" i="42"/>
  <c r="E75" i="42"/>
  <c r="E20" i="42"/>
  <c r="H84" i="42"/>
  <c r="F40" i="42"/>
  <c r="H28" i="42"/>
  <c r="E48" i="42"/>
  <c r="F9" i="42"/>
  <c r="G18" i="42"/>
  <c r="H91" i="42"/>
  <c r="G36" i="42"/>
  <c r="F56" i="42"/>
  <c r="E81" i="42"/>
  <c r="K76" i="42"/>
  <c r="K25" i="42"/>
  <c r="K64" i="42"/>
  <c r="K74" i="42"/>
  <c r="K41" i="42"/>
  <c r="K82" i="42"/>
  <c r="H75" i="42"/>
  <c r="G20" i="42"/>
  <c r="E84" i="42"/>
  <c r="H40" i="42"/>
  <c r="F74" i="42"/>
  <c r="F92" i="42"/>
  <c r="G9" i="42"/>
  <c r="E27" i="42"/>
  <c r="H36" i="42"/>
  <c r="H56" i="42"/>
  <c r="K50" i="42"/>
  <c r="K28" i="42"/>
  <c r="K72" i="42"/>
  <c r="K36" i="42"/>
  <c r="E66" i="42"/>
  <c r="F11" i="42"/>
  <c r="E65" i="42"/>
  <c r="H74" i="42"/>
  <c r="F83" i="42"/>
  <c r="E17" i="42"/>
  <c r="F26" i="42"/>
  <c r="G90" i="42"/>
  <c r="H35" i="42"/>
  <c r="F32" i="42"/>
  <c r="E11" i="42"/>
  <c r="H20" i="42"/>
  <c r="E40" i="42"/>
  <c r="F65" i="42"/>
  <c r="E10" i="42"/>
  <c r="G74" i="42"/>
  <c r="G19" i="42"/>
  <c r="E83" i="42"/>
  <c r="E28" i="42"/>
  <c r="G92" i="42"/>
  <c r="F48" i="42"/>
  <c r="E73" i="42"/>
  <c r="F82" i="42"/>
  <c r="K56" i="42"/>
  <c r="K18" i="42"/>
  <c r="K81" i="42"/>
  <c r="K35" i="42"/>
  <c r="K20" i="42"/>
  <c r="K10" i="42"/>
  <c r="K51" i="42"/>
  <c r="E57" i="42"/>
  <c r="G40" i="42"/>
  <c r="G83" i="42"/>
  <c r="H48" i="42"/>
  <c r="G73" i="42"/>
  <c r="H18" i="42"/>
  <c r="E36" i="42"/>
  <c r="E56" i="42"/>
  <c r="E90" i="42"/>
  <c r="F44" i="42"/>
  <c r="F43" i="42"/>
  <c r="F52" i="42"/>
  <c r="E72" i="42"/>
  <c r="F51" i="42"/>
  <c r="F60" i="42"/>
  <c r="E80" i="42"/>
  <c r="F59" i="42"/>
  <c r="F24" i="42"/>
  <c r="F88" i="42"/>
  <c r="H67" i="42"/>
  <c r="G12" i="42"/>
  <c r="G76" i="42"/>
  <c r="K92" i="42"/>
  <c r="F57" i="42"/>
  <c r="G75" i="42"/>
  <c r="F28" i="42"/>
  <c r="F27" i="42"/>
  <c r="F36" i="42"/>
  <c r="G17" i="42"/>
  <c r="E26" i="42"/>
  <c r="F35" i="42"/>
  <c r="G44" i="42"/>
  <c r="F64" i="42"/>
  <c r="E89" i="42"/>
  <c r="E43" i="42"/>
  <c r="G52" i="42"/>
  <c r="F8" i="42"/>
  <c r="F72" i="42"/>
  <c r="E51" i="42"/>
  <c r="G60" i="42"/>
  <c r="F16" i="42"/>
  <c r="F80" i="42"/>
  <c r="E59" i="42"/>
  <c r="E68" i="42"/>
  <c r="G24" i="42"/>
  <c r="G88" i="42"/>
  <c r="E49" i="42"/>
  <c r="E76" i="42"/>
  <c r="F66" i="42"/>
  <c r="F20" i="42"/>
  <c r="E74" i="42"/>
  <c r="G28" i="42"/>
  <c r="H9" i="42"/>
  <c r="H81" i="42"/>
  <c r="G26" i="42"/>
  <c r="E35" i="42"/>
  <c r="H64" i="42"/>
  <c r="H89" i="42"/>
  <c r="G8" i="42"/>
  <c r="G72" i="42"/>
  <c r="E33" i="42"/>
  <c r="G16" i="42"/>
  <c r="G80" i="42"/>
  <c r="E41" i="42"/>
  <c r="G68" i="42"/>
  <c r="H24" i="42"/>
  <c r="F49" i="42"/>
  <c r="E58" i="42"/>
  <c r="H12" i="42"/>
  <c r="G32" i="42"/>
  <c r="G57" i="42"/>
  <c r="H19" i="42"/>
  <c r="H82" i="42"/>
  <c r="H26" i="42"/>
  <c r="H44" i="42"/>
  <c r="E64" i="42"/>
  <c r="E34" i="42"/>
  <c r="H52" i="42"/>
  <c r="H8" i="42"/>
  <c r="F33" i="42"/>
  <c r="E42" i="42"/>
  <c r="H60" i="42"/>
  <c r="H16" i="42"/>
  <c r="F41" i="42"/>
  <c r="E50" i="42"/>
  <c r="H68" i="42"/>
  <c r="H49" i="42"/>
  <c r="F58" i="42"/>
  <c r="H32" i="42"/>
  <c r="G66" i="42"/>
  <c r="H65" i="42"/>
  <c r="H73" i="42"/>
  <c r="E82" i="42"/>
  <c r="F91" i="42"/>
  <c r="G64" i="42"/>
  <c r="E25" i="42"/>
  <c r="G89" i="42"/>
  <c r="F34" i="42"/>
  <c r="H33" i="42"/>
  <c r="F42" i="42"/>
  <c r="H41" i="42"/>
  <c r="F50" i="42"/>
  <c r="H5" i="42"/>
  <c r="E24" i="42"/>
  <c r="G49" i="42"/>
  <c r="G58" i="42"/>
  <c r="F76" i="42"/>
  <c r="H11" i="42"/>
  <c r="F84" i="42"/>
  <c r="F10" i="42"/>
  <c r="F73" i="42"/>
  <c r="E91" i="42"/>
  <c r="F81" i="42"/>
  <c r="F25" i="42"/>
  <c r="F89" i="42"/>
  <c r="G34" i="42"/>
  <c r="G43" i="42"/>
  <c r="E8" i="42"/>
  <c r="G33" i="42"/>
  <c r="G42" i="42"/>
  <c r="G51" i="42"/>
  <c r="E16" i="42"/>
  <c r="G41" i="42"/>
  <c r="G50" i="42"/>
  <c r="G59" i="42"/>
  <c r="G5" i="42"/>
  <c r="H58" i="42"/>
  <c r="F67" i="42"/>
  <c r="G10" i="42"/>
  <c r="E19" i="42"/>
  <c r="H92" i="42"/>
  <c r="G27" i="42"/>
  <c r="G91" i="42"/>
  <c r="G56" i="42"/>
  <c r="F17" i="42"/>
  <c r="G81" i="42"/>
  <c r="F90" i="42"/>
  <c r="G84" i="42"/>
  <c r="E92" i="42"/>
  <c r="G48" i="42"/>
  <c r="E18" i="42"/>
  <c r="H27" i="42"/>
  <c r="H17" i="42"/>
  <c r="H90" i="42"/>
  <c r="G35" i="42"/>
  <c r="E44" i="42"/>
  <c r="G25" i="42"/>
  <c r="E52" i="42"/>
  <c r="H72" i="42"/>
  <c r="E60" i="42"/>
  <c r="H80" i="42"/>
  <c r="F68" i="42"/>
  <c r="E5" i="42"/>
  <c r="E88" i="42"/>
  <c r="G67" i="42"/>
  <c r="F12" i="42"/>
  <c r="E12" i="42"/>
  <c r="H88" i="42"/>
  <c r="H76" i="42"/>
  <c r="E67" i="42"/>
  <c r="H43" i="42"/>
  <c r="H25" i="42"/>
  <c r="H34" i="42"/>
  <c r="H42" i="42"/>
  <c r="H51" i="42"/>
  <c r="H59" i="42"/>
  <c r="H50" i="42"/>
  <c r="F5" i="42"/>
  <c r="C4" i="48"/>
  <c r="C4" i="50"/>
  <c r="S40" i="16"/>
  <c r="O25" i="16"/>
  <c r="O26" i="16"/>
  <c r="C3" i="47"/>
  <c r="C3" i="48"/>
  <c r="O33" i="16"/>
  <c r="D49" i="33"/>
  <c r="H51" i="27"/>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C4" i="47"/>
  <c r="C6" i="47"/>
  <c r="C7" i="47"/>
  <c r="C2" i="47"/>
  <c r="G21" i="27"/>
  <c r="H21" i="27"/>
  <c r="O27" i="16"/>
  <c r="O28" i="16"/>
  <c r="O32" i="16"/>
  <c r="O29" i="16"/>
  <c r="O31" i="16"/>
  <c r="O30" i="16"/>
  <c r="B3" i="16"/>
  <c r="J16" i="1"/>
  <c r="J672" i="16" s="1"/>
  <c r="A41" i="16"/>
  <c r="A27" i="16"/>
  <c r="A32" i="16"/>
  <c r="A44" i="16"/>
  <c r="A42" i="16"/>
  <c r="A33" i="16"/>
  <c r="A29" i="16"/>
  <c r="A30" i="16"/>
  <c r="A28" i="16"/>
  <c r="A45" i="16"/>
  <c r="A38" i="16"/>
  <c r="A43" i="16"/>
  <c r="A39" i="16"/>
  <c r="A31" i="16"/>
  <c r="A46" i="16"/>
  <c r="A47" i="16"/>
  <c r="A40" i="16"/>
  <c r="B7" i="16"/>
  <c r="C7" i="43"/>
  <c r="B3" i="39"/>
  <c r="C3" i="43"/>
  <c r="F20" i="31"/>
  <c r="B2" i="39"/>
  <c r="C2" i="43"/>
  <c r="C6" i="25"/>
  <c r="C6" i="43"/>
  <c r="D4" i="21"/>
  <c r="C4" i="43"/>
  <c r="D21" i="27"/>
  <c r="B7" i="40"/>
  <c r="C7" i="25"/>
  <c r="B7" i="33"/>
  <c r="C4" i="25"/>
  <c r="B4" i="16"/>
  <c r="B3" i="33"/>
  <c r="B3" i="27"/>
  <c r="B6" i="27"/>
  <c r="B2" i="16"/>
  <c r="B3" i="40"/>
  <c r="D3" i="21"/>
  <c r="C3" i="25"/>
  <c r="B6" i="33"/>
  <c r="B2" i="33"/>
  <c r="B2" i="40"/>
  <c r="B6" i="16"/>
  <c r="D6" i="21"/>
  <c r="B9" i="2"/>
  <c r="D2" i="21"/>
  <c r="B6" i="39"/>
  <c r="C2" i="25"/>
  <c r="B2" i="27"/>
  <c r="B6" i="40"/>
  <c r="B4" i="33"/>
  <c r="F4" i="31"/>
  <c r="L12" i="31"/>
  <c r="B7" i="39"/>
  <c r="B11" i="27"/>
  <c r="B11" i="39"/>
  <c r="D7" i="21"/>
  <c r="B7" i="27"/>
  <c r="B7" i="46" s="1"/>
  <c r="D22" i="27"/>
  <c r="D23" i="27"/>
  <c r="B4" i="27"/>
  <c r="B4" i="40"/>
  <c r="B4" i="39"/>
  <c r="I7" i="41"/>
  <c r="O221" i="16" l="1"/>
  <c r="O371" i="16"/>
  <c r="O521" i="16"/>
  <c r="O761" i="16"/>
  <c r="S941" i="16"/>
  <c r="F1183" i="16"/>
  <c r="O1812" i="16"/>
  <c r="O1806" i="16"/>
  <c r="O1962" i="16"/>
  <c r="O2022" i="16"/>
  <c r="F2022" i="16"/>
  <c r="O551" i="16"/>
  <c r="S550" i="16"/>
  <c r="O611" i="16"/>
  <c r="E21" i="43"/>
  <c r="E42" i="43"/>
  <c r="E76" i="43"/>
  <c r="E108" i="43"/>
  <c r="E38" i="43"/>
  <c r="E70" i="43"/>
  <c r="E103" i="43"/>
  <c r="E35" i="43"/>
  <c r="E66" i="43"/>
  <c r="E98" i="43"/>
  <c r="E30" i="43"/>
  <c r="E55" i="43"/>
  <c r="E92" i="43"/>
  <c r="F20" i="43"/>
  <c r="F86" i="43"/>
  <c r="F102" i="43"/>
  <c r="F28" i="43"/>
  <c r="F39" i="43"/>
  <c r="F81" i="43"/>
  <c r="F106" i="43"/>
  <c r="E100" i="43"/>
  <c r="F45" i="43"/>
  <c r="F98" i="43"/>
  <c r="E26" i="43"/>
  <c r="E78" i="43"/>
  <c r="E104" i="43"/>
  <c r="F104" i="43"/>
  <c r="F70" i="43"/>
  <c r="F64" i="43"/>
  <c r="E31" i="43"/>
  <c r="E63" i="43"/>
  <c r="E93" i="43"/>
  <c r="E28" i="43"/>
  <c r="E53" i="43"/>
  <c r="E89" i="43"/>
  <c r="E23" i="43"/>
  <c r="E45" i="43"/>
  <c r="E81" i="43"/>
  <c r="E20" i="43"/>
  <c r="E41" i="43"/>
  <c r="E73" i="43"/>
  <c r="E106" i="43"/>
  <c r="F36" i="43"/>
  <c r="F37" i="43"/>
  <c r="F90" i="43"/>
  <c r="F68" i="43"/>
  <c r="F103" i="43"/>
  <c r="F54" i="43"/>
  <c r="F93" i="43"/>
  <c r="F49" i="43"/>
  <c r="F29" i="43"/>
  <c r="F30" i="43"/>
  <c r="F83" i="43"/>
  <c r="F71" i="43"/>
  <c r="F26" i="43"/>
  <c r="F76" i="43"/>
  <c r="F50" i="43"/>
  <c r="F24" i="43"/>
  <c r="E50" i="43"/>
  <c r="E22" i="43"/>
  <c r="E39" i="43"/>
  <c r="E71" i="43"/>
  <c r="E68" i="43"/>
  <c r="F69" i="43"/>
  <c r="F92" i="43"/>
  <c r="F63" i="43"/>
  <c r="F53" i="43"/>
  <c r="E37" i="43"/>
  <c r="E69" i="43"/>
  <c r="E102" i="43"/>
  <c r="E33" i="43"/>
  <c r="E64" i="43"/>
  <c r="E96" i="43"/>
  <c r="E29" i="43"/>
  <c r="E54" i="43"/>
  <c r="E90" i="43"/>
  <c r="E24" i="43"/>
  <c r="E49" i="43"/>
  <c r="E83" i="43"/>
  <c r="F96" i="43"/>
  <c r="F44" i="43"/>
  <c r="F66" i="43"/>
  <c r="F35" i="43"/>
  <c r="F89" i="43"/>
  <c r="F33" i="43"/>
  <c r="F23" i="43"/>
  <c r="F31" i="43"/>
  <c r="F78" i="43"/>
  <c r="F42" i="43"/>
  <c r="F55" i="43"/>
  <c r="F108" i="43"/>
  <c r="F41" i="43"/>
  <c r="F100" i="43"/>
  <c r="F22" i="43"/>
  <c r="E86" i="43"/>
  <c r="E44" i="43"/>
  <c r="E36" i="43"/>
  <c r="F73" i="43"/>
  <c r="F38" i="43"/>
  <c r="F21" i="43"/>
  <c r="O131" i="16"/>
  <c r="O161" i="16"/>
  <c r="O281" i="16"/>
  <c r="S400" i="16"/>
  <c r="O401" i="16"/>
  <c r="O461" i="16"/>
  <c r="S640" i="16"/>
  <c r="O641" i="16"/>
  <c r="O821" i="16"/>
  <c r="S971" i="16"/>
  <c r="G75" i="46" s="1"/>
  <c r="O36" i="42" s="1"/>
  <c r="O972" i="16"/>
  <c r="O1062" i="16"/>
  <c r="S1121" i="16"/>
  <c r="O1122" i="16"/>
  <c r="S1241" i="16"/>
  <c r="O1242" i="16"/>
  <c r="O1302" i="16"/>
  <c r="O1362" i="16"/>
  <c r="S1451" i="16"/>
  <c r="O1452" i="16"/>
  <c r="O1632" i="16"/>
  <c r="S1901" i="16"/>
  <c r="R1907" i="16" s="1"/>
  <c r="O1902" i="16"/>
  <c r="S2531" i="16"/>
  <c r="O2532" i="16"/>
  <c r="S2711" i="16"/>
  <c r="R2717" i="16" s="1"/>
  <c r="O2712" i="16"/>
  <c r="S190" i="16"/>
  <c r="O191" i="16"/>
  <c r="S310" i="16"/>
  <c r="G53" i="46" s="1"/>
  <c r="O14" i="42" s="1"/>
  <c r="O311" i="16"/>
  <c r="S340" i="16"/>
  <c r="O341" i="16"/>
  <c r="O491" i="16"/>
  <c r="S700" i="16"/>
  <c r="O701" i="16"/>
  <c r="S790" i="16"/>
  <c r="O791" i="16"/>
  <c r="O881" i="16"/>
  <c r="F1332" i="16"/>
  <c r="S1541" i="16"/>
  <c r="O1542" i="16"/>
  <c r="O1572" i="16"/>
  <c r="O1602" i="16"/>
  <c r="O1662" i="16"/>
  <c r="O1932" i="16"/>
  <c r="F1993" i="16"/>
  <c r="O1992" i="16"/>
  <c r="O1986" i="16"/>
  <c r="F1992" i="16"/>
  <c r="O2652" i="16"/>
  <c r="O1836" i="16"/>
  <c r="S70" i="16"/>
  <c r="O71" i="16"/>
  <c r="O41" i="16"/>
  <c r="O101" i="16"/>
  <c r="O251" i="16"/>
  <c r="O431" i="16"/>
  <c r="F432" i="16"/>
  <c r="O581" i="16"/>
  <c r="O731" i="16"/>
  <c r="O942" i="16"/>
  <c r="O1092" i="16"/>
  <c r="O1332" i="16"/>
  <c r="O1392" i="16"/>
  <c r="O2562" i="16"/>
  <c r="S2591" i="16"/>
  <c r="O2592" i="16"/>
  <c r="O2622" i="16"/>
  <c r="F2622" i="16"/>
  <c r="S2681" i="16"/>
  <c r="O2682" i="16"/>
  <c r="F2682" i="16"/>
  <c r="O851" i="16"/>
  <c r="F912" i="16"/>
  <c r="O912" i="16"/>
  <c r="O1872" i="16"/>
  <c r="O1866" i="16"/>
  <c r="F1872" i="16"/>
  <c r="S1841" i="16"/>
  <c r="F1842" i="16"/>
  <c r="G133" i="46"/>
  <c r="O94" i="42" s="1"/>
  <c r="F1272" i="16"/>
  <c r="S1271" i="16"/>
  <c r="O1272" i="16"/>
  <c r="F1273" i="16"/>
  <c r="F1213" i="16"/>
  <c r="O1212" i="16"/>
  <c r="O1182" i="16"/>
  <c r="O1152" i="16"/>
  <c r="J2503" i="16"/>
  <c r="G672" i="16"/>
  <c r="H672" i="16" s="1"/>
  <c r="O1032" i="16"/>
  <c r="F1033" i="16"/>
  <c r="F1632" i="16"/>
  <c r="S1631" i="16"/>
  <c r="F1633" i="16"/>
  <c r="S670" i="16"/>
  <c r="R676" i="16" s="1"/>
  <c r="L672" i="16" s="1"/>
  <c r="O671" i="16"/>
  <c r="S490" i="16"/>
  <c r="F1303" i="16"/>
  <c r="S1991" i="16"/>
  <c r="G109" i="46" s="1"/>
  <c r="O70" i="42" s="1"/>
  <c r="S1301" i="16"/>
  <c r="S2651" i="16"/>
  <c r="S1391" i="16"/>
  <c r="G1934" i="16"/>
  <c r="G1932" i="16"/>
  <c r="G1933" i="16"/>
  <c r="J1872" i="16"/>
  <c r="S1361" i="16"/>
  <c r="G88" i="46" s="1"/>
  <c r="O49" i="42" s="1"/>
  <c r="S1331" i="16"/>
  <c r="S2621" i="16"/>
  <c r="S1931" i="16"/>
  <c r="S580" i="16"/>
  <c r="G62" i="46" s="1"/>
  <c r="O23" i="42" s="1"/>
  <c r="S520" i="16"/>
  <c r="G60" i="46" s="1"/>
  <c r="O21" i="42" s="1"/>
  <c r="S370" i="16"/>
  <c r="F1242" i="16"/>
  <c r="S1871" i="16"/>
  <c r="G105" i="46" s="1"/>
  <c r="O66" i="42" s="1"/>
  <c r="F1212" i="16"/>
  <c r="S1211" i="16"/>
  <c r="S460" i="16"/>
  <c r="S430" i="16"/>
  <c r="G57" i="46" s="1"/>
  <c r="O18" i="42" s="1"/>
  <c r="S1811" i="16"/>
  <c r="O1782" i="16"/>
  <c r="F1782" i="16"/>
  <c r="O1776" i="16"/>
  <c r="S1781" i="16"/>
  <c r="R1787" i="16" s="1"/>
  <c r="S2561" i="16"/>
  <c r="Q1727" i="16"/>
  <c r="J671" i="16"/>
  <c r="J677" i="16" s="1"/>
  <c r="O665" i="16"/>
  <c r="S1001" i="16"/>
  <c r="F1003" i="16"/>
  <c r="F1032" i="16"/>
  <c r="O1356" i="16"/>
  <c r="S1481" i="16"/>
  <c r="O1482" i="16"/>
  <c r="O1566" i="16"/>
  <c r="O1686" i="16"/>
  <c r="O1692" i="16"/>
  <c r="F1692" i="16"/>
  <c r="S1721" i="16"/>
  <c r="R1727" i="16" s="1"/>
  <c r="O1722" i="16"/>
  <c r="F1723" i="16"/>
  <c r="S1751" i="16"/>
  <c r="G101" i="46" s="1"/>
  <c r="O62" i="42" s="1"/>
  <c r="O1752" i="16"/>
  <c r="O2052" i="16"/>
  <c r="F2083" i="16"/>
  <c r="O2112" i="16"/>
  <c r="F2112" i="16"/>
  <c r="O2142" i="16"/>
  <c r="O2172" i="16"/>
  <c r="O2232" i="16"/>
  <c r="S2231" i="16"/>
  <c r="O2262" i="16"/>
  <c r="O2292" i="16"/>
  <c r="F2292" i="16"/>
  <c r="S2351" i="16"/>
  <c r="O2352" i="16"/>
  <c r="O2382" i="16"/>
  <c r="F2383" i="16"/>
  <c r="O2412" i="16"/>
  <c r="O2442" i="16"/>
  <c r="S2441" i="16"/>
  <c r="F2442" i="16"/>
  <c r="O2472" i="16"/>
  <c r="S2471" i="16"/>
  <c r="S2501" i="16"/>
  <c r="F2502" i="16"/>
  <c r="O2082" i="16"/>
  <c r="F2082" i="16"/>
  <c r="O1506" i="16"/>
  <c r="J1722" i="16"/>
  <c r="J1723" i="16"/>
  <c r="G1722" i="16"/>
  <c r="H1722" i="16" s="1"/>
  <c r="G1723" i="16"/>
  <c r="H1723" i="16" s="1"/>
  <c r="S1181" i="16"/>
  <c r="G82" i="46" s="1"/>
  <c r="O43" i="42" s="1"/>
  <c r="J2203" i="16"/>
  <c r="O2202" i="16"/>
  <c r="F2202" i="16"/>
  <c r="J2293" i="16"/>
  <c r="S1691" i="16"/>
  <c r="S1661" i="16"/>
  <c r="S2411" i="16"/>
  <c r="S2381" i="16"/>
  <c r="R2387" i="16" s="1"/>
  <c r="O2322" i="16"/>
  <c r="F2322" i="16"/>
  <c r="S2321" i="16"/>
  <c r="S1601" i="16"/>
  <c r="G96" i="46" s="1"/>
  <c r="O57" i="42" s="1"/>
  <c r="F1153" i="16"/>
  <c r="S1151" i="16"/>
  <c r="G81" i="46" s="1"/>
  <c r="O42" i="42" s="1"/>
  <c r="S1091" i="16"/>
  <c r="S2291" i="16"/>
  <c r="R2297" i="16" s="1"/>
  <c r="L2293" i="16" s="1"/>
  <c r="S1061" i="16"/>
  <c r="S1571" i="16"/>
  <c r="S2261" i="16"/>
  <c r="O1512" i="16"/>
  <c r="S1031" i="16"/>
  <c r="S1511" i="16"/>
  <c r="O1476" i="16"/>
  <c r="F1482" i="16"/>
  <c r="F913" i="16"/>
  <c r="S911" i="16"/>
  <c r="F281" i="16"/>
  <c r="F761" i="16"/>
  <c r="F763" i="16"/>
  <c r="O1422" i="16"/>
  <c r="F1422" i="16"/>
  <c r="F1423" i="16"/>
  <c r="S2081" i="16"/>
  <c r="R2087" i="16" s="1"/>
  <c r="S850" i="16"/>
  <c r="F851" i="16"/>
  <c r="F881" i="16"/>
  <c r="S880" i="16"/>
  <c r="G1212" i="16"/>
  <c r="G1213" i="16"/>
  <c r="S2201" i="16"/>
  <c r="R2207" i="16" s="1"/>
  <c r="L2203" i="16" s="1"/>
  <c r="S2171" i="16"/>
  <c r="S2141" i="16"/>
  <c r="R1487" i="16"/>
  <c r="S2111" i="16"/>
  <c r="G113" i="46" s="1"/>
  <c r="O74" i="42" s="1"/>
  <c r="G852" i="16"/>
  <c r="H852" i="16" s="1"/>
  <c r="G851" i="16"/>
  <c r="J851" i="16"/>
  <c r="J852" i="16"/>
  <c r="G1423" i="16"/>
  <c r="S280" i="16"/>
  <c r="R286" i="16" s="1"/>
  <c r="Y282" i="16" s="1"/>
  <c r="S220" i="16"/>
  <c r="S820" i="16"/>
  <c r="G70" i="46" s="1"/>
  <c r="O31" i="42" s="1"/>
  <c r="S160" i="16"/>
  <c r="S130" i="16"/>
  <c r="S2051" i="16"/>
  <c r="S760" i="16"/>
  <c r="S730" i="16"/>
  <c r="G2503" i="16"/>
  <c r="H2503" i="16" s="1"/>
  <c r="G2502" i="16"/>
  <c r="J2502" i="16"/>
  <c r="S1421" i="16"/>
  <c r="S100" i="16"/>
  <c r="J2443" i="16"/>
  <c r="G2443" i="16"/>
  <c r="H2443" i="16" s="1"/>
  <c r="G2442" i="16"/>
  <c r="J2442" i="16"/>
  <c r="J2683" i="16"/>
  <c r="G2683" i="16"/>
  <c r="H2683" i="16" s="1"/>
  <c r="G2682" i="16"/>
  <c r="H2682" i="16" s="1"/>
  <c r="J2682" i="16"/>
  <c r="J2623" i="16"/>
  <c r="G2623" i="16"/>
  <c r="H2623" i="16" s="1"/>
  <c r="G2622" i="16"/>
  <c r="J2622" i="16"/>
  <c r="J2383" i="16"/>
  <c r="G2383" i="16"/>
  <c r="H2383" i="16" s="1"/>
  <c r="J2382" i="16"/>
  <c r="G2382" i="16"/>
  <c r="H2382" i="16" s="1"/>
  <c r="J2323" i="16"/>
  <c r="G2323" i="16"/>
  <c r="H2323" i="16" s="1"/>
  <c r="G2322" i="16"/>
  <c r="H2322" i="16" s="1"/>
  <c r="J2322" i="16"/>
  <c r="G2292" i="16"/>
  <c r="J2292" i="16"/>
  <c r="G2293" i="16"/>
  <c r="H2293" i="16" s="1"/>
  <c r="G2203" i="16"/>
  <c r="H2203" i="16" s="1"/>
  <c r="J2202" i="16"/>
  <c r="G2202" i="16"/>
  <c r="J2113" i="16"/>
  <c r="G2113" i="16"/>
  <c r="H2113" i="16" s="1"/>
  <c r="J1993" i="16"/>
  <c r="G1993" i="16"/>
  <c r="H1993" i="16" s="1"/>
  <c r="G1992" i="16"/>
  <c r="J1992" i="16"/>
  <c r="J1843" i="16"/>
  <c r="G1843" i="16"/>
  <c r="H1843" i="16" s="1"/>
  <c r="G1842" i="16"/>
  <c r="J1842" i="16"/>
  <c r="G1872" i="16"/>
  <c r="H1872" i="16" s="1"/>
  <c r="J1873" i="16"/>
  <c r="G1873" i="16"/>
  <c r="H1873" i="16" s="1"/>
  <c r="J2023" i="16"/>
  <c r="G2023" i="16"/>
  <c r="H2023" i="16" s="1"/>
  <c r="G2022" i="16"/>
  <c r="H2022" i="16" s="1"/>
  <c r="J2022" i="16"/>
  <c r="G2112" i="16"/>
  <c r="J2112" i="16"/>
  <c r="J2083" i="16"/>
  <c r="G2083" i="16"/>
  <c r="G2082" i="16"/>
  <c r="H2082" i="16" s="1"/>
  <c r="J2082" i="16"/>
  <c r="J1332" i="16"/>
  <c r="G1332" i="16"/>
  <c r="H1332" i="16" s="1"/>
  <c r="J1333" i="16"/>
  <c r="G1333" i="16"/>
  <c r="H1333" i="16" s="1"/>
  <c r="J1782" i="16"/>
  <c r="G1782" i="16"/>
  <c r="J1783" i="16"/>
  <c r="G1783" i="16"/>
  <c r="H1783" i="16" s="1"/>
  <c r="J1693" i="16"/>
  <c r="G1693" i="16"/>
  <c r="H1693" i="16" s="1"/>
  <c r="G1692" i="16"/>
  <c r="J1692" i="16"/>
  <c r="J1632" i="16"/>
  <c r="G1632" i="16"/>
  <c r="H1632" i="16" s="1"/>
  <c r="J1633" i="16"/>
  <c r="G1633" i="16"/>
  <c r="H1633" i="16" s="1"/>
  <c r="J1482" i="16"/>
  <c r="G1482" i="16"/>
  <c r="J1483" i="16"/>
  <c r="G1483" i="16"/>
  <c r="H1483" i="16" s="1"/>
  <c r="J1422" i="16"/>
  <c r="G1422" i="16"/>
  <c r="J1423" i="16"/>
  <c r="J1303" i="16"/>
  <c r="G1303" i="16"/>
  <c r="J1302" i="16"/>
  <c r="G1302" i="16"/>
  <c r="H1302" i="16" s="1"/>
  <c r="G1272" i="16"/>
  <c r="H1272" i="16" s="1"/>
  <c r="J1272" i="16"/>
  <c r="J1273" i="16"/>
  <c r="G1273" i="16"/>
  <c r="J1243" i="16"/>
  <c r="G1243" i="16"/>
  <c r="H1243" i="16" s="1"/>
  <c r="J1242" i="16"/>
  <c r="G1242" i="16"/>
  <c r="J1212" i="16"/>
  <c r="J1213" i="16"/>
  <c r="J1182" i="16"/>
  <c r="G1182" i="16"/>
  <c r="H1182" i="16" s="1"/>
  <c r="J1183" i="16"/>
  <c r="G1183" i="16"/>
  <c r="H1183" i="16" s="1"/>
  <c r="J1153" i="16"/>
  <c r="G1153" i="16"/>
  <c r="G1152" i="16"/>
  <c r="H1152" i="16" s="1"/>
  <c r="J1152" i="16"/>
  <c r="J1033" i="16"/>
  <c r="G1033" i="16"/>
  <c r="G1032" i="16"/>
  <c r="J1032" i="16"/>
  <c r="J1002" i="16"/>
  <c r="G1002" i="16"/>
  <c r="H1002" i="16" s="1"/>
  <c r="J1004" i="16"/>
  <c r="G1004" i="16"/>
  <c r="H1004" i="16" s="1"/>
  <c r="J1003" i="16"/>
  <c r="G1003" i="16"/>
  <c r="J913" i="16"/>
  <c r="G913" i="16"/>
  <c r="H913" i="16" s="1"/>
  <c r="G912" i="16"/>
  <c r="H912" i="16" s="1"/>
  <c r="J912" i="16"/>
  <c r="J882" i="16"/>
  <c r="G882" i="16"/>
  <c r="H882" i="16" s="1"/>
  <c r="G881" i="16"/>
  <c r="J881" i="16"/>
  <c r="G763" i="16"/>
  <c r="J763" i="16"/>
  <c r="G671" i="16"/>
  <c r="H671" i="16" s="1"/>
  <c r="J492" i="16"/>
  <c r="G492" i="16"/>
  <c r="H492" i="16" s="1"/>
  <c r="J762" i="16"/>
  <c r="G762" i="16"/>
  <c r="H762" i="16" s="1"/>
  <c r="J761" i="16"/>
  <c r="G761" i="16"/>
  <c r="G491" i="16"/>
  <c r="H491" i="16" s="1"/>
  <c r="J491" i="16"/>
  <c r="J432" i="16"/>
  <c r="G432" i="16"/>
  <c r="H432" i="16" s="1"/>
  <c r="G431" i="16"/>
  <c r="H431" i="16" s="1"/>
  <c r="J431" i="16"/>
  <c r="J282" i="16"/>
  <c r="G282" i="16"/>
  <c r="H282" i="16" s="1"/>
  <c r="J281" i="16"/>
  <c r="G281" i="16"/>
  <c r="G224" i="16"/>
  <c r="H224" i="16" s="1"/>
  <c r="J224" i="16"/>
  <c r="J223" i="16"/>
  <c r="G223" i="16"/>
  <c r="H223" i="16" s="1"/>
  <c r="Q2717" i="16"/>
  <c r="J222" i="16"/>
  <c r="G222" i="16"/>
  <c r="H222" i="16" s="1"/>
  <c r="J221" i="16"/>
  <c r="G221" i="16"/>
  <c r="H221" i="16" s="1"/>
  <c r="G89" i="46"/>
  <c r="O50" i="42" s="1"/>
  <c r="K64" i="40"/>
  <c r="K63" i="40"/>
  <c r="G110" i="46"/>
  <c r="O71" i="42" s="1"/>
  <c r="G87" i="46"/>
  <c r="O48" i="42" s="1"/>
  <c r="K108" i="40"/>
  <c r="G108" i="46"/>
  <c r="O69" i="42" s="1"/>
  <c r="K83" i="40"/>
  <c r="G86" i="46"/>
  <c r="O47" i="42" s="1"/>
  <c r="G107" i="46"/>
  <c r="O68" i="42" s="1"/>
  <c r="G132" i="46"/>
  <c r="O93" i="42" s="1"/>
  <c r="G106" i="46"/>
  <c r="O67" i="42" s="1"/>
  <c r="K81" i="40"/>
  <c r="G131" i="46"/>
  <c r="O92" i="42" s="1"/>
  <c r="K106" i="40"/>
  <c r="G104" i="46"/>
  <c r="O65" i="42" s="1"/>
  <c r="G130" i="46"/>
  <c r="O91" i="42" s="1"/>
  <c r="G129" i="46"/>
  <c r="O90" i="42" s="1"/>
  <c r="K104" i="40"/>
  <c r="G103" i="46"/>
  <c r="O64" i="42" s="1"/>
  <c r="K78" i="40"/>
  <c r="G102" i="46"/>
  <c r="O63" i="42" s="1"/>
  <c r="G128" i="46"/>
  <c r="O89" i="42" s="1"/>
  <c r="K103" i="40"/>
  <c r="G85" i="46"/>
  <c r="O46" i="42" s="1"/>
  <c r="G127" i="46"/>
  <c r="O88" i="42" s="1"/>
  <c r="K102" i="40"/>
  <c r="G84" i="46"/>
  <c r="O45" i="42" s="1"/>
  <c r="K76" i="40"/>
  <c r="G126" i="46"/>
  <c r="O87" i="42" s="1"/>
  <c r="G100" i="46"/>
  <c r="O61" i="42" s="1"/>
  <c r="G99" i="46"/>
  <c r="O60" i="42" s="1"/>
  <c r="G125" i="46"/>
  <c r="O86" i="42" s="1"/>
  <c r="K100" i="40"/>
  <c r="G98" i="46"/>
  <c r="O59" i="42" s="1"/>
  <c r="K73" i="40"/>
  <c r="G97" i="46"/>
  <c r="O58" i="42" s="1"/>
  <c r="G83" i="46"/>
  <c r="O44" i="42" s="1"/>
  <c r="G124" i="46"/>
  <c r="O85" i="42" s="1"/>
  <c r="G123" i="46"/>
  <c r="O84" i="42" s="1"/>
  <c r="K98" i="40"/>
  <c r="K71" i="40"/>
  <c r="G95" i="46"/>
  <c r="O56" i="42" s="1"/>
  <c r="K70" i="40"/>
  <c r="G122" i="46"/>
  <c r="O83" i="42" s="1"/>
  <c r="G94" i="46"/>
  <c r="O55" i="42" s="1"/>
  <c r="K69" i="40"/>
  <c r="G80" i="46"/>
  <c r="O41" i="42" s="1"/>
  <c r="K55" i="40"/>
  <c r="G93" i="46"/>
  <c r="O54" i="42" s="1"/>
  <c r="K68" i="40"/>
  <c r="G121" i="46"/>
  <c r="O82" i="42" s="1"/>
  <c r="K96" i="40"/>
  <c r="G79" i="46"/>
  <c r="O40" i="42" s="1"/>
  <c r="K54" i="40"/>
  <c r="G92" i="46"/>
  <c r="O53" i="42" s="1"/>
  <c r="G120" i="46"/>
  <c r="O81" i="42" s="1"/>
  <c r="G78" i="46"/>
  <c r="O39" i="42" s="1"/>
  <c r="K53" i="40"/>
  <c r="G77" i="46"/>
  <c r="O38" i="42" s="1"/>
  <c r="G76" i="46"/>
  <c r="O37" i="42" s="1"/>
  <c r="K50" i="40"/>
  <c r="G74" i="46"/>
  <c r="O35" i="42" s="1"/>
  <c r="K49" i="40"/>
  <c r="G66" i="46"/>
  <c r="O27" i="42" s="1"/>
  <c r="K41" i="40"/>
  <c r="G118" i="46"/>
  <c r="O79" i="42" s="1"/>
  <c r="K93" i="40"/>
  <c r="G65" i="46"/>
  <c r="O26" i="42" s="1"/>
  <c r="G73" i="46"/>
  <c r="O34" i="42" s="1"/>
  <c r="G72" i="46"/>
  <c r="O33" i="42" s="1"/>
  <c r="G64" i="46"/>
  <c r="O25" i="42" s="1"/>
  <c r="K39" i="40"/>
  <c r="G63" i="46"/>
  <c r="O24" i="42" s="1"/>
  <c r="K38" i="40"/>
  <c r="K37" i="40"/>
  <c r="G61" i="46"/>
  <c r="O22" i="42" s="1"/>
  <c r="K36" i="40"/>
  <c r="G117" i="46"/>
  <c r="O78" i="42" s="1"/>
  <c r="K92" i="40"/>
  <c r="K35" i="40"/>
  <c r="G71" i="46"/>
  <c r="O32" i="42" s="1"/>
  <c r="G59" i="46"/>
  <c r="O20" i="42" s="1"/>
  <c r="K45" i="40"/>
  <c r="G116" i="46"/>
  <c r="O77" i="42" s="1"/>
  <c r="G58" i="46"/>
  <c r="O19" i="42" s="1"/>
  <c r="K33" i="40"/>
  <c r="G115" i="46"/>
  <c r="O76" i="42" s="1"/>
  <c r="K90" i="40"/>
  <c r="G56" i="46"/>
  <c r="O17" i="42" s="1"/>
  <c r="K31" i="40"/>
  <c r="G69" i="46"/>
  <c r="O30" i="42" s="1"/>
  <c r="K44" i="40"/>
  <c r="G114" i="46"/>
  <c r="O75" i="42" s="1"/>
  <c r="K89" i="40"/>
  <c r="G68" i="46"/>
  <c r="O29" i="42" s="1"/>
  <c r="G67" i="46"/>
  <c r="O28" i="42" s="1"/>
  <c r="K42" i="40"/>
  <c r="G55" i="46"/>
  <c r="O16" i="42" s="1"/>
  <c r="K30" i="40"/>
  <c r="G112" i="46"/>
  <c r="O73" i="42" s="1"/>
  <c r="G54" i="46"/>
  <c r="O15" i="42" s="1"/>
  <c r="K29" i="40"/>
  <c r="K28" i="40"/>
  <c r="G52" i="46"/>
  <c r="O13" i="42" s="1"/>
  <c r="G51" i="46"/>
  <c r="O12" i="42" s="1"/>
  <c r="K26" i="40"/>
  <c r="G50" i="46"/>
  <c r="O11" i="42" s="1"/>
  <c r="G49" i="46"/>
  <c r="O10" i="42" s="1"/>
  <c r="K24" i="40"/>
  <c r="G111" i="46"/>
  <c r="O72" i="42" s="1"/>
  <c r="K86" i="40"/>
  <c r="K23" i="40"/>
  <c r="G48" i="46"/>
  <c r="O9" i="42" s="1"/>
  <c r="K22" i="40"/>
  <c r="G47" i="46"/>
  <c r="O8" i="42" s="1"/>
  <c r="G45" i="46"/>
  <c r="O6" i="42" s="1"/>
  <c r="G46" i="46"/>
  <c r="O7" i="42" s="1"/>
  <c r="K20" i="40"/>
  <c r="K21" i="40"/>
  <c r="G91" i="46"/>
  <c r="O52" i="42" s="1"/>
  <c r="K66" i="40"/>
  <c r="G90" i="46"/>
  <c r="O51" i="42" s="1"/>
  <c r="O2706" i="16"/>
  <c r="O2676" i="16"/>
  <c r="R2687" i="16"/>
  <c r="Q2657" i="16"/>
  <c r="Q2687" i="16"/>
  <c r="Z2682" i="16" s="1"/>
  <c r="O2646" i="16"/>
  <c r="R2657" i="16"/>
  <c r="O2616" i="16"/>
  <c r="R2627" i="16"/>
  <c r="Q2597" i="16"/>
  <c r="Q2627" i="16"/>
  <c r="O2586" i="16"/>
  <c r="R2597" i="16"/>
  <c r="O2556" i="16"/>
  <c r="R2567" i="16"/>
  <c r="Q2537" i="16"/>
  <c r="Q2567" i="16"/>
  <c r="O2526" i="16"/>
  <c r="R2537" i="16"/>
  <c r="Q2477" i="16"/>
  <c r="Q2507" i="16"/>
  <c r="O2496" i="16"/>
  <c r="R2507" i="16"/>
  <c r="O2466" i="16"/>
  <c r="R2477" i="16"/>
  <c r="O2436" i="16"/>
  <c r="R2447" i="16"/>
  <c r="L2443" i="16" s="1"/>
  <c r="Q2417" i="16"/>
  <c r="Q2447" i="16"/>
  <c r="O2406" i="16"/>
  <c r="R2417" i="16"/>
  <c r="Q2357" i="16"/>
  <c r="Q2387" i="16"/>
  <c r="O2376" i="16"/>
  <c r="O2346" i="16"/>
  <c r="R2357" i="16"/>
  <c r="O2316" i="16"/>
  <c r="R2327" i="16"/>
  <c r="L2323" i="16" s="1"/>
  <c r="Q2297" i="16"/>
  <c r="Q2327" i="16"/>
  <c r="O2286" i="16"/>
  <c r="Q2237" i="16"/>
  <c r="Q2267" i="16"/>
  <c r="O2256" i="16"/>
  <c r="R2267" i="16"/>
  <c r="O2226" i="16"/>
  <c r="R2237" i="16"/>
  <c r="O2196" i="16"/>
  <c r="Q2177" i="16"/>
  <c r="Q2207" i="16"/>
  <c r="Z2202" i="16" s="1"/>
  <c r="O2166" i="16"/>
  <c r="R2177" i="16"/>
  <c r="O2136" i="16"/>
  <c r="R2147" i="16"/>
  <c r="Q2117" i="16"/>
  <c r="Q2147" i="16"/>
  <c r="O2106" i="16"/>
  <c r="O2076" i="16"/>
  <c r="Q2057" i="16"/>
  <c r="Q2087" i="16"/>
  <c r="O2046" i="16"/>
  <c r="R2057" i="16"/>
  <c r="O2016" i="16"/>
  <c r="R2027" i="16"/>
  <c r="L2023" i="16" s="1"/>
  <c r="Q1997" i="16"/>
  <c r="Q2027" i="16"/>
  <c r="Z2022" i="16" s="1"/>
  <c r="Q1937" i="16"/>
  <c r="Q1967" i="16"/>
  <c r="O1956" i="16"/>
  <c r="R1967" i="16"/>
  <c r="O1926" i="16"/>
  <c r="R1937" i="16"/>
  <c r="O1896" i="16"/>
  <c r="Q1877" i="16"/>
  <c r="Q1907" i="16"/>
  <c r="O1842" i="16"/>
  <c r="R1847" i="16"/>
  <c r="Q1817" i="16"/>
  <c r="Q1847" i="16"/>
  <c r="R1817" i="16"/>
  <c r="Q1757" i="16"/>
  <c r="Q1787" i="16"/>
  <c r="O1746" i="16"/>
  <c r="R1757" i="16"/>
  <c r="O1716" i="16"/>
  <c r="Q1697" i="16"/>
  <c r="R1697" i="16"/>
  <c r="Q1637" i="16"/>
  <c r="Z1632" i="16" s="1"/>
  <c r="Q1667" i="16"/>
  <c r="O1656" i="16"/>
  <c r="R1667" i="16"/>
  <c r="O1626" i="16"/>
  <c r="R1637" i="16"/>
  <c r="O1596" i="16"/>
  <c r="Q1577" i="16"/>
  <c r="Q1607" i="16"/>
  <c r="R1577" i="16"/>
  <c r="Q1517" i="16"/>
  <c r="Q1547" i="16"/>
  <c r="O1536" i="16"/>
  <c r="R1547" i="16"/>
  <c r="R1517" i="16"/>
  <c r="Q1457" i="16"/>
  <c r="Q1487" i="16"/>
  <c r="L1483" i="16" s="1"/>
  <c r="O1446" i="16"/>
  <c r="R1457" i="16"/>
  <c r="Y1452" i="16" s="1"/>
  <c r="Q1397" i="16"/>
  <c r="Q1427" i="16"/>
  <c r="O1416" i="16"/>
  <c r="R1427" i="16"/>
  <c r="O1386" i="16"/>
  <c r="R1397" i="16"/>
  <c r="Q1337" i="16"/>
  <c r="Q1367" i="16"/>
  <c r="R1367" i="16"/>
  <c r="O1326" i="16"/>
  <c r="R1337" i="16"/>
  <c r="O1296" i="16"/>
  <c r="R1307" i="16"/>
  <c r="Q1277" i="16"/>
  <c r="Q1307" i="16"/>
  <c r="O1266" i="16"/>
  <c r="R1277" i="16"/>
  <c r="Q1217" i="16"/>
  <c r="Q1247" i="16"/>
  <c r="O1236" i="16"/>
  <c r="R1247" i="16"/>
  <c r="O1206" i="16"/>
  <c r="R1217" i="16"/>
  <c r="Q1157" i="16"/>
  <c r="Z1152" i="16" s="1"/>
  <c r="AB1152" i="16" s="1"/>
  <c r="Q1187" i="16"/>
  <c r="O1176" i="16"/>
  <c r="R1187" i="16"/>
  <c r="O1146" i="16"/>
  <c r="R1157" i="16"/>
  <c r="O1116" i="16"/>
  <c r="R1127" i="16"/>
  <c r="Q1097" i="16"/>
  <c r="Q1127" i="16"/>
  <c r="O1086" i="16"/>
  <c r="R1097" i="16"/>
  <c r="Q1037" i="16"/>
  <c r="Q1067" i="16"/>
  <c r="O1056" i="16"/>
  <c r="R1067" i="16"/>
  <c r="O1026" i="16"/>
  <c r="R1037" i="16"/>
  <c r="Q977" i="16"/>
  <c r="Q1007" i="16"/>
  <c r="O996" i="16"/>
  <c r="R1007" i="16"/>
  <c r="O966" i="16"/>
  <c r="R977" i="16"/>
  <c r="Q917" i="16"/>
  <c r="Q947" i="16"/>
  <c r="O936" i="16"/>
  <c r="R947" i="16"/>
  <c r="O906" i="16"/>
  <c r="R917" i="16"/>
  <c r="O875" i="16"/>
  <c r="R886" i="16"/>
  <c r="Q856" i="16"/>
  <c r="Q886" i="16"/>
  <c r="O845" i="16"/>
  <c r="R856" i="16"/>
  <c r="L852" i="16" s="1"/>
  <c r="Q796" i="16"/>
  <c r="Q826" i="16"/>
  <c r="O815" i="16"/>
  <c r="R826" i="16"/>
  <c r="O785" i="16"/>
  <c r="R796" i="16"/>
  <c r="O755" i="16"/>
  <c r="R766" i="16"/>
  <c r="Q736" i="16"/>
  <c r="Q766" i="16"/>
  <c r="O725" i="16"/>
  <c r="R736" i="16"/>
  <c r="O695" i="16"/>
  <c r="R706" i="16"/>
  <c r="Q676" i="16"/>
  <c r="Q706" i="16"/>
  <c r="O635" i="16"/>
  <c r="R646" i="16"/>
  <c r="Q616" i="16"/>
  <c r="Q646" i="16"/>
  <c r="O605" i="16"/>
  <c r="R616" i="16"/>
  <c r="Q556" i="16"/>
  <c r="Q586" i="16"/>
  <c r="O575" i="16"/>
  <c r="R586" i="16"/>
  <c r="O545" i="16"/>
  <c r="R556" i="16"/>
  <c r="O515" i="16"/>
  <c r="Q496" i="16"/>
  <c r="Q526" i="16"/>
  <c r="O485" i="16"/>
  <c r="R496" i="16"/>
  <c r="Q436" i="16"/>
  <c r="Q466" i="16"/>
  <c r="O455" i="16"/>
  <c r="R466" i="16"/>
  <c r="O425" i="16"/>
  <c r="O395" i="16"/>
  <c r="R406" i="16"/>
  <c r="Q376" i="16"/>
  <c r="Q406" i="16"/>
  <c r="O365" i="16"/>
  <c r="R376" i="16"/>
  <c r="Q316" i="16"/>
  <c r="Q346" i="16"/>
  <c r="O335" i="16"/>
  <c r="R346" i="16"/>
  <c r="O305" i="16"/>
  <c r="O275" i="16"/>
  <c r="Q256" i="16"/>
  <c r="Q286" i="16"/>
  <c r="O245" i="16"/>
  <c r="R256" i="16"/>
  <c r="Q196" i="16"/>
  <c r="Q226" i="16"/>
  <c r="Z222" i="16" s="1"/>
  <c r="O215" i="16"/>
  <c r="R226" i="16"/>
  <c r="O185" i="16"/>
  <c r="R196" i="16"/>
  <c r="O155" i="16"/>
  <c r="R166" i="16"/>
  <c r="Q136" i="16"/>
  <c r="Q166" i="16"/>
  <c r="O125" i="16"/>
  <c r="R136" i="16"/>
  <c r="Q76" i="16"/>
  <c r="Q106" i="16"/>
  <c r="O95" i="16"/>
  <c r="R106" i="16"/>
  <c r="O65" i="16"/>
  <c r="R76" i="16"/>
  <c r="C9" i="48"/>
  <c r="C9" i="50"/>
  <c r="O35" i="16"/>
  <c r="R46" i="16"/>
  <c r="G44" i="46"/>
  <c r="O5" i="42" s="1"/>
  <c r="Q46" i="16"/>
  <c r="D50" i="33"/>
  <c r="G41" i="16"/>
  <c r="G42" i="16"/>
  <c r="J23" i="46"/>
  <c r="C9" i="47"/>
  <c r="Y47" i="16"/>
  <c r="E19" i="43" s="1"/>
  <c r="D45" i="16"/>
  <c r="J45" i="16" s="1"/>
  <c r="D43" i="16"/>
  <c r="J43" i="16" s="1"/>
  <c r="D44" i="16"/>
  <c r="J44" i="16" s="1"/>
  <c r="B9" i="39"/>
  <c r="C9" i="43"/>
  <c r="D9" i="21"/>
  <c r="B9" i="27"/>
  <c r="B9" i="33"/>
  <c r="C9" i="25"/>
  <c r="B9" i="16"/>
  <c r="I2" i="31"/>
  <c r="I12" i="31" s="1"/>
  <c r="I14" i="31" s="1"/>
  <c r="I18" i="31"/>
  <c r="L2292" i="16" l="1"/>
  <c r="Z1033" i="16"/>
  <c r="AB1033" i="16" s="1"/>
  <c r="R1607" i="16"/>
  <c r="R2117" i="16"/>
  <c r="G119" i="46"/>
  <c r="O80" i="42" s="1"/>
  <c r="L1723" i="16"/>
  <c r="R316" i="16"/>
  <c r="R436" i="16"/>
  <c r="R1997" i="16"/>
  <c r="L1992" i="16" s="1"/>
  <c r="H1992" i="16"/>
  <c r="H2622" i="16"/>
  <c r="Z2502" i="16"/>
  <c r="Z2292" i="16"/>
  <c r="Z881" i="16"/>
  <c r="Z887" i="16" s="1"/>
  <c r="E47" i="43" s="1"/>
  <c r="H1842" i="16"/>
  <c r="H1848" i="16" s="1"/>
  <c r="R1877" i="16"/>
  <c r="Z1842" i="16"/>
  <c r="G45" i="43"/>
  <c r="H763" i="16"/>
  <c r="H1213" i="16"/>
  <c r="H1153" i="16"/>
  <c r="H1158" i="16" s="1"/>
  <c r="H2112" i="16"/>
  <c r="H2118" i="16" s="1"/>
  <c r="H1212" i="16"/>
  <c r="H1003" i="16"/>
  <c r="H1008" i="16" s="1"/>
  <c r="H1242" i="16"/>
  <c r="H1248" i="16" s="1"/>
  <c r="H1692" i="16"/>
  <c r="H1698" i="16" s="1"/>
  <c r="H851" i="16"/>
  <c r="H857" i="16" s="1"/>
  <c r="H281" i="16"/>
  <c r="H287" i="16" s="1"/>
  <c r="H1422" i="16"/>
  <c r="H1782" i="16"/>
  <c r="H1788" i="16" s="1"/>
  <c r="H2083" i="16"/>
  <c r="H2088" i="16" s="1"/>
  <c r="Z1242" i="16"/>
  <c r="AB1242" i="16" s="1"/>
  <c r="Z1303" i="16"/>
  <c r="Z1308" i="16" s="1"/>
  <c r="E61" i="43" s="1"/>
  <c r="Z1782" i="16"/>
  <c r="Z1788" i="16" s="1"/>
  <c r="E77" i="43" s="1"/>
  <c r="H1303" i="16"/>
  <c r="H1308" i="16" s="1"/>
  <c r="H2202" i="16"/>
  <c r="H2208" i="16" s="1"/>
  <c r="H761" i="16"/>
  <c r="H1032" i="16"/>
  <c r="H2292" i="16"/>
  <c r="H2298" i="16" s="1"/>
  <c r="H2502" i="16"/>
  <c r="H2508" i="16" s="1"/>
  <c r="H1033" i="16"/>
  <c r="H881" i="16"/>
  <c r="H887" i="16" s="1"/>
  <c r="H1482" i="16"/>
  <c r="H1488" i="16" s="1"/>
  <c r="H2442" i="16"/>
  <c r="H1423" i="16"/>
  <c r="H1428" i="16" s="1"/>
  <c r="H1273" i="16"/>
  <c r="H1278" i="16" s="1"/>
  <c r="Z1272" i="16"/>
  <c r="AB1272" i="16" s="1"/>
  <c r="Z1273" i="16"/>
  <c r="Z1213" i="16"/>
  <c r="AB1213" i="16" s="1"/>
  <c r="Z1182" i="16"/>
  <c r="AB1182" i="16" s="1"/>
  <c r="Z1183" i="16"/>
  <c r="AB1183" i="16" s="1"/>
  <c r="J767" i="16"/>
  <c r="K672" i="16"/>
  <c r="H677" i="16"/>
  <c r="J2298" i="16"/>
  <c r="Z1633" i="16"/>
  <c r="AB1633" i="16" s="1"/>
  <c r="AB1632" i="16"/>
  <c r="Z671" i="16"/>
  <c r="Z672" i="16"/>
  <c r="AB672" i="16" s="1"/>
  <c r="Z491" i="16"/>
  <c r="AB491" i="16" s="1"/>
  <c r="Z492" i="16"/>
  <c r="AB492" i="16" s="1"/>
  <c r="R526" i="16"/>
  <c r="Z432" i="16"/>
  <c r="AB432" i="16" s="1"/>
  <c r="Z431" i="16"/>
  <c r="AB431" i="16" s="1"/>
  <c r="J2508" i="16"/>
  <c r="H1728" i="16"/>
  <c r="Z2028" i="16"/>
  <c r="E85" i="43" s="1"/>
  <c r="AB2022" i="16"/>
  <c r="Z1992" i="16"/>
  <c r="AB1992" i="16" s="1"/>
  <c r="Z1993" i="16"/>
  <c r="AB1993" i="16" s="1"/>
  <c r="Z2688" i="16"/>
  <c r="E107" i="43" s="1"/>
  <c r="AB2682" i="16"/>
  <c r="Z1332" i="16"/>
  <c r="AB1332" i="16" s="1"/>
  <c r="Z1333" i="16"/>
  <c r="AB1333" i="16" s="1"/>
  <c r="Z2622" i="16"/>
  <c r="AB2622" i="16" s="1"/>
  <c r="Z2623" i="16"/>
  <c r="AB2623" i="16" s="1"/>
  <c r="Z1872" i="16"/>
  <c r="AB1872" i="16" s="1"/>
  <c r="Z1873" i="16"/>
  <c r="AB1873" i="16" s="1"/>
  <c r="Z1212" i="16"/>
  <c r="Y1787" i="16"/>
  <c r="Y1786" i="16"/>
  <c r="Y1785" i="16"/>
  <c r="Y1784" i="16"/>
  <c r="Y1783" i="16"/>
  <c r="Y1422" i="16"/>
  <c r="O1757" i="16"/>
  <c r="L2322" i="16"/>
  <c r="L2082" i="16"/>
  <c r="L2442" i="16"/>
  <c r="L2383" i="16"/>
  <c r="L2083" i="16"/>
  <c r="L1722" i="16"/>
  <c r="Y1722" i="16"/>
  <c r="Y1723" i="16"/>
  <c r="O1727" i="16"/>
  <c r="Z1723" i="16"/>
  <c r="K1723" i="16"/>
  <c r="K1722" i="16"/>
  <c r="J1728" i="16"/>
  <c r="L2202" i="16"/>
  <c r="Z1692" i="16"/>
  <c r="AB1692" i="16" s="1"/>
  <c r="Z1693" i="16"/>
  <c r="AB1693" i="16" s="1"/>
  <c r="AB2502" i="16"/>
  <c r="Z2508" i="16"/>
  <c r="E101" i="43" s="1"/>
  <c r="Z2442" i="16"/>
  <c r="AB2442" i="16" s="1"/>
  <c r="Z2443" i="16"/>
  <c r="AB2443" i="16" s="1"/>
  <c r="Z2382" i="16"/>
  <c r="AB2382" i="16" s="1"/>
  <c r="Z2383" i="16"/>
  <c r="AB2383" i="16" s="1"/>
  <c r="Z2322" i="16"/>
  <c r="AB2322" i="16" s="1"/>
  <c r="Z2323" i="16"/>
  <c r="AB2323" i="16" s="1"/>
  <c r="Z1153" i="16"/>
  <c r="Z2298" i="16"/>
  <c r="E94" i="43" s="1"/>
  <c r="AB2292" i="16"/>
  <c r="O1517" i="16"/>
  <c r="Z1032" i="16"/>
  <c r="Z1002" i="16"/>
  <c r="AB1002" i="16" s="1"/>
  <c r="Z1003" i="16"/>
  <c r="AB1003" i="16" s="1"/>
  <c r="Z2113" i="16"/>
  <c r="AB2113" i="16" s="1"/>
  <c r="Z2112" i="16"/>
  <c r="AB2112" i="16" s="1"/>
  <c r="Y1482" i="16"/>
  <c r="L1482" i="16"/>
  <c r="J1488" i="16"/>
  <c r="Z2083" i="16"/>
  <c r="AB2083" i="16" s="1"/>
  <c r="Z2082" i="16"/>
  <c r="AB2082" i="16" s="1"/>
  <c r="Y2082" i="16"/>
  <c r="Z912" i="16"/>
  <c r="AB912" i="16" s="1"/>
  <c r="Z913" i="16"/>
  <c r="AB913" i="16" s="1"/>
  <c r="Y1423" i="16"/>
  <c r="L851" i="16"/>
  <c r="Z1482" i="16"/>
  <c r="AB1482" i="16" s="1"/>
  <c r="AB1483" i="16"/>
  <c r="Z762" i="16"/>
  <c r="AB762" i="16" s="1"/>
  <c r="Z761" i="16"/>
  <c r="AB761" i="16" s="1"/>
  <c r="Z2208" i="16"/>
  <c r="E91" i="43" s="1"/>
  <c r="AB2202" i="16"/>
  <c r="AB2208" i="16" s="1"/>
  <c r="O1427" i="16"/>
  <c r="L1422" i="16"/>
  <c r="L1423" i="16"/>
  <c r="Z1422" i="16"/>
  <c r="Z1423" i="16"/>
  <c r="AB1423" i="16" s="1"/>
  <c r="K852" i="16"/>
  <c r="K851" i="16"/>
  <c r="Z851" i="16"/>
  <c r="AB851" i="16" s="1"/>
  <c r="Z852" i="16"/>
  <c r="AB852" i="16" s="1"/>
  <c r="Z281" i="16"/>
  <c r="AB281" i="16" s="1"/>
  <c r="AA287" i="16" s="1"/>
  <c r="F27" i="43" s="1"/>
  <c r="L1032" i="16"/>
  <c r="L1033" i="16"/>
  <c r="L1332" i="16"/>
  <c r="L1333" i="16"/>
  <c r="L2112" i="16"/>
  <c r="L2113" i="16"/>
  <c r="L2382" i="16"/>
  <c r="L2683" i="16"/>
  <c r="L2682" i="16"/>
  <c r="L1273" i="16"/>
  <c r="L1272" i="16"/>
  <c r="L492" i="16"/>
  <c r="L491" i="16"/>
  <c r="L671" i="16"/>
  <c r="L1153" i="16"/>
  <c r="L1152" i="16"/>
  <c r="L282" i="16"/>
  <c r="L281" i="16"/>
  <c r="L1212" i="16"/>
  <c r="L1213" i="16"/>
  <c r="L1303" i="16"/>
  <c r="L1302" i="16"/>
  <c r="L2022" i="16"/>
  <c r="L1842" i="16"/>
  <c r="L1843" i="16"/>
  <c r="L2502" i="16"/>
  <c r="L2503" i="16"/>
  <c r="L432" i="16"/>
  <c r="L431" i="16"/>
  <c r="L1004" i="16"/>
  <c r="L1003" i="16"/>
  <c r="L1002" i="16"/>
  <c r="L881" i="16"/>
  <c r="L882" i="16"/>
  <c r="L1872" i="16"/>
  <c r="L1873" i="16"/>
  <c r="L1993" i="16"/>
  <c r="L2622" i="16"/>
  <c r="L2623" i="16"/>
  <c r="L913" i="16"/>
  <c r="L912" i="16"/>
  <c r="L1183" i="16"/>
  <c r="L1182" i="16"/>
  <c r="L1242" i="16"/>
  <c r="L1243" i="16"/>
  <c r="L1632" i="16"/>
  <c r="L1633" i="16"/>
  <c r="L1693" i="16"/>
  <c r="L1692" i="16"/>
  <c r="L1783" i="16"/>
  <c r="L1782" i="16"/>
  <c r="AB222" i="16"/>
  <c r="AB227" i="16" s="1"/>
  <c r="Z227" i="16"/>
  <c r="E25" i="43" s="1"/>
  <c r="L221" i="16"/>
  <c r="L224" i="16"/>
  <c r="L223" i="16"/>
  <c r="L222" i="16"/>
  <c r="G26" i="43"/>
  <c r="T12" i="42" s="1"/>
  <c r="G35" i="43"/>
  <c r="T21" i="42" s="1"/>
  <c r="G92" i="43"/>
  <c r="T78" i="42" s="1"/>
  <c r="G36" i="43"/>
  <c r="H38" i="39" s="1"/>
  <c r="G53" i="43"/>
  <c r="T39" i="42" s="1"/>
  <c r="G100" i="43"/>
  <c r="T86" i="42" s="1"/>
  <c r="H918" i="16"/>
  <c r="H2028" i="16"/>
  <c r="H2328" i="16"/>
  <c r="H2628" i="16"/>
  <c r="H2688" i="16"/>
  <c r="H2448" i="16"/>
  <c r="H110" i="39"/>
  <c r="H227" i="16"/>
  <c r="H1998" i="16"/>
  <c r="H437" i="16"/>
  <c r="H497" i="16"/>
  <c r="G63" i="43"/>
  <c r="T49" i="42" s="1"/>
  <c r="G66" i="43"/>
  <c r="T52" i="42" s="1"/>
  <c r="G86" i="43"/>
  <c r="H88" i="39" s="1"/>
  <c r="G90" i="43"/>
  <c r="T76" i="42" s="1"/>
  <c r="G41" i="43"/>
  <c r="H43" i="39" s="1"/>
  <c r="G70" i="43"/>
  <c r="T56" i="42" s="1"/>
  <c r="H104" i="39"/>
  <c r="G21" i="43"/>
  <c r="T7" i="42" s="1"/>
  <c r="G81" i="43"/>
  <c r="T67" i="42" s="1"/>
  <c r="G30" i="43"/>
  <c r="H32" i="39" s="1"/>
  <c r="G89" i="43"/>
  <c r="T75" i="42" s="1"/>
  <c r="G50" i="43"/>
  <c r="H52" i="39" s="1"/>
  <c r="G96" i="43"/>
  <c r="H98" i="39" s="1"/>
  <c r="G68" i="43"/>
  <c r="T54" i="42" s="1"/>
  <c r="T62" i="42"/>
  <c r="G71" i="43"/>
  <c r="T57" i="42" s="1"/>
  <c r="G98" i="43"/>
  <c r="H100" i="39" s="1"/>
  <c r="H2388" i="16"/>
  <c r="Z763" i="16"/>
  <c r="L763" i="16"/>
  <c r="L762" i="16"/>
  <c r="L761" i="16"/>
  <c r="K2503" i="16"/>
  <c r="K2502" i="16"/>
  <c r="H1878" i="16"/>
  <c r="H1638" i="16"/>
  <c r="H1338" i="16"/>
  <c r="H1188" i="16"/>
  <c r="K2113" i="16"/>
  <c r="J2208" i="16"/>
  <c r="K2202" i="16"/>
  <c r="K2203" i="16"/>
  <c r="K2293" i="16"/>
  <c r="K2292" i="16"/>
  <c r="J2328" i="16"/>
  <c r="K2322" i="16"/>
  <c r="K2323" i="16"/>
  <c r="J2388" i="16"/>
  <c r="K2382" i="16"/>
  <c r="K2383" i="16"/>
  <c r="K2622" i="16"/>
  <c r="J2628" i="16"/>
  <c r="K2623" i="16"/>
  <c r="K2682" i="16"/>
  <c r="J2688" i="16"/>
  <c r="K2683" i="16"/>
  <c r="J2448" i="16"/>
  <c r="K2442" i="16"/>
  <c r="K2443" i="16"/>
  <c r="K2082" i="16"/>
  <c r="J2088" i="16"/>
  <c r="K2083" i="16"/>
  <c r="K2112" i="16"/>
  <c r="J2118" i="16"/>
  <c r="J2028" i="16"/>
  <c r="K2022" i="16"/>
  <c r="K2023" i="16"/>
  <c r="K1873" i="16"/>
  <c r="K1872" i="16"/>
  <c r="J1878" i="16"/>
  <c r="K1842" i="16"/>
  <c r="J1848" i="16"/>
  <c r="K1843" i="16"/>
  <c r="J1998" i="16"/>
  <c r="K1992" i="16"/>
  <c r="K1993" i="16"/>
  <c r="K1423" i="16"/>
  <c r="K1422" i="16"/>
  <c r="J1428" i="16"/>
  <c r="K1483" i="16"/>
  <c r="K1482" i="16"/>
  <c r="K1633" i="16"/>
  <c r="K1632" i="16"/>
  <c r="J1638" i="16"/>
  <c r="J1698" i="16"/>
  <c r="K1692" i="16"/>
  <c r="K1693" i="16"/>
  <c r="K1783" i="16"/>
  <c r="K1782" i="16"/>
  <c r="J1788" i="16"/>
  <c r="K1333" i="16"/>
  <c r="K1332" i="16"/>
  <c r="J1338" i="16"/>
  <c r="K1183" i="16"/>
  <c r="K1182" i="16"/>
  <c r="J1188" i="16"/>
  <c r="K1213" i="16"/>
  <c r="K1212" i="16"/>
  <c r="J1218" i="16"/>
  <c r="K1242" i="16"/>
  <c r="J1248" i="16"/>
  <c r="K1243" i="16"/>
  <c r="K1273" i="16"/>
  <c r="K1272" i="16"/>
  <c r="J1278" i="16"/>
  <c r="K1302" i="16"/>
  <c r="J1308" i="16"/>
  <c r="K1303" i="16"/>
  <c r="K913" i="16"/>
  <c r="K1003" i="16"/>
  <c r="K1004" i="16"/>
  <c r="K1002" i="16"/>
  <c r="J1008" i="16"/>
  <c r="J1038" i="16"/>
  <c r="K1032" i="16"/>
  <c r="K1033" i="16"/>
  <c r="K1152" i="16"/>
  <c r="J1158" i="16"/>
  <c r="K1153" i="16"/>
  <c r="K763" i="16"/>
  <c r="J857" i="16"/>
  <c r="K881" i="16"/>
  <c r="J887" i="16"/>
  <c r="K882" i="16"/>
  <c r="K912" i="16"/>
  <c r="J918" i="16"/>
  <c r="K761" i="16"/>
  <c r="K762" i="16"/>
  <c r="K492" i="16"/>
  <c r="K671" i="16"/>
  <c r="K282" i="16"/>
  <c r="K431" i="16"/>
  <c r="J437" i="16"/>
  <c r="K432" i="16"/>
  <c r="K491" i="16"/>
  <c r="J497" i="16"/>
  <c r="K224" i="16"/>
  <c r="K281" i="16"/>
  <c r="J287" i="16"/>
  <c r="K223" i="16"/>
  <c r="K221" i="16"/>
  <c r="J227" i="16"/>
  <c r="K222" i="16"/>
  <c r="G64" i="43"/>
  <c r="F89" i="46"/>
  <c r="M50" i="42"/>
  <c r="F88" i="46"/>
  <c r="M49" i="42"/>
  <c r="F133" i="46"/>
  <c r="M94" i="42"/>
  <c r="F108" i="46"/>
  <c r="M69" i="42"/>
  <c r="G83" i="43"/>
  <c r="F106" i="46"/>
  <c r="M67" i="42"/>
  <c r="F131" i="46"/>
  <c r="M92" i="42"/>
  <c r="G106" i="43"/>
  <c r="F129" i="46"/>
  <c r="M90" i="42"/>
  <c r="G104" i="43"/>
  <c r="F103" i="46"/>
  <c r="M64" i="42"/>
  <c r="G78" i="43"/>
  <c r="F128" i="46"/>
  <c r="M89" i="42"/>
  <c r="G103" i="43"/>
  <c r="F127" i="46"/>
  <c r="M88" i="42"/>
  <c r="F101" i="46"/>
  <c r="M62" i="42"/>
  <c r="F125" i="46"/>
  <c r="M86" i="42"/>
  <c r="F98" i="46"/>
  <c r="M59" i="42"/>
  <c r="G73" i="43"/>
  <c r="F123" i="46"/>
  <c r="M84" i="42"/>
  <c r="F96" i="46"/>
  <c r="M57" i="42"/>
  <c r="F95" i="46"/>
  <c r="M56" i="42"/>
  <c r="F94" i="46"/>
  <c r="M55" i="42"/>
  <c r="G69" i="43"/>
  <c r="F80" i="46"/>
  <c r="M41" i="42"/>
  <c r="G55" i="43"/>
  <c r="F93" i="46"/>
  <c r="M54" i="42"/>
  <c r="F121" i="46"/>
  <c r="M82" i="42"/>
  <c r="F79" i="46"/>
  <c r="M40" i="42"/>
  <c r="G54" i="43"/>
  <c r="F78" i="46"/>
  <c r="M39" i="42"/>
  <c r="F75" i="46"/>
  <c r="M36" i="42"/>
  <c r="F74" i="46"/>
  <c r="M35" i="42"/>
  <c r="G49" i="43"/>
  <c r="F66" i="46"/>
  <c r="M27" i="42"/>
  <c r="F118" i="46"/>
  <c r="M79" i="42"/>
  <c r="F64" i="46"/>
  <c r="M25" i="42"/>
  <c r="G39" i="43"/>
  <c r="F63" i="46"/>
  <c r="M24" i="42"/>
  <c r="G38" i="43"/>
  <c r="F62" i="46"/>
  <c r="M23" i="42"/>
  <c r="G37" i="43"/>
  <c r="F61" i="46"/>
  <c r="M22" i="42"/>
  <c r="F117" i="46"/>
  <c r="M78" i="42"/>
  <c r="F60" i="46"/>
  <c r="M21" i="42"/>
  <c r="F70" i="46"/>
  <c r="M31" i="42"/>
  <c r="F58" i="46"/>
  <c r="M19" i="42"/>
  <c r="G33" i="43"/>
  <c r="F115" i="46"/>
  <c r="M76" i="42"/>
  <c r="G44" i="43"/>
  <c r="F56" i="46"/>
  <c r="M17" i="42"/>
  <c r="G31" i="43"/>
  <c r="F69" i="46"/>
  <c r="M30" i="42"/>
  <c r="F114" i="46"/>
  <c r="M75" i="42"/>
  <c r="F67" i="46"/>
  <c r="M28" i="42"/>
  <c r="G42" i="43"/>
  <c r="F55" i="46"/>
  <c r="M16" i="42"/>
  <c r="F54" i="46"/>
  <c r="M15" i="42"/>
  <c r="G29" i="43"/>
  <c r="F53" i="46"/>
  <c r="M14" i="42"/>
  <c r="G28" i="43"/>
  <c r="F51" i="46"/>
  <c r="M12" i="42"/>
  <c r="F49" i="46"/>
  <c r="M10" i="42"/>
  <c r="G24" i="43"/>
  <c r="F111" i="46"/>
  <c r="M72" i="42"/>
  <c r="F48" i="46"/>
  <c r="M9" i="42"/>
  <c r="G23" i="43"/>
  <c r="F47" i="46"/>
  <c r="M8" i="42"/>
  <c r="G22" i="43"/>
  <c r="F46" i="46"/>
  <c r="M7" i="42"/>
  <c r="F45" i="46"/>
  <c r="AF45" i="46" s="1"/>
  <c r="M6" i="42"/>
  <c r="G20" i="43"/>
  <c r="F91" i="46"/>
  <c r="M52" i="42"/>
  <c r="O2717" i="16"/>
  <c r="Y2715" i="16"/>
  <c r="Y2714" i="16"/>
  <c r="Y2713" i="16"/>
  <c r="Y2712" i="16"/>
  <c r="Y2716" i="16"/>
  <c r="Y2717" i="16"/>
  <c r="O2687" i="16"/>
  <c r="Y2686" i="16"/>
  <c r="Y2687" i="16"/>
  <c r="Y2685" i="16"/>
  <c r="Y2682" i="16"/>
  <c r="Y2684" i="16"/>
  <c r="O2657" i="16"/>
  <c r="Y2657" i="16"/>
  <c r="Y2652" i="16"/>
  <c r="Y2655" i="16"/>
  <c r="Y2654" i="16"/>
  <c r="Y2653" i="16"/>
  <c r="Y2656" i="16"/>
  <c r="O2627" i="16"/>
  <c r="Y2622" i="16"/>
  <c r="Y2624" i="16"/>
  <c r="Y2623" i="16"/>
  <c r="Y2625" i="16"/>
  <c r="Y2627" i="16"/>
  <c r="Y2626" i="16"/>
  <c r="O2597" i="16"/>
  <c r="Y2593" i="16"/>
  <c r="Y2596" i="16"/>
  <c r="Y2594" i="16"/>
  <c r="Y2597" i="16"/>
  <c r="Y2592" i="16"/>
  <c r="Y2595" i="16"/>
  <c r="O2567" i="16"/>
  <c r="Y2565" i="16"/>
  <c r="Y2564" i="16"/>
  <c r="Y2563" i="16"/>
  <c r="Y2562" i="16"/>
  <c r="Y2566" i="16"/>
  <c r="Y2567" i="16"/>
  <c r="O2537" i="16"/>
  <c r="Y2532" i="16"/>
  <c r="Y2536" i="16"/>
  <c r="Y2537" i="16"/>
  <c r="Y2535" i="16"/>
  <c r="Y2534" i="16"/>
  <c r="Y2533" i="16"/>
  <c r="O2507" i="16"/>
  <c r="Y2506" i="16"/>
  <c r="Y2503" i="16"/>
  <c r="Y2502" i="16"/>
  <c r="Y2504" i="16"/>
  <c r="Y2505" i="16"/>
  <c r="Y2507" i="16"/>
  <c r="O2477" i="16"/>
  <c r="Y2477" i="16"/>
  <c r="Y2475" i="16"/>
  <c r="Y2472" i="16"/>
  <c r="Y2474" i="16"/>
  <c r="Y2476" i="16"/>
  <c r="Y2473" i="16"/>
  <c r="O2447" i="16"/>
  <c r="Y2446" i="16"/>
  <c r="Y2444" i="16"/>
  <c r="Y2443" i="16"/>
  <c r="Y2445" i="16"/>
  <c r="Y2442" i="16"/>
  <c r="Y2447" i="16"/>
  <c r="O2417" i="16"/>
  <c r="Y2415" i="16"/>
  <c r="Y2417" i="16"/>
  <c r="Y2414" i="16"/>
  <c r="Y2416" i="16"/>
  <c r="Y2412" i="16"/>
  <c r="Y2413" i="16"/>
  <c r="O2387" i="16"/>
  <c r="Y2383" i="16"/>
  <c r="Y2387" i="16"/>
  <c r="Y2384" i="16"/>
  <c r="Y2382" i="16"/>
  <c r="Y2386" i="16"/>
  <c r="Y2385" i="16"/>
  <c r="O2357" i="16"/>
  <c r="Y2353" i="16"/>
  <c r="Y2352" i="16"/>
  <c r="Y2356" i="16"/>
  <c r="Y2355" i="16"/>
  <c r="Y2357" i="16"/>
  <c r="Y2354" i="16"/>
  <c r="O2327" i="16"/>
  <c r="Y2322" i="16"/>
  <c r="Y2326" i="16"/>
  <c r="Y2324" i="16"/>
  <c r="Y2323" i="16"/>
  <c r="Y2327" i="16"/>
  <c r="Y2325" i="16"/>
  <c r="O2297" i="16"/>
  <c r="Y2293" i="16"/>
  <c r="Y2297" i="16"/>
  <c r="Y2296" i="16"/>
  <c r="Y2292" i="16"/>
  <c r="Y2294" i="16"/>
  <c r="Y2295" i="16"/>
  <c r="O2267" i="16"/>
  <c r="Y2262" i="16"/>
  <c r="Y2265" i="16"/>
  <c r="Y2267" i="16"/>
  <c r="Y2266" i="16"/>
  <c r="Y2264" i="16"/>
  <c r="Y2263" i="16"/>
  <c r="O2237" i="16"/>
  <c r="Y2234" i="16"/>
  <c r="Y2233" i="16"/>
  <c r="Y2232" i="16"/>
  <c r="Y2236" i="16"/>
  <c r="Y2237" i="16"/>
  <c r="Y2235" i="16"/>
  <c r="O2207" i="16"/>
  <c r="Y2203" i="16"/>
  <c r="Y2205" i="16"/>
  <c r="Y2206" i="16"/>
  <c r="Y2202" i="16"/>
  <c r="Y2204" i="16"/>
  <c r="Y2207" i="16"/>
  <c r="O2177" i="16"/>
  <c r="Y2174" i="16"/>
  <c r="Y2173" i="16"/>
  <c r="Y2172" i="16"/>
  <c r="Y2176" i="16"/>
  <c r="Y2177" i="16"/>
  <c r="Y2175" i="16"/>
  <c r="O2147" i="16"/>
  <c r="Y2147" i="16"/>
  <c r="Y2144" i="16"/>
  <c r="Y2143" i="16"/>
  <c r="Y2142" i="16"/>
  <c r="Y2146" i="16"/>
  <c r="Y2145" i="16"/>
  <c r="O2117" i="16"/>
  <c r="Y2112" i="16"/>
  <c r="Y2113" i="16"/>
  <c r="Y2114" i="16"/>
  <c r="Y2116" i="16"/>
  <c r="Y2115" i="16"/>
  <c r="Y2117" i="16"/>
  <c r="O2087" i="16"/>
  <c r="Y2087" i="16"/>
  <c r="Y2083" i="16"/>
  <c r="Y2085" i="16"/>
  <c r="Y2086" i="16"/>
  <c r="Y2084" i="16"/>
  <c r="O2057" i="16"/>
  <c r="Y2056" i="16"/>
  <c r="Y2052" i="16"/>
  <c r="Y2055" i="16"/>
  <c r="Y2054" i="16"/>
  <c r="Y2057" i="16"/>
  <c r="Y2053" i="16"/>
  <c r="O2027" i="16"/>
  <c r="Y2027" i="16"/>
  <c r="Y2024" i="16"/>
  <c r="Y2023" i="16"/>
  <c r="Y2022" i="16"/>
  <c r="Y2026" i="16"/>
  <c r="Y2025" i="16"/>
  <c r="O1997" i="16"/>
  <c r="Y1995" i="16"/>
  <c r="Y1994" i="16"/>
  <c r="Y1992" i="16"/>
  <c r="Y1997" i="16"/>
  <c r="Y1996" i="16"/>
  <c r="Y1993" i="16"/>
  <c r="O1967" i="16"/>
  <c r="Y1967" i="16"/>
  <c r="Y1963" i="16"/>
  <c r="Y1964" i="16"/>
  <c r="Y1962" i="16"/>
  <c r="Y1966" i="16"/>
  <c r="Y1965" i="16"/>
  <c r="O1937" i="16"/>
  <c r="Y1935" i="16"/>
  <c r="Y1936" i="16"/>
  <c r="Y1937" i="16"/>
  <c r="O1907" i="16"/>
  <c r="Y1907" i="16"/>
  <c r="Y1904" i="16"/>
  <c r="Y1905" i="16"/>
  <c r="Y1906" i="16"/>
  <c r="Y1903" i="16"/>
  <c r="Y1902" i="16"/>
  <c r="O1877" i="16"/>
  <c r="Y1874" i="16"/>
  <c r="Y1875" i="16"/>
  <c r="Y1873" i="16"/>
  <c r="Y1877" i="16"/>
  <c r="Y1876" i="16"/>
  <c r="Y1872" i="16"/>
  <c r="O1847" i="16"/>
  <c r="Y1843" i="16"/>
  <c r="Y1842" i="16"/>
  <c r="Y1846" i="16"/>
  <c r="Y1845" i="16"/>
  <c r="Y1844" i="16"/>
  <c r="Y1847" i="16"/>
  <c r="O1817" i="16"/>
  <c r="Y1814" i="16"/>
  <c r="Y1815" i="16"/>
  <c r="Y1813" i="16"/>
  <c r="Y1817" i="16"/>
  <c r="Y1812" i="16"/>
  <c r="Y1816" i="16"/>
  <c r="O1787" i="16"/>
  <c r="Y1782" i="16"/>
  <c r="Y1755" i="16"/>
  <c r="Y1757" i="16"/>
  <c r="Y1756" i="16"/>
  <c r="Y1754" i="16"/>
  <c r="Y1752" i="16"/>
  <c r="Y1753" i="16"/>
  <c r="Y1725" i="16"/>
  <c r="Y1727" i="16"/>
  <c r="Y1724" i="16"/>
  <c r="Y1726" i="16"/>
  <c r="O1697" i="16"/>
  <c r="Y1693" i="16"/>
  <c r="Y1696" i="16"/>
  <c r="Y1694" i="16"/>
  <c r="Y1695" i="16"/>
  <c r="Y1692" i="16"/>
  <c r="Y1697" i="16"/>
  <c r="O1667" i="16"/>
  <c r="Y1663" i="16"/>
  <c r="Y1665" i="16"/>
  <c r="Y1666" i="16"/>
  <c r="Y1667" i="16"/>
  <c r="Y1664" i="16"/>
  <c r="Y1662" i="16"/>
  <c r="O1637" i="16"/>
  <c r="Y1633" i="16"/>
  <c r="Y1632" i="16"/>
  <c r="Y1637" i="16"/>
  <c r="Y1635" i="16"/>
  <c r="Y1634" i="16"/>
  <c r="Y1636" i="16"/>
  <c r="O1607" i="16"/>
  <c r="Y1603" i="16"/>
  <c r="Y1607" i="16"/>
  <c r="Y1606" i="16"/>
  <c r="Y1602" i="16"/>
  <c r="Y1605" i="16"/>
  <c r="Y1604" i="16"/>
  <c r="O1577" i="16"/>
  <c r="Y1576" i="16"/>
  <c r="Y1573" i="16"/>
  <c r="Y1575" i="16"/>
  <c r="Y1574" i="16"/>
  <c r="Y1577" i="16"/>
  <c r="Y1572" i="16"/>
  <c r="O1547" i="16"/>
  <c r="Y1543" i="16"/>
  <c r="Y1546" i="16"/>
  <c r="Y1545" i="16"/>
  <c r="Y1544" i="16"/>
  <c r="Y1542" i="16"/>
  <c r="Y1547" i="16"/>
  <c r="Y1513" i="16"/>
  <c r="Y1512" i="16"/>
  <c r="Y1515" i="16"/>
  <c r="Y1516" i="16"/>
  <c r="Y1517" i="16"/>
  <c r="Y1514" i="16"/>
  <c r="O1487" i="16"/>
  <c r="Y1484" i="16"/>
  <c r="Y1487" i="16"/>
  <c r="Y1485" i="16"/>
  <c r="Y1486" i="16"/>
  <c r="O1457" i="16"/>
  <c r="Y1453" i="16"/>
  <c r="Y1457" i="16"/>
  <c r="Y1454" i="16"/>
  <c r="Y1456" i="16"/>
  <c r="Y1455" i="16"/>
  <c r="Y1425" i="16"/>
  <c r="Y1427" i="16"/>
  <c r="Y1424" i="16"/>
  <c r="Y1426" i="16"/>
  <c r="O1397" i="16"/>
  <c r="Y1393" i="16"/>
  <c r="Y1395" i="16"/>
  <c r="Y1392" i="16"/>
  <c r="Y1397" i="16"/>
  <c r="Y1396" i="16"/>
  <c r="Y1394" i="16"/>
  <c r="O1367" i="16"/>
  <c r="Y1363" i="16"/>
  <c r="Y1365" i="16"/>
  <c r="Y1366" i="16"/>
  <c r="Y1362" i="16"/>
  <c r="Y1364" i="16"/>
  <c r="Y1367" i="16"/>
  <c r="O1337" i="16"/>
  <c r="Y1332" i="16"/>
  <c r="Y1333" i="16"/>
  <c r="Y1335" i="16"/>
  <c r="Y1336" i="16"/>
  <c r="Y1337" i="16"/>
  <c r="Y1334" i="16"/>
  <c r="O1307" i="16"/>
  <c r="Y1303" i="16"/>
  <c r="Y1305" i="16"/>
  <c r="Y1306" i="16"/>
  <c r="Y1302" i="16"/>
  <c r="Y1304" i="16"/>
  <c r="Y1307" i="16"/>
  <c r="O1277" i="16"/>
  <c r="Y1277" i="16"/>
  <c r="Y1273" i="16"/>
  <c r="Y1275" i="16"/>
  <c r="Y1276" i="16"/>
  <c r="Y1274" i="16"/>
  <c r="Y1272" i="16"/>
  <c r="O1247" i="16"/>
  <c r="Y1246" i="16"/>
  <c r="Y1243" i="16"/>
  <c r="Y1244" i="16"/>
  <c r="Y1245" i="16"/>
  <c r="Y1242" i="16"/>
  <c r="Y1247" i="16"/>
  <c r="O1217" i="16"/>
  <c r="Y1217" i="16"/>
  <c r="Y1212" i="16"/>
  <c r="Y1216" i="16"/>
  <c r="Y1214" i="16"/>
  <c r="Y1213" i="16"/>
  <c r="Y1215" i="16"/>
  <c r="O1187" i="16"/>
  <c r="Y1183" i="16"/>
  <c r="Y1185" i="16"/>
  <c r="Y1187" i="16"/>
  <c r="Y1184" i="16"/>
  <c r="Y1186" i="16"/>
  <c r="Y1182" i="16"/>
  <c r="O1157" i="16"/>
  <c r="Y1157" i="16"/>
  <c r="Y1153" i="16"/>
  <c r="Y1155" i="16"/>
  <c r="Y1156" i="16"/>
  <c r="Y1152" i="16"/>
  <c r="Y1154" i="16"/>
  <c r="O1127" i="16"/>
  <c r="Y1123" i="16"/>
  <c r="Y1122" i="16"/>
  <c r="Y1124" i="16"/>
  <c r="Y1127" i="16"/>
  <c r="Y1125" i="16"/>
  <c r="Y1126" i="16"/>
  <c r="O1097" i="16"/>
  <c r="Y1093" i="16"/>
  <c r="Y1097" i="16"/>
  <c r="Y1096" i="16"/>
  <c r="Y1094" i="16"/>
  <c r="Y1095" i="16"/>
  <c r="Y1092" i="16"/>
  <c r="O1067" i="16"/>
  <c r="Y1063" i="16"/>
  <c r="Y1062" i="16"/>
  <c r="Y1065" i="16"/>
  <c r="Y1067" i="16"/>
  <c r="Y1064" i="16"/>
  <c r="Y1066" i="16"/>
  <c r="O1037" i="16"/>
  <c r="Y1033" i="16"/>
  <c r="Y1036" i="16"/>
  <c r="Y1034" i="16"/>
  <c r="Y1032" i="16"/>
  <c r="Y1037" i="16"/>
  <c r="Y1035" i="16"/>
  <c r="O1007" i="16"/>
  <c r="Y1003" i="16"/>
  <c r="Y1006" i="16"/>
  <c r="Y1002" i="16"/>
  <c r="Y1004" i="16"/>
  <c r="Y1005" i="16"/>
  <c r="Y1007" i="16"/>
  <c r="O977" i="16"/>
  <c r="Y973" i="16"/>
  <c r="Y976" i="16"/>
  <c r="Y975" i="16"/>
  <c r="Y977" i="16"/>
  <c r="Y972" i="16"/>
  <c r="Y974" i="16"/>
  <c r="O947" i="16"/>
  <c r="Y946" i="16"/>
  <c r="Y943" i="16"/>
  <c r="Y944" i="16"/>
  <c r="Y945" i="16"/>
  <c r="Y942" i="16"/>
  <c r="Y947" i="16"/>
  <c r="O917" i="16"/>
  <c r="Y913" i="16"/>
  <c r="Y916" i="16"/>
  <c r="Y914" i="16"/>
  <c r="Y912" i="16"/>
  <c r="Y915" i="16"/>
  <c r="Y917" i="16"/>
  <c r="O886" i="16"/>
  <c r="Y885" i="16"/>
  <c r="Y882" i="16"/>
  <c r="Y881" i="16"/>
  <c r="Y886" i="16"/>
  <c r="Y884" i="16"/>
  <c r="Y883" i="16"/>
  <c r="O856" i="16"/>
  <c r="Y855" i="16"/>
  <c r="Y852" i="16"/>
  <c r="Y856" i="16"/>
  <c r="Y854" i="16"/>
  <c r="Y853" i="16"/>
  <c r="Y851" i="16"/>
  <c r="O826" i="16"/>
  <c r="Y821" i="16"/>
  <c r="Y826" i="16"/>
  <c r="Y825" i="16"/>
  <c r="Y822" i="16"/>
  <c r="Y824" i="16"/>
  <c r="Y823" i="16"/>
  <c r="O796" i="16"/>
  <c r="Y792" i="16"/>
  <c r="Y791" i="16"/>
  <c r="Y793" i="16"/>
  <c r="Y796" i="16"/>
  <c r="Y795" i="16"/>
  <c r="Y794" i="16"/>
  <c r="O766" i="16"/>
  <c r="Y762" i="16"/>
  <c r="Y766" i="16"/>
  <c r="Y765" i="16"/>
  <c r="Y763" i="16"/>
  <c r="Y764" i="16"/>
  <c r="Y761" i="16"/>
  <c r="O736" i="16"/>
  <c r="Y733" i="16"/>
  <c r="Y732" i="16"/>
  <c r="Y731" i="16"/>
  <c r="Y735" i="16"/>
  <c r="Y734" i="16"/>
  <c r="Y736" i="16"/>
  <c r="O706" i="16"/>
  <c r="Y701" i="16"/>
  <c r="Y704" i="16"/>
  <c r="Y705" i="16"/>
  <c r="Y702" i="16"/>
  <c r="Y706" i="16"/>
  <c r="Y703" i="16"/>
  <c r="O676" i="16"/>
  <c r="Y672" i="16"/>
  <c r="Y671" i="16"/>
  <c r="Y673" i="16"/>
  <c r="Y676" i="16"/>
  <c r="Y674" i="16"/>
  <c r="Y675" i="16"/>
  <c r="O646" i="16"/>
  <c r="Y645" i="16"/>
  <c r="Y642" i="16"/>
  <c r="Y643" i="16"/>
  <c r="Y644" i="16"/>
  <c r="Y641" i="16"/>
  <c r="Y646" i="16"/>
  <c r="O616" i="16"/>
  <c r="Y612" i="16"/>
  <c r="Y615" i="16"/>
  <c r="Y611" i="16"/>
  <c r="Y616" i="16"/>
  <c r="Y614" i="16"/>
  <c r="Y613" i="16"/>
  <c r="O586" i="16"/>
  <c r="Y582" i="16"/>
  <c r="Y586" i="16"/>
  <c r="Y584" i="16"/>
  <c r="Y583" i="16"/>
  <c r="Y585" i="16"/>
  <c r="Y581" i="16"/>
  <c r="O556" i="16"/>
  <c r="Y552" i="16"/>
  <c r="Y555" i="16"/>
  <c r="Y551" i="16"/>
  <c r="Y556" i="16"/>
  <c r="Y554" i="16"/>
  <c r="Y553" i="16"/>
  <c r="O526" i="16"/>
  <c r="Y524" i="16"/>
  <c r="Y521" i="16"/>
  <c r="Y523" i="16"/>
  <c r="Y525" i="16"/>
  <c r="Y522" i="16"/>
  <c r="Y526" i="16"/>
  <c r="O496" i="16"/>
  <c r="Y492" i="16"/>
  <c r="Y493" i="16"/>
  <c r="Y494" i="16"/>
  <c r="Y495" i="16"/>
  <c r="Y496" i="16"/>
  <c r="Y491" i="16"/>
  <c r="O466" i="16"/>
  <c r="Y462" i="16"/>
  <c r="Y465" i="16"/>
  <c r="Y466" i="16"/>
  <c r="Y463" i="16"/>
  <c r="Y464" i="16"/>
  <c r="Y461" i="16"/>
  <c r="O436" i="16"/>
  <c r="Y432" i="16"/>
  <c r="Y434" i="16"/>
  <c r="Y435" i="16"/>
  <c r="Y431" i="16"/>
  <c r="Y436" i="16"/>
  <c r="Y433" i="16"/>
  <c r="O406" i="16"/>
  <c r="Y402" i="16"/>
  <c r="Y405" i="16"/>
  <c r="Y404" i="16"/>
  <c r="Y403" i="16"/>
  <c r="Y406" i="16"/>
  <c r="Y401" i="16"/>
  <c r="O376" i="16"/>
  <c r="Y375" i="16"/>
  <c r="Y372" i="16"/>
  <c r="Y374" i="16"/>
  <c r="Y371" i="16"/>
  <c r="Y373" i="16"/>
  <c r="Y376" i="16"/>
  <c r="O346" i="16"/>
  <c r="Y345" i="16"/>
  <c r="Y344" i="16"/>
  <c r="Y343" i="16"/>
  <c r="Y341" i="16"/>
  <c r="Y346" i="16"/>
  <c r="Y342" i="16"/>
  <c r="O316" i="16"/>
  <c r="Y312" i="16"/>
  <c r="Y316" i="16"/>
  <c r="Y315" i="16"/>
  <c r="Y313" i="16"/>
  <c r="Y314" i="16"/>
  <c r="Y311" i="16"/>
  <c r="O286" i="16"/>
  <c r="Y283" i="16"/>
  <c r="Y281" i="16"/>
  <c r="Y284" i="16"/>
  <c r="Y285" i="16"/>
  <c r="Y286" i="16"/>
  <c r="O256" i="16"/>
  <c r="Y252" i="16"/>
  <c r="Y254" i="16"/>
  <c r="Y251" i="16"/>
  <c r="Y255" i="16"/>
  <c r="Y256" i="16"/>
  <c r="Y253" i="16"/>
  <c r="O226" i="16"/>
  <c r="Y221" i="16"/>
  <c r="Y224" i="16"/>
  <c r="Y222" i="16"/>
  <c r="Y225" i="16"/>
  <c r="Y226" i="16"/>
  <c r="Y223" i="16"/>
  <c r="O196" i="16"/>
  <c r="Y194" i="16"/>
  <c r="Y196" i="16"/>
  <c r="Y192" i="16"/>
  <c r="Y195" i="16"/>
  <c r="Y193" i="16"/>
  <c r="Y191" i="16"/>
  <c r="O166" i="16"/>
  <c r="Y162" i="16"/>
  <c r="Y161" i="16"/>
  <c r="Y164" i="16"/>
  <c r="Y166" i="16"/>
  <c r="Y165" i="16"/>
  <c r="Y163" i="16"/>
  <c r="O136" i="16"/>
  <c r="Y135" i="16"/>
  <c r="Y134" i="16"/>
  <c r="Y132" i="16"/>
  <c r="Y131" i="16"/>
  <c r="Y133" i="16"/>
  <c r="Y136" i="16"/>
  <c r="O106" i="16"/>
  <c r="Y105" i="16"/>
  <c r="Y102" i="16"/>
  <c r="Y104" i="16"/>
  <c r="Y101" i="16"/>
  <c r="Y103" i="16"/>
  <c r="Y106" i="16"/>
  <c r="O76" i="16"/>
  <c r="Y75" i="16"/>
  <c r="Y72" i="16"/>
  <c r="Y76" i="16"/>
  <c r="Y74" i="16"/>
  <c r="Y73" i="16"/>
  <c r="Y71" i="16"/>
  <c r="J47" i="16"/>
  <c r="Y41" i="16"/>
  <c r="X35" i="16"/>
  <c r="Z41" i="16"/>
  <c r="AB41" i="16" s="1"/>
  <c r="K42" i="16"/>
  <c r="F44" i="16"/>
  <c r="K44" i="16"/>
  <c r="F46" i="16"/>
  <c r="K46" i="16"/>
  <c r="F43" i="16"/>
  <c r="F45" i="16"/>
  <c r="K45" i="16"/>
  <c r="O46" i="16"/>
  <c r="D51" i="33"/>
  <c r="H42" i="16"/>
  <c r="H46" i="16"/>
  <c r="H45" i="16"/>
  <c r="H44" i="16"/>
  <c r="G44" i="16"/>
  <c r="G46" i="16"/>
  <c r="G43" i="16"/>
  <c r="G45" i="16"/>
  <c r="Y42" i="16"/>
  <c r="E45" i="16"/>
  <c r="L45" i="16" s="1"/>
  <c r="I20" i="31"/>
  <c r="X47" i="16"/>
  <c r="E43" i="16"/>
  <c r="E46" i="16"/>
  <c r="L46" i="16" s="1"/>
  <c r="E44" i="16"/>
  <c r="L44" i="16" s="1"/>
  <c r="AB881" i="16" l="1"/>
  <c r="AB1842" i="16"/>
  <c r="Z1848" i="16"/>
  <c r="E79" i="43" s="1"/>
  <c r="H1218" i="16"/>
  <c r="K1218" i="16" s="1"/>
  <c r="K58" i="40" s="1"/>
  <c r="M44" i="42" s="1"/>
  <c r="H767" i="16"/>
  <c r="K767" i="16" s="1"/>
  <c r="K43" i="40" s="1"/>
  <c r="F68" i="46" s="1"/>
  <c r="AB1782" i="16"/>
  <c r="AB1788" i="16" s="1"/>
  <c r="H1038" i="16"/>
  <c r="K1038" i="16" s="1"/>
  <c r="K52" i="40" s="1"/>
  <c r="F77" i="46" s="1"/>
  <c r="AB1303" i="16"/>
  <c r="AB1308" i="16" s="1"/>
  <c r="Z1248" i="16"/>
  <c r="E59" i="43" s="1"/>
  <c r="Z1188" i="16"/>
  <c r="E57" i="43" s="1"/>
  <c r="AB1188" i="16"/>
  <c r="AB1273" i="16"/>
  <c r="Z1278" i="16"/>
  <c r="E60" i="43" s="1"/>
  <c r="AA1188" i="16"/>
  <c r="Z1638" i="16"/>
  <c r="E72" i="43" s="1"/>
  <c r="AB1638" i="16"/>
  <c r="AA1638" i="16"/>
  <c r="F72" i="43" s="1"/>
  <c r="Z497" i="16"/>
  <c r="E34" i="43" s="1"/>
  <c r="AA497" i="16"/>
  <c r="F34" i="43" s="1"/>
  <c r="Z677" i="16"/>
  <c r="E40" i="43" s="1"/>
  <c r="AB671" i="16"/>
  <c r="AA677" i="16" s="1"/>
  <c r="F40" i="43" s="1"/>
  <c r="Z437" i="16"/>
  <c r="E32" i="43" s="1"/>
  <c r="AB437" i="16"/>
  <c r="AA437" i="16"/>
  <c r="F32" i="43" s="1"/>
  <c r="K1728" i="16"/>
  <c r="K75" i="40" s="1"/>
  <c r="M61" i="42" s="1"/>
  <c r="AB2088" i="16"/>
  <c r="AB497" i="16"/>
  <c r="K1248" i="16"/>
  <c r="K59" i="40" s="1"/>
  <c r="F84" i="46" s="1"/>
  <c r="H84" i="46" s="1"/>
  <c r="Z1488" i="16"/>
  <c r="E67" i="43" s="1"/>
  <c r="Z1338" i="16"/>
  <c r="E62" i="43" s="1"/>
  <c r="AB1488" i="16"/>
  <c r="AA1488" i="16"/>
  <c r="F67" i="43" s="1"/>
  <c r="Z2088" i="16"/>
  <c r="E87" i="43" s="1"/>
  <c r="AA2118" i="16"/>
  <c r="F88" i="43" s="1"/>
  <c r="Z918" i="16"/>
  <c r="E48" i="43" s="1"/>
  <c r="Z2628" i="16"/>
  <c r="E105" i="43" s="1"/>
  <c r="AB2118" i="16"/>
  <c r="AA1998" i="16"/>
  <c r="F84" i="43" s="1"/>
  <c r="AB1998" i="16"/>
  <c r="Z1008" i="16"/>
  <c r="E51" i="43" s="1"/>
  <c r="K1638" i="16"/>
  <c r="K72" i="40" s="1"/>
  <c r="F97" i="46" s="1"/>
  <c r="Z2118" i="16"/>
  <c r="E88" i="43" s="1"/>
  <c r="AA2208" i="16"/>
  <c r="K1488" i="16"/>
  <c r="Z2328" i="16"/>
  <c r="E95" i="43" s="1"/>
  <c r="Z2388" i="16"/>
  <c r="E97" i="43" s="1"/>
  <c r="Z2448" i="16"/>
  <c r="E99" i="43" s="1"/>
  <c r="Z1698" i="16"/>
  <c r="E74" i="43" s="1"/>
  <c r="Z1878" i="16"/>
  <c r="E80" i="43" s="1"/>
  <c r="Z1998" i="16"/>
  <c r="E84" i="43" s="1"/>
  <c r="AB2028" i="16"/>
  <c r="AA2028" i="16"/>
  <c r="AB2688" i="16"/>
  <c r="AA2688" i="16"/>
  <c r="AB1338" i="16"/>
  <c r="AA1338" i="16"/>
  <c r="F62" i="43" s="1"/>
  <c r="AB2628" i="16"/>
  <c r="AA2628" i="16"/>
  <c r="F105" i="43" s="1"/>
  <c r="AB1248" i="16"/>
  <c r="AA1248" i="16"/>
  <c r="F59" i="43" s="1"/>
  <c r="AB1878" i="16"/>
  <c r="AA1878" i="16"/>
  <c r="F80" i="43" s="1"/>
  <c r="Z1218" i="16"/>
  <c r="E58" i="43" s="1"/>
  <c r="AB1212" i="16"/>
  <c r="Z1728" i="16"/>
  <c r="E75" i="43" s="1"/>
  <c r="AB1723" i="16"/>
  <c r="AB1698" i="16"/>
  <c r="AA1698" i="16"/>
  <c r="F74" i="43" s="1"/>
  <c r="AB2508" i="16"/>
  <c r="AA2508" i="16"/>
  <c r="F101" i="43" s="1"/>
  <c r="K2448" i="16" a="1"/>
  <c r="K2448" i="16" s="1"/>
  <c r="K99" i="40" s="1"/>
  <c r="AB2448" i="16"/>
  <c r="AA2448" i="16"/>
  <c r="F99" i="43" s="1"/>
  <c r="K2388" i="16" a="1"/>
  <c r="K2388" i="16" s="1"/>
  <c r="K97" i="40" s="1"/>
  <c r="F122" i="46" s="1"/>
  <c r="AB2388" i="16"/>
  <c r="AA2388" i="16"/>
  <c r="F97" i="43" s="1"/>
  <c r="K2328" i="16" a="1"/>
  <c r="K2328" i="16" s="1"/>
  <c r="K95" i="40" s="1"/>
  <c r="AB2328" i="16"/>
  <c r="AA2328" i="16"/>
  <c r="F95" i="43" s="1"/>
  <c r="AB1153" i="16"/>
  <c r="Z1158" i="16"/>
  <c r="E56" i="43" s="1"/>
  <c r="K2298" i="16" a="1"/>
  <c r="K2298" i="16" s="1"/>
  <c r="K94" i="40" s="1"/>
  <c r="AB2298" i="16"/>
  <c r="AA2298" i="16"/>
  <c r="AB1032" i="16"/>
  <c r="Z1038" i="16"/>
  <c r="E52" i="43" s="1"/>
  <c r="K2088" i="16" a="1"/>
  <c r="K2088" i="16" s="1"/>
  <c r="K87" i="40" s="1"/>
  <c r="K2118" i="16" a="1"/>
  <c r="K2118" i="16" s="1"/>
  <c r="K88" i="40" s="1"/>
  <c r="M74" i="42" s="1"/>
  <c r="K2208" i="16" a="1"/>
  <c r="K2208" i="16" s="1"/>
  <c r="K91" i="40" s="1"/>
  <c r="AB1008" i="16"/>
  <c r="AA1008" i="16"/>
  <c r="F51" i="43" s="1"/>
  <c r="AB918" i="16"/>
  <c r="AA918" i="16"/>
  <c r="F48" i="43" s="1"/>
  <c r="AB1422" i="16"/>
  <c r="AB1428" i="16" s="1"/>
  <c r="Z1428" i="16"/>
  <c r="E65" i="43" s="1"/>
  <c r="K918" i="16"/>
  <c r="K48" i="40" s="1"/>
  <c r="F73" i="46" s="1"/>
  <c r="AF73" i="46" s="1"/>
  <c r="K227" i="16"/>
  <c r="K25" i="40" s="1"/>
  <c r="M11" i="42" s="1"/>
  <c r="K2628" i="16"/>
  <c r="K105" i="40" s="1"/>
  <c r="F130" i="46" s="1"/>
  <c r="Z857" i="16"/>
  <c r="K1158" i="16"/>
  <c r="K56" i="40" s="1"/>
  <c r="F81" i="46" s="1"/>
  <c r="H81" i="46" s="1"/>
  <c r="AA857" i="16"/>
  <c r="F46" i="43" s="1"/>
  <c r="AB857" i="16"/>
  <c r="AA887" i="16"/>
  <c r="F47" i="43" s="1"/>
  <c r="AB887" i="16"/>
  <c r="AB287" i="16"/>
  <c r="Z287" i="16"/>
  <c r="AA2088" i="16"/>
  <c r="F87" i="43" s="1"/>
  <c r="K67" i="40"/>
  <c r="F92" i="46" s="1"/>
  <c r="H92" i="46" s="1"/>
  <c r="AA227" i="16"/>
  <c r="H94" i="39"/>
  <c r="H92" i="39"/>
  <c r="H28" i="39"/>
  <c r="T22" i="42"/>
  <c r="T36" i="42"/>
  <c r="H68" i="39"/>
  <c r="H91" i="39"/>
  <c r="K2508" i="16"/>
  <c r="K101" i="40" s="1"/>
  <c r="M87" i="42" s="1"/>
  <c r="H37" i="39"/>
  <c r="T84" i="42"/>
  <c r="T27" i="42"/>
  <c r="T82" i="42"/>
  <c r="T94" i="42"/>
  <c r="K857" i="16"/>
  <c r="K46" i="40" s="1"/>
  <c r="F71" i="46" s="1"/>
  <c r="H55" i="39"/>
  <c r="K887" i="16"/>
  <c r="K47" i="40" s="1"/>
  <c r="F72" i="46" s="1"/>
  <c r="H70" i="39"/>
  <c r="H102" i="39"/>
  <c r="T88" i="42"/>
  <c r="H83" i="39"/>
  <c r="T16" i="42"/>
  <c r="H72" i="39"/>
  <c r="H65" i="39"/>
  <c r="H73" i="39"/>
  <c r="K2028" i="16"/>
  <c r="K85" i="40" s="1"/>
  <c r="T72" i="42"/>
  <c r="K1308" i="16"/>
  <c r="K61" i="40" s="1"/>
  <c r="F86" i="46" s="1"/>
  <c r="H86" i="46" s="1"/>
  <c r="K2688" i="16"/>
  <c r="K107" i="40" s="1"/>
  <c r="M93" i="42" s="1"/>
  <c r="K437" i="16"/>
  <c r="K32" i="40" s="1"/>
  <c r="F57" i="46" s="1"/>
  <c r="AF57" i="46" s="1"/>
  <c r="H23" i="39"/>
  <c r="K1698" i="16"/>
  <c r="K74" i="40" s="1"/>
  <c r="F99" i="46" s="1"/>
  <c r="AF99" i="46" s="1"/>
  <c r="K1998" i="16"/>
  <c r="K84" i="40" s="1"/>
  <c r="K287" i="16"/>
  <c r="K27" i="40" s="1"/>
  <c r="F52" i="46" s="1"/>
  <c r="H52" i="46" s="1"/>
  <c r="K1338" i="16"/>
  <c r="K62" i="40" s="1"/>
  <c r="K1848" i="16"/>
  <c r="K79" i="40" s="1"/>
  <c r="F104" i="46" s="1"/>
  <c r="K1878" i="16"/>
  <c r="K80" i="40" s="1"/>
  <c r="K1188" i="16"/>
  <c r="K57" i="40" s="1"/>
  <c r="K497" i="16"/>
  <c r="K34" i="40" s="1"/>
  <c r="F59" i="46" s="1"/>
  <c r="K677" i="16"/>
  <c r="K40" i="40" s="1"/>
  <c r="K1008" i="16"/>
  <c r="K51" i="40" s="1"/>
  <c r="M37" i="42" s="1"/>
  <c r="K1278" i="16"/>
  <c r="K60" i="40" s="1"/>
  <c r="F85" i="46" s="1"/>
  <c r="H85" i="46" s="1"/>
  <c r="K1788" i="16"/>
  <c r="K77" i="40" s="1"/>
  <c r="K1428" i="16"/>
  <c r="K65" i="40" s="1"/>
  <c r="AB763" i="16"/>
  <c r="Z767" i="16"/>
  <c r="E43" i="43" s="1"/>
  <c r="J64" i="40"/>
  <c r="O1398" i="16"/>
  <c r="T50" i="42"/>
  <c r="H66" i="39"/>
  <c r="H89" i="46"/>
  <c r="AF89" i="46"/>
  <c r="O1368" i="16"/>
  <c r="J63" i="40"/>
  <c r="H88" i="46"/>
  <c r="AF88" i="46"/>
  <c r="O2028" i="16"/>
  <c r="J85" i="40"/>
  <c r="O1338" i="16"/>
  <c r="J62" i="40"/>
  <c r="O1998" i="16"/>
  <c r="J84" i="40"/>
  <c r="O2718" i="16"/>
  <c r="J108" i="40"/>
  <c r="H133" i="46"/>
  <c r="I133" i="46" s="1"/>
  <c r="AF133" i="46"/>
  <c r="O1968" i="16"/>
  <c r="J83" i="40"/>
  <c r="T69" i="42"/>
  <c r="H85" i="39"/>
  <c r="H108" i="46"/>
  <c r="AF108" i="46"/>
  <c r="O1308" i="16"/>
  <c r="J61" i="40"/>
  <c r="O1938" i="16"/>
  <c r="J82" i="40"/>
  <c r="O2688" i="16"/>
  <c r="J107" i="40"/>
  <c r="O1878" i="16"/>
  <c r="J80" i="40"/>
  <c r="O1908" i="16"/>
  <c r="J81" i="40"/>
  <c r="H106" i="46"/>
  <c r="AF106" i="46"/>
  <c r="O2658" i="16"/>
  <c r="J106" i="40"/>
  <c r="T92" i="42"/>
  <c r="H108" i="39"/>
  <c r="H131" i="46"/>
  <c r="AF131" i="46"/>
  <c r="O1848" i="16"/>
  <c r="J79" i="40"/>
  <c r="O2628" i="16"/>
  <c r="J105" i="40"/>
  <c r="O2598" i="16"/>
  <c r="J104" i="40"/>
  <c r="T90" i="42"/>
  <c r="H106" i="39"/>
  <c r="H129" i="46"/>
  <c r="AF129" i="46"/>
  <c r="O1818" i="16"/>
  <c r="J78" i="40"/>
  <c r="T64" i="42"/>
  <c r="H80" i="39"/>
  <c r="H103" i="46"/>
  <c r="AF103" i="46"/>
  <c r="O1788" i="16"/>
  <c r="J77" i="40"/>
  <c r="O2568" i="16"/>
  <c r="J103" i="40"/>
  <c r="T89" i="42"/>
  <c r="H105" i="39"/>
  <c r="H128" i="46"/>
  <c r="AF128" i="46"/>
  <c r="O1278" i="16"/>
  <c r="J60" i="40"/>
  <c r="O2538" i="16"/>
  <c r="J102" i="40"/>
  <c r="H127" i="46"/>
  <c r="AF127" i="46"/>
  <c r="O1248" i="16"/>
  <c r="J59" i="40"/>
  <c r="O1758" i="16"/>
  <c r="J76" i="40"/>
  <c r="H101" i="46"/>
  <c r="AF101" i="46"/>
  <c r="O2508" i="16"/>
  <c r="J101" i="40"/>
  <c r="O1728" i="16"/>
  <c r="J75" i="40"/>
  <c r="O1698" i="16"/>
  <c r="J74" i="40"/>
  <c r="O2478" i="16"/>
  <c r="J100" i="40"/>
  <c r="H125" i="46"/>
  <c r="AF125" i="46"/>
  <c r="O1668" i="16"/>
  <c r="J73" i="40"/>
  <c r="T59" i="42"/>
  <c r="H75" i="39"/>
  <c r="H98" i="46"/>
  <c r="AF98" i="46"/>
  <c r="O1638" i="16"/>
  <c r="J72" i="40"/>
  <c r="O1218" i="16"/>
  <c r="J58" i="40"/>
  <c r="O2448" i="16"/>
  <c r="J99" i="40"/>
  <c r="O2418" i="16"/>
  <c r="J98" i="40"/>
  <c r="H123" i="46"/>
  <c r="AF123" i="46"/>
  <c r="O1608" i="16"/>
  <c r="J71" i="40"/>
  <c r="H96" i="46"/>
  <c r="AF96" i="46"/>
  <c r="J57" i="40"/>
  <c r="O1188" i="16"/>
  <c r="O1158" i="16"/>
  <c r="J56" i="40"/>
  <c r="O1578" i="16"/>
  <c r="J70" i="40"/>
  <c r="H95" i="46"/>
  <c r="AF95" i="46"/>
  <c r="O2388" i="16"/>
  <c r="J97" i="40"/>
  <c r="O1548" i="16"/>
  <c r="J69" i="40"/>
  <c r="T55" i="42"/>
  <c r="H71" i="39"/>
  <c r="H94" i="46"/>
  <c r="AF94" i="46"/>
  <c r="O1128" i="16"/>
  <c r="J55" i="40"/>
  <c r="T41" i="42"/>
  <c r="H57" i="39"/>
  <c r="H80" i="46"/>
  <c r="AF80" i="46"/>
  <c r="O1518" i="16"/>
  <c r="J68" i="40"/>
  <c r="H93" i="46"/>
  <c r="AF93" i="46"/>
  <c r="O2358" i="16"/>
  <c r="J96" i="40"/>
  <c r="H121" i="46"/>
  <c r="AF121" i="46"/>
  <c r="O1098" i="16"/>
  <c r="J54" i="40"/>
  <c r="T40" i="42"/>
  <c r="H56" i="39"/>
  <c r="H79" i="46"/>
  <c r="AF79" i="46"/>
  <c r="O1488" i="16"/>
  <c r="J67" i="40"/>
  <c r="O2328" i="16"/>
  <c r="J95" i="40"/>
  <c r="O1068" i="16"/>
  <c r="J53" i="40"/>
  <c r="H78" i="46"/>
  <c r="AF78" i="46"/>
  <c r="O1038" i="16"/>
  <c r="J52" i="40"/>
  <c r="J51" i="40"/>
  <c r="O1008" i="16"/>
  <c r="O978" i="16"/>
  <c r="J50" i="40"/>
  <c r="H75" i="46"/>
  <c r="AF75" i="46"/>
  <c r="O2298" i="16"/>
  <c r="J94" i="40"/>
  <c r="O948" i="16"/>
  <c r="J49" i="40"/>
  <c r="T35" i="42"/>
  <c r="H51" i="39"/>
  <c r="H74" i="46"/>
  <c r="AF74" i="46"/>
  <c r="J48" i="40"/>
  <c r="O918" i="16"/>
  <c r="O707" i="16"/>
  <c r="J41" i="40"/>
  <c r="H66" i="46"/>
  <c r="AF66" i="46"/>
  <c r="O2268" i="16"/>
  <c r="J93" i="40"/>
  <c r="T79" i="42"/>
  <c r="H95" i="39"/>
  <c r="H118" i="46"/>
  <c r="AF118" i="46"/>
  <c r="O677" i="16"/>
  <c r="J40" i="40"/>
  <c r="O887" i="16"/>
  <c r="J47" i="40"/>
  <c r="O647" i="16"/>
  <c r="J39" i="40"/>
  <c r="T25" i="42"/>
  <c r="H41" i="39"/>
  <c r="H64" i="46"/>
  <c r="AF64" i="46"/>
  <c r="O617" i="16"/>
  <c r="J38" i="40"/>
  <c r="T24" i="42"/>
  <c r="H40" i="39"/>
  <c r="H63" i="46"/>
  <c r="AF63" i="46"/>
  <c r="J46" i="40"/>
  <c r="O857" i="16"/>
  <c r="O587" i="16"/>
  <c r="J37" i="40"/>
  <c r="T23" i="42"/>
  <c r="H39" i="39"/>
  <c r="H62" i="46"/>
  <c r="AF62" i="46"/>
  <c r="O557" i="16"/>
  <c r="J36" i="40"/>
  <c r="H61" i="46"/>
  <c r="AF61" i="46"/>
  <c r="O2238" i="16"/>
  <c r="J92" i="40"/>
  <c r="H117" i="46"/>
  <c r="AF117" i="46"/>
  <c r="O527" i="16"/>
  <c r="J35" i="40"/>
  <c r="H60" i="46"/>
  <c r="AF60" i="46"/>
  <c r="O497" i="16"/>
  <c r="J34" i="40"/>
  <c r="J45" i="40"/>
  <c r="L45" i="40" s="1"/>
  <c r="E47" i="39" s="1"/>
  <c r="O827" i="16"/>
  <c r="T31" i="42"/>
  <c r="H47" i="39"/>
  <c r="H70" i="46"/>
  <c r="AF70" i="46"/>
  <c r="O2208" i="16"/>
  <c r="J91" i="40"/>
  <c r="O467" i="16"/>
  <c r="J33" i="40"/>
  <c r="T19" i="42"/>
  <c r="H35" i="39"/>
  <c r="H58" i="46"/>
  <c r="AF58" i="46"/>
  <c r="O2178" i="16"/>
  <c r="J90" i="40"/>
  <c r="H115" i="46"/>
  <c r="AF115" i="46"/>
  <c r="O437" i="16"/>
  <c r="J32" i="40"/>
  <c r="J44" i="40"/>
  <c r="L44" i="40" s="1"/>
  <c r="E46" i="39" s="1"/>
  <c r="O797" i="16"/>
  <c r="T30" i="42"/>
  <c r="H46" i="39"/>
  <c r="O407" i="16"/>
  <c r="J31" i="40"/>
  <c r="T17" i="42"/>
  <c r="H33" i="39"/>
  <c r="H56" i="46"/>
  <c r="AF56" i="46"/>
  <c r="H69" i="46"/>
  <c r="AF69" i="46"/>
  <c r="J43" i="40"/>
  <c r="O767" i="16"/>
  <c r="O2148" i="16"/>
  <c r="J89" i="40"/>
  <c r="H114" i="46"/>
  <c r="AF114" i="46"/>
  <c r="O737" i="16"/>
  <c r="J42" i="40"/>
  <c r="T28" i="42"/>
  <c r="H44" i="39"/>
  <c r="H67" i="46"/>
  <c r="AF67" i="46"/>
  <c r="O2118" i="16"/>
  <c r="J88" i="40"/>
  <c r="O377" i="16"/>
  <c r="J30" i="40"/>
  <c r="H55" i="46"/>
  <c r="AF55" i="46"/>
  <c r="O2088" i="16"/>
  <c r="J87" i="40"/>
  <c r="O347" i="16"/>
  <c r="J29" i="40"/>
  <c r="T15" i="42"/>
  <c r="H31" i="39"/>
  <c r="H54" i="46"/>
  <c r="AF54" i="46"/>
  <c r="O317" i="16"/>
  <c r="J28" i="40"/>
  <c r="T14" i="42"/>
  <c r="H30" i="39"/>
  <c r="H53" i="46"/>
  <c r="AF53" i="46"/>
  <c r="O287" i="16"/>
  <c r="J27" i="40"/>
  <c r="O257" i="16"/>
  <c r="J26" i="40"/>
  <c r="H51" i="46"/>
  <c r="AF51" i="46"/>
  <c r="O227" i="16"/>
  <c r="J25" i="40"/>
  <c r="O197" i="16"/>
  <c r="J24" i="40"/>
  <c r="T10" i="42"/>
  <c r="H26" i="39"/>
  <c r="H49" i="46"/>
  <c r="AF49" i="46"/>
  <c r="O2058" i="16"/>
  <c r="J86" i="40"/>
  <c r="H111" i="46"/>
  <c r="AF111" i="46"/>
  <c r="O167" i="16"/>
  <c r="J23" i="40"/>
  <c r="T9" i="42"/>
  <c r="H25" i="39"/>
  <c r="H48" i="46"/>
  <c r="AF48" i="46"/>
  <c r="O137" i="16"/>
  <c r="J22" i="40"/>
  <c r="T8" i="42"/>
  <c r="H24" i="39"/>
  <c r="H47" i="46"/>
  <c r="AF47" i="46"/>
  <c r="O77" i="16"/>
  <c r="J20" i="40"/>
  <c r="O107" i="16"/>
  <c r="J21" i="40"/>
  <c r="T6" i="42"/>
  <c r="H22" i="39"/>
  <c r="H45" i="46"/>
  <c r="H46" i="46"/>
  <c r="AF46" i="46"/>
  <c r="O1458" i="16"/>
  <c r="J66" i="40"/>
  <c r="H91" i="46"/>
  <c r="AF91" i="46"/>
  <c r="O1428" i="16"/>
  <c r="J65" i="40"/>
  <c r="H47" i="16"/>
  <c r="K47" i="16" s="1"/>
  <c r="Y45" i="16"/>
  <c r="Y44" i="16"/>
  <c r="Y43" i="16"/>
  <c r="Y46" i="16"/>
  <c r="J19" i="40"/>
  <c r="L5" i="42" s="1"/>
  <c r="L42" i="16"/>
  <c r="H43" i="16"/>
  <c r="K43" i="16"/>
  <c r="L43" i="16"/>
  <c r="O47" i="16"/>
  <c r="D52" i="33"/>
  <c r="AB43" i="16"/>
  <c r="AB46" i="16"/>
  <c r="AB45" i="16"/>
  <c r="AB44" i="16"/>
  <c r="I23" i="27"/>
  <c r="I31" i="27"/>
  <c r="AB1848" i="16" l="1"/>
  <c r="AA1848" i="16"/>
  <c r="F79" i="43" s="1"/>
  <c r="G79" i="43" s="1"/>
  <c r="I48" i="46"/>
  <c r="P9" i="42" s="1"/>
  <c r="I53" i="46"/>
  <c r="P14" i="42" s="1"/>
  <c r="I66" i="46"/>
  <c r="P27" i="42" s="1"/>
  <c r="I121" i="46"/>
  <c r="P82" i="42" s="1"/>
  <c r="I98" i="46"/>
  <c r="P59" i="42" s="1"/>
  <c r="I64" i="46"/>
  <c r="P25" i="42" s="1"/>
  <c r="I93" i="46"/>
  <c r="P54" i="42" s="1"/>
  <c r="I128" i="46"/>
  <c r="P89" i="42" s="1"/>
  <c r="I45" i="46"/>
  <c r="P6" i="42" s="1"/>
  <c r="I47" i="46"/>
  <c r="P8" i="42" s="1"/>
  <c r="I111" i="46"/>
  <c r="P72" i="42" s="1"/>
  <c r="I49" i="46"/>
  <c r="P10" i="42" s="1"/>
  <c r="I51" i="46"/>
  <c r="P12" i="42" s="1"/>
  <c r="I54" i="46"/>
  <c r="P15" i="42" s="1"/>
  <c r="I55" i="46"/>
  <c r="P16" i="42" s="1"/>
  <c r="I114" i="46"/>
  <c r="P75" i="42" s="1"/>
  <c r="I56" i="46"/>
  <c r="P17" i="42" s="1"/>
  <c r="I115" i="46"/>
  <c r="P76" i="42" s="1"/>
  <c r="I58" i="46"/>
  <c r="P19" i="42" s="1"/>
  <c r="I70" i="46"/>
  <c r="P31" i="42" s="1"/>
  <c r="I60" i="46"/>
  <c r="P21" i="42" s="1"/>
  <c r="I117" i="46"/>
  <c r="P78" i="42" s="1"/>
  <c r="I61" i="46"/>
  <c r="P22" i="42" s="1"/>
  <c r="I62" i="46"/>
  <c r="P23" i="42" s="1"/>
  <c r="I63" i="46"/>
  <c r="P24" i="42" s="1"/>
  <c r="I118" i="46"/>
  <c r="P79" i="42" s="1"/>
  <c r="I74" i="46"/>
  <c r="P35" i="42" s="1"/>
  <c r="I75" i="46"/>
  <c r="P36" i="42" s="1"/>
  <c r="I78" i="46"/>
  <c r="P39" i="42" s="1"/>
  <c r="I79" i="46"/>
  <c r="P40" i="42" s="1"/>
  <c r="I94" i="46"/>
  <c r="P55" i="42" s="1"/>
  <c r="I95" i="46"/>
  <c r="P56" i="42" s="1"/>
  <c r="I96" i="46"/>
  <c r="P57" i="42" s="1"/>
  <c r="I123" i="46"/>
  <c r="P84" i="42" s="1"/>
  <c r="I125" i="46"/>
  <c r="P86" i="42" s="1"/>
  <c r="I127" i="46"/>
  <c r="P88" i="42" s="1"/>
  <c r="I129" i="46"/>
  <c r="P90" i="42" s="1"/>
  <c r="I106" i="46"/>
  <c r="P67" i="42" s="1"/>
  <c r="I108" i="46"/>
  <c r="P69" i="42" s="1"/>
  <c r="I88" i="46"/>
  <c r="P49" i="42" s="1"/>
  <c r="I89" i="46"/>
  <c r="P50" i="42" s="1"/>
  <c r="I67" i="46"/>
  <c r="P28" i="42" s="1"/>
  <c r="I69" i="46"/>
  <c r="P30" i="42" s="1"/>
  <c r="I80" i="46"/>
  <c r="P41" i="42" s="1"/>
  <c r="I101" i="46"/>
  <c r="P62" i="42" s="1"/>
  <c r="I103" i="46"/>
  <c r="P64" i="42" s="1"/>
  <c r="I131" i="46"/>
  <c r="P92" i="42" s="1"/>
  <c r="I91" i="46"/>
  <c r="P52" i="42" s="1"/>
  <c r="I46" i="46"/>
  <c r="P7" i="42" s="1"/>
  <c r="I85" i="46"/>
  <c r="P46" i="42" s="1"/>
  <c r="I52" i="46"/>
  <c r="P13" i="42" s="1"/>
  <c r="I86" i="46"/>
  <c r="P47" i="42" s="1"/>
  <c r="I92" i="46"/>
  <c r="P53" i="42" s="1"/>
  <c r="I81" i="46"/>
  <c r="P42" i="42" s="1"/>
  <c r="I84" i="46"/>
  <c r="P45" i="42" s="1"/>
  <c r="H130" i="46"/>
  <c r="E27" i="43"/>
  <c r="G27" i="43" s="1"/>
  <c r="F91" i="43"/>
  <c r="G91" i="43" s="1"/>
  <c r="F107" i="43"/>
  <c r="G107" i="43" s="1"/>
  <c r="F57" i="43"/>
  <c r="G57" i="43" s="1"/>
  <c r="F25" i="43"/>
  <c r="G25" i="43" s="1"/>
  <c r="F94" i="43"/>
  <c r="G94" i="43" s="1"/>
  <c r="F85" i="43"/>
  <c r="G85" i="43" s="1"/>
  <c r="T87" i="42"/>
  <c r="AA1788" i="16"/>
  <c r="AA1308" i="16"/>
  <c r="G59" i="43"/>
  <c r="T45" i="42" s="1"/>
  <c r="G47" i="43"/>
  <c r="AA1278" i="16"/>
  <c r="AB1278" i="16"/>
  <c r="F65" i="46"/>
  <c r="G72" i="43"/>
  <c r="P94" i="42"/>
  <c r="G34" i="43"/>
  <c r="T20" i="42" s="1"/>
  <c r="G40" i="43"/>
  <c r="T26" i="42" s="1"/>
  <c r="AB677" i="16"/>
  <c r="AF84" i="46"/>
  <c r="M45" i="42"/>
  <c r="G32" i="43"/>
  <c r="G62" i="43"/>
  <c r="T48" i="42" s="1"/>
  <c r="G67" i="43"/>
  <c r="T53" i="42" s="1"/>
  <c r="F100" i="46"/>
  <c r="G87" i="43"/>
  <c r="H89" i="39" s="1"/>
  <c r="G105" i="43"/>
  <c r="T91" i="42" s="1"/>
  <c r="AF97" i="46"/>
  <c r="H97" i="46"/>
  <c r="F50" i="46"/>
  <c r="M58" i="42"/>
  <c r="G88" i="43"/>
  <c r="G84" i="43"/>
  <c r="H86" i="39" s="1"/>
  <c r="G48" i="43"/>
  <c r="T34" i="42" s="1"/>
  <c r="G97" i="43"/>
  <c r="T83" i="42" s="1"/>
  <c r="H103" i="39"/>
  <c r="AA1428" i="16"/>
  <c r="G99" i="43"/>
  <c r="H101" i="39" s="1"/>
  <c r="H73" i="46"/>
  <c r="M34" i="42"/>
  <c r="M42" i="42"/>
  <c r="G74" i="43"/>
  <c r="T60" i="42" s="1"/>
  <c r="AF130" i="46"/>
  <c r="AF81" i="46"/>
  <c r="G51" i="43"/>
  <c r="G95" i="43"/>
  <c r="M91" i="42"/>
  <c r="G80" i="43"/>
  <c r="AB1218" i="16"/>
  <c r="AA1218" i="16"/>
  <c r="AA1728" i="16"/>
  <c r="AB1728" i="16"/>
  <c r="AB1158" i="16"/>
  <c r="AA1158" i="16"/>
  <c r="F56" i="43" s="1"/>
  <c r="AB1038" i="16"/>
  <c r="AA1038" i="16"/>
  <c r="AF92" i="46"/>
  <c r="H71" i="46"/>
  <c r="I71" i="46" s="1"/>
  <c r="L46" i="40"/>
  <c r="E48" i="39" s="1"/>
  <c r="M53" i="42"/>
  <c r="H59" i="46"/>
  <c r="I59" i="46" s="1"/>
  <c r="F126" i="46"/>
  <c r="AF86" i="46"/>
  <c r="AF71" i="46"/>
  <c r="M32" i="42"/>
  <c r="M47" i="42"/>
  <c r="AF72" i="46"/>
  <c r="H72" i="46"/>
  <c r="I72" i="46" s="1"/>
  <c r="H99" i="46"/>
  <c r="I99" i="46" s="1"/>
  <c r="M33" i="42"/>
  <c r="M81" i="42"/>
  <c r="F120" i="46"/>
  <c r="AF52" i="46"/>
  <c r="M60" i="42"/>
  <c r="H77" i="46"/>
  <c r="AF85" i="46"/>
  <c r="F83" i="46"/>
  <c r="F132" i="46"/>
  <c r="AF132" i="46" s="1"/>
  <c r="F113" i="46"/>
  <c r="AF113" i="46" s="1"/>
  <c r="AF77" i="46"/>
  <c r="F76" i="46"/>
  <c r="H76" i="46" s="1"/>
  <c r="M38" i="42"/>
  <c r="AF68" i="46"/>
  <c r="AF104" i="46"/>
  <c r="M71" i="42"/>
  <c r="F110" i="46"/>
  <c r="M18" i="42"/>
  <c r="H57" i="46"/>
  <c r="F124" i="46"/>
  <c r="M85" i="42"/>
  <c r="AF59" i="46"/>
  <c r="M73" i="42"/>
  <c r="F112" i="46"/>
  <c r="M46" i="42"/>
  <c r="F109" i="46"/>
  <c r="M70" i="42"/>
  <c r="M13" i="42"/>
  <c r="H104" i="46"/>
  <c r="M65" i="42"/>
  <c r="M29" i="42"/>
  <c r="F87" i="46"/>
  <c r="M48" i="42"/>
  <c r="F82" i="46"/>
  <c r="M43" i="42"/>
  <c r="H122" i="46"/>
  <c r="I122" i="46" s="1"/>
  <c r="AF122" i="46"/>
  <c r="M66" i="42"/>
  <c r="F105" i="46"/>
  <c r="M20" i="42"/>
  <c r="M83" i="42"/>
  <c r="F119" i="46"/>
  <c r="M80" i="42"/>
  <c r="H68" i="46"/>
  <c r="L32" i="42"/>
  <c r="M51" i="42"/>
  <c r="F90" i="46"/>
  <c r="L30" i="42"/>
  <c r="N30" i="42" s="1"/>
  <c r="M63" i="42"/>
  <c r="F102" i="46"/>
  <c r="L31" i="42"/>
  <c r="F116" i="46"/>
  <c r="M77" i="42"/>
  <c r="AB767" i="16"/>
  <c r="AA767" i="16"/>
  <c r="L50" i="42"/>
  <c r="L64" i="40"/>
  <c r="E66" i="39" s="1"/>
  <c r="L49" i="42"/>
  <c r="L63" i="40"/>
  <c r="E65" i="39" s="1"/>
  <c r="L71" i="42"/>
  <c r="L85" i="40"/>
  <c r="E87" i="39" s="1"/>
  <c r="L48" i="42"/>
  <c r="L62" i="40"/>
  <c r="E64" i="39" s="1"/>
  <c r="L70" i="42"/>
  <c r="L84" i="40"/>
  <c r="E86" i="39" s="1"/>
  <c r="L94" i="42"/>
  <c r="L108" i="40"/>
  <c r="E110" i="39" s="1"/>
  <c r="L69" i="42"/>
  <c r="L83" i="40"/>
  <c r="E85" i="39" s="1"/>
  <c r="M85" i="39" s="1"/>
  <c r="L47" i="42"/>
  <c r="L61" i="40"/>
  <c r="E63" i="39" s="1"/>
  <c r="L68" i="42"/>
  <c r="L93" i="42"/>
  <c r="L107" i="40"/>
  <c r="E109" i="39" s="1"/>
  <c r="L66" i="42"/>
  <c r="L80" i="40"/>
  <c r="E82" i="39" s="1"/>
  <c r="L67" i="42"/>
  <c r="L81" i="40"/>
  <c r="E83" i="39" s="1"/>
  <c r="L92" i="42"/>
  <c r="L106" i="40"/>
  <c r="E108" i="39" s="1"/>
  <c r="L65" i="42"/>
  <c r="L79" i="40"/>
  <c r="E81" i="39" s="1"/>
  <c r="L91" i="42"/>
  <c r="L105" i="40"/>
  <c r="E107" i="39" s="1"/>
  <c r="L90" i="42"/>
  <c r="L104" i="40"/>
  <c r="E106" i="39" s="1"/>
  <c r="L64" i="42"/>
  <c r="L78" i="40"/>
  <c r="E80" i="39" s="1"/>
  <c r="L63" i="42"/>
  <c r="L77" i="40"/>
  <c r="E79" i="39" s="1"/>
  <c r="L89" i="42"/>
  <c r="L103" i="40"/>
  <c r="E105" i="39" s="1"/>
  <c r="L46" i="42"/>
  <c r="L60" i="40"/>
  <c r="E62" i="39" s="1"/>
  <c r="L88" i="42"/>
  <c r="L102" i="40"/>
  <c r="E104" i="39" s="1"/>
  <c r="L45" i="42"/>
  <c r="L59" i="40"/>
  <c r="E61" i="39" s="1"/>
  <c r="L62" i="42"/>
  <c r="L76" i="40"/>
  <c r="E78" i="39" s="1"/>
  <c r="M78" i="39" s="1"/>
  <c r="L87" i="42"/>
  <c r="L101" i="40"/>
  <c r="E103" i="39" s="1"/>
  <c r="L61" i="42"/>
  <c r="L75" i="40"/>
  <c r="E77" i="39" s="1"/>
  <c r="L60" i="42"/>
  <c r="L74" i="40"/>
  <c r="E76" i="39" s="1"/>
  <c r="L86" i="42"/>
  <c r="L100" i="40"/>
  <c r="E102" i="39" s="1"/>
  <c r="L59" i="42"/>
  <c r="L73" i="40"/>
  <c r="E75" i="39" s="1"/>
  <c r="L58" i="42"/>
  <c r="L72" i="40"/>
  <c r="E74" i="39" s="1"/>
  <c r="L44" i="42"/>
  <c r="L58" i="40"/>
  <c r="E60" i="39" s="1"/>
  <c r="L85" i="42"/>
  <c r="L99" i="40"/>
  <c r="E101" i="39" s="1"/>
  <c r="L84" i="42"/>
  <c r="L98" i="40"/>
  <c r="E100" i="39" s="1"/>
  <c r="L57" i="42"/>
  <c r="L71" i="40"/>
  <c r="E73" i="39" s="1"/>
  <c r="L43" i="42"/>
  <c r="L57" i="40"/>
  <c r="E59" i="39" s="1"/>
  <c r="L42" i="42"/>
  <c r="L56" i="40"/>
  <c r="E58" i="39" s="1"/>
  <c r="L56" i="42"/>
  <c r="L70" i="40"/>
  <c r="E72" i="39" s="1"/>
  <c r="L83" i="42"/>
  <c r="L97" i="40"/>
  <c r="E99" i="39" s="1"/>
  <c r="L55" i="42"/>
  <c r="L69" i="40"/>
  <c r="E71" i="39" s="1"/>
  <c r="L41" i="42"/>
  <c r="L55" i="40"/>
  <c r="E57" i="39" s="1"/>
  <c r="L54" i="42"/>
  <c r="L68" i="40"/>
  <c r="E70" i="39" s="1"/>
  <c r="L82" i="42"/>
  <c r="L96" i="40"/>
  <c r="E98" i="39" s="1"/>
  <c r="L40" i="42"/>
  <c r="L54" i="40"/>
  <c r="E56" i="39" s="1"/>
  <c r="L53" i="42"/>
  <c r="L67" i="40"/>
  <c r="E69" i="39" s="1"/>
  <c r="L81" i="42"/>
  <c r="L95" i="40"/>
  <c r="E97" i="39" s="1"/>
  <c r="L39" i="42"/>
  <c r="L53" i="40"/>
  <c r="E55" i="39" s="1"/>
  <c r="L38" i="42"/>
  <c r="L52" i="40"/>
  <c r="E54" i="39" s="1"/>
  <c r="L37" i="42"/>
  <c r="L51" i="40"/>
  <c r="E53" i="39" s="1"/>
  <c r="L36" i="42"/>
  <c r="L50" i="40"/>
  <c r="E52" i="39" s="1"/>
  <c r="L80" i="42"/>
  <c r="L94" i="40"/>
  <c r="E96" i="39" s="1"/>
  <c r="L35" i="42"/>
  <c r="L49" i="40"/>
  <c r="E51" i="39" s="1"/>
  <c r="L34" i="42"/>
  <c r="L48" i="40"/>
  <c r="E50" i="39" s="1"/>
  <c r="L27" i="42"/>
  <c r="L41" i="40"/>
  <c r="E43" i="39" s="1"/>
  <c r="L79" i="42"/>
  <c r="L93" i="40"/>
  <c r="E95" i="39" s="1"/>
  <c r="L26" i="42"/>
  <c r="L33" i="42"/>
  <c r="L47" i="40"/>
  <c r="E49" i="39" s="1"/>
  <c r="L25" i="42"/>
  <c r="L39" i="40"/>
  <c r="E41" i="39" s="1"/>
  <c r="L24" i="42"/>
  <c r="L38" i="40"/>
  <c r="E40" i="39" s="1"/>
  <c r="L23" i="42"/>
  <c r="L37" i="40"/>
  <c r="E39" i="39" s="1"/>
  <c r="L22" i="42"/>
  <c r="L36" i="40"/>
  <c r="E38" i="39" s="1"/>
  <c r="L78" i="42"/>
  <c r="L92" i="40"/>
  <c r="E94" i="39" s="1"/>
  <c r="L21" i="42"/>
  <c r="L35" i="40"/>
  <c r="E37" i="39" s="1"/>
  <c r="L20" i="42"/>
  <c r="L34" i="40"/>
  <c r="E36" i="39" s="1"/>
  <c r="L77" i="42"/>
  <c r="L91" i="40"/>
  <c r="E93" i="39" s="1"/>
  <c r="L19" i="42"/>
  <c r="L33" i="40"/>
  <c r="E35" i="39" s="1"/>
  <c r="L76" i="42"/>
  <c r="L90" i="40"/>
  <c r="E92" i="39" s="1"/>
  <c r="L18" i="42"/>
  <c r="L32" i="40"/>
  <c r="E34" i="39" s="1"/>
  <c r="L17" i="42"/>
  <c r="L31" i="40"/>
  <c r="E33" i="39" s="1"/>
  <c r="L29" i="42"/>
  <c r="L43" i="40"/>
  <c r="E45" i="39" s="1"/>
  <c r="L75" i="42"/>
  <c r="L89" i="40"/>
  <c r="E91" i="39" s="1"/>
  <c r="L28" i="42"/>
  <c r="L42" i="40"/>
  <c r="E44" i="39" s="1"/>
  <c r="L74" i="42"/>
  <c r="L88" i="40"/>
  <c r="E90" i="39" s="1"/>
  <c r="L16" i="42"/>
  <c r="L30" i="40"/>
  <c r="E32" i="39" s="1"/>
  <c r="L73" i="42"/>
  <c r="L87" i="40"/>
  <c r="E89" i="39" s="1"/>
  <c r="L15" i="42"/>
  <c r="L29" i="40"/>
  <c r="E31" i="39" s="1"/>
  <c r="L14" i="42"/>
  <c r="L28" i="40"/>
  <c r="E30" i="39" s="1"/>
  <c r="L13" i="42"/>
  <c r="L27" i="40"/>
  <c r="E29" i="39" s="1"/>
  <c r="L12" i="42"/>
  <c r="L26" i="40"/>
  <c r="E28" i="39" s="1"/>
  <c r="L11" i="42"/>
  <c r="L25" i="40"/>
  <c r="E27" i="39" s="1"/>
  <c r="L10" i="42"/>
  <c r="L24" i="40"/>
  <c r="E26" i="39" s="1"/>
  <c r="L72" i="42"/>
  <c r="L86" i="40"/>
  <c r="E88" i="39" s="1"/>
  <c r="L9" i="42"/>
  <c r="L23" i="40"/>
  <c r="E25" i="39" s="1"/>
  <c r="L8" i="42"/>
  <c r="L22" i="40"/>
  <c r="E24" i="39" s="1"/>
  <c r="L7" i="42"/>
  <c r="L21" i="40"/>
  <c r="E23" i="39" s="1"/>
  <c r="L6" i="42"/>
  <c r="L20" i="40"/>
  <c r="E22" i="39" s="1"/>
  <c r="L52" i="42"/>
  <c r="L66" i="40"/>
  <c r="E68" i="39" s="1"/>
  <c r="L51" i="42"/>
  <c r="L65" i="40"/>
  <c r="E67" i="39" s="1"/>
  <c r="K19" i="40"/>
  <c r="D53" i="33"/>
  <c r="E52" i="27"/>
  <c r="E38" i="27"/>
  <c r="I37" i="27"/>
  <c r="T65" i="42" l="1"/>
  <c r="H81" i="39"/>
  <c r="I76" i="46"/>
  <c r="P37" i="42" s="1"/>
  <c r="I97" i="46"/>
  <c r="P58" i="42" s="1"/>
  <c r="I68" i="46"/>
  <c r="P29" i="42" s="1"/>
  <c r="I57" i="46"/>
  <c r="P18" i="42" s="1"/>
  <c r="I104" i="46"/>
  <c r="I77" i="46"/>
  <c r="P38" i="42" s="1"/>
  <c r="I73" i="46"/>
  <c r="P34" i="42" s="1"/>
  <c r="I130" i="46"/>
  <c r="P91" i="42" s="1"/>
  <c r="T13" i="42"/>
  <c r="H29" i="39"/>
  <c r="H109" i="39"/>
  <c r="T93" i="42"/>
  <c r="T11" i="42"/>
  <c r="H27" i="39"/>
  <c r="H87" i="39"/>
  <c r="T71" i="42"/>
  <c r="T80" i="42"/>
  <c r="H96" i="39"/>
  <c r="T77" i="42"/>
  <c r="H93" i="39"/>
  <c r="T43" i="42"/>
  <c r="H59" i="39"/>
  <c r="F52" i="43"/>
  <c r="G52" i="43" s="1"/>
  <c r="F61" i="43"/>
  <c r="G61" i="43" s="1"/>
  <c r="F43" i="43"/>
  <c r="G43" i="43" s="1"/>
  <c r="F75" i="43"/>
  <c r="G75" i="43" s="1"/>
  <c r="F60" i="43"/>
  <c r="G60" i="43" s="1"/>
  <c r="F77" i="43"/>
  <c r="G77" i="43" s="1"/>
  <c r="F58" i="43"/>
  <c r="G58" i="43" s="1"/>
  <c r="F65" i="43"/>
  <c r="G65" i="43" s="1"/>
  <c r="H61" i="39"/>
  <c r="H49" i="39"/>
  <c r="T33" i="42"/>
  <c r="G56" i="43"/>
  <c r="M26" i="42"/>
  <c r="N26" i="42" s="1"/>
  <c r="L40" i="40"/>
  <c r="E42" i="39" s="1"/>
  <c r="AF65" i="46"/>
  <c r="H65" i="46"/>
  <c r="T58" i="42"/>
  <c r="H74" i="39"/>
  <c r="M5" i="42"/>
  <c r="N5" i="42" s="1"/>
  <c r="F44" i="46"/>
  <c r="H36" i="39"/>
  <c r="H42" i="39"/>
  <c r="T18" i="42"/>
  <c r="H34" i="39"/>
  <c r="H64" i="39"/>
  <c r="H69" i="39"/>
  <c r="T70" i="42"/>
  <c r="H100" i="46"/>
  <c r="AF100" i="46"/>
  <c r="T73" i="42"/>
  <c r="H107" i="39"/>
  <c r="AF50" i="46"/>
  <c r="H50" i="46"/>
  <c r="H50" i="39"/>
  <c r="H90" i="39"/>
  <c r="T74" i="42"/>
  <c r="T85" i="42"/>
  <c r="H99" i="39"/>
  <c r="H76" i="39"/>
  <c r="T81" i="42"/>
  <c r="H97" i="39"/>
  <c r="T66" i="42"/>
  <c r="H82" i="39"/>
  <c r="T37" i="42"/>
  <c r="H53" i="39"/>
  <c r="P20" i="42"/>
  <c r="P83" i="42"/>
  <c r="H48" i="39"/>
  <c r="T32" i="42"/>
  <c r="H126" i="46"/>
  <c r="I126" i="46" s="1"/>
  <c r="AF126" i="46"/>
  <c r="H113" i="46"/>
  <c r="AF120" i="46"/>
  <c r="H120" i="46"/>
  <c r="I120" i="46" s="1"/>
  <c r="AF83" i="46"/>
  <c r="H83" i="46"/>
  <c r="H132" i="46"/>
  <c r="I132" i="46" s="1"/>
  <c r="AF76" i="46"/>
  <c r="H124" i="46"/>
  <c r="I124" i="46" s="1"/>
  <c r="AF124" i="46"/>
  <c r="AF112" i="46"/>
  <c r="H112" i="46"/>
  <c r="AF110" i="46"/>
  <c r="H110" i="46"/>
  <c r="I110" i="46" s="1"/>
  <c r="AF109" i="46"/>
  <c r="H109" i="46"/>
  <c r="H87" i="46"/>
  <c r="AF87" i="46"/>
  <c r="AF105" i="46"/>
  <c r="H105" i="46"/>
  <c r="I105" i="46" s="1"/>
  <c r="H82" i="46"/>
  <c r="AF82" i="46"/>
  <c r="H119" i="46"/>
  <c r="AF119" i="46"/>
  <c r="N32" i="42"/>
  <c r="N31" i="42"/>
  <c r="AF90" i="46"/>
  <c r="H90" i="46"/>
  <c r="I90" i="46" s="1"/>
  <c r="H102" i="46"/>
  <c r="AF102" i="46"/>
  <c r="AF116" i="46"/>
  <c r="H116" i="46"/>
  <c r="N50" i="42"/>
  <c r="N49" i="42"/>
  <c r="N71" i="42"/>
  <c r="N48" i="42"/>
  <c r="N70" i="42"/>
  <c r="N94" i="42"/>
  <c r="N69" i="42"/>
  <c r="N47" i="42"/>
  <c r="N93" i="42"/>
  <c r="N66" i="42"/>
  <c r="N67" i="42"/>
  <c r="N92" i="42"/>
  <c r="N65" i="42"/>
  <c r="N91" i="42"/>
  <c r="N90" i="42"/>
  <c r="N64" i="42"/>
  <c r="N63" i="42"/>
  <c r="N89" i="42"/>
  <c r="N46" i="42"/>
  <c r="N88" i="42"/>
  <c r="N45" i="42"/>
  <c r="E76" i="33"/>
  <c r="W62" i="42"/>
  <c r="K78" i="39"/>
  <c r="Y62" i="42"/>
  <c r="N62" i="42"/>
  <c r="N87" i="42"/>
  <c r="N61" i="42"/>
  <c r="N60" i="42"/>
  <c r="N86" i="42"/>
  <c r="N59" i="42"/>
  <c r="N58" i="42"/>
  <c r="N44" i="42"/>
  <c r="N85" i="42"/>
  <c r="N84" i="42"/>
  <c r="N57" i="42"/>
  <c r="N43" i="42"/>
  <c r="N42" i="42"/>
  <c r="N56" i="42"/>
  <c r="N83" i="42"/>
  <c r="N55" i="42"/>
  <c r="N41" i="42"/>
  <c r="N54" i="42"/>
  <c r="N82" i="42"/>
  <c r="N40" i="42"/>
  <c r="N53" i="42"/>
  <c r="N81" i="42"/>
  <c r="N39" i="42"/>
  <c r="N38" i="42"/>
  <c r="N37" i="42"/>
  <c r="N36" i="42"/>
  <c r="N80" i="42"/>
  <c r="N35" i="42"/>
  <c r="N34" i="42"/>
  <c r="N27" i="42"/>
  <c r="N79" i="42"/>
  <c r="N33" i="42"/>
  <c r="N25" i="42"/>
  <c r="N24" i="42"/>
  <c r="N23" i="42"/>
  <c r="N22" i="42"/>
  <c r="N78" i="42"/>
  <c r="N21" i="42"/>
  <c r="N20" i="42"/>
  <c r="N77" i="42"/>
  <c r="N19" i="42"/>
  <c r="N76" i="42"/>
  <c r="N18" i="42"/>
  <c r="N17" i="42"/>
  <c r="N29" i="42"/>
  <c r="N75" i="42"/>
  <c r="N28" i="42"/>
  <c r="N74" i="42"/>
  <c r="N16" i="42"/>
  <c r="N73" i="42"/>
  <c r="N15" i="42"/>
  <c r="N14" i="42"/>
  <c r="N13" i="42"/>
  <c r="N12" i="42"/>
  <c r="N11" i="42"/>
  <c r="N10" i="42"/>
  <c r="N72" i="42"/>
  <c r="N9" i="42"/>
  <c r="N8" i="42"/>
  <c r="N6" i="42"/>
  <c r="N7" i="42"/>
  <c r="N52" i="42"/>
  <c r="N51" i="42"/>
  <c r="L19" i="40"/>
  <c r="D54" i="33"/>
  <c r="I30" i="27"/>
  <c r="C155" i="46"/>
  <c r="C153" i="46"/>
  <c r="E53" i="27"/>
  <c r="E46" i="27"/>
  <c r="E41" i="27"/>
  <c r="E23" i="27"/>
  <c r="E48" i="27"/>
  <c r="C151" i="46"/>
  <c r="E51" i="27"/>
  <c r="E37" i="27"/>
  <c r="E31" i="27"/>
  <c r="E22" i="27"/>
  <c r="E47" i="27"/>
  <c r="E30" i="27"/>
  <c r="I29" i="27"/>
  <c r="I35" i="27"/>
  <c r="I34" i="27"/>
  <c r="I32" i="27"/>
  <c r="I24" i="27"/>
  <c r="I36" i="27"/>
  <c r="I33" i="27"/>
  <c r="I38" i="27"/>
  <c r="P65" i="42" l="1"/>
  <c r="I116" i="46"/>
  <c r="P77" i="42" s="1"/>
  <c r="I109" i="46"/>
  <c r="P70" i="42" s="1"/>
  <c r="I112" i="46"/>
  <c r="P73" i="42" s="1"/>
  <c r="I119" i="46"/>
  <c r="P80" i="42" s="1"/>
  <c r="I50" i="46"/>
  <c r="P11" i="42" s="1"/>
  <c r="I83" i="46"/>
  <c r="P44" i="42" s="1"/>
  <c r="I113" i="46"/>
  <c r="P74" i="42" s="1"/>
  <c r="I100" i="46"/>
  <c r="P61" i="42" s="1"/>
  <c r="I65" i="46"/>
  <c r="P26" i="42" s="1"/>
  <c r="I102" i="46"/>
  <c r="P63" i="42" s="1"/>
  <c r="I82" i="46"/>
  <c r="P43" i="42" s="1"/>
  <c r="I87" i="46"/>
  <c r="P48" i="42" s="1"/>
  <c r="T51" i="42"/>
  <c r="H67" i="39"/>
  <c r="H77" i="39"/>
  <c r="T61" i="42"/>
  <c r="T29" i="42"/>
  <c r="H45" i="39"/>
  <c r="T47" i="42"/>
  <c r="H63" i="39"/>
  <c r="H60" i="39"/>
  <c r="T44" i="42"/>
  <c r="T63" i="42"/>
  <c r="H79" i="39"/>
  <c r="T46" i="42"/>
  <c r="H62" i="39"/>
  <c r="H54" i="39"/>
  <c r="T38" i="42"/>
  <c r="H58" i="39"/>
  <c r="T42" i="42"/>
  <c r="H44" i="46"/>
  <c r="I44" i="46" s="1"/>
  <c r="P5" i="42" s="1"/>
  <c r="P71" i="42"/>
  <c r="P66" i="42"/>
  <c r="P60" i="42"/>
  <c r="P85" i="42"/>
  <c r="P33" i="42"/>
  <c r="P32" i="42"/>
  <c r="E21" i="39"/>
  <c r="Z62" i="42"/>
  <c r="D55" i="33"/>
  <c r="I26" i="27"/>
  <c r="E27" i="27"/>
  <c r="C152" i="46"/>
  <c r="E26" i="27"/>
  <c r="C154" i="46"/>
  <c r="E40" i="27"/>
  <c r="E49" i="27"/>
  <c r="E39" i="27"/>
  <c r="I28" i="27"/>
  <c r="I39" i="27"/>
  <c r="I27" i="27"/>
  <c r="I22" i="27"/>
  <c r="I25" i="27"/>
  <c r="P93" i="42" l="1"/>
  <c r="P87" i="42"/>
  <c r="P81" i="42"/>
  <c r="P51" i="42"/>
  <c r="E50" i="27"/>
  <c r="D56" i="33"/>
  <c r="E29" i="27"/>
  <c r="E32" i="27"/>
  <c r="E54" i="27"/>
  <c r="E33" i="27"/>
  <c r="E34" i="27"/>
  <c r="C156" i="46"/>
  <c r="C150" i="46"/>
  <c r="C160" i="46" s="1"/>
  <c r="E36" i="27"/>
  <c r="J148" i="46"/>
  <c r="E42" i="27"/>
  <c r="E45" i="27"/>
  <c r="E44" i="27"/>
  <c r="E35" i="27"/>
  <c r="E43" i="27"/>
  <c r="E28" i="27"/>
  <c r="E24" i="27"/>
  <c r="E25" i="27"/>
  <c r="AF44" i="46"/>
  <c r="I40" i="27"/>
  <c r="D57" i="33" l="1"/>
  <c r="E21" i="27"/>
  <c r="I41" i="27"/>
  <c r="D58" i="33" l="1"/>
  <c r="I42" i="27"/>
  <c r="D59" i="33" l="1"/>
  <c r="I43" i="27"/>
  <c r="D60" i="33" l="1"/>
  <c r="I44" i="27"/>
  <c r="D61" i="33" l="1"/>
  <c r="AB42" i="16"/>
  <c r="AB47" i="16" l="1"/>
  <c r="AA47" i="16"/>
  <c r="D62" i="33"/>
  <c r="Z47" i="16"/>
  <c r="F19" i="43" l="1"/>
  <c r="G19" i="43" s="1"/>
  <c r="D63" i="33"/>
  <c r="H21" i="39" l="1"/>
  <c r="T5" i="42"/>
  <c r="D64" i="33"/>
  <c r="D65" i="33" l="1"/>
  <c r="I21" i="27"/>
  <c r="D66" i="33" l="1"/>
  <c r="F32" i="27"/>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D67" i="33" l="1"/>
  <c r="D68" i="33" l="1"/>
  <c r="I45" i="27"/>
  <c r="J45" i="27" s="1"/>
  <c r="D69" i="33" l="1"/>
  <c r="I47" i="27"/>
  <c r="J47" i="27" s="1"/>
  <c r="I46" i="27"/>
  <c r="J46" i="27" s="1"/>
  <c r="D70" i="33" l="1"/>
  <c r="D71" i="33" l="1"/>
  <c r="I52" i="27"/>
  <c r="J52" i="27" s="1"/>
  <c r="I53" i="27"/>
  <c r="I49" i="27"/>
  <c r="J49" i="27" s="1"/>
  <c r="I54" i="27"/>
  <c r="I50" i="27"/>
  <c r="J50" i="27" s="1"/>
  <c r="I51" i="27"/>
  <c r="J51" i="27" s="1"/>
  <c r="I48" i="27"/>
  <c r="J48" i="27" s="1"/>
  <c r="D72" i="33" l="1"/>
  <c r="J53" i="27"/>
  <c r="J54" i="27"/>
  <c r="D73" i="33" l="1"/>
  <c r="D74" i="33" l="1"/>
  <c r="D75" i="33" l="1"/>
  <c r="D76" i="33" l="1"/>
  <c r="D77" i="33" l="1"/>
  <c r="D78" i="33" l="1"/>
  <c r="D79" i="33" l="1"/>
  <c r="D80" i="33" l="1"/>
  <c r="D81" i="33" l="1"/>
  <c r="D82" i="33" l="1"/>
  <c r="D83" i="33" l="1"/>
  <c r="D84" i="33" l="1"/>
  <c r="D85" i="33" l="1"/>
  <c r="D86" i="33" l="1"/>
  <c r="D87" i="33" l="1"/>
  <c r="D88" i="33" l="1"/>
  <c r="D89" i="33" l="1"/>
  <c r="D90" i="33" l="1"/>
  <c r="D91" i="33" l="1"/>
  <c r="D92" i="33" l="1"/>
  <c r="D93" i="33" l="1"/>
  <c r="D94" i="33" l="1"/>
  <c r="D95" i="33" l="1"/>
  <c r="D96" i="33" l="1"/>
  <c r="D97" i="33" l="1"/>
  <c r="D98" i="33" l="1"/>
  <c r="D99" i="33" l="1"/>
  <c r="D100" i="33" l="1"/>
  <c r="D101" i="33" l="1"/>
  <c r="D102" i="33" l="1"/>
  <c r="D103" i="33" l="1"/>
  <c r="D104" i="33" l="1"/>
  <c r="D105" i="33" l="1"/>
  <c r="D106" i="33" l="1"/>
  <c r="D107" i="33" l="1"/>
  <c r="D108" i="33" l="1"/>
  <c r="F159" i="46"/>
  <c r="X1934" i="16"/>
  <c r="J1920" i="16"/>
  <c r="J1919" i="16"/>
  <c r="F1933" i="16" l="1"/>
  <c r="Z1933" i="16" s="1"/>
  <c r="AB1933" i="16" s="1"/>
  <c r="F1934" i="16"/>
  <c r="H1934" i="16" s="1"/>
  <c r="J1934" i="16"/>
  <c r="F1932" i="16"/>
  <c r="H1932" i="16" s="1"/>
  <c r="J1933" i="16"/>
  <c r="J1932" i="16"/>
  <c r="K1933" i="16" l="1"/>
  <c r="Y1933" i="16"/>
  <c r="L1932" i="16"/>
  <c r="Y1932" i="16"/>
  <c r="Z1932" i="16"/>
  <c r="AB1932" i="16" s="1"/>
  <c r="L1934" i="16"/>
  <c r="K1934" i="16"/>
  <c r="Z1934" i="16"/>
  <c r="AB1934" i="16" s="1"/>
  <c r="J1938" i="16"/>
  <c r="Y1934" i="16"/>
  <c r="K1932" i="16"/>
  <c r="L1933" i="16"/>
  <c r="H1933" i="16"/>
  <c r="H1938" i="16" s="1"/>
  <c r="K1938" i="16" l="1"/>
  <c r="K82" i="40" s="1"/>
  <c r="M68" i="42" s="1"/>
  <c r="N68" i="42" s="1"/>
  <c r="Z1938" i="16"/>
  <c r="E82" i="43" s="1"/>
  <c r="AB1938" i="16"/>
  <c r="AA1938" i="16"/>
  <c r="F82" i="43" s="1"/>
  <c r="F107" i="46" l="1"/>
  <c r="AF107" i="46" s="1"/>
  <c r="L82" i="40"/>
  <c r="E84" i="39" s="1"/>
  <c r="G82" i="43"/>
  <c r="T68" i="42" s="1"/>
  <c r="H107" i="46" l="1"/>
  <c r="I107" i="46" s="1"/>
  <c r="H84" i="39"/>
  <c r="J18" i="46" l="1"/>
  <c r="F153" i="46"/>
  <c r="F158" i="46" s="1"/>
  <c r="F151" i="46"/>
  <c r="F150" i="46"/>
  <c r="P68" i="42"/>
  <c r="F152" i="46"/>
  <c r="F154" i="46"/>
  <c r="J20" i="46"/>
  <c r="J27" i="46" l="1"/>
  <c r="J22" i="46"/>
  <c r="J31" i="46"/>
  <c r="J19" i="46"/>
  <c r="J21" i="46"/>
  <c r="J33" i="46" s="1"/>
  <c r="J37" i="46" s="1"/>
  <c r="F156" i="46"/>
  <c r="F161" i="46" s="1"/>
  <c r="F155" i="46"/>
  <c r="F160" i="46" s="1"/>
  <c r="AC104" i="46" l="1"/>
  <c r="AG85" i="46"/>
  <c r="AG104" i="46"/>
  <c r="AC83" i="46"/>
  <c r="AC85" i="46"/>
  <c r="AG82" i="46"/>
  <c r="AG83" i="46"/>
  <c r="AC116" i="46"/>
  <c r="AC82" i="46"/>
  <c r="AG81" i="46"/>
  <c r="AG116" i="46"/>
  <c r="AC81" i="46"/>
  <c r="AC80" i="46"/>
  <c r="AG79" i="46"/>
  <c r="AG80" i="46"/>
  <c r="AC74" i="46"/>
  <c r="AC79" i="46"/>
  <c r="AG70" i="46"/>
  <c r="AG74" i="46"/>
  <c r="AC70" i="46"/>
  <c r="AC57" i="46"/>
  <c r="AG97" i="46"/>
  <c r="AG77" i="46"/>
  <c r="AC97" i="46"/>
  <c r="AC77" i="46"/>
  <c r="AG67" i="46"/>
  <c r="AG69" i="46"/>
  <c r="AC69" i="46"/>
  <c r="AC67" i="46"/>
  <c r="AG133" i="46"/>
  <c r="AG50" i="46"/>
  <c r="B28" i="46"/>
  <c r="AC50" i="46"/>
  <c r="AG110" i="46"/>
  <c r="AG65" i="46"/>
  <c r="AC65" i="46"/>
  <c r="AG103" i="46"/>
  <c r="AG47" i="46"/>
  <c r="AG130" i="46"/>
  <c r="AG93" i="46"/>
  <c r="AG89" i="46"/>
  <c r="AG53" i="46"/>
  <c r="AG48" i="46"/>
  <c r="AG125" i="46"/>
  <c r="AG129" i="46"/>
  <c r="AG58" i="46"/>
  <c r="AG123" i="46"/>
  <c r="AG124" i="46"/>
  <c r="AG56" i="46"/>
  <c r="AG108" i="46"/>
  <c r="AG106" i="46"/>
  <c r="AG90" i="46"/>
  <c r="AG122" i="46"/>
  <c r="AG76" i="46"/>
  <c r="AG45" i="46"/>
  <c r="AG114" i="46"/>
  <c r="AG117" i="46"/>
  <c r="AG68" i="46"/>
  <c r="AG131" i="46"/>
  <c r="AG63" i="46"/>
  <c r="AG44" i="46"/>
  <c r="AG49" i="46"/>
  <c r="AG78" i="46"/>
  <c r="AG120" i="46"/>
  <c r="AG126" i="46"/>
  <c r="AG98" i="46"/>
  <c r="AG62" i="46"/>
  <c r="AG111" i="46"/>
  <c r="AG96" i="46"/>
  <c r="AG59" i="46"/>
  <c r="AC47" i="46"/>
  <c r="AC62" i="46"/>
  <c r="AC122" i="46"/>
  <c r="AC117" i="46"/>
  <c r="AC72" i="46"/>
  <c r="AC48" i="46"/>
  <c r="AC106" i="46"/>
  <c r="AC131" i="46"/>
  <c r="AC76" i="46"/>
  <c r="AC108" i="46"/>
  <c r="AC129" i="46"/>
  <c r="AC111" i="46"/>
  <c r="AC130" i="46"/>
  <c r="AC93" i="46"/>
  <c r="AC59" i="46"/>
  <c r="AC88" i="46"/>
  <c r="AC52" i="46"/>
  <c r="AC51" i="46"/>
  <c r="AC64" i="46"/>
  <c r="AC121" i="46"/>
  <c r="AC92" i="46"/>
  <c r="AG64" i="46"/>
  <c r="AC109" i="46"/>
  <c r="AC68" i="46"/>
  <c r="AC102" i="46"/>
  <c r="AC119" i="46"/>
  <c r="AC84" i="46"/>
  <c r="AC101" i="46"/>
  <c r="AC58" i="46"/>
  <c r="AC61" i="46"/>
  <c r="AC125" i="46"/>
  <c r="AC124" i="46"/>
  <c r="AC103" i="46"/>
  <c r="AC118" i="46"/>
  <c r="AC90" i="46"/>
  <c r="AC126" i="46"/>
  <c r="AC63" i="46"/>
  <c r="AC95" i="46"/>
  <c r="AC54" i="46"/>
  <c r="AC105" i="46"/>
  <c r="AC56" i="46"/>
  <c r="AC127" i="46"/>
  <c r="AC55" i="46"/>
  <c r="AC46" i="46"/>
  <c r="AC123" i="46"/>
  <c r="AC120" i="46"/>
  <c r="AC112" i="46"/>
  <c r="AC96" i="46"/>
  <c r="AC128" i="46"/>
  <c r="AC44" i="46"/>
  <c r="AC132" i="46"/>
  <c r="AC49" i="46"/>
  <c r="AC114" i="46"/>
  <c r="AC60" i="46"/>
  <c r="AC45" i="46"/>
  <c r="AC98" i="46"/>
  <c r="AC94" i="46"/>
  <c r="AC89" i="46"/>
  <c r="AC115" i="46"/>
  <c r="AC99" i="46"/>
  <c r="AC78" i="46"/>
  <c r="AC133" i="46"/>
  <c r="AC91" i="46"/>
  <c r="AC87" i="46"/>
  <c r="AC53" i="46"/>
  <c r="AC100" i="46"/>
  <c r="AC73" i="46"/>
  <c r="AC113" i="46"/>
  <c r="AC66" i="46"/>
  <c r="AC75" i="46"/>
  <c r="AC71" i="46"/>
  <c r="AC107" i="46"/>
  <c r="AG46" i="46"/>
  <c r="AG99" i="46"/>
  <c r="AG91" i="46"/>
  <c r="AG119" i="46"/>
  <c r="AG118" i="46"/>
  <c r="AG115" i="46"/>
  <c r="AG61" i="46"/>
  <c r="AG60" i="46"/>
  <c r="AG94" i="46"/>
  <c r="AG101" i="46"/>
  <c r="AG128" i="46"/>
  <c r="AG87" i="46"/>
  <c r="AG95" i="46"/>
  <c r="AG72" i="46"/>
  <c r="AG100" i="46"/>
  <c r="AG92" i="46"/>
  <c r="AG71" i="46"/>
  <c r="AC86" i="46"/>
  <c r="AC110" i="46"/>
  <c r="AG113" i="46"/>
  <c r="AG75" i="46"/>
  <c r="AG105" i="46"/>
  <c r="AG54" i="46"/>
  <c r="AG121" i="46"/>
  <c r="AG73" i="46"/>
  <c r="AG51" i="46"/>
  <c r="AG132" i="46"/>
  <c r="AG109" i="46"/>
  <c r="AG57" i="46"/>
  <c r="AG102" i="46"/>
  <c r="AG112" i="46"/>
  <c r="AG66" i="46"/>
  <c r="AG88" i="46"/>
  <c r="AG55" i="46"/>
  <c r="AG127" i="46"/>
  <c r="AG84" i="46"/>
  <c r="AG52" i="46"/>
  <c r="AG107" i="46"/>
  <c r="AG86" i="46"/>
  <c r="J35" i="46"/>
  <c r="K136" i="46"/>
  <c r="J136" i="46"/>
  <c r="K135" i="46"/>
  <c r="J135" i="46"/>
  <c r="AH68" i="46" l="1"/>
  <c r="AI68" i="46" s="1"/>
  <c r="AD92" i="46"/>
  <c r="AE92" i="46" s="1"/>
  <c r="AH86" i="46"/>
  <c r="AI86" i="46" s="1"/>
  <c r="AD76" i="46"/>
  <c r="AE76" i="46" s="1"/>
  <c r="AD85" i="46"/>
  <c r="AE85" i="46" s="1"/>
  <c r="AH127" i="46"/>
  <c r="AI127" i="46" s="1"/>
  <c r="AH112" i="46"/>
  <c r="AI112" i="46" s="1"/>
  <c r="AH132" i="46"/>
  <c r="AI132" i="46" s="1"/>
  <c r="AH47" i="46"/>
  <c r="AI47" i="46" s="1"/>
  <c r="AD84" i="46"/>
  <c r="AE84" i="46" s="1"/>
  <c r="AH95" i="46"/>
  <c r="AI95" i="46" s="1"/>
  <c r="AD113" i="46"/>
  <c r="AE113" i="46" s="1"/>
  <c r="AD87" i="46"/>
  <c r="AE87" i="46" s="1"/>
  <c r="AD120" i="46"/>
  <c r="AE120" i="46" s="1"/>
  <c r="AH67" i="46"/>
  <c r="AI67" i="46" s="1"/>
  <c r="AH66" i="46"/>
  <c r="AI66" i="46" s="1"/>
  <c r="AH90" i="46"/>
  <c r="AI90" i="46" s="1"/>
  <c r="AD65" i="46"/>
  <c r="AE65" i="46" s="1"/>
  <c r="AD128" i="46"/>
  <c r="AE128" i="46" s="1"/>
  <c r="AD62" i="46"/>
  <c r="AE62" i="46" s="1"/>
  <c r="AH71" i="46"/>
  <c r="AI71" i="46" s="1"/>
  <c r="AH94" i="46"/>
  <c r="AI94" i="46" s="1"/>
  <c r="AH123" i="46"/>
  <c r="AI123" i="46" s="1"/>
  <c r="AD83" i="46"/>
  <c r="AE83" i="46" s="1"/>
  <c r="AD130" i="46"/>
  <c r="AE130" i="46" s="1"/>
  <c r="AD47" i="46"/>
  <c r="AE47" i="46" s="1"/>
  <c r="AH110" i="46"/>
  <c r="AI110" i="46" s="1"/>
  <c r="AH56" i="46"/>
  <c r="AI56" i="46" s="1"/>
  <c r="AH131" i="46"/>
  <c r="AI131" i="46" s="1"/>
  <c r="AH46" i="46"/>
  <c r="AI46" i="46" s="1"/>
  <c r="AD86" i="46"/>
  <c r="AE86" i="46" s="1"/>
  <c r="AD52" i="46"/>
  <c r="AE52" i="46" s="1"/>
  <c r="AD99" i="46"/>
  <c r="AE99" i="46" s="1"/>
  <c r="AH92" i="46"/>
  <c r="AI92" i="46" s="1"/>
  <c r="AH87" i="46"/>
  <c r="AI87" i="46" s="1"/>
  <c r="AH60" i="46"/>
  <c r="AI60" i="46" s="1"/>
  <c r="AH119" i="46"/>
  <c r="AI119" i="46" s="1"/>
  <c r="AD96" i="46"/>
  <c r="AE96" i="46" s="1"/>
  <c r="AD48" i="46"/>
  <c r="AE48" i="46" s="1"/>
  <c r="AD101" i="46"/>
  <c r="AE101" i="46" s="1"/>
  <c r="AD68" i="46"/>
  <c r="AE68" i="46" s="1"/>
  <c r="AD121" i="46"/>
  <c r="AE121" i="46" s="1"/>
  <c r="AD88" i="46"/>
  <c r="AE88" i="46" s="1"/>
  <c r="AD111" i="46"/>
  <c r="AE111" i="46" s="1"/>
  <c r="AD131" i="46"/>
  <c r="AE131" i="46" s="1"/>
  <c r="AD117" i="46"/>
  <c r="AE117" i="46" s="1"/>
  <c r="AH116" i="46"/>
  <c r="AI116" i="46" s="1"/>
  <c r="AH84" i="46"/>
  <c r="AI84" i="46" s="1"/>
  <c r="AH63" i="46"/>
  <c r="AI63" i="46" s="1"/>
  <c r="AH118" i="46"/>
  <c r="AI118" i="46" s="1"/>
  <c r="AH82" i="46"/>
  <c r="AI82" i="46" s="1"/>
  <c r="AH85" i="46"/>
  <c r="AI85" i="46" s="1"/>
  <c r="AH70" i="46"/>
  <c r="AI70" i="46" s="1"/>
  <c r="AH74" i="46"/>
  <c r="AI74" i="46" s="1"/>
  <c r="AH52" i="46"/>
  <c r="AI52" i="46" s="1"/>
  <c r="AH64" i="46"/>
  <c r="AI64" i="46" s="1"/>
  <c r="AH72" i="46"/>
  <c r="AI72" i="46" s="1"/>
  <c r="AH88" i="46"/>
  <c r="AI88" i="46" s="1"/>
  <c r="AH96" i="46"/>
  <c r="AI96" i="46" s="1"/>
  <c r="AH101" i="46"/>
  <c r="AI101" i="46" s="1"/>
  <c r="AH129" i="46"/>
  <c r="AI129" i="46" s="1"/>
  <c r="AH62" i="46"/>
  <c r="AI62" i="46" s="1"/>
  <c r="AH115" i="46"/>
  <c r="AI115" i="46" s="1"/>
  <c r="AH130" i="46"/>
  <c r="AI130" i="46" s="1"/>
  <c r="AH120" i="46"/>
  <c r="AI120" i="46" s="1"/>
  <c r="AH99" i="46"/>
  <c r="AI99" i="46" s="1"/>
  <c r="AH45" i="46"/>
  <c r="AI45" i="46" s="1"/>
  <c r="AD116" i="46"/>
  <c r="AE116" i="46" s="1"/>
  <c r="AD110" i="46"/>
  <c r="AE110" i="46" s="1"/>
  <c r="AD104" i="46"/>
  <c r="AE104" i="46" s="1"/>
  <c r="AD67" i="46"/>
  <c r="AE67" i="46" s="1"/>
  <c r="AD58" i="46"/>
  <c r="AE58" i="46" s="1"/>
  <c r="AD66" i="46"/>
  <c r="AE66" i="46" s="1"/>
  <c r="AD51" i="46"/>
  <c r="AE51" i="46" s="1"/>
  <c r="AD53" i="46"/>
  <c r="AE53" i="46" s="1"/>
  <c r="AD93" i="46"/>
  <c r="AE93" i="46" s="1"/>
  <c r="AD78" i="46"/>
  <c r="AE78" i="46" s="1"/>
  <c r="AD108" i="46"/>
  <c r="AE108" i="46" s="1"/>
  <c r="AD123" i="46"/>
  <c r="AE123" i="46" s="1"/>
  <c r="AD106" i="46"/>
  <c r="AE106" i="46" s="1"/>
  <c r="AD46" i="46"/>
  <c r="AE46" i="46" s="1"/>
  <c r="AH48" i="46"/>
  <c r="AI48" i="46" s="1"/>
  <c r="AH105" i="46"/>
  <c r="AI105" i="46" s="1"/>
  <c r="AH77" i="46"/>
  <c r="AI77" i="46" s="1"/>
  <c r="AH65" i="46"/>
  <c r="AI65" i="46" s="1"/>
  <c r="AH104" i="46"/>
  <c r="AI104" i="46" s="1"/>
  <c r="AH79" i="46"/>
  <c r="AI79" i="46" s="1"/>
  <c r="AH59" i="46"/>
  <c r="AI59" i="46" s="1"/>
  <c r="AH100" i="46"/>
  <c r="AI100" i="46" s="1"/>
  <c r="AH55" i="46"/>
  <c r="AI55" i="46" s="1"/>
  <c r="AH53" i="46"/>
  <c r="AI53" i="46" s="1"/>
  <c r="AH128" i="46"/>
  <c r="AI128" i="46" s="1"/>
  <c r="AH102" i="46"/>
  <c r="AI102" i="46" s="1"/>
  <c r="AH89" i="46"/>
  <c r="AI89" i="46" s="1"/>
  <c r="AH61" i="46"/>
  <c r="AI61" i="46" s="1"/>
  <c r="AH98" i="46"/>
  <c r="AI98" i="46" s="1"/>
  <c r="AH117" i="46"/>
  <c r="AI117" i="46" s="1"/>
  <c r="AH91" i="46"/>
  <c r="AI91" i="46" s="1"/>
  <c r="AH78" i="46"/>
  <c r="AI78" i="46" s="1"/>
  <c r="AD50" i="46"/>
  <c r="AE50" i="46" s="1"/>
  <c r="AD82" i="46"/>
  <c r="AE82" i="46" s="1"/>
  <c r="AD57" i="46"/>
  <c r="AE57" i="46" s="1"/>
  <c r="AD80" i="46"/>
  <c r="AE80" i="46" s="1"/>
  <c r="AD44" i="46"/>
  <c r="AE44" i="46" s="1"/>
  <c r="AD75" i="46"/>
  <c r="AE75" i="46" s="1"/>
  <c r="AD64" i="46"/>
  <c r="AE64" i="46" s="1"/>
  <c r="AD72" i="46"/>
  <c r="AE72" i="46" s="1"/>
  <c r="AD100" i="46"/>
  <c r="AE100" i="46" s="1"/>
  <c r="AD59" i="46"/>
  <c r="AE59" i="46" s="1"/>
  <c r="AD119" i="46"/>
  <c r="AE119" i="46" s="1"/>
  <c r="AD133" i="46"/>
  <c r="AE133" i="46" s="1"/>
  <c r="AD129" i="46"/>
  <c r="AE129" i="46" s="1"/>
  <c r="AD102" i="46"/>
  <c r="AE102" i="46" s="1"/>
  <c r="AD89" i="46"/>
  <c r="AE89" i="46" s="1"/>
  <c r="AH49" i="46"/>
  <c r="AI49" i="46" s="1"/>
  <c r="AH57" i="46"/>
  <c r="AI57" i="46" s="1"/>
  <c r="AH73" i="46"/>
  <c r="AI73" i="46" s="1"/>
  <c r="AH75" i="46"/>
  <c r="AI75" i="46" s="1"/>
  <c r="AD45" i="46"/>
  <c r="AE45" i="46" s="1"/>
  <c r="AH107" i="46"/>
  <c r="AI107" i="46" s="1"/>
  <c r="AH81" i="46"/>
  <c r="AI81" i="46" s="1"/>
  <c r="AH109" i="46"/>
  <c r="AI109" i="46" s="1"/>
  <c r="AH44" i="46"/>
  <c r="AH58" i="46"/>
  <c r="AI58" i="46" s="1"/>
  <c r="AH76" i="46"/>
  <c r="AI76" i="46" s="1"/>
  <c r="AH106" i="46"/>
  <c r="AI106" i="46" s="1"/>
  <c r="AH125" i="46"/>
  <c r="AI125" i="46" s="1"/>
  <c r="AH103" i="46"/>
  <c r="AI103" i="46" s="1"/>
  <c r="AD77" i="46"/>
  <c r="AE77" i="46" s="1"/>
  <c r="AD69" i="46"/>
  <c r="AE69" i="46" s="1"/>
  <c r="AD109" i="46"/>
  <c r="AE109" i="46" s="1"/>
  <c r="AD70" i="46"/>
  <c r="AE70" i="46" s="1"/>
  <c r="AD71" i="46"/>
  <c r="AE71" i="46" s="1"/>
  <c r="AD73" i="46"/>
  <c r="AE73" i="46" s="1"/>
  <c r="AD112" i="46"/>
  <c r="AE112" i="46" s="1"/>
  <c r="AD91" i="46"/>
  <c r="AE91" i="46" s="1"/>
  <c r="AD122" i="46"/>
  <c r="AE122" i="46" s="1"/>
  <c r="AD115" i="46"/>
  <c r="AE115" i="46" s="1"/>
  <c r="AH50" i="46"/>
  <c r="AI50" i="46" s="1"/>
  <c r="AH97" i="46"/>
  <c r="AI97" i="46" s="1"/>
  <c r="AH69" i="46"/>
  <c r="AI69" i="46" s="1"/>
  <c r="AH80" i="46"/>
  <c r="AI80" i="46" s="1"/>
  <c r="AH83" i="46"/>
  <c r="AI83" i="46" s="1"/>
  <c r="AH51" i="46"/>
  <c r="AI51" i="46" s="1"/>
  <c r="AH121" i="46"/>
  <c r="AI121" i="46" s="1"/>
  <c r="AH54" i="46"/>
  <c r="AI54" i="46" s="1"/>
  <c r="AH113" i="46"/>
  <c r="AI113" i="46" s="1"/>
  <c r="AH133" i="46"/>
  <c r="AI133" i="46" s="1"/>
  <c r="AH111" i="46"/>
  <c r="AI111" i="46" s="1"/>
  <c r="AH124" i="46"/>
  <c r="AI124" i="46" s="1"/>
  <c r="AH93" i="46"/>
  <c r="AI93" i="46" s="1"/>
  <c r="AH122" i="46"/>
  <c r="AI122" i="46" s="1"/>
  <c r="AH126" i="46"/>
  <c r="AI126" i="46" s="1"/>
  <c r="AH108" i="46"/>
  <c r="AI108" i="46" s="1"/>
  <c r="AH114" i="46"/>
  <c r="AI114" i="46" s="1"/>
  <c r="AD107" i="46"/>
  <c r="AE107" i="46" s="1"/>
  <c r="AD97" i="46"/>
  <c r="AE97" i="46" s="1"/>
  <c r="AD132" i="46"/>
  <c r="AE132" i="46" s="1"/>
  <c r="AD79" i="46"/>
  <c r="AE79" i="46" s="1"/>
  <c r="AD81" i="46"/>
  <c r="AE81" i="46" s="1"/>
  <c r="AD74" i="46"/>
  <c r="AE74" i="46" s="1"/>
  <c r="AD55" i="46"/>
  <c r="AE55" i="46" s="1"/>
  <c r="AD127" i="46"/>
  <c r="AE127" i="46" s="1"/>
  <c r="AD56" i="46"/>
  <c r="AE56" i="46" s="1"/>
  <c r="AD105" i="46"/>
  <c r="AE105" i="46" s="1"/>
  <c r="AD54" i="46"/>
  <c r="AE54" i="46" s="1"/>
  <c r="AD95" i="46"/>
  <c r="AE95" i="46" s="1"/>
  <c r="AD63" i="46"/>
  <c r="AE63" i="46" s="1"/>
  <c r="AD126" i="46"/>
  <c r="AE126" i="46" s="1"/>
  <c r="AD90" i="46"/>
  <c r="AE90" i="46" s="1"/>
  <c r="AD118" i="46"/>
  <c r="AE118" i="46" s="1"/>
  <c r="AD103" i="46"/>
  <c r="AE103" i="46" s="1"/>
  <c r="AD124" i="46"/>
  <c r="AE124" i="46" s="1"/>
  <c r="AD125" i="46"/>
  <c r="AE125" i="46" s="1"/>
  <c r="AD60" i="46"/>
  <c r="AE60" i="46" s="1"/>
  <c r="AD61" i="46"/>
  <c r="AE61" i="46" s="1"/>
  <c r="AD114" i="46"/>
  <c r="AE114" i="46" s="1"/>
  <c r="AD49" i="46"/>
  <c r="AE49" i="46" s="1"/>
  <c r="AD94" i="46"/>
  <c r="AE94" i="46" s="1"/>
  <c r="AD98" i="46"/>
  <c r="AE98" i="46" s="1"/>
  <c r="AI44" i="46" l="1"/>
  <c r="J30" i="46"/>
  <c r="J28" i="46"/>
  <c r="J131" i="46" l="1"/>
  <c r="K104" i="46"/>
  <c r="J104" i="46"/>
  <c r="J85" i="46"/>
  <c r="K85" i="46"/>
  <c r="F62" i="39" s="1"/>
  <c r="K83" i="46"/>
  <c r="F60" i="39" s="1"/>
  <c r="J83" i="46"/>
  <c r="J82" i="46"/>
  <c r="K82" i="46"/>
  <c r="F59" i="39" s="1"/>
  <c r="J116" i="46"/>
  <c r="K116" i="46"/>
  <c r="F93" i="39" s="1"/>
  <c r="J81" i="46"/>
  <c r="K81" i="46"/>
  <c r="F58" i="39" s="1"/>
  <c r="K80" i="46"/>
  <c r="F57" i="39" s="1"/>
  <c r="J80" i="46"/>
  <c r="K79" i="46"/>
  <c r="F56" i="39" s="1"/>
  <c r="J79" i="46"/>
  <c r="K74" i="46"/>
  <c r="F51" i="39" s="1"/>
  <c r="J74" i="46"/>
  <c r="K70" i="46"/>
  <c r="F47" i="39" s="1"/>
  <c r="J70" i="46"/>
  <c r="J77" i="46"/>
  <c r="K77" i="46"/>
  <c r="F54" i="39" s="1"/>
  <c r="K97" i="46"/>
  <c r="F74" i="39" s="1"/>
  <c r="J97" i="46"/>
  <c r="K69" i="46"/>
  <c r="F46" i="39" s="1"/>
  <c r="J69" i="46"/>
  <c r="J67" i="46"/>
  <c r="K67" i="46"/>
  <c r="F44" i="39" s="1"/>
  <c r="J50" i="46"/>
  <c r="K50" i="46"/>
  <c r="F27" i="39" s="1"/>
  <c r="K133" i="46"/>
  <c r="F110" i="39" s="1"/>
  <c r="J133" i="46"/>
  <c r="K132" i="46"/>
  <c r="K65" i="46"/>
  <c r="F42" i="39" s="1"/>
  <c r="J65" i="46"/>
  <c r="K45" i="46"/>
  <c r="K99" i="46"/>
  <c r="K92" i="46"/>
  <c r="K84" i="46"/>
  <c r="K115" i="46"/>
  <c r="K124" i="46"/>
  <c r="K95" i="46"/>
  <c r="K103" i="46"/>
  <c r="K100" i="46"/>
  <c r="K118" i="46"/>
  <c r="K102" i="46"/>
  <c r="K87" i="46"/>
  <c r="K60" i="46"/>
  <c r="K53" i="46"/>
  <c r="K88" i="46"/>
  <c r="K111" i="46"/>
  <c r="K125" i="46"/>
  <c r="K46" i="46"/>
  <c r="K98" i="46"/>
  <c r="K63" i="46"/>
  <c r="K114" i="46"/>
  <c r="K117" i="46"/>
  <c r="K75" i="46"/>
  <c r="K52" i="46"/>
  <c r="J47" i="46"/>
  <c r="K61" i="46"/>
  <c r="K129" i="46"/>
  <c r="K120" i="46"/>
  <c r="K113" i="46"/>
  <c r="K105" i="46"/>
  <c r="K123" i="46"/>
  <c r="K44" i="46"/>
  <c r="Q5" i="42" s="1"/>
  <c r="Y5" i="42" s="1"/>
  <c r="K94" i="46"/>
  <c r="K71" i="46"/>
  <c r="K62" i="46"/>
  <c r="K55" i="46"/>
  <c r="K128" i="46"/>
  <c r="K72" i="46"/>
  <c r="K126" i="46"/>
  <c r="K122" i="46"/>
  <c r="K93" i="46"/>
  <c r="K127" i="46"/>
  <c r="K68" i="46"/>
  <c r="K96" i="46"/>
  <c r="J51" i="46"/>
  <c r="K49" i="46"/>
  <c r="K73" i="46"/>
  <c r="K54" i="46"/>
  <c r="K106" i="46"/>
  <c r="K47" i="46"/>
  <c r="K51" i="46"/>
  <c r="K76" i="46"/>
  <c r="J45" i="46"/>
  <c r="J91" i="46"/>
  <c r="J115" i="46"/>
  <c r="J75" i="46"/>
  <c r="J118" i="46"/>
  <c r="J122" i="46"/>
  <c r="J100" i="46"/>
  <c r="K78" i="46"/>
  <c r="K48" i="46"/>
  <c r="K112" i="46"/>
  <c r="K121" i="46"/>
  <c r="K91" i="46"/>
  <c r="J111" i="46"/>
  <c r="J48" i="46"/>
  <c r="J53" i="46"/>
  <c r="J90" i="46"/>
  <c r="J72" i="46"/>
  <c r="J76" i="46"/>
  <c r="J119" i="46"/>
  <c r="J125" i="46"/>
  <c r="J66" i="46"/>
  <c r="K90" i="46"/>
  <c r="F67" i="39" s="1"/>
  <c r="J68" i="46"/>
  <c r="J112" i="46"/>
  <c r="J113" i="46"/>
  <c r="J114" i="46"/>
  <c r="J73" i="46"/>
  <c r="J117" i="46"/>
  <c r="J121" i="46"/>
  <c r="J127" i="46"/>
  <c r="J129" i="46"/>
  <c r="K130" i="46"/>
  <c r="K66" i="46"/>
  <c r="K119" i="46"/>
  <c r="J46" i="46"/>
  <c r="J49" i="46"/>
  <c r="J52" i="46"/>
  <c r="J92" i="46"/>
  <c r="J71" i="46"/>
  <c r="J93" i="46"/>
  <c r="J78" i="46"/>
  <c r="J124" i="46"/>
  <c r="J128" i="46"/>
  <c r="J105" i="46"/>
  <c r="J55" i="46"/>
  <c r="J94" i="46"/>
  <c r="J96" i="46"/>
  <c r="J123" i="46"/>
  <c r="J126" i="46"/>
  <c r="J101" i="46"/>
  <c r="J102" i="46"/>
  <c r="J106" i="46"/>
  <c r="J61" i="46"/>
  <c r="J95" i="46"/>
  <c r="J120" i="46"/>
  <c r="J98" i="46"/>
  <c r="J99" i="46"/>
  <c r="J54" i="46"/>
  <c r="J103" i="46"/>
  <c r="J84" i="46"/>
  <c r="J62" i="46"/>
  <c r="J60" i="46"/>
  <c r="J130" i="46"/>
  <c r="J87" i="46"/>
  <c r="J44" i="46"/>
  <c r="F21" i="27" s="1"/>
  <c r="J21" i="27" s="1"/>
  <c r="K101" i="46"/>
  <c r="K131" i="46"/>
  <c r="F108" i="39" s="1"/>
  <c r="J63" i="46"/>
  <c r="J88" i="46"/>
  <c r="J89" i="46"/>
  <c r="K89" i="46"/>
  <c r="J107" i="46"/>
  <c r="K107" i="46"/>
  <c r="J108" i="46"/>
  <c r="K57" i="46"/>
  <c r="J59" i="46"/>
  <c r="K59" i="46"/>
  <c r="F36" i="39" s="1"/>
  <c r="J132" i="46"/>
  <c r="K109" i="46"/>
  <c r="J109" i="46"/>
  <c r="J86" i="46"/>
  <c r="K110" i="46"/>
  <c r="J64" i="46"/>
  <c r="K64" i="46"/>
  <c r="K56" i="46"/>
  <c r="F33" i="39" s="1"/>
  <c r="J57" i="46"/>
  <c r="K108" i="46"/>
  <c r="K86" i="46"/>
  <c r="J110" i="46"/>
  <c r="J56" i="46"/>
  <c r="K58" i="46"/>
  <c r="F35" i="39" s="1"/>
  <c r="J58" i="46"/>
  <c r="K81" i="39" l="1"/>
  <c r="M81" i="39" s="1"/>
  <c r="Q65" i="42"/>
  <c r="Y65" i="42" s="1"/>
  <c r="Q55" i="42"/>
  <c r="Y55" i="42" s="1"/>
  <c r="F71" i="39"/>
  <c r="K71" i="39" s="1"/>
  <c r="M71" i="39" s="1"/>
  <c r="Q64" i="42"/>
  <c r="Y64" i="42" s="1"/>
  <c r="F80" i="39"/>
  <c r="K80" i="39" s="1"/>
  <c r="M80" i="39" s="1"/>
  <c r="Q18" i="42"/>
  <c r="Y18" i="42" s="1"/>
  <c r="F34" i="39"/>
  <c r="K34" i="39" s="1"/>
  <c r="M34" i="39" s="1"/>
  <c r="Q92" i="42"/>
  <c r="Y92" i="42" s="1"/>
  <c r="Q91" i="42"/>
  <c r="Y91" i="42" s="1"/>
  <c r="F107" i="39"/>
  <c r="Q52" i="42"/>
  <c r="Y52" i="42" s="1"/>
  <c r="F68" i="39"/>
  <c r="K68" i="39" s="1"/>
  <c r="M68" i="39" s="1"/>
  <c r="Q82" i="42"/>
  <c r="Y82" i="42" s="1"/>
  <c r="F98" i="39"/>
  <c r="K98" i="39" s="1"/>
  <c r="M98" i="39" s="1"/>
  <c r="Q34" i="42"/>
  <c r="Y34" i="42" s="1"/>
  <c r="F50" i="39"/>
  <c r="K50" i="39" s="1"/>
  <c r="M50" i="39" s="1"/>
  <c r="Q87" i="42"/>
  <c r="Y87" i="42" s="1"/>
  <c r="F103" i="39"/>
  <c r="K103" i="39" s="1"/>
  <c r="M103" i="39" s="1"/>
  <c r="Q90" i="42"/>
  <c r="Y90" i="42" s="1"/>
  <c r="F106" i="39"/>
  <c r="K106" i="39" s="1"/>
  <c r="M106" i="39" s="1"/>
  <c r="Q49" i="42"/>
  <c r="Y49" i="42" s="1"/>
  <c r="F65" i="39"/>
  <c r="Q68" i="42"/>
  <c r="Y68" i="42" s="1"/>
  <c r="F84" i="39"/>
  <c r="K84" i="39" s="1"/>
  <c r="M84" i="39" s="1"/>
  <c r="Q62" i="42"/>
  <c r="F78" i="39"/>
  <c r="F96" i="39"/>
  <c r="K96" i="39" s="1"/>
  <c r="M96" i="39" s="1"/>
  <c r="F89" i="39"/>
  <c r="K89" i="39" s="1"/>
  <c r="M89" i="39" s="1"/>
  <c r="F24" i="39"/>
  <c r="K24" i="39" s="1"/>
  <c r="M24" i="39" s="1"/>
  <c r="F26" i="39"/>
  <c r="K26" i="39" s="1"/>
  <c r="M26" i="39" s="1"/>
  <c r="F104" i="39"/>
  <c r="K104" i="39" s="1"/>
  <c r="M104" i="39" s="1"/>
  <c r="F49" i="39"/>
  <c r="K49" i="39" s="1"/>
  <c r="M49" i="39" s="1"/>
  <c r="F48" i="39"/>
  <c r="K48" i="39" s="1"/>
  <c r="M48" i="39" s="1"/>
  <c r="Q66" i="42"/>
  <c r="Y66" i="42" s="1"/>
  <c r="F82" i="39"/>
  <c r="K82" i="39" s="1"/>
  <c r="M82" i="39" s="1"/>
  <c r="Q22" i="42"/>
  <c r="Y22" i="42" s="1"/>
  <c r="F38" i="39"/>
  <c r="K38" i="39" s="1"/>
  <c r="M38" i="39" s="1"/>
  <c r="Q78" i="42"/>
  <c r="Y78" i="42" s="1"/>
  <c r="F94" i="39"/>
  <c r="K94" i="39" s="1"/>
  <c r="M94" i="39" s="1"/>
  <c r="F23" i="39"/>
  <c r="K23" i="39" s="1"/>
  <c r="M23" i="39" s="1"/>
  <c r="Q14" i="42"/>
  <c r="Y14" i="42" s="1"/>
  <c r="F30" i="39"/>
  <c r="K30" i="39" s="1"/>
  <c r="M30" i="39" s="1"/>
  <c r="F95" i="39"/>
  <c r="K95" i="39" s="1"/>
  <c r="M95" i="39" s="1"/>
  <c r="F101" i="39"/>
  <c r="K101" i="39" s="1"/>
  <c r="M101" i="39" s="1"/>
  <c r="F76" i="39"/>
  <c r="K76" i="39" s="1"/>
  <c r="M76" i="39" s="1"/>
  <c r="Q93" i="42"/>
  <c r="Y93" i="42" s="1"/>
  <c r="F109" i="39"/>
  <c r="K109" i="39" s="1"/>
  <c r="M109" i="39" s="1"/>
  <c r="Q69" i="42"/>
  <c r="Y69" i="42" s="1"/>
  <c r="F85" i="39"/>
  <c r="F86" i="39"/>
  <c r="K86" i="39" s="1"/>
  <c r="M86" i="39" s="1"/>
  <c r="F66" i="39"/>
  <c r="K66" i="39" s="1"/>
  <c r="M66" i="39" s="1"/>
  <c r="Q39" i="42"/>
  <c r="Y39" i="42" s="1"/>
  <c r="F55" i="39"/>
  <c r="K55" i="39" s="1"/>
  <c r="M55" i="39" s="1"/>
  <c r="Q37" i="42"/>
  <c r="Y37" i="42" s="1"/>
  <c r="F53" i="39"/>
  <c r="K53" i="39" s="1"/>
  <c r="M53" i="39" s="1"/>
  <c r="Q15" i="42"/>
  <c r="Y15" i="42" s="1"/>
  <c r="F31" i="39"/>
  <c r="K31" i="39" s="1"/>
  <c r="M31" i="39" s="1"/>
  <c r="Q57" i="42"/>
  <c r="Y57" i="42" s="1"/>
  <c r="F73" i="39"/>
  <c r="K73" i="39" s="1"/>
  <c r="M73" i="39" s="1"/>
  <c r="Q83" i="42"/>
  <c r="Y83" i="42" s="1"/>
  <c r="F99" i="39"/>
  <c r="K99" i="39" s="1"/>
  <c r="M99" i="39" s="1"/>
  <c r="Q16" i="42"/>
  <c r="Y16" i="42" s="1"/>
  <c r="F32" i="39"/>
  <c r="K32" i="39" s="1"/>
  <c r="M32" i="39" s="1"/>
  <c r="Q81" i="42"/>
  <c r="Y81" i="42" s="1"/>
  <c r="F97" i="39"/>
  <c r="K97" i="39" s="1"/>
  <c r="M97" i="39" s="1"/>
  <c r="Q13" i="42"/>
  <c r="Y13" i="42" s="1"/>
  <c r="F29" i="39"/>
  <c r="K29" i="39" s="1"/>
  <c r="M29" i="39" s="1"/>
  <c r="Q24" i="42"/>
  <c r="Y24" i="42" s="1"/>
  <c r="F40" i="39"/>
  <c r="K40" i="39" s="1"/>
  <c r="M40" i="39" s="1"/>
  <c r="F87" i="39"/>
  <c r="K87" i="39" s="1"/>
  <c r="M87" i="39" s="1"/>
  <c r="Q12" i="42"/>
  <c r="Y12" i="42" s="1"/>
  <c r="F28" i="39"/>
  <c r="K28" i="39" s="1"/>
  <c r="M28" i="39" s="1"/>
  <c r="Q29" i="42"/>
  <c r="Y29" i="42" s="1"/>
  <c r="F45" i="39"/>
  <c r="K45" i="39" s="1"/>
  <c r="M45" i="39" s="1"/>
  <c r="Q23" i="42"/>
  <c r="Y23" i="42" s="1"/>
  <c r="F39" i="39"/>
  <c r="K39" i="39" s="1"/>
  <c r="M39" i="39" s="1"/>
  <c r="Q84" i="42"/>
  <c r="Y84" i="42" s="1"/>
  <c r="F100" i="39"/>
  <c r="K100" i="39" s="1"/>
  <c r="M100" i="39" s="1"/>
  <c r="Q36" i="42"/>
  <c r="Y36" i="42" s="1"/>
  <c r="F52" i="39"/>
  <c r="K52" i="39" s="1"/>
  <c r="M52" i="39" s="1"/>
  <c r="Q59" i="42"/>
  <c r="Y59" i="42" s="1"/>
  <c r="F75" i="39"/>
  <c r="K75" i="39" s="1"/>
  <c r="M75" i="39" s="1"/>
  <c r="Q63" i="42"/>
  <c r="Y63" i="42" s="1"/>
  <c r="F79" i="39"/>
  <c r="K79" i="39" s="1"/>
  <c r="M79" i="39" s="1"/>
  <c r="Q56" i="42"/>
  <c r="Y56" i="42" s="1"/>
  <c r="F72" i="39"/>
  <c r="K72" i="39" s="1"/>
  <c r="M72" i="39" s="1"/>
  <c r="Q53" i="42"/>
  <c r="Y53" i="42" s="1"/>
  <c r="F69" i="39"/>
  <c r="K69" i="39" s="1"/>
  <c r="M69" i="39" s="1"/>
  <c r="Q47" i="42"/>
  <c r="Y47" i="42" s="1"/>
  <c r="F63" i="39"/>
  <c r="K63" i="39" s="1"/>
  <c r="M63" i="39" s="1"/>
  <c r="Q25" i="42"/>
  <c r="Y25" i="42" s="1"/>
  <c r="F41" i="39"/>
  <c r="K41" i="39" s="1"/>
  <c r="M41" i="39" s="1"/>
  <c r="Q27" i="42"/>
  <c r="Y27" i="42" s="1"/>
  <c r="F43" i="39"/>
  <c r="K43" i="39" s="1"/>
  <c r="M43" i="39" s="1"/>
  <c r="Q9" i="42"/>
  <c r="Y9" i="42" s="1"/>
  <c r="F25" i="39"/>
  <c r="K25" i="39" s="1"/>
  <c r="M25" i="39" s="1"/>
  <c r="Q67" i="42"/>
  <c r="Y67" i="42" s="1"/>
  <c r="F83" i="39"/>
  <c r="K83" i="39" s="1"/>
  <c r="M83" i="39" s="1"/>
  <c r="Q54" i="42"/>
  <c r="Y54" i="42" s="1"/>
  <c r="F70" i="39"/>
  <c r="K70" i="39" s="1"/>
  <c r="M70" i="39" s="1"/>
  <c r="Q89" i="42"/>
  <c r="Y89" i="42" s="1"/>
  <c r="F105" i="39"/>
  <c r="K105" i="39" s="1"/>
  <c r="M105" i="39" s="1"/>
  <c r="Q74" i="42"/>
  <c r="Y74" i="42" s="1"/>
  <c r="F90" i="39"/>
  <c r="K90" i="39" s="1"/>
  <c r="M90" i="39" s="1"/>
  <c r="Q75" i="42"/>
  <c r="Y75" i="42" s="1"/>
  <c r="F91" i="39"/>
  <c r="K91" i="39" s="1"/>
  <c r="M91" i="39" s="1"/>
  <c r="Q86" i="42"/>
  <c r="Y86" i="42" s="1"/>
  <c r="F102" i="39"/>
  <c r="K102" i="39" s="1"/>
  <c r="M102" i="39" s="1"/>
  <c r="Q21" i="42"/>
  <c r="Y21" i="42" s="1"/>
  <c r="F37" i="39"/>
  <c r="K37" i="39" s="1"/>
  <c r="M37" i="39" s="1"/>
  <c r="Q61" i="42"/>
  <c r="Y61" i="42" s="1"/>
  <c r="F77" i="39"/>
  <c r="K77" i="39" s="1"/>
  <c r="M77" i="39" s="1"/>
  <c r="Q76" i="42"/>
  <c r="Y76" i="42" s="1"/>
  <c r="F92" i="39"/>
  <c r="K92" i="39" s="1"/>
  <c r="M92" i="39" s="1"/>
  <c r="Q6" i="42"/>
  <c r="Y6" i="42" s="1"/>
  <c r="F22" i="39"/>
  <c r="K22" i="39" s="1"/>
  <c r="M22" i="39" s="1"/>
  <c r="Q72" i="42"/>
  <c r="Y72" i="42" s="1"/>
  <c r="F88" i="39"/>
  <c r="K88" i="39" s="1"/>
  <c r="M88" i="39" s="1"/>
  <c r="Q48" i="42"/>
  <c r="Y48" i="42" s="1"/>
  <c r="F64" i="39"/>
  <c r="K64" i="39" s="1"/>
  <c r="M64" i="39" s="1"/>
  <c r="Q45" i="42"/>
  <c r="Y45" i="42" s="1"/>
  <c r="F61" i="39"/>
  <c r="K61" i="39" s="1"/>
  <c r="M61" i="39" s="1"/>
  <c r="Q51" i="42"/>
  <c r="Y51" i="42" s="1"/>
  <c r="K67" i="39"/>
  <c r="M67" i="39" s="1"/>
  <c r="Q46" i="42"/>
  <c r="Y46" i="42" s="1"/>
  <c r="K62" i="39"/>
  <c r="M62" i="39" s="1"/>
  <c r="Q44" i="42"/>
  <c r="Y44" i="42" s="1"/>
  <c r="K60" i="39"/>
  <c r="M60" i="39" s="1"/>
  <c r="Q43" i="42"/>
  <c r="Y43" i="42" s="1"/>
  <c r="K59" i="39"/>
  <c r="M59" i="39" s="1"/>
  <c r="Q77" i="42"/>
  <c r="Y77" i="42" s="1"/>
  <c r="K93" i="39"/>
  <c r="M93" i="39" s="1"/>
  <c r="Q42" i="42"/>
  <c r="Y42" i="42" s="1"/>
  <c r="K58" i="39"/>
  <c r="M58" i="39" s="1"/>
  <c r="Q85" i="42"/>
  <c r="Y85" i="42" s="1"/>
  <c r="Q60" i="42"/>
  <c r="Y60" i="42" s="1"/>
  <c r="Q79" i="42"/>
  <c r="Y79" i="42" s="1"/>
  <c r="Q41" i="42"/>
  <c r="Y41" i="42" s="1"/>
  <c r="K57" i="39"/>
  <c r="M57" i="39" s="1"/>
  <c r="K56" i="39"/>
  <c r="M56" i="39" s="1"/>
  <c r="Q40" i="42"/>
  <c r="Y40" i="42" s="1"/>
  <c r="Q35" i="42"/>
  <c r="Y35" i="42" s="1"/>
  <c r="K51" i="39"/>
  <c r="M51" i="39" s="1"/>
  <c r="Q31" i="42"/>
  <c r="Y31" i="42" s="1"/>
  <c r="K47" i="39"/>
  <c r="M47" i="39" s="1"/>
  <c r="Q7" i="42"/>
  <c r="Y7" i="42" s="1"/>
  <c r="Q32" i="42"/>
  <c r="Y32" i="42" s="1"/>
  <c r="Q33" i="42"/>
  <c r="Y33" i="42" s="1"/>
  <c r="Q88" i="42"/>
  <c r="Y88" i="42" s="1"/>
  <c r="Q73" i="42"/>
  <c r="Y73" i="42" s="1"/>
  <c r="Q10" i="42"/>
  <c r="Y10" i="42" s="1"/>
  <c r="Q8" i="42"/>
  <c r="Y8" i="42" s="1"/>
  <c r="Q80" i="42"/>
  <c r="Y80" i="42" s="1"/>
  <c r="Q38" i="42"/>
  <c r="Y38" i="42" s="1"/>
  <c r="K54" i="39"/>
  <c r="M54" i="39" s="1"/>
  <c r="Q58" i="42"/>
  <c r="Y58" i="42" s="1"/>
  <c r="K74" i="39"/>
  <c r="M74" i="39" s="1"/>
  <c r="Q30" i="42"/>
  <c r="Y30" i="42" s="1"/>
  <c r="K46" i="39"/>
  <c r="M46" i="39" s="1"/>
  <c r="K44" i="39"/>
  <c r="M44" i="39" s="1"/>
  <c r="Q28" i="42"/>
  <c r="Y28" i="42" s="1"/>
  <c r="K27" i="39"/>
  <c r="M27" i="39" s="1"/>
  <c r="Q11" i="42"/>
  <c r="Y11" i="42" s="1"/>
  <c r="Q94" i="42"/>
  <c r="Y94" i="42" s="1"/>
  <c r="K110" i="39"/>
  <c r="M110" i="39" s="1"/>
  <c r="Q26" i="42"/>
  <c r="Y26" i="42" s="1"/>
  <c r="K42" i="39"/>
  <c r="M42" i="39" s="1"/>
  <c r="Q50" i="42"/>
  <c r="Y50" i="42" s="1"/>
  <c r="K65" i="39"/>
  <c r="M65" i="39" s="1"/>
  <c r="K107" i="39"/>
  <c r="M107" i="39" s="1"/>
  <c r="K108" i="39"/>
  <c r="M108" i="39" s="1"/>
  <c r="F21" i="39"/>
  <c r="K21" i="39" s="1"/>
  <c r="M21" i="39" s="1"/>
  <c r="J142" i="46"/>
  <c r="J138" i="46" s="1"/>
  <c r="Q70" i="42"/>
  <c r="Y70" i="42" s="1"/>
  <c r="K142" i="46"/>
  <c r="K138" i="46" s="1"/>
  <c r="Q71" i="42"/>
  <c r="Y71" i="42" s="1"/>
  <c r="K36" i="39"/>
  <c r="M36" i="39" s="1"/>
  <c r="Q20" i="42"/>
  <c r="Y20" i="42" s="1"/>
  <c r="K85" i="39"/>
  <c r="W69" i="42" s="1"/>
  <c r="J134" i="46"/>
  <c r="K134" i="46"/>
  <c r="Q17" i="42"/>
  <c r="Y17" i="42" s="1"/>
  <c r="K33" i="39"/>
  <c r="M33" i="39" s="1"/>
  <c r="Q19" i="42"/>
  <c r="Y19" i="42" s="1"/>
  <c r="K35" i="39"/>
  <c r="M35" i="39" s="1"/>
  <c r="E79" i="33" l="1"/>
  <c r="W65" i="42"/>
  <c r="Z65" i="42" s="1"/>
  <c r="W76" i="42"/>
  <c r="Z76" i="42" s="1"/>
  <c r="W24" i="42"/>
  <c r="Z24" i="42" s="1"/>
  <c r="E95" i="33"/>
  <c r="E97" i="33"/>
  <c r="W15" i="42"/>
  <c r="Z15" i="42" s="1"/>
  <c r="W39" i="42"/>
  <c r="Z39" i="42" s="1"/>
  <c r="W22" i="42"/>
  <c r="Z22" i="42" s="1"/>
  <c r="E78" i="33"/>
  <c r="W49" i="42"/>
  <c r="Z49" i="42" s="1"/>
  <c r="W45" i="42"/>
  <c r="Z45" i="42" s="1"/>
  <c r="W92" i="42"/>
  <c r="Z92" i="42" s="1"/>
  <c r="W48" i="42"/>
  <c r="Z48" i="42" s="1"/>
  <c r="W6" i="42"/>
  <c r="Z6" i="42" s="1"/>
  <c r="W61" i="42"/>
  <c r="Z61" i="42" s="1"/>
  <c r="W86" i="42"/>
  <c r="Z86" i="42" s="1"/>
  <c r="E88" i="33"/>
  <c r="W54" i="42"/>
  <c r="Z54" i="42" s="1"/>
  <c r="W9" i="42"/>
  <c r="Z9" i="42" s="1"/>
  <c r="E39" i="33"/>
  <c r="W53" i="42"/>
  <c r="Z53" i="42" s="1"/>
  <c r="W63" i="42"/>
  <c r="Z63" i="42" s="1"/>
  <c r="W36" i="42"/>
  <c r="Z36" i="42" s="1"/>
  <c r="W23" i="42"/>
  <c r="Z23" i="42" s="1"/>
  <c r="E26" i="33"/>
  <c r="W68" i="42"/>
  <c r="Z68" i="42" s="1"/>
  <c r="W90" i="42"/>
  <c r="Z90" i="42" s="1"/>
  <c r="W34" i="42"/>
  <c r="Z34" i="42" s="1"/>
  <c r="W52" i="42"/>
  <c r="Z52" i="42" s="1"/>
  <c r="W72" i="42"/>
  <c r="Z72" i="42" s="1"/>
  <c r="W21" i="42"/>
  <c r="Z21" i="42" s="1"/>
  <c r="W17" i="42"/>
  <c r="Z17" i="42" s="1"/>
  <c r="E92" i="33"/>
  <c r="W13" i="42"/>
  <c r="Z13" i="42" s="1"/>
  <c r="W16" i="42"/>
  <c r="Z16" i="42" s="1"/>
  <c r="E71" i="33"/>
  <c r="E51" i="33"/>
  <c r="W93" i="42"/>
  <c r="Z93" i="42" s="1"/>
  <c r="W66" i="42"/>
  <c r="Z66" i="42" s="1"/>
  <c r="E32" i="33"/>
  <c r="E69" i="33"/>
  <c r="W75" i="42"/>
  <c r="Z75" i="42" s="1"/>
  <c r="W89" i="42"/>
  <c r="Z89" i="42" s="1"/>
  <c r="W67" i="42"/>
  <c r="Z67" i="42" s="1"/>
  <c r="W27" i="42"/>
  <c r="Z27" i="42" s="1"/>
  <c r="W47" i="42"/>
  <c r="Z47" i="42" s="1"/>
  <c r="E70" i="33"/>
  <c r="W59" i="42"/>
  <c r="Z59" i="42" s="1"/>
  <c r="E98" i="33"/>
  <c r="E43" i="33"/>
  <c r="E28" i="33"/>
  <c r="W87" i="42"/>
  <c r="Z87" i="42" s="1"/>
  <c r="W82" i="42"/>
  <c r="Z82" i="42" s="1"/>
  <c r="W5" i="42"/>
  <c r="Z5" i="42" s="1"/>
  <c r="W91" i="42"/>
  <c r="Z91" i="42" s="1"/>
  <c r="E107" i="33"/>
  <c r="E87" i="33"/>
  <c r="W73" i="42"/>
  <c r="Z73" i="42" s="1"/>
  <c r="Z69" i="42"/>
  <c r="W33" i="42"/>
  <c r="Z33" i="42" s="1"/>
  <c r="E47" i="33"/>
  <c r="W85" i="42"/>
  <c r="Z85" i="42" s="1"/>
  <c r="E99" i="33"/>
  <c r="W10" i="42"/>
  <c r="Z10" i="42" s="1"/>
  <c r="E24" i="33"/>
  <c r="W70" i="42"/>
  <c r="Z70" i="42" s="1"/>
  <c r="E84" i="33"/>
  <c r="E85" i="33"/>
  <c r="W71" i="42"/>
  <c r="Z71" i="42" s="1"/>
  <c r="W7" i="42"/>
  <c r="Z7" i="42" s="1"/>
  <c r="E21" i="33"/>
  <c r="E94" i="33"/>
  <c r="W80" i="42"/>
  <c r="Z80" i="42" s="1"/>
  <c r="W50" i="42"/>
  <c r="Z50" i="42" s="1"/>
  <c r="E64" i="33"/>
  <c r="W32" i="42"/>
  <c r="Z32" i="42" s="1"/>
  <c r="E46" i="33"/>
  <c r="W79" i="42"/>
  <c r="E93" i="33"/>
  <c r="W8" i="42"/>
  <c r="Z8" i="42" s="1"/>
  <c r="E22" i="33"/>
  <c r="E74" i="33"/>
  <c r="W60" i="42"/>
  <c r="Z60" i="42" s="1"/>
  <c r="W88" i="42"/>
  <c r="Z88" i="42" s="1"/>
  <c r="E102" i="33"/>
  <c r="W51" i="42"/>
  <c r="Z51" i="42" s="1"/>
  <c r="E65" i="33"/>
  <c r="W46" i="42"/>
  <c r="Z46" i="42" s="1"/>
  <c r="E60" i="33"/>
  <c r="W44" i="42"/>
  <c r="Z44" i="42" s="1"/>
  <c r="E58" i="33"/>
  <c r="E57" i="33"/>
  <c r="W43" i="42"/>
  <c r="Z43" i="42" s="1"/>
  <c r="W77" i="42"/>
  <c r="Z77" i="42" s="1"/>
  <c r="E91" i="33"/>
  <c r="W42" i="42"/>
  <c r="Z42" i="42" s="1"/>
  <c r="E56" i="33"/>
  <c r="Z79" i="42"/>
  <c r="W14" i="42"/>
  <c r="Z14" i="42" s="1"/>
  <c r="E36" i="33"/>
  <c r="W41" i="42"/>
  <c r="Z41" i="42" s="1"/>
  <c r="E55" i="33"/>
  <c r="W40" i="42"/>
  <c r="Z40" i="42" s="1"/>
  <c r="E54" i="33"/>
  <c r="W35" i="42"/>
  <c r="Z35" i="42" s="1"/>
  <c r="E49" i="33"/>
  <c r="W31" i="42"/>
  <c r="Z31" i="42" s="1"/>
  <c r="E45" i="33"/>
  <c r="W38" i="42"/>
  <c r="Z38" i="42" s="1"/>
  <c r="E52" i="33"/>
  <c r="W58" i="42"/>
  <c r="Z58" i="42" s="1"/>
  <c r="E72" i="33"/>
  <c r="E75" i="33"/>
  <c r="W30" i="42"/>
  <c r="Z30" i="42" s="1"/>
  <c r="E44" i="33"/>
  <c r="W28" i="42"/>
  <c r="Z28" i="42" s="1"/>
  <c r="E42" i="33"/>
  <c r="W11" i="42"/>
  <c r="Z11" i="42" s="1"/>
  <c r="E25" i="33"/>
  <c r="W94" i="42"/>
  <c r="Z94" i="42" s="1"/>
  <c r="E108" i="33"/>
  <c r="W55" i="42"/>
  <c r="Z55" i="42" s="1"/>
  <c r="E35" i="33"/>
  <c r="W12" i="42"/>
  <c r="Z12" i="42" s="1"/>
  <c r="W64" i="42"/>
  <c r="Z64" i="42" s="1"/>
  <c r="W29" i="42"/>
  <c r="Z29" i="42" s="1"/>
  <c r="E81" i="33"/>
  <c r="E68" i="33"/>
  <c r="W74" i="42"/>
  <c r="Z74" i="42" s="1"/>
  <c r="E103" i="33"/>
  <c r="E90" i="33"/>
  <c r="E23" i="33"/>
  <c r="W56" i="42"/>
  <c r="Z56" i="42" s="1"/>
  <c r="E20" i="33"/>
  <c r="E67" i="33"/>
  <c r="E105" i="33"/>
  <c r="W83" i="42"/>
  <c r="Z83" i="42" s="1"/>
  <c r="W84" i="42"/>
  <c r="Z84" i="42" s="1"/>
  <c r="E100" i="33"/>
  <c r="E41" i="33"/>
  <c r="E86" i="33"/>
  <c r="E59" i="33"/>
  <c r="W81" i="42"/>
  <c r="Z81" i="42" s="1"/>
  <c r="J139" i="46"/>
  <c r="E40" i="33"/>
  <c r="W26" i="42"/>
  <c r="Z26" i="42" s="1"/>
  <c r="E73" i="33"/>
  <c r="E101" i="33"/>
  <c r="E63" i="33"/>
  <c r="E62" i="33"/>
  <c r="E106" i="33"/>
  <c r="E48" i="33"/>
  <c r="W57" i="42"/>
  <c r="Z57" i="42" s="1"/>
  <c r="J137" i="46"/>
  <c r="E66" i="33"/>
  <c r="E61" i="33"/>
  <c r="K137" i="46"/>
  <c r="E77" i="33"/>
  <c r="E37" i="33"/>
  <c r="E30" i="33"/>
  <c r="E29" i="33"/>
  <c r="W37" i="42"/>
  <c r="Z37" i="42" s="1"/>
  <c r="K139" i="46"/>
  <c r="W25" i="42"/>
  <c r="Z25" i="42" s="1"/>
  <c r="E53" i="33"/>
  <c r="W18" i="42"/>
  <c r="Z18" i="42" s="1"/>
  <c r="E27" i="33"/>
  <c r="E38" i="33"/>
  <c r="E82" i="33"/>
  <c r="W20" i="42"/>
  <c r="Z20" i="42" s="1"/>
  <c r="E34" i="33"/>
  <c r="E83" i="33"/>
  <c r="E31" i="33"/>
  <c r="W19" i="42"/>
  <c r="Z19" i="42" s="1"/>
  <c r="E33" i="33"/>
  <c r="W78" i="42" l="1"/>
  <c r="Z78" i="42" s="1"/>
  <c r="E80" i="33"/>
  <c r="E89" i="33"/>
  <c r="E50" i="33"/>
  <c r="E19" i="33"/>
  <c r="E104" i="33"/>
  <c r="E96" i="33"/>
  <c r="F79" i="33" l="1"/>
  <c r="F76" i="33"/>
  <c r="F44" i="33"/>
  <c r="F50" i="33"/>
  <c r="F102" i="33"/>
  <c r="F81" i="33"/>
  <c r="F105" i="33"/>
  <c r="F62" i="33"/>
  <c r="F30" i="33"/>
  <c r="F23" i="33"/>
  <c r="F45" i="33"/>
  <c r="F90" i="33"/>
  <c r="F59" i="33"/>
  <c r="F66" i="33"/>
  <c r="F89" i="33"/>
  <c r="F43" i="33"/>
  <c r="F97" i="33"/>
  <c r="F93" i="33"/>
  <c r="F36" i="33"/>
  <c r="F56" i="33"/>
  <c r="F60" i="33"/>
  <c r="F108" i="33"/>
  <c r="F100" i="33"/>
  <c r="F106" i="33"/>
  <c r="F29" i="33"/>
  <c r="F70" i="33"/>
  <c r="F95" i="33"/>
  <c r="F87" i="33"/>
  <c r="F42" i="33"/>
  <c r="F25" i="33"/>
  <c r="F58" i="33"/>
  <c r="F40" i="33"/>
  <c r="F103" i="33"/>
  <c r="F20" i="33"/>
  <c r="F41" i="33"/>
  <c r="F101" i="33"/>
  <c r="F48" i="33"/>
  <c r="F77" i="33"/>
  <c r="F96" i="33"/>
  <c r="F88" i="33"/>
  <c r="F71" i="33"/>
  <c r="F78" i="33"/>
  <c r="F75" i="33"/>
  <c r="F91" i="33"/>
  <c r="F19" i="33"/>
  <c r="F54" i="33"/>
  <c r="F68" i="33"/>
  <c r="F73" i="33"/>
  <c r="F61" i="33"/>
  <c r="F69" i="33"/>
  <c r="F47" i="33"/>
  <c r="F49" i="33"/>
  <c r="F72" i="33"/>
  <c r="F52" i="33"/>
  <c r="F57" i="33"/>
  <c r="F55" i="33"/>
  <c r="F35" i="33"/>
  <c r="F104" i="33"/>
  <c r="F67" i="33"/>
  <c r="F86" i="33"/>
  <c r="F63" i="33"/>
  <c r="F37" i="33"/>
  <c r="F26" i="33"/>
  <c r="F98" i="33"/>
  <c r="F51" i="33"/>
  <c r="F94" i="33"/>
  <c r="F92" i="33"/>
  <c r="F80" i="33"/>
  <c r="F22" i="33"/>
  <c r="F74" i="33"/>
  <c r="F21" i="33"/>
  <c r="F65" i="33"/>
  <c r="F99" i="33"/>
  <c r="F53" i="33"/>
  <c r="F46" i="33"/>
  <c r="F82" i="33"/>
  <c r="F28" i="33"/>
  <c r="F34" i="33"/>
  <c r="F27" i="33"/>
  <c r="F31" i="33"/>
  <c r="F24" i="33"/>
  <c r="F38" i="33"/>
  <c r="F33" i="33"/>
  <c r="F32" i="33"/>
  <c r="F85" i="33"/>
  <c r="F107" i="33"/>
  <c r="F83" i="33"/>
  <c r="F64" i="33"/>
  <c r="F84" i="33"/>
  <c r="F39" i="33"/>
  <c r="I46" i="33" l="1"/>
  <c r="I24" i="33"/>
  <c r="G24" i="33" s="1"/>
  <c r="I35" i="33"/>
  <c r="H35" i="33" s="1"/>
  <c r="J35" i="33" s="1"/>
  <c r="I51" i="33"/>
  <c r="G51" i="33" s="1"/>
  <c r="I104" i="33"/>
  <c r="H104" i="33" s="1"/>
  <c r="J104" i="33" s="1"/>
  <c r="I102" i="33"/>
  <c r="G102" i="33" s="1"/>
  <c r="I82" i="33"/>
  <c r="H82" i="33" s="1"/>
  <c r="J82" i="33" s="1"/>
  <c r="I63" i="33"/>
  <c r="G63" i="33" s="1"/>
  <c r="I26" i="33"/>
  <c r="H26" i="33" s="1"/>
  <c r="J26" i="33" s="1"/>
  <c r="I94" i="33"/>
  <c r="G94" i="33" s="1"/>
  <c r="I38" i="33"/>
  <c r="G38" i="33" s="1"/>
  <c r="I74" i="33"/>
  <c r="G74" i="33" s="1"/>
  <c r="I37" i="33"/>
  <c r="H37" i="33" s="1"/>
  <c r="J37" i="33" s="1"/>
  <c r="I86" i="33"/>
  <c r="G86" i="33" s="1"/>
  <c r="I57" i="33"/>
  <c r="G57" i="33" s="1"/>
  <c r="I65" i="33"/>
  <c r="G65" i="33" s="1"/>
  <c r="I47" i="33"/>
  <c r="G47" i="33" s="1"/>
  <c r="I43" i="33"/>
  <c r="G43" i="33" s="1"/>
  <c r="I50" i="33"/>
  <c r="G50" i="33" s="1"/>
  <c r="I67" i="33"/>
  <c r="G67" i="33" s="1"/>
  <c r="I52" i="33"/>
  <c r="G52" i="33" s="1"/>
  <c r="I34" i="33"/>
  <c r="G34" i="33" s="1"/>
  <c r="I98" i="33"/>
  <c r="H98" i="33" s="1"/>
  <c r="J98" i="33" s="1"/>
  <c r="I62" i="33"/>
  <c r="G62" i="33" s="1"/>
  <c r="I39" i="33"/>
  <c r="G39" i="33" s="1"/>
  <c r="I55" i="33"/>
  <c r="I91" i="33"/>
  <c r="H91" i="33" s="1"/>
  <c r="J91" i="33" s="1"/>
  <c r="I72" i="33"/>
  <c r="G72" i="33" s="1"/>
  <c r="I53" i="33"/>
  <c r="G53" i="33" s="1"/>
  <c r="I19" i="33"/>
  <c r="G19" i="33" s="1"/>
  <c r="I83" i="33"/>
  <c r="G83" i="33" s="1"/>
  <c r="I27" i="33"/>
  <c r="G27" i="33" s="1"/>
  <c r="I28" i="33"/>
  <c r="H28" i="33" s="1"/>
  <c r="J28" i="33" s="1"/>
  <c r="I99" i="33"/>
  <c r="G99" i="33" s="1"/>
  <c r="I22" i="33"/>
  <c r="G22" i="33" s="1"/>
  <c r="I87" i="33"/>
  <c r="G87" i="33" s="1"/>
  <c r="I95" i="33"/>
  <c r="H95" i="33" s="1"/>
  <c r="J95" i="33" s="1"/>
  <c r="I70" i="33"/>
  <c r="G70" i="33" s="1"/>
  <c r="I69" i="33"/>
  <c r="G69" i="33" s="1"/>
  <c r="I29" i="33"/>
  <c r="H29" i="33" s="1"/>
  <c r="J29" i="33" s="1"/>
  <c r="I61" i="33"/>
  <c r="G61" i="33" s="1"/>
  <c r="I106" i="33"/>
  <c r="H106" i="33" s="1"/>
  <c r="J106" i="33" s="1"/>
  <c r="I73" i="33"/>
  <c r="H73" i="33" s="1"/>
  <c r="J73" i="33" s="1"/>
  <c r="I100" i="33"/>
  <c r="G100" i="33" s="1"/>
  <c r="I23" i="33"/>
  <c r="G23" i="33" s="1"/>
  <c r="I68" i="33"/>
  <c r="H68" i="33" s="1"/>
  <c r="J68" i="33" s="1"/>
  <c r="I108" i="33"/>
  <c r="H108" i="33" s="1"/>
  <c r="J108" i="33" s="1"/>
  <c r="I54" i="33"/>
  <c r="H54" i="33" s="1"/>
  <c r="J54" i="33" s="1"/>
  <c r="I60" i="33"/>
  <c r="H60" i="33" s="1"/>
  <c r="J60" i="33" s="1"/>
  <c r="I56" i="33"/>
  <c r="G56" i="33" s="1"/>
  <c r="I33" i="33"/>
  <c r="G33" i="33" s="1"/>
  <c r="I32" i="33"/>
  <c r="G32" i="33" s="1"/>
  <c r="I107" i="33"/>
  <c r="H107" i="33" s="1"/>
  <c r="J107" i="33" s="1"/>
  <c r="I64" i="33"/>
  <c r="G64" i="33" s="1"/>
  <c r="I21" i="33"/>
  <c r="G21" i="33" s="1"/>
  <c r="I92" i="33"/>
  <c r="H92" i="33" s="1"/>
  <c r="J92" i="33" s="1"/>
  <c r="I93" i="33"/>
  <c r="H93" i="33" s="1"/>
  <c r="J93" i="33" s="1"/>
  <c r="I97" i="33"/>
  <c r="H97" i="33" s="1"/>
  <c r="J97" i="33" s="1"/>
  <c r="I89" i="33"/>
  <c r="G89" i="33" s="1"/>
  <c r="I30" i="33"/>
  <c r="H30" i="33" s="1"/>
  <c r="J30" i="33" s="1"/>
  <c r="I66" i="33"/>
  <c r="G66" i="33" s="1"/>
  <c r="I59" i="33"/>
  <c r="G59" i="33" s="1"/>
  <c r="I105" i="33"/>
  <c r="I90" i="33"/>
  <c r="G90" i="33" s="1"/>
  <c r="I81" i="33"/>
  <c r="H81" i="33" s="1"/>
  <c r="J81" i="33" s="1"/>
  <c r="I45" i="33"/>
  <c r="G45" i="33" s="1"/>
  <c r="I79" i="33"/>
  <c r="G79" i="33" s="1"/>
  <c r="I44" i="33"/>
  <c r="H44" i="33" s="1"/>
  <c r="J44" i="33" s="1"/>
  <c r="I76" i="33"/>
  <c r="H76" i="33" s="1"/>
  <c r="J76" i="33" s="1"/>
  <c r="I84" i="33"/>
  <c r="G84" i="33" s="1"/>
  <c r="I85" i="33"/>
  <c r="H85" i="33" s="1"/>
  <c r="J85" i="33" s="1"/>
  <c r="I31" i="33"/>
  <c r="G31" i="33" s="1"/>
  <c r="I80" i="33"/>
  <c r="G80" i="33" s="1"/>
  <c r="I36" i="33"/>
  <c r="G36" i="33" s="1"/>
  <c r="I75" i="33"/>
  <c r="H75" i="33" s="1"/>
  <c r="J75" i="33" s="1"/>
  <c r="I78" i="33"/>
  <c r="H78" i="33" s="1"/>
  <c r="J78" i="33" s="1"/>
  <c r="I71" i="33"/>
  <c r="G71" i="33" s="1"/>
  <c r="I88" i="33"/>
  <c r="G88" i="33" s="1"/>
  <c r="I96" i="33"/>
  <c r="G96" i="33" s="1"/>
  <c r="I77" i="33"/>
  <c r="H77" i="33" s="1"/>
  <c r="J77" i="33" s="1"/>
  <c r="I48" i="33"/>
  <c r="G48" i="33" s="1"/>
  <c r="I101" i="33"/>
  <c r="H101" i="33" s="1"/>
  <c r="J101" i="33" s="1"/>
  <c r="I41" i="33"/>
  <c r="G41" i="33" s="1"/>
  <c r="I20" i="33"/>
  <c r="G20" i="33" s="1"/>
  <c r="I103" i="33"/>
  <c r="G103" i="33" s="1"/>
  <c r="I40" i="33"/>
  <c r="G40" i="33" s="1"/>
  <c r="I58" i="33"/>
  <c r="G58" i="33" s="1"/>
  <c r="I25" i="33"/>
  <c r="H25" i="33" s="1"/>
  <c r="J25" i="33" s="1"/>
  <c r="I49" i="33"/>
  <c r="G49" i="33" s="1"/>
  <c r="I42" i="33"/>
  <c r="H42" i="33" s="1"/>
  <c r="J42" i="33" s="1"/>
  <c r="H57" i="33"/>
  <c r="J57" i="33" s="1"/>
  <c r="H19" i="33"/>
  <c r="J19" i="33" s="1"/>
  <c r="H34" i="33"/>
  <c r="J34" i="33" s="1"/>
  <c r="G82" i="33"/>
  <c r="H38" i="33"/>
  <c r="J38" i="33" s="1"/>
  <c r="H24" i="33"/>
  <c r="J24" i="33" s="1"/>
  <c r="G46" i="33"/>
  <c r="H46" i="33"/>
  <c r="J46" i="33" s="1"/>
  <c r="H43" i="33"/>
  <c r="J43" i="33" s="1"/>
  <c r="G98" i="33"/>
  <c r="H96" i="33"/>
  <c r="J96" i="33" s="1"/>
  <c r="H50" i="33"/>
  <c r="J50" i="33" s="1"/>
  <c r="H59" i="33"/>
  <c r="J59" i="33" s="1"/>
  <c r="H105" i="33"/>
  <c r="J105" i="33" s="1"/>
  <c r="G105" i="33"/>
  <c r="G35" i="33"/>
  <c r="H33" i="33"/>
  <c r="J33" i="33" s="1"/>
  <c r="G85" i="33"/>
  <c r="H89" i="33" l="1"/>
  <c r="J89" i="33" s="1"/>
  <c r="H22" i="33"/>
  <c r="J22" i="33" s="1"/>
  <c r="H83" i="33"/>
  <c r="J83" i="33" s="1"/>
  <c r="G73" i="33"/>
  <c r="H69" i="33"/>
  <c r="J69" i="33" s="1"/>
  <c r="G91" i="33"/>
  <c r="H41" i="33"/>
  <c r="J41" i="33" s="1"/>
  <c r="G75" i="33"/>
  <c r="H21" i="33"/>
  <c r="J21" i="33" s="1"/>
  <c r="H79" i="33"/>
  <c r="J79" i="33" s="1"/>
  <c r="G108" i="33"/>
  <c r="H39" i="33"/>
  <c r="J39" i="33" s="1"/>
  <c r="H67" i="33"/>
  <c r="J67" i="33" s="1"/>
  <c r="H63" i="33"/>
  <c r="J63" i="33" s="1"/>
  <c r="H51" i="33"/>
  <c r="J51" i="33" s="1"/>
  <c r="H87" i="33"/>
  <c r="J87" i="33" s="1"/>
  <c r="H23" i="33"/>
  <c r="J23" i="33" s="1"/>
  <c r="G77" i="33"/>
  <c r="H100" i="33"/>
  <c r="J100" i="33" s="1"/>
  <c r="H62" i="33"/>
  <c r="J62" i="33" s="1"/>
  <c r="G30" i="33"/>
  <c r="G29" i="33"/>
  <c r="G92" i="33"/>
  <c r="H27" i="33"/>
  <c r="J27" i="33" s="1"/>
  <c r="H90" i="33"/>
  <c r="J90" i="33" s="1"/>
  <c r="G44" i="33"/>
  <c r="H32" i="33"/>
  <c r="J32" i="33" s="1"/>
  <c r="H20" i="33"/>
  <c r="J20" i="33" s="1"/>
  <c r="G78" i="33"/>
  <c r="H74" i="33"/>
  <c r="J74" i="33" s="1"/>
  <c r="H31" i="33"/>
  <c r="J31" i="33" s="1"/>
  <c r="H65" i="33"/>
  <c r="J65" i="33" s="1"/>
  <c r="H72" i="33"/>
  <c r="J72" i="33" s="1"/>
  <c r="G54" i="33"/>
  <c r="G97" i="33"/>
  <c r="H80" i="33"/>
  <c r="J80" i="33" s="1"/>
  <c r="H36" i="33"/>
  <c r="J36" i="33" s="1"/>
  <c r="G76" i="33"/>
  <c r="H103" i="33"/>
  <c r="J103" i="33" s="1"/>
  <c r="G25" i="33"/>
  <c r="G28" i="33"/>
  <c r="H53" i="33"/>
  <c r="J53" i="33" s="1"/>
  <c r="G104" i="33"/>
  <c r="G26" i="33"/>
  <c r="H47" i="33"/>
  <c r="J47" i="33" s="1"/>
  <c r="G101" i="33"/>
  <c r="H66" i="33"/>
  <c r="J66" i="33" s="1"/>
  <c r="G37" i="33"/>
  <c r="H88" i="33"/>
  <c r="J88" i="33" s="1"/>
  <c r="H71" i="33"/>
  <c r="J71" i="33" s="1"/>
  <c r="G107" i="33"/>
  <c r="G81" i="33"/>
  <c r="H48" i="33"/>
  <c r="J48" i="33" s="1"/>
  <c r="H61" i="33"/>
  <c r="J61" i="33" s="1"/>
  <c r="G95" i="33"/>
  <c r="G93" i="33"/>
  <c r="H52" i="33"/>
  <c r="J52" i="33" s="1"/>
  <c r="G60" i="33"/>
  <c r="H64" i="33"/>
  <c r="J64" i="33" s="1"/>
  <c r="H84" i="33"/>
  <c r="J84" i="33" s="1"/>
  <c r="H86" i="33"/>
  <c r="J86" i="33" s="1"/>
  <c r="G106" i="33"/>
  <c r="H70" i="33"/>
  <c r="J70" i="33" s="1"/>
  <c r="H94" i="33"/>
  <c r="J94" i="33" s="1"/>
  <c r="H102" i="33"/>
  <c r="J102" i="33" s="1"/>
  <c r="H99" i="33"/>
  <c r="J99" i="33" s="1"/>
  <c r="H45" i="33"/>
  <c r="J45" i="33" s="1"/>
  <c r="G68" i="33"/>
  <c r="H56" i="33"/>
  <c r="J56" i="33" s="1"/>
  <c r="H40" i="33"/>
  <c r="J40" i="33" s="1"/>
  <c r="G55" i="33"/>
  <c r="H55" i="33"/>
  <c r="J55" i="33" s="1"/>
  <c r="H58" i="33"/>
  <c r="J58" i="33" s="1"/>
  <c r="H49" i="33"/>
  <c r="J49" i="33" s="1"/>
  <c r="G42"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D1009BD2-3B34-4919-BCB5-43F5E91771EE}">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1D6181DE-FDE9-4C95-BEE7-0250602AC909}">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D2A71D0-1725-4976-A456-6E74A90D97DD}">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J17" authorId="0" shapeId="0" xr:uid="{DC1CF18B-0459-4459-B322-C13E0C080C9B}">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1" authorId="0" shapeId="0" xr:uid="{B2773708-65FC-4CDB-B4FB-E6DED50FD63C}">
      <text>
        <r>
          <rPr>
            <b/>
            <sz val="12"/>
            <color indexed="81"/>
            <rFont val="Tahoma"/>
            <family val="2"/>
          </rPr>
          <t>chucho:</t>
        </r>
        <r>
          <rPr>
            <sz val="12"/>
            <color indexed="81"/>
            <rFont val="Tahoma"/>
            <family val="2"/>
          </rPr>
          <t xml:space="preserve">
EN RAZON AL NUMERAL 4.1.4. (LAS PROPUESTAS QUE AL APLICAR LAS FORMULAS OBTENGAN PUNTAJES NEGATIVOS OBTIENEN CERO (0) PUNTOS EN  LA OFERTA ECONOMICA) Y A LA NOTA DEL NUMERAL 4.1 METODO B) DE PONDERACION DEL PLIEGO DE CONDICIONES"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100-000001000000}">
      <text>
        <r>
          <rPr>
            <b/>
            <sz val="9"/>
            <color indexed="81"/>
            <rFont val="Tahoma"/>
            <family val="2"/>
          </rPr>
          <t>Indicar número de contratos válidos.</t>
        </r>
      </text>
    </comment>
    <comment ref="C10" authorId="0" shapeId="0" xr:uid="{00000000-0006-0000-1100-000002000000}">
      <text>
        <r>
          <rPr>
            <b/>
            <sz val="9"/>
            <color indexed="81"/>
            <rFont val="Tahoma"/>
            <family val="2"/>
          </rPr>
          <t>Indicar manualmente el número de propuestas hábiles.</t>
        </r>
      </text>
    </comment>
    <comment ref="F10" authorId="0" shapeId="0" xr:uid="{00000000-0006-0000-11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1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100-000005000000}">
      <text>
        <r>
          <rPr>
            <b/>
            <sz val="9"/>
            <color indexed="81"/>
            <rFont val="Tahoma"/>
            <family val="2"/>
          </rPr>
          <t>Indicar manualmente la suma de promedios de propuestas hábiles.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<sst xmlns="http://schemas.openxmlformats.org/spreadsheetml/2006/main" count="9484" uniqueCount="1366">
  <si>
    <t>INSTITUTO NACIONAL DE VÍAS</t>
  </si>
  <si>
    <t>DIRECCIÓN GENERAL</t>
  </si>
  <si>
    <t>DIRECCION JURIDICA</t>
  </si>
  <si>
    <t>TERRITORIAL TOLIMA</t>
  </si>
  <si>
    <t>CONCURSO DE MÉRITOS ABIERTO</t>
  </si>
  <si>
    <t>CMA-DT-TOL-001-2022</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</si>
  <si>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</si>
  <si>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</si>
  <si>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</si>
  <si>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</si>
  <si>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</si>
  <si>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</si>
  <si>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</si>
  <si>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</si>
  <si>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</si>
  <si>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Y AMBIENTAL PARA EL MANTENIMIENTO Y MEJORAMIENTO DE VIAS TERCIARIAS DEL PROGRAMA "COLOMBIA RURAL" EN LOS MUNICIPIOS DEL DEPARTAMENTO DEL TOLIMA - GRUPO II.</t>
  </si>
  <si>
    <t>FECHA TRM =</t>
  </si>
  <si>
    <t>02/nov/022</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</si>
  <si>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</si>
  <si>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</si>
  <si>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</si>
  <si>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</si>
  <si>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</si>
  <si>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</si>
  <si>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</si>
  <si>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</si>
  <si>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</si>
  <si>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</si>
  <si>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</si>
  <si>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</si>
  <si>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</si>
  <si>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</si>
  <si>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</si>
  <si>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</si>
  <si>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</si>
  <si>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</si>
  <si>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</si>
  <si>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</si>
  <si>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</si>
  <si>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</si>
  <si>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</si>
  <si>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</si>
  <si>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</si>
  <si>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</si>
  <si>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PROYECTOS URBANOS &amp; CONSTRUCCIONES DEL CARIBE S.A.S</t>
  </si>
  <si>
    <t>MIGUEL MORALES INGENIERIA SAS</t>
  </si>
  <si>
    <t>CONSULTORES DONOVAN SAS</t>
  </si>
  <si>
    <t>COMPAÑIA DE PROYECTOS TÉCNICOS CPT S.A</t>
  </si>
  <si>
    <t>GAVINCO INGENIEROS CONSULTORES SAS</t>
  </si>
  <si>
    <t>RD INGENIEROS CIVILES SAS</t>
  </si>
  <si>
    <t>CONSORCIO FEEC TOLIMA</t>
  </si>
  <si>
    <t>CARLOS ALBERTO PALTA MUÑOZ</t>
  </si>
  <si>
    <t>CONSORCIO GMC</t>
  </si>
  <si>
    <t>R&amp;M CONSTRUCCIONES E INTERVENTORIAS S.A.S</t>
  </si>
  <si>
    <t>CUBIKO OBRAS Y CONSULTORÍAS SAS</t>
  </si>
  <si>
    <t>CONSTRUCTORES DEL DESARROLLO TERRITORIAL CONSTRUDET Y COMPAÑÍA LTDA</t>
  </si>
  <si>
    <t>NICOLAS REDONDO MOLINA</t>
  </si>
  <si>
    <t>CONSORCIO INTER CB 2022</t>
  </si>
  <si>
    <t>EMPROCIV SAS</t>
  </si>
  <si>
    <t>CONSORCIO CAMCO</t>
  </si>
  <si>
    <t>ARCA AQUITECTURA E INGENIERÍA S.A</t>
  </si>
  <si>
    <t>ALPHA INGENIERIA INTEGRAL SAS</t>
  </si>
  <si>
    <t>ELSA MARIA RUEDA LANDINEZ INGENIERIA SAS</t>
  </si>
  <si>
    <t>PROES INGENIERÍA S.A.S</t>
  </si>
  <si>
    <t>INGENIEROS CONSULTORES Y CONSTRUCTORES ARG SAS</t>
  </si>
  <si>
    <t>CONSORCIO GABRIELA TOLIMA</t>
  </si>
  <si>
    <t>VELNEC S.A</t>
  </si>
  <si>
    <t>ARQUITECTOS  INGENIEROS CONSTRUCTORES S.A.S</t>
  </si>
  <si>
    <t>CONSORCIO RUTA TOLIMA 1</t>
  </si>
  <si>
    <t>INGENIEROS CONSTRUCTORES Y ASESORES SAS</t>
  </si>
  <si>
    <t>CONSULTORIA Y CONSTRUCCIONES DARLEV SAS</t>
  </si>
  <si>
    <t>CONSORCIO TOLIMA</t>
  </si>
  <si>
    <t>CONSORCIO MT 2022 TOLIMA</t>
  </si>
  <si>
    <t>CONSORCIO INTER TOLIMA</t>
  </si>
  <si>
    <t>INGENIERIA MASTER S.A.S.</t>
  </si>
  <si>
    <t xml:space="preserve">GYG CONSTRUCCIONES S.A.S. </t>
  </si>
  <si>
    <t>CONSORCIO TOLIMA RURAL</t>
  </si>
  <si>
    <t>CONSORCIO OPHAIH 2022</t>
  </si>
  <si>
    <t xml:space="preserve">ING INGENIERIA SAS </t>
  </si>
  <si>
    <t>EJE GROUP S.A.S</t>
  </si>
  <si>
    <t>JORES INGENIERIA LTDA. JORES LTDA</t>
  </si>
  <si>
    <t>CONSORCIO INTERTOLIMA CR</t>
  </si>
  <si>
    <t>CONSORCIO TOLIMA G2</t>
  </si>
  <si>
    <t>CONSORCIO INVIAS 001</t>
  </si>
  <si>
    <t>CONSORCIO SF</t>
  </si>
  <si>
    <t>CONSORCIO VIAL ORIEMH”</t>
  </si>
  <si>
    <t>CONSORCIO INTERFEDCO TOLIMA</t>
  </si>
  <si>
    <t>CONSORCIO VIAS RURALES TOL</t>
  </si>
  <si>
    <t>TECNOLOGÍA DE NUEVAS MEDICIONES COLOMBIA S.A.S. – TECNUMEC S.A.S.</t>
  </si>
  <si>
    <t>CONSULTORES SOLANO NAVAS LTDA</t>
  </si>
  <si>
    <t>CONSORCIO VIAS TOLIMA 22</t>
  </si>
  <si>
    <t>BRAIN INGENIERIA VIAL SAS</t>
  </si>
  <si>
    <t>CONSORCIO LAPP</t>
  </si>
  <si>
    <t>PROYECTISTAS ASOCIADOS SAS</t>
  </si>
  <si>
    <t>DAM SOLUCIONES E INGENIERIA SAS</t>
  </si>
  <si>
    <t>COINZA ING SAS</t>
  </si>
  <si>
    <t>NORBERTO BAYONA ESPITIA</t>
  </si>
  <si>
    <t>CONSORCIO HC INTERVENTORES 2022</t>
  </si>
  <si>
    <t>MARIO DE JESUS GIL CARDONA</t>
  </si>
  <si>
    <t>CONSORCIO COLOMBIA RURAL ET</t>
  </si>
  <si>
    <t>CONSORCIO ROGER 20</t>
  </si>
  <si>
    <t>VALLEJO H INGENIEROS CONSULTORES CONSTRUCTORES C S.A.S -BIC</t>
  </si>
  <si>
    <t>Consorcio JR</t>
  </si>
  <si>
    <t>ARA INGENIERIA S.A.S</t>
  </si>
  <si>
    <t>CONSORCIO INVITOL 2022</t>
  </si>
  <si>
    <t>CONSORCIO INTERVIAL TOL 001</t>
  </si>
  <si>
    <t>COMPAÑIA CONSULTORA COLOMBIANA TRIPLE C BIC SAS</t>
  </si>
  <si>
    <t>UNION TEMPORAL INTERTOL 001 2022</t>
  </si>
  <si>
    <t>PROYECTISTAS DE COLOMBIA &amp; CIA SAS</t>
  </si>
  <si>
    <t>CONSORCIO VIAL INGENIERIA 2022</t>
  </si>
  <si>
    <t>CONSORCIO AV</t>
  </si>
  <si>
    <t>SOLUCIONES PARA LA INGENIERÍA S.A.S.</t>
  </si>
  <si>
    <t>Unión Temporal Intervías Tolima</t>
  </si>
  <si>
    <t>CONSORCIO DT TOLIMA ZP</t>
  </si>
  <si>
    <t>INGENIEROS CIVILES ESPECIALISTAS S.A.S.</t>
  </si>
  <si>
    <t>GRUPO QUIMBAYA S.A.S.</t>
  </si>
  <si>
    <t>CONSORCIO TOLIMA JI 001</t>
  </si>
  <si>
    <t>INGENIERIA CONUSLTORIA Y PLANEACION S.A – INCOPLAN S.A</t>
  </si>
  <si>
    <t>JAIME MORENO ESPAÑA</t>
  </si>
  <si>
    <t>CONSORCIO DIN ISUTECH</t>
  </si>
  <si>
    <t>CONSORCIO CASTORES – INGES INVIAS 2022</t>
  </si>
  <si>
    <t>NUBIA ISABEL QUEVEDO ÁNGEL</t>
  </si>
  <si>
    <t>CONSORCIO TOLIMA BD</t>
  </si>
  <si>
    <t>CB INGENIEROS S.A.S</t>
  </si>
  <si>
    <t>CONSORCIO INVIAS JP 2022</t>
  </si>
  <si>
    <t>SOCIEDAD TECNICA SOTA LTDA</t>
  </si>
  <si>
    <t>CONSORCIO INTERVENTORES ASOCIADOS DEL TOLIMA</t>
  </si>
  <si>
    <t>GRUPO EMPRESARIAL DE INFRAESTRUCTURA COLOMBIANO S.A.S.</t>
  </si>
  <si>
    <t>DBB INGENIERÍA S.A.S.</t>
  </si>
  <si>
    <t>CARLOS ANDRES CHAVARRO CASTRO</t>
  </si>
  <si>
    <t>CONSORCIO INTERVÍAS TOLIMA 22</t>
  </si>
  <si>
    <t>INGENIERÍA Y CONSULTORÍA INGECON SAS</t>
  </si>
  <si>
    <t>CONSORCIO INTER C&amp;R</t>
  </si>
  <si>
    <t>GM SOLUTIONS S.A.S</t>
  </si>
  <si>
    <t>*</t>
  </si>
  <si>
    <t xml:space="preserve">                                                                                                                                                                                                                                                                                                                                                                                                                                                                                                                                                                                                  </t>
  </si>
  <si>
    <t>CUADRO No. 2</t>
  </si>
  <si>
    <t>CONFORMACIÓN DE LOS PROPONENTES</t>
  </si>
  <si>
    <t>PROPUESTA No.</t>
  </si>
  <si>
    <t>PROPONENTE</t>
  </si>
  <si>
    <t>Porcentaje de participación para este proceso(%)</t>
  </si>
  <si>
    <t>NIT</t>
  </si>
  <si>
    <t>NUMERO</t>
  </si>
  <si>
    <t>830.515.396-3</t>
  </si>
  <si>
    <t xml:space="preserve">800.136.108-3 </t>
  </si>
  <si>
    <t>900644351-9</t>
  </si>
  <si>
    <t>860041968-1</t>
  </si>
  <si>
    <t>900916608-4</t>
  </si>
  <si>
    <t>900395263-1</t>
  </si>
  <si>
    <t>CONSULTORIA INGENIERIA ESTUDIOS ECONOMICOS CITEC SAS</t>
  </si>
  <si>
    <t>860.043.881-1</t>
  </si>
  <si>
    <t>EC CONSULTORIA SAS</t>
  </si>
  <si>
    <t xml:space="preserve"> 901450710-1</t>
  </si>
  <si>
    <t>ESTUTEC SAS</t>
  </si>
  <si>
    <t xml:space="preserve"> 900.968.904-2</t>
  </si>
  <si>
    <t>FERNANDEZ INGENIEROS CONSULTORES SAS FERDINCO SAS</t>
  </si>
  <si>
    <t xml:space="preserve"> 900.871.862-3</t>
  </si>
  <si>
    <t>10537995-5</t>
  </si>
  <si>
    <t>GRUPO METRO COLOMBIA S.A.S</t>
  </si>
  <si>
    <t>830.010.109-8</t>
  </si>
  <si>
    <t>OSCAR ALFREDO MONTOYA CASTRO</t>
  </si>
  <si>
    <t>79.383.524-8</t>
  </si>
  <si>
    <t>830028126-2</t>
  </si>
  <si>
    <t>900686385-9</t>
  </si>
  <si>
    <t>812003413-8</t>
  </si>
  <si>
    <t>12719145-0</t>
  </si>
  <si>
    <t>COVILCO LTDA</t>
  </si>
  <si>
    <t>830081078 1</t>
  </si>
  <si>
    <t>BSC CONSULTORIA E INGENIERIA S.A.S</t>
  </si>
  <si>
    <t>901628324-6</t>
  </si>
  <si>
    <t>900096419-9</t>
  </si>
  <si>
    <t>CAG INGENIERIA SAS</t>
  </si>
  <si>
    <t>900141599-9</t>
  </si>
  <si>
    <t>CONCIAMCO</t>
  </si>
  <si>
    <t>900747348-9</t>
  </si>
  <si>
    <t>800173768-1</t>
  </si>
  <si>
    <t>901260951-2</t>
  </si>
  <si>
    <t>901254479-2</t>
  </si>
  <si>
    <t>901286572-7</t>
  </si>
  <si>
    <t>900008687-0</t>
  </si>
  <si>
    <t>EQUILÁTERO ARQUITECTURA E INGENIERÍA S.A.S</t>
  </si>
  <si>
    <t>901272510-1</t>
  </si>
  <si>
    <t>J&amp;G CONSULTORIA S.A.S</t>
  </si>
  <si>
    <t>901617162-2</t>
  </si>
  <si>
    <t>800028455-1</t>
  </si>
  <si>
    <t xml:space="preserve"> 812001126-1</t>
  </si>
  <si>
    <t>CARLOS FERNANDO ANGEL PEREA</t>
  </si>
  <si>
    <t>INEXPOTRANS SAS</t>
  </si>
  <si>
    <t>800036875-5_x000D_</t>
  </si>
  <si>
    <t>OCTAVIO GUILLERMO BENAVIDES BURBANO</t>
  </si>
  <si>
    <t xml:space="preserve">900104908-4 </t>
  </si>
  <si>
    <t>830104844-8</t>
  </si>
  <si>
    <t>INVERSIONES INCO SAS</t>
  </si>
  <si>
    <t>900.684.314-7_x000D_</t>
  </si>
  <si>
    <t>MANUEL IGNACIO ZARATE ROJAS</t>
  </si>
  <si>
    <t>ALFREDO JOSE LEPESQUEUR MARTINEZ</t>
  </si>
  <si>
    <t>MT PROJECTS S.A.S</t>
  </si>
  <si>
    <t>901.272.031 -3</t>
  </si>
  <si>
    <t xml:space="preserve">JMELO INGENIERIA DE PROYECTOS SAS </t>
  </si>
  <si>
    <t xml:space="preserve"> 900.866.325-1 </t>
  </si>
  <si>
    <t>GNG SERVICIOS DE INGENIERIA SAS</t>
  </si>
  <si>
    <t xml:space="preserve"> 901.383.717-3</t>
  </si>
  <si>
    <t>900.915.689 - 6</t>
  </si>
  <si>
    <t xml:space="preserve">800215466 4 </t>
  </si>
  <si>
    <t xml:space="preserve">SILVIA LORENA ORDOÑEZ OBANDO </t>
  </si>
  <si>
    <t xml:space="preserve"> 55.181.920-7 </t>
  </si>
  <si>
    <t>ALVARO HUMBERTO SANCHEZ CAÑON</t>
  </si>
  <si>
    <t xml:space="preserve">9.806.573-1 </t>
  </si>
  <si>
    <t xml:space="preserve">GIA INGENIERIA S.A.S. </t>
  </si>
  <si>
    <t>900.617.340-3</t>
  </si>
  <si>
    <t>ANA ISABEL HENDE CARREÑO</t>
  </si>
  <si>
    <t>52,581,772</t>
  </si>
  <si>
    <t>O.P.H. INGENIEROS ASOCIADOS S.A.S.</t>
  </si>
  <si>
    <t>901,048,528-2</t>
  </si>
  <si>
    <t>890405995-1_x000D_</t>
  </si>
  <si>
    <t>901.307.408-9_x000D_</t>
  </si>
  <si>
    <t>804017661-1_x000D_</t>
  </si>
  <si>
    <t>INTERURBANO CR S.A.S</t>
  </si>
  <si>
    <t>901374261-9</t>
  </si>
  <si>
    <t>PONCE DE LEON CONSULTORIAS S. A. S</t>
  </si>
  <si>
    <t>901389046-7</t>
  </si>
  <si>
    <t>PING INGENIERIA S.A.S.</t>
  </si>
  <si>
    <t>901.575.837 - 3</t>
  </si>
  <si>
    <t>INP SERVICIOS S.A.S</t>
  </si>
  <si>
    <t xml:space="preserve"> 901.300.211 - 3_x000D_</t>
  </si>
  <si>
    <t xml:space="preserve">
</t>
  </si>
  <si>
    <t>TOP SUELOS INGENIERIA SAS</t>
  </si>
  <si>
    <t>800.113.559-2</t>
  </si>
  <si>
    <t>GHF INGENIERIAS Y CONSTRUCCIONES S.A.S</t>
  </si>
  <si>
    <t xml:space="preserve"> 901.424.774-0</t>
  </si>
  <si>
    <t>SEMPAF INGENIERÍA S.A.S</t>
  </si>
  <si>
    <t>901117308-5_x000D_</t>
  </si>
  <si>
    <t>YONY FERNANDO CHAMORRO ERAZO</t>
  </si>
  <si>
    <t>PROYECTOS Y CONSULTORIAS ORION SAS</t>
  </si>
  <si>
    <t xml:space="preserve"> 901.503.188-3 </t>
  </si>
  <si>
    <t>EMUNAH COLOMBIA SAS</t>
  </si>
  <si>
    <t xml:space="preserve"> 901.489.163-1_x000D_</t>
  </si>
  <si>
    <t>FEDESTRUCTURAS S.A.S</t>
  </si>
  <si>
    <t>901.333.717-1</t>
  </si>
  <si>
    <t>SOCIEDAD DE INGENIEROS CONTRATISTAS Y CONSULTORES LTDA “SICOC LTDA”</t>
  </si>
  <si>
    <t>804.007.583-0</t>
  </si>
  <si>
    <t xml:space="preserve">JOSE LUIS VALDERRAMA VELASCO </t>
  </si>
  <si>
    <t>DANIEL ENRIQUE ORTIZ CASTILLO</t>
  </si>
  <si>
    <t xml:space="preserve"> 830018821-0</t>
  </si>
  <si>
    <t>804,002,667-8</t>
  </si>
  <si>
    <t>DORA CRISTINA TORRES MAZABEL</t>
  </si>
  <si>
    <t>RENE ARMANDO MARTINEZ DORADO</t>
  </si>
  <si>
    <t>LITORAL CONSULTING SAS</t>
  </si>
  <si>
    <t>901.499.397-9</t>
  </si>
  <si>
    <t>APP CONSULTORES &amp; ESTRUCTURADORES SAS</t>
  </si>
  <si>
    <t>900.553.162-2</t>
  </si>
  <si>
    <t>ENRIQUE HERNANDO PRIETO ACEVEDO</t>
  </si>
  <si>
    <t>6.769.200-1</t>
  </si>
  <si>
    <t>CAMINOS SAS</t>
  </si>
  <si>
    <t>822.003.009-1</t>
  </si>
  <si>
    <t>ECOVIAS S.A.S</t>
  </si>
  <si>
    <t>890.104.625 - 1</t>
  </si>
  <si>
    <t>TRANVIAS S.A.S</t>
  </si>
  <si>
    <t>800.244.072-1</t>
  </si>
  <si>
    <t>METROCUBICO SAS</t>
  </si>
  <si>
    <t>830.059.695 4</t>
  </si>
  <si>
    <t>MS INGENIERIA SAS</t>
  </si>
  <si>
    <t>900.999.842-7</t>
  </si>
  <si>
    <t>900.416.314-9</t>
  </si>
  <si>
    <t>HENRY JAIMES MONSALVE</t>
  </si>
  <si>
    <t>CARLOS YUBER RIVERA BARAJAS</t>
  </si>
  <si>
    <t>830.068.724-8</t>
  </si>
  <si>
    <t>JORGE ALVARO SANCHEZ BLANCO</t>
  </si>
  <si>
    <t>79,785,874</t>
  </si>
  <si>
    <t>H&amp;C PROYECTOS DE INGENIERIA SAS</t>
  </si>
  <si>
    <t>900.097.457-3</t>
  </si>
  <si>
    <t>INTERESTUDIOS INGENIERIA S.A.S</t>
  </si>
  <si>
    <t>820.000.836-5</t>
  </si>
  <si>
    <t>GUSTAVO PÉREZ MARIÑO</t>
  </si>
  <si>
    <t>901.256.066-3</t>
  </si>
  <si>
    <t>CARLOS HUMBERTO RUA BELTRAN</t>
  </si>
  <si>
    <t>JUAN CARLOS FLOREZ DUARTE</t>
  </si>
  <si>
    <t>SERVICIOS Y CONSULTORIAS EN INGENIERIA S.A.S</t>
  </si>
  <si>
    <t>830.509.427-9</t>
  </si>
  <si>
    <t>830.144.388-1</t>
  </si>
  <si>
    <t>INCODIM SAS</t>
  </si>
  <si>
    <t>900152554-5</t>
  </si>
  <si>
    <t>JOSE MAURICIO LOPEZ GAMBOA</t>
  </si>
  <si>
    <t>VICTOR GUILLERMO RODRIGUEZ RAMIREZ</t>
  </si>
  <si>
    <t>ASESORIAS TECNICAS LTDA “ASETEC”</t>
  </si>
  <si>
    <t>860.054.116-8</t>
  </si>
  <si>
    <t>900.389.180-2</t>
  </si>
  <si>
    <t>SCS INGENIERÍA S.A.S</t>
  </si>
  <si>
    <t>901.155.456-9</t>
  </si>
  <si>
    <t>TECNISUELOS S.A.S.</t>
  </si>
  <si>
    <t>890.906.323-2</t>
  </si>
  <si>
    <t>PI SAS – PROYECTOS DE INGENIERIA SAS</t>
  </si>
  <si>
    <t>804.010.528-6</t>
  </si>
  <si>
    <t>ZAFRA INGENIERIA SAS</t>
  </si>
  <si>
    <t>901.085.127-1</t>
  </si>
  <si>
    <t>802008390-3</t>
  </si>
  <si>
    <t>900805213-2</t>
  </si>
  <si>
    <t>JPS INGENIERIA S.A.S.</t>
  </si>
  <si>
    <t>830.035.398-8</t>
  </si>
  <si>
    <t>INFRAING SAS</t>
  </si>
  <si>
    <t>900.802.713-1</t>
  </si>
  <si>
    <t>800.097.991-2</t>
  </si>
  <si>
    <t>12,976,091</t>
  </si>
  <si>
    <t>DESARROLLO EN INGENIERIA  DIN SAS</t>
  </si>
  <si>
    <t>800214601-8</t>
  </si>
  <si>
    <t>ISUTECH INGENIERÍA Y CONSTRUCCIONES S.A.S</t>
  </si>
  <si>
    <t>900329829-7</t>
  </si>
  <si>
    <t>LOS CASTORES CONSTRUCTORES SAS</t>
  </si>
  <si>
    <t>890.934.041-1</t>
  </si>
  <si>
    <t>INGESTRUCTURAS INGENIERO SAS</t>
  </si>
  <si>
    <t>800.049.148-5</t>
  </si>
  <si>
    <t>26,900,961</t>
  </si>
  <si>
    <t>BERAKAH INGENIERIA S.A.S.</t>
  </si>
  <si>
    <t>900.353.973-0</t>
  </si>
  <si>
    <t>DAIMCO S.A.S.</t>
  </si>
  <si>
    <t>900.021.482-1</t>
  </si>
  <si>
    <t>860509943-7</t>
  </si>
  <si>
    <t>JCA INGENIERÍA S.A.S.</t>
  </si>
  <si>
    <t>900.937.655-0</t>
  </si>
  <si>
    <t>PAOLA ANDREA RODRIGUEZ ALCALÁ</t>
  </si>
  <si>
    <t>28548736-7</t>
  </si>
  <si>
    <t>891101100-5</t>
  </si>
  <si>
    <t>JHAIR RODOLFO GONZALEZ VELASQUEZ</t>
  </si>
  <si>
    <t>N&amp;G PROYECTOS S.A.S.</t>
  </si>
  <si>
    <t>900.945.344-9</t>
  </si>
  <si>
    <t>800.256.897-0</t>
  </si>
  <si>
    <t>901564916-1</t>
  </si>
  <si>
    <t>7703837-0</t>
  </si>
  <si>
    <t>DESARROLLO, TECNOLOGÍA Y PLANEACIÓN SC</t>
  </si>
  <si>
    <t>901.053.744-7</t>
  </si>
  <si>
    <t>ARMANDO JOSE RIVERO GALVIS</t>
  </si>
  <si>
    <t>79956351-0</t>
  </si>
  <si>
    <t>810002747-0</t>
  </si>
  <si>
    <t>R&amp;J INGENIERIA SAS</t>
  </si>
  <si>
    <t>900171717-1</t>
  </si>
  <si>
    <t>CONSTRUMAJ S.A.S</t>
  </si>
  <si>
    <t>901563205-7</t>
  </si>
  <si>
    <t>891105078-9</t>
  </si>
  <si>
    <t>Cálculo de Valores de Contratos Ejecutados en el Extranjero</t>
  </si>
  <si>
    <t>No. del Proponente</t>
  </si>
  <si>
    <t>No. del Contrato</t>
  </si>
  <si>
    <t>Valor del Contrato en Pesos</t>
  </si>
  <si>
    <t>Fecha de Terminación del Contrato</t>
  </si>
  <si>
    <t>Valor del Contrato en SMMLV del Año de Terminación del Contrato</t>
  </si>
  <si>
    <t>RESULTADO DE VALORES DE CONTRATOS EN EL EXTRANJERO, APLICANDO EL REDONDEO</t>
  </si>
  <si>
    <t>Cálculo de Valores de Contratos por Proponente</t>
  </si>
  <si>
    <t>No. Proponente</t>
  </si>
  <si>
    <t>No. Contrato</t>
  </si>
  <si>
    <t>Valor en SMMLV por Contrato</t>
  </si>
  <si>
    <t>Valor del Cto en SMMLV</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</si>
  <si>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</si>
  <si>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</si>
  <si>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</si>
  <si>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</si>
  <si>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</si>
  <si>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</si>
  <si>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</si>
  <si>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</si>
  <si>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</si>
  <si>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</si>
  <si>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</si>
  <si>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</si>
  <si>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</si>
  <si>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</si>
  <si>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</si>
  <si>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</si>
  <si>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</si>
  <si>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</si>
  <si>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</si>
  <si>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</si>
  <si>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</si>
  <si>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</si>
  <si>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</si>
  <si>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</si>
  <si>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</si>
  <si>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</si>
  <si>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</si>
  <si>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</si>
  <si>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</si>
  <si>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 xml:space="preserve">TIPO DE VIA </t>
  </si>
  <si>
    <t>TIPO DE PAVIMENTO</t>
  </si>
  <si>
    <t>FONDO DE DESARROLLO LOCAL DE USAQUEN</t>
  </si>
  <si>
    <t>FDLUSA-CTO_x0002_379-2020</t>
  </si>
  <si>
    <t>“INTERVENTORÍA TÉCNICA, ADMINISTRATIVA, LEGAL, FINANCIERA, SOCIAL, AMBIENTAL Y SISTEMA DE SEGURIDAD Y SALUD EN EL TRABAJO - SG-SST, DEL CONTRATO DE OBRA QUE SE DERIVE DE LA LICITACIÓN PUBLICA FDLUSA-LP-002-2020, LA CUAL TIENE POR OBJETO “CONTRATAR POR EL SISTEMA DE PRECIOS UNITARIOS FIJOS SIN FORMULA DE REAJUSTE Y A MONTO AGOTABLE LAS OBRAS Y ACTIVIDADES NECESARIAS PARA LA CONSERVACION DE LA MALLA VIAL DE LA LOCALIDAD DE USAQUÉN, EN BOGOTA D.C.”</t>
  </si>
  <si>
    <t>I</t>
  </si>
  <si>
    <t>SI</t>
  </si>
  <si>
    <t>URBANA</t>
  </si>
  <si>
    <t>ASFALTICO</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</si>
  <si>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</si>
  <si>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</si>
  <si>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</si>
  <si>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</si>
  <si>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</si>
  <si>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</si>
  <si>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VERIFICACIÓN PORCENTAJE PARA DISCAPACITADOS</t>
  </si>
  <si>
    <t>¿Cumple Numeral 4,4? (Verificar con el Juridico, y en caso que se acredite señalar con "SI APLICA" el integrante que cumple el requerimiento)</t>
  </si>
  <si>
    <t>CONDICION DE CUMPLIMIENTO O APLICABILIDAD PARA PUNTAJE POR DISCAPACITADOS</t>
  </si>
  <si>
    <t>NÚMERO DE INTEGRANTES DEL CONSORCIO O UNIÓN TEMPORAL</t>
  </si>
  <si>
    <t>VALOR REQUERIDO DE PO</t>
  </si>
  <si>
    <t>¿UNO SOLO DE LOS INTEGRANTES CUMPLE CON ACREDITAR EL 50% DE LA EXPERIENCIA?</t>
  </si>
  <si>
    <t>MINIMA EXPERIENCIA (5%)</t>
  </si>
  <si>
    <t>PARA DESEMPATE</t>
  </si>
  <si>
    <t>INTEGRANTE DE PROPONENTE PLURAL</t>
  </si>
  <si>
    <t>EL INTEGRANTE APLICA O NO APLICA PARA EL PUNTAJE DE DISCAPACIDAD</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</si>
  <si>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</si>
  <si>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</si>
  <si>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</si>
  <si>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</si>
  <si>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</si>
  <si>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</si>
  <si>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</si>
  <si>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</si>
  <si>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</si>
  <si>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</si>
  <si>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</si>
  <si>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</si>
  <si>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</si>
  <si>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</si>
  <si>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</si>
  <si>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</si>
  <si>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NVIAS</t>
  </si>
  <si>
    <t>Contrato No. 
1042 de 2015</t>
  </si>
  <si>
    <t xml:space="preserve">INTERVENTORÍA TÉCNICA, ADMINISTRATIVA, FINANCIERA Y AMBIENTAL PARA EL MEJORAMIENTO, MANTENIMIENTO Y CONSERVACIÓN DE VÍAS ¿ CAMINOS DE PROSPERIDAD DEPARTAMENTOS DE CESAR Y NORTE DE SANTANDER </t>
  </si>
  <si>
    <t>TERCIARIA</t>
  </si>
  <si>
    <t xml:space="preserve">INVIAS </t>
  </si>
  <si>
    <t>295 DE 2014</t>
  </si>
  <si>
    <t>INTERVENTORIAS TECNICA, ADMINISTRATIVA, FINANCIERA Y AMBIENTAL PARA EL MEJORAMIENTO, MANTENIMIENTO
Y CONSERVACION DE VIAS CAMINOS DE PROSPERIDAD EN LOS DEPARTAMENTOS DE ARAUCA Y CASANARE.</t>
  </si>
  <si>
    <t>En el RUP se encuentra como ARENAS DE LA HOZ CONSULTORES S A S nombre anterior, ahora CONSULTORES DONOVAN S.A.S.</t>
  </si>
  <si>
    <t>FONDO DE 
DESARROLLO 
LOCAL DE 
FONTIBON</t>
  </si>
  <si>
    <t>178-2015</t>
  </si>
  <si>
    <t>INTERVENTORIA FINANCIERA, ADMINISTRATIVA, TECNICA, AMBIENTAL SOCIAL Y SISO DEL CONTRATO DE OBRA QUE RESULTE DEL PROCESO LICITATORIO Nº FDLF-LP-018-2015 O EL QUE HAGA SUS VECES, QUE TIENE OR OBJETO "LA REALIZACION POR EL SISTEMA DE PRECIOS UNITARIOS FIJOS SIN FORMUAL DE REAJUSTE, LAS  OBRAS Y ACTIVIDADES PARA, CONSTRUCCION, REHABILITACION Y LA CONSTRUCCION, DE LA MALLA VIAL EN LA LOCALIDAD DE FONTIBON, DE ACUERDO CON LA DESCRIPCION Y ESPECIFICACIONES TECNICAS REQUERIDAS</t>
  </si>
  <si>
    <t>C</t>
  </si>
  <si>
    <t>FONDO DE 
DESARROLLO DE 
PROYECTOS DE 
CUNDINAMARCA</t>
  </si>
  <si>
    <t>801 DE 2015</t>
  </si>
  <si>
    <t>INTERVENTORIA TECNICA, JURIDICA, FINANCIERA Y DE CONTROL PRESUPUESTAL DE LA CONSTRUCCION DEL CORREDOR PAISAJISTICO, AMBIENTAL Y CULTURAL "PUERTA DEL SOL" (CONSTRUCCION DE VIAS URBANAS, CICLO RUTAS Y ANDENES PEATONALES) DEL MUNICIPIO
DE APARTADO-ANTIOQUIA, UNIDAD Y GETION PARA LA
PROSPERIDAD</t>
  </si>
  <si>
    <t>OTRO</t>
  </si>
  <si>
    <t>FONDO DE 
DESARROLLO 
LOCAL DE LA 
CANDELARIA</t>
  </si>
  <si>
    <t>CIN-127-2015</t>
  </si>
  <si>
    <t>INTERVENTORIA TECNICA, ADMINISTRATIVA, FINANCIERA Y AMBIENTAL, ALC ONTRATO N COP-102-2015, RESULTANTE DEL PROCESO LICITATORIO N FDLC-LP-020 DE 2015 CUYO
OBJETO ES " EL DIAGNOSTICO, DISEÑO, MANTENIMIENTO Y REHABILITACION DE LA MALLA VIAL EN LA LOCALIDAD DE CANDELARIA</t>
  </si>
  <si>
    <t>HIDRAULICO</t>
  </si>
  <si>
    <t>IDU</t>
  </si>
  <si>
    <t xml:space="preserve"> 239-2002</t>
  </si>
  <si>
    <t>Interventoría Técnica, administrativa, financiera y
ambiental para la evaluación, rehabilitación y/o
mantenimiento de vías para rutas alimentadoras cuenca de Usme en Bogotá D.C</t>
  </si>
  <si>
    <t>INVIAS</t>
  </si>
  <si>
    <t>1103 DE 2018</t>
  </si>
  <si>
    <t xml:space="preserve">nterventoría técnica, administrativa, financiera y ambiental para el mejoramiento de la vía entre los Municipios de Puerto Libertador y montelibano, en el Departamento de Cordoba </t>
  </si>
  <si>
    <t>SECUNDARIA</t>
  </si>
  <si>
    <t>1307-2006</t>
  </si>
  <si>
    <t>nterventoría para el mejoramiento y mantenimiento de la carretera Lorica – Coveñas – Tolu Viejo, Ruta 90 Tramo 9004</t>
  </si>
  <si>
    <t>PRIMARIA</t>
  </si>
  <si>
    <t>1542-2012</t>
  </si>
  <si>
    <t>nterventoria para el mejoramiento y mantenimiento de la carretera Puente Nacional -Bucaramanga</t>
  </si>
  <si>
    <t>1623 DE 2007</t>
  </si>
  <si>
    <t>NTERVENTORIA PARA EL
MEJORAMIENTO Y
MANTENIMIENTO DE LA
CARRETERA BELEN – SOCHA –
SACAMA – LA CABUYA, SECTOR
PR.23+980 – PR.24+663, RUTA 64,
TRAMO 6404</t>
  </si>
  <si>
    <t>ALCALDIA MEDELLIN</t>
  </si>
  <si>
    <t>6000138 52-2008</t>
  </si>
  <si>
    <t>INTERVENTORÍA DE LA
CONSTRUCCIÓN DE OBRAS DE
MEJORAMIENTO VIAL DE LAS
COMUNAS 1, 2, 5, 7, 8, 9, 10, 13, 14,
16 Y 60</t>
  </si>
  <si>
    <t>GOBERNACIÓN DEL CESAR</t>
  </si>
  <si>
    <t>213-02-0748</t>
  </si>
  <si>
    <t>ONTRATAR LA INTERVENTORIA 
TECNICA ADMINISTRATIVA Y FINANCIERA 
PARA LAS LICITACIONES No LSI-014-2012; 
LSI-015-2012; LSI-016-2012; LSI-017-2012; EN 
EL DEPARTAMENTO DE CESAR.</t>
  </si>
  <si>
    <t>UNIDAD ADMNISRATIVA ESPECIAL DE AERONÁTURICA CIVIL.</t>
  </si>
  <si>
    <t>14000103 oh de 2014</t>
  </si>
  <si>
    <t xml:space="preserve">ONTRATAR LA INTERVENTORIA
TÉCNICA Y ADMINISTRATIVA
PARA EL MANTENIMIENTO DE LA
PISTA DEL AEROPUERTO TRES DE
MAYO DE PUERTO ASIS -
PUTUMAYO </t>
  </si>
  <si>
    <t>PISTA DE AEROPUERTO</t>
  </si>
  <si>
    <t>623-2012</t>
  </si>
  <si>
    <t>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</si>
  <si>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INSTITUTO 
NACIONAL DE 
VIAS</t>
  </si>
  <si>
    <t>0291 DE 2013</t>
  </si>
  <si>
    <t>Interventoría de las obras de construcción y 
pavimentación del sector Orrapihuasi- K38 +500 de la 
carretera Altamira - Florencia, Ruta 20 Tramo 2003 A</t>
  </si>
  <si>
    <t>AERONAUTICA 
CIVIL</t>
  </si>
  <si>
    <t>17001159H3 01 DE 2017</t>
  </si>
  <si>
    <t>REALIZAR LA INTERVENTORÍA TÉCNICA Y 
ADMINISTRATIVA PARA LAS OBRAS DE 
CONSTRUCCION [AMPLIACION] DE PISTA, 
PLATAFORMA [ESTUDIOS, DISEÑOS Y OBRAS], CALLE DE RODAJE [PLATAFORMA DE VIRAJE NORTE] Y CANALES DEL AEROPUERTO LEGUIZAMO.</t>
  </si>
  <si>
    <t>1757 de 2015</t>
  </si>
  <si>
    <t>INTERVENTORIA PARA EL MEJORAMIENTO Y 
REHABILITACION GESTION PREDIAL, SOCIAL Y AMBIENTAL DE LA VÍA GUÁTICA- PUENTE UMBRÍA EN EL DEPARTAMENTO DE RISARALDA PARA EL PROGRAMA "VÍAS PARA LA EQUIDAD" MODULO 2.</t>
  </si>
  <si>
    <t>INSTITUTO DE 
DESARROLLO 
URBANO</t>
  </si>
  <si>
    <t>544 - 02 
2002</t>
  </si>
  <si>
    <t>Interventoría Técnica, Administrativa, financiera y ambiental para la construcción de accesos a barrios y  Pavimentos Locales Vías Grupo 1 Bogotá D.C</t>
  </si>
  <si>
    <t>052-2012</t>
  </si>
  <si>
    <t>INTERVENTORIA TECNICA, ADMINSTRATIVA, 
FINANCIERA, LEGAL, SOCIAL Y AMBIENTAL PARA LA BRIGADA DE REACCION VIAL EN LAS LOCALIDADES DE USME, TUNJUELITO, BOSA, KENNEDY, ANTONIO NARIÑO, 
RAFAEL URIBE URIBE, CIUDAD BOLIVAR, EN BOGOTA D.C. (GRUPO 3)</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</si>
  <si>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</si>
  <si>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</si>
  <si>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NSTITUTO NACIONAL DE VIAS</t>
  </si>
  <si>
    <t>510-2001</t>
  </si>
  <si>
    <t>NTERVENTORIA REHABILITACION 
VIA UBATE CHIQUINQUIRA</t>
  </si>
  <si>
    <t>263-2002</t>
  </si>
  <si>
    <t>NTERVENTORIA REHABILITACION
VIA DUITAMA - LA PALMERA-RUTA
55 TRAMO 5503</t>
  </si>
  <si>
    <t>1083-2013</t>
  </si>
  <si>
    <t>INTERVENTORIA TECNICA,
FINANCIERA, ADMINSTRATIVA Y
AMBIENTAL PARA MANTENIMIENTO
DE VIAS CAMINOS DE
PROSPERIDAD DEPARTAMENTO DE
CORDOBA. MODULO 5</t>
  </si>
  <si>
    <t>1065-2013</t>
  </si>
  <si>
    <t>NTERVENTORIA TECNICA, FINANCIERA, ADMINSTRATIVA Y AMBIENTAL PARA  MANTENIMIENTO
DE VIAS CAMINOS DE
PROSPERIDAD DEPARTAMENTO
DEL CESAR. MODULO 5</t>
  </si>
  <si>
    <t>1494-2012</t>
  </si>
  <si>
    <t>INTERVENTORIA PARA EL MEJORAMIENTO Y MANTENIMIENTO DE LA CARRETERA BUCARAMANGA - CUESTABOBA SECTOR PR3+0400 AL PR8+0000 RUTA 66, TRAMO 6603. MODULO 4</t>
  </si>
  <si>
    <t xml:space="preserve"> MUNICIPIO DE 
SOACHA</t>
  </si>
  <si>
    <t>587-2014</t>
  </si>
  <si>
    <t xml:space="preserve">NTERVENTORIA TECNICA, ADMINISTRATIVA Y FINANCIERA DE LA REHABILITACION Y
MEJORAMIENTO DE VIAS EN LOS SECTORES DE CIUDAD LATINA, PORTOALEGRE, LEON XIII,
NEMESIS, EL ALTICO, EL DORADO Y ADECUACION DE DIFERENTES OBRAS PUBLICAS DEL
MUNICIPIO DE SOACHA - CUNDINAMARCA. </t>
  </si>
  <si>
    <t xml:space="preserve">EJERCITO NACIONAL- CENAC ESPECIALIZADA DE INGENIEROS </t>
  </si>
  <si>
    <t>353-CENAC-INGENIEROS -2018</t>
  </si>
  <si>
    <t>INTERVENTORIA TECNICA, ADMINISTRATIVA, FINANCIERA, AMBIENTAL, JURIDICA, Y CONTABLE AL CONTRATO CUYO OBJETO ES: ACTIVIDADES CONSTRUCTIVAS PARA EL CORREDOR VIAL Y ALAMEDA DE LA CARRERA 46 UBICADO EN EL CANTON CALDAS EN LA CIUDAD DE BOGOTÁ</t>
  </si>
  <si>
    <t>MUNICIPIO DE SAN 
ANTERO</t>
  </si>
  <si>
    <t>057 DE 1999</t>
  </si>
  <si>
    <t xml:space="preserve">GERENCIA E INTERVENTORIA PARA LAS OBRAS DE PAVIMENTACION DE LA VIA SAN ANTERO A LOS CASERIOS DE PLAYA BLANCA Y CISPATA </t>
  </si>
  <si>
    <t>GOBERNACION DE 
BOLIVAR</t>
  </si>
  <si>
    <t>SI-I-2303-2014</t>
  </si>
  <si>
    <t>INTERVENTORIA TECNICA, ADMINISTRATIVA Y FINANCIERA A CONSTRUCCION DE PAVIMENTOS RIGIDOS EN LAS LOCALIDADES 2 Y 3
DEL DISTRITO DE CARTAGENA DEPARTAMENTO DE BOLIVAR</t>
  </si>
  <si>
    <t>SI-I-2311-2014</t>
  </si>
  <si>
    <t>INTERVENTORIA TECNICA, ADMINISTRATIVA Y FINANCIERA A CONSTRUCCIÓN DE 3.63 KM DE PAVIMENTO RIGIDO EN LAS CABECERAS MUNICIPALES DE CANTAGALLO (BARRIOS 23 DE ENERO Y SAN MARTÍN, 1.93 KM) Y MORALES (BARRIOS PARAISO Y BASTIDAS, 1.7 KM) EN EL DEPARTAMENTO DE BOLIVAR.</t>
  </si>
  <si>
    <t>1069-2013</t>
  </si>
  <si>
    <t>INTERVENTORIA MANTENIMIENTO VIAS PROGRAMA CAMINO PROSPERIDAD CORDOBA</t>
  </si>
  <si>
    <t>262 - 2014</t>
  </si>
  <si>
    <t>INTERVENTORIA TECNICA, ADMINISTRATIVA, FINANCIER Y AMBIENTAL PARA EL MEJORAMIENTO, MANTENIMIENTO Y CONSERVACION DE VIAS - CAMINOS DE PROSPERIDAD EN EL DEPARTAMENTO DE CORDOBA MODULO 12</t>
  </si>
  <si>
    <t>ALCALDIA DE HATONUEVO</t>
  </si>
  <si>
    <t>003 - 2020</t>
  </si>
  <si>
    <t>“INTERVENTORÍA TECNICA, ADMINISTRATIVA, FINANCIERA, AMBIENTAL Y JURIDICA AL CONTRATO DE MEJORAMIENTO DE VÍAS MEDIANTE PLACA HUELLA EN LOS MUNICIPIOS DE HATONUEVO Y BARRANCAS, LA GUAJIRA”</t>
  </si>
  <si>
    <t>ALCALDIA DE MANIZALES</t>
  </si>
  <si>
    <t xml:space="preserve">
No. 2108110754</t>
  </si>
  <si>
    <t>“INTERVENTORÍA TÉCNICA, ADMINISTRATIVA Y FINANCIERA PARA EL MANTENIMIENTO Y REHABILITACIÓN DEL PAVIMENTO EN LA AVENIDA CENTENARIO TRAMO HOSPITAL SANTA SOFIA - ESTACIÓN URIBE (AMBAS CALZADAS) Y SECTOR COMPRENDIDO ENTRE EL CISCO Y CASA DE LA JUSTICIA BOSQUES DEL NORTE, DE LA CIUDAD DE MANIZALES”</t>
  </si>
  <si>
    <t>NO APLICA</t>
  </si>
  <si>
    <t>GOBERNACION CASANARE</t>
  </si>
  <si>
    <t>2134 de 2015</t>
  </si>
  <si>
    <t>Interventoría Técnica, Administrativa, Financiera, Legal y Ambiental para la construccion de la pavimentacion de vias urbanas de la Comuna IV Ciudad Campina, Barrios San Jorge 2 y Luis A. López del Municipio de Yopal.</t>
  </si>
  <si>
    <t>1154 de 2014</t>
  </si>
  <si>
    <t>Interventoría Técnica, Ambiental, Administrativa, Financiera Contable y Jurídica al Mejoramiento y Conservación con micro pavimento de vías con bajo volumen de Tránsito, Vía Tacarimena - El Venado Punto Nuevo –  Palomas en el Sector K9+200 al K42+100, y de la Vía Yopal, Picón, Morichal y la paralela oriental al Aeropuerto El Alcaraván Calle 46 del Municipio de Yopal, Departamento de Casanare.</t>
  </si>
  <si>
    <t>191 DE 2014</t>
  </si>
  <si>
    <t>INTERVENTORIATECNICA,ADMINISTRATIVA,FINANCIERAYAMBIENTALPARA MANTENIMIENTO DE VIAS PROGRAMA CAMINOS DE PROSPERIDAD - DEPARTAMENTO DE NARIÑO</t>
  </si>
  <si>
    <t>4042 DE 2013</t>
  </si>
  <si>
    <t>NTERVENTORIAPARAELMEJORAMIENTOYMANTENIMIENTODELACARRETERALAUNION-LAFROTENRA-SONSON,RUTA5601,DEPARTAMENTO DE ANTIOQUIA</t>
  </si>
  <si>
    <t>GOBERNACION DEL TOLIMA</t>
  </si>
  <si>
    <t>1467 DE 2019</t>
  </si>
  <si>
    <t>CONTRATARLAINTERVENTORÍATÉCNICAADMINISTRATIVA,FINANCIERAYAMBIENTALALCONTRATODEOBRADERIVADODELCONVENIOCUYOOBJETOES:"AUNARESFUERZOSTECNICOS,ADMINISTRATIVOSYFINANCIEROSPARAELDESARROLLODELPROYECTODENOMINADO“CONSTRUCCIONDEOBRASDEARTEYPLACAHUELLASSOBRELAVIASAMARIA – CEDRALES DEL MUNICIPIO DE ORTEGA, TOLIMA.</t>
  </si>
  <si>
    <t>169 DE 2014</t>
  </si>
  <si>
    <t>INTERVENTORIATECNICA,ADMINISTRATIVA,FINANCIERAYAMBIENTALPARAMANTENIMIENTODEVIASPROGRAMASCAMINOSDEPROSPERIDAD EN EL DEPARTAMENTO DE PUTUMAYO MODULO 1</t>
  </si>
  <si>
    <t>FONADE</t>
  </si>
  <si>
    <t>INTERVENTORIA TECNICA, ADMINISTRATIVA,
FINANCIERA Y AMBIENTAL PARA LOS PROYECTOS DE
MEJORAMIENTO Y MANTENIMIENTO DE LA RED
TERCIARIA EN EL DEPARTAMENTO DE PUTUMAYO</t>
  </si>
  <si>
    <t>UT</t>
  </si>
  <si>
    <t>AERONAUTICA
CIVIL</t>
  </si>
  <si>
    <t>15000208-OH-
2015</t>
  </si>
  <si>
    <t xml:space="preserve">REALIZAR LA INTERVENTORIA TECNICA Y
ADMINISTRATIVA PARA EL ESTUDIO, DISEÑO Y
MANTENIMIENTO PISTA, CALLES DE RODAJE Y
PLATAFORMAS PARA LOS AEROPUERTOS PUERTO INIRIDA, SAN JOSE DEL GUAVIARE Y LA PRIMAVERA </t>
  </si>
  <si>
    <t>MUNICIPIO
DE INZA
CAUCA</t>
  </si>
  <si>
    <t>013/1999</t>
  </si>
  <si>
    <t>INTERVENTORIA TECNICA, ADMINISTRATIVA
Y FINANCIERA PARA LA ADECUACION Y
MEJORAMIENTO DE LA VIA INZA - LA PLATA
DEL K7+340 AL K18+780, ENTRE LOS
JUNICIPIOS DE INZA (CAUCA) Y LA PLATA
(HUILA)</t>
  </si>
  <si>
    <t>0438-2001</t>
  </si>
  <si>
    <t>INTERVENTORIA PARA EL MANTENIMIENTO DE LA CARRETERA RIO ERMITAÑO – PUERTO ARAUJO SECTOR PR 0+000-PR41+000</t>
  </si>
  <si>
    <t>656-2006</t>
  </si>
  <si>
    <t>INTERVENTORIA PARA EL MANTENIMIENTO DE LA CARRETERA DABEIBA - SANTA FE DE ANTIOQUIA SECTOR DABEIBA (PR0+000 ) - URAMITA (PR31+000) RUTA 62 TRAMO 6203</t>
  </si>
  <si>
    <t>GOBERNACION DEL CESAR</t>
  </si>
  <si>
    <t>872-2010</t>
  </si>
  <si>
    <t>INTERVENTORÍA TÉCNICA, FINANCIERA, ADMINISTRATIVA Y AMBIENTAL PARA EL MEJORAMIENTO DE LA VÍA ATANQUEZ – GUATAPURI- CHEMESQUEMENA – SECTOR LA MINA – ATANQUEZ MUNICIPIO DE VALLEDUPAR – DEPARTAMENTO DEL CESAR</t>
  </si>
  <si>
    <t>Ministerio de Fomento</t>
  </si>
  <si>
    <t>N/A</t>
  </si>
  <si>
    <t>Asistencia técnica para el control y vigilancia (interventoría) de las obras: Acondicionamiento de calzada N-432 de Bajadoz a Granada, p.k 238,1 al 245,2. Tramo: Cuesta de Matanzas - Cerro Muriano. Provincia de Córdoba</t>
  </si>
  <si>
    <t>Gobernación de Antioquia</t>
  </si>
  <si>
    <t>2012-SS-20-8128</t>
  </si>
  <si>
    <t>Interventoría técnica, legal, administrativa, financiera y ambiental para las obras de apoyo para el mejoramiento de la transitabilidad de las vías pertenecientes a la malla vial de las diferentes subregiones del departamento de Antioquia, Etapa I - Grupo 4, subregión suroeste</t>
  </si>
  <si>
    <t>Instituto Nacional de Vías - INVIAS</t>
  </si>
  <si>
    <t>1739 de 2015</t>
  </si>
  <si>
    <t>Interventoría para el mejoramiento, gestión predial, social y ambiental de la vía Quibdó - Medellín sector Quibdó - El Dieciocho, para el programa "Vías para la Equidad"</t>
  </si>
  <si>
    <t>INFICALDAS</t>
  </si>
  <si>
    <t>PV-04-
2012</t>
  </si>
  <si>
    <t>INTERVENTORÍA TECNICA, ADMINISTRATIVA Y AMBIENTAL DEL CONTRATO DE OBRA PÚBLICA PARA LA RECONSTRUCCION, PAVIMENTACION Y/O REPAVIMENTACION EN EL TRAMO SAMANÁ CAÑAVERAL INCLUIDO EN EL PROGRAMA DE PAVIMENTACION DE LA GOBERNACION DE CALDAS</t>
  </si>
  <si>
    <t>2418 DE 
2007</t>
  </si>
  <si>
    <t>INTERVENTORÍA PARA EL MEJORAMIENTO Y 
MANTENIMIENTO DE LA CARRETERA CHOCONTÁ - GUATEQUE SECTOR K10+100 AL K13+500 RUTA 56 TRAMO 5607</t>
  </si>
  <si>
    <t xml:space="preserve">1512 DE 
2006 </t>
  </si>
  <si>
    <t>INTERVENTORIA PARA EL MEJORAMIENTO Y MANTENIMIENTO DE LA CARRETERA CUCUTA - PUERTO SANTANDER RUTA 55 TRAMO 5507</t>
  </si>
  <si>
    <t>MUNICIPIO DE BUCARAMANGA- SECRETARIA DE INFRAESTRUCTURA</t>
  </si>
  <si>
    <t>88 DEL 2021</t>
  </si>
  <si>
    <t>INTERVENTORIA AL MANTENIMIENTO Y MEJORAMIENTO DE LA MALLA RED VIAL URBANA DEL MUNICIPIO DE BUCARAMANGA-GRUPO 3</t>
  </si>
  <si>
    <t>MINISTERIO DE DEFENSA NACIONAL EJERCITO NACIONAL-ESCUELA MILITAR DE CADETES JOSE MARIA CORDOVA-BATALLON DE ASPC N.19</t>
  </si>
  <si>
    <t>95-BASPC19-ESMIC-2011</t>
  </si>
  <si>
    <t>INTERVENTORIA, TECNICA, ADMINISTRATIVA, CONTABLE Y FINANCIERA PARA LOS CONTRATOS DEL MANTENIMIENTO Y ADECUACION DEL SUELO Y VIAS INTERNAS EN EL AREA DE ENTRENAMIENTO MILITAR DE LA ESCUELA MILITAR DE CADETES GENERAL JOSE MARIA CORDOVA-BONACA.</t>
  </si>
  <si>
    <t>INSTITUTO DE
DESARROLLO
URBANO
IDU</t>
  </si>
  <si>
    <t>IDU-14-
2002</t>
  </si>
  <si>
    <t>INTERVENTORÍA TÉCNICA, ADMINISTRATIVA,
FINANCIERA Y AMBIENTAL A PRECIO GLOBAL
FIJO PARA LA EVALUACIÓN, REHABILITACIÓN
Y/O MANTENIMIENTO DE VIAS PARA LAS
RUTAS ALIMENTADORAS DEL PROYECTO
TRANSMILENIO EN LA CUENCA DE LA
ESTACIÓN INTERMEDIA DE LA CALLE 80.</t>
  </si>
  <si>
    <t xml:space="preserve">C </t>
  </si>
  <si>
    <t>431/99</t>
  </si>
  <si>
    <t>INTERVENTORIA TECNICA,ADMINISTRATIVA,A
PRECIO GLOBAL FIJO AL CONTRATO PARA
DISEÑO Y CONSTRUCCION DE PAVIMENTOS
LOCALES EN LA LOCALIDAD DE SUBA SECTOR
RINCON SUBA</t>
  </si>
  <si>
    <t>430/99</t>
  </si>
  <si>
    <t>INTERVENTORIA TECNICA,ADMINISTRATIVA,A
PRECIO GLOBAL FIJO AL CONTRATO PARA
DISEÑO Y CONSTRUCCION DE PAVIMENTOS
LOCALES EN LA LOCALIDAD DE BOSA SECTOR
JOSE ANTONIO GALAN</t>
  </si>
  <si>
    <t>CONSTRUCTORA C&amp;B S.A.S</t>
  </si>
  <si>
    <t>002 de 2016</t>
  </si>
  <si>
    <t>NTERVENTORÍA TÉCNICA, ADMINISTRATIVA, CONTABLE,
FINANCIERA Y JURIDICA DE LAS OBRAS QUE TIENEN POR
OBJETO "ESTUDIOS, DISEÑOS Y CONSTRUCCIÓN DE
PAVIMENTO EN CONCRETO RIGIDO PARA EL PROYECTO
"CONJUNTO RESIDENCIAL EL PRADO (MANZANAS, 1,2,3,4,5, Y 6)" EN EL PREDIO UBICADO EN LA CR 10 N°23-59 DEL MUNICIPIO DE CERETÉ.</t>
  </si>
  <si>
    <t xml:space="preserve">I </t>
  </si>
  <si>
    <t>FRANCISCO MIGUEL GARCES VERGARA</t>
  </si>
  <si>
    <t>002 de 2009</t>
  </si>
  <si>
    <t>INTERVENTORÍA TÉCNICA,ADMINISTRATIVA,
LEGAL,CONTABLE, SOCIAL, AMBIENTAL Y SST DE LAS
OBRAS QUE TIENEN POR OBJETO “ESTUDIO, DISEÑOS Y
CONSTRUCCIÓN DE PAVIMENTO EN CONCRETO RÍGIDO PARA LA URBANIZACIÓN, MONTEVERDE II UBICADA EN LA
CARRERA 17 N° 50– 85, DEL MUNICIPIO DE MONTERÍA–
CÓRDOBA.</t>
  </si>
  <si>
    <t>INSTITUTO NACIONAL DE VIAS - INVIAS</t>
  </si>
  <si>
    <t>RHUI-088-02</t>
  </si>
  <si>
    <t>INTERVENTORÍA MEJORAMIENTO CARRETERA ISNOS- SOMBRERILLOS.</t>
  </si>
  <si>
    <t>2004 - 2005</t>
  </si>
  <si>
    <t>INTERVENTORÍA PAVIMENTACIÓN Y REPAVIMENTACIÓN VÍAS DEPARTAMENTO DEL CHOCÓ, GRUPO 35 DEL PLAN 2500. (CONSORCIO 25%)</t>
  </si>
  <si>
    <t>0985 - 2004</t>
  </si>
  <si>
    <t xml:space="preserve">INTERVENTORIA CONSERVACION Y MANTENIMIENTO DE LA CARRETERA SANTA LUCIA MOÑITOS, RUTA 74 CR-02. </t>
  </si>
  <si>
    <t>1357 - 2012</t>
  </si>
  <si>
    <t>INTERVENTORIA DE LAS OBRAS DE MANTENIMIENTO DE LAS CARRETERAS PATICO - COCONUCO, RUTA 2002.</t>
  </si>
  <si>
    <t>1296 - 2017</t>
  </si>
  <si>
    <t>INTERVENTORÍA TÉCNICA, ADMINISTRATIVA, FINANCIERA, Y AMBIENTAL, PARA LAS OBRAS DERIVADAS DE LOS CONVENIOS SUSCRITOS POR LA AGENCIA DE RENOVACIÓN DEL TERRITORIO PARA IMPLEMENTAR EL PROYECTO DE RED DE VÍAS TERCIARIAS PARA LA PAZ Y EL POSTCONFLICTO, EN LOS MUNICIPIO DE EL PAUJIL, CARTAGENA DE CHAIRA, LA MONTAÑITA Y SAN VICENTE DEL CAGUAN EN EL DEPARTAMENTO DE CAQUETÁ</t>
  </si>
  <si>
    <t>DEPARTAMENTO 
DE BOYACA</t>
  </si>
  <si>
    <t>3066 DE 2020</t>
  </si>
  <si>
    <t>INTERVENTORIA TÉCNICA, ADMINISTRATIVA, FINANCIERA, JURIDICA. CONTABLE Y AMBIENTAL AL CONTRATO DE OBRA CUYO OBJETO ES MEJORAMIENTO Y PAVIMENTACION VIA TUTAZA CRUCE RUTA 6404 CODIGO 55-23 BELEN SACAMA -DEPARTAMENTO DE BOYACA</t>
  </si>
  <si>
    <t xml:space="preserve"> 1324 DE 2006</t>
  </si>
  <si>
    <t>INTERVENTORIA PARA EL MEJORAMIENTO Y 
MANTENIMIENTO DE LA CARRETERA RIO PEREIRA-SAN 
JUAN DEL CESAR-BUENA VISTA, RUTA 4902 Y PASO POR 
SAN JUAN DEL CESAR</t>
  </si>
  <si>
    <t xml:space="preserve"> 259 DE 2014</t>
  </si>
  <si>
    <t>INTERVENTORIA TECNICA, ADMINISTRATIVA, 
FINANCIERA Y AMBIENTAL PARA EL MANTENIMIENTO Y 
CONSERVACION DE VIAS CAMINOS DE PROSPERIDAD 
EN EL DEPARTAMENTO DE SUCRE MODULO 4</t>
  </si>
  <si>
    <t xml:space="preserve"> 2703 DE 2006</t>
  </si>
  <si>
    <t>NTERVENTORIA PARA EL MANTENMIENTO DE LAS 
CARRETERAS TUMACO-JUNIN-PEDREGAL, RUTAS 1001 
Y 1002_x000D_</t>
  </si>
  <si>
    <t xml:space="preserve"> 2702 DE 2007</t>
  </si>
  <si>
    <t>NTERVENTORIA DEL MEJORAMIENTO Y 
MANTENIMIENTO DE LA CARRETERA SANTO DOMINGO_x0002_PERLAS III-MINA BLANCA.</t>
  </si>
  <si>
    <t>ALCALDIA DE IBAGUE</t>
  </si>
  <si>
    <t>2724 DE 2019</t>
  </si>
  <si>
    <t>Interventoria, tecnica,  administrativa y financiera al contrato de obra mejoramiento,mantenimiento y rehabilitacion a todo costo de la malla vial urbana del municipio de ibagué_x000D_</t>
  </si>
  <si>
    <t>Realizada la verificacion en el acta de liquidacion la fecha de recibo final se realizo el 24 de julio de 2020, por lo tanto, se evidencio error en el formato 3 - Experiencia. Se realizo la correcicion.
En el formato 3 - Experiencia, diligencian el numero consecutivo del reporte del contrato ejecutado en el 
RUP de INVERSIONES INCO SAS (90) pero el RUP solo tiene 24 contratos registrados, se reviso en el RUP y tiene # consecutivo 19</t>
  </si>
  <si>
    <t>1775 DE 2018</t>
  </si>
  <si>
    <t>contratar la interventoria tecnica, administrativa, ambiental, juridica y financiera de la segunda parte de la pavimentacion integral de la malla vial municipio de ibague</t>
  </si>
  <si>
    <t>GOBERNACION DE 
CORDOBA</t>
  </si>
  <si>
    <t>691 DE 2014</t>
  </si>
  <si>
    <t>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</si>
  <si>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 xml:space="preserve">MUNICIPIO DE MONTERIA </t>
  </si>
  <si>
    <t>365-2015</t>
  </si>
  <si>
    <t>NTERVENTORIA # 1 TECNICA, ADMINISTRATIVA, FINANCIERA, 
AMBIENTAL, LEGAL Y CONTABLE A MANTENIMIENTO Y MEJORAMIENTO 
DE CALLES EN MONTERÍA, CÓRDOBA</t>
  </si>
  <si>
    <t>FONDO DE DESARROLLO 
LOCAL DE USAQUÉN</t>
  </si>
  <si>
    <t>FDLUSA-CTO-379-2020</t>
  </si>
  <si>
    <t>"INTERVENTORÍA TÉCNICA, ADMINISTRATIVA, LEGAL, FINANCIERA, 
SOCIAL, AMBIENTAL Y SISTEMA DE SEGURIDAD Y SALUD EN EL TRABAJO 
- SG-SST, DEL CONTRATO DE OBRA QUE SE DERIVE DE LA LICITACIÓN 
PUBLICA FDLUSA-LP-002-2020, LA CUAL TIENE POR OBJETO “CONTRATAR 
POR EL SISTEMA DE PRECIOS UNITARIOS FIJOS SIN FORMULA DE 
REAJUSTE Y A MONTO AGOTABLE LAS OBRAS Y ACTIVIDADES 
NECESARIAS PARA LA CONSERVACION DE LA MALLA VIAL DE LA 
LOCALIDAD DE USAQUÉN, EN BOGOTA D.C.”_x000D_</t>
  </si>
  <si>
    <t>No adjuntaron documento consorcial, se verifico el % de participacion en el RUP</t>
  </si>
  <si>
    <t>MONTERIA CIUDAD 
AMABLE S.A.S</t>
  </si>
  <si>
    <t>041-2016</t>
  </si>
  <si>
    <t>NTERVENTORIA TECNICA, ADMINISTRATIVA, FINANCIERA Y AMBIENTAL 
AL CONTRATO CUYO OBJETO ES: CONSTRUCCION DEL PAVIMENTO 
RIGIDO, ANDENES Y ESPACIO PUBLICO DE LA CALLE 30 ENTRE CARRERA 
1 Y CARRERA 10, ID (202-211). PERTENECIENTE AL SISTEMA ESTRATEGICO 
DE TRANSPORTE PUBLICO DE PASAJEROS "SETP" DE LA CIUDAD DE 
MONTERIA"</t>
  </si>
  <si>
    <t>049-2017</t>
  </si>
  <si>
    <t xml:space="preserve">“INTERVENTORÍA TÉCNICA, ADMINISTRATIVA, FINANCIERA Y AMBIENTAL 
AL CONTRATO CUYO OBJETO ES LA CONSTRUCCIÓN DEL PAVIMENTO 
RÍGIDO, ANDENES Y ESPACIO PÚBLICO DE LAS CALLES 31, 32, 33 y 34 
ENTRE CARRERAS 1 Y 5, ID (207, 208, 209 Y 210). PERTENECIENTES AL 
SISTEMA ESTRATÉGICO DE TRANSPORTE PÚBLICO "SETP" DE LA CIUDAD 
DE MONTERÍA”. </t>
  </si>
  <si>
    <t>ICCU</t>
  </si>
  <si>
    <t>120 DE 2018</t>
  </si>
  <si>
    <t>EJECUTAR LA INTERVENTORIA, TECNICA, ADMINISTRATIVA, FINANCIERA Y LEGAL, PARA LA REHABILITACION Y CARACTERIZACION DE LA CARRETERA - VIA CLUB EL BOSQUE - TIBACUY - CUMACA DEL DEPARTAMENTO DE CUNDINAMARCA</t>
  </si>
  <si>
    <t>ALCALDIA MUNICIPAL DE 
TOCANCIPA</t>
  </si>
  <si>
    <t>138 DE 2010</t>
  </si>
  <si>
    <t xml:space="preserve"> INTERVENTORÍA TECNICA, ADMINISTRATIVA Y FINANCIERA PARA "LA AMPLIACIÓN, CONSTRUCCIÓN Y PAVIMENTACIÓN DEL ANILLO VIAL VERGANZO ETAPA 1 EN EL MUNICIPIO DE TOCANCIPA.</t>
  </si>
  <si>
    <t>128 DE 2010</t>
  </si>
  <si>
    <t xml:space="preserve"> INTERVENTORÍA TECNICA, ADMINISTRATIVA Y FINANCIERA PARA LA AMPLIACIÓN, CONSTRUCCIÓN Y PAVIMENTACIÓN DEL ANILLO VIAL AUTODROMO PRIMERA ETAPA EN EL MUNICIPIO DE TOCANCIPÁ</t>
  </si>
  <si>
    <t>En el formato 3 - Experiencia se diligencio mal la fecha de inicio y terminacion del contraro, se realizo modificacion.</t>
  </si>
  <si>
    <t>SECRETARIA DE INFRAESTRUCTURA DE CORDOBA</t>
  </si>
  <si>
    <t>468 DE 2017</t>
  </si>
  <si>
    <t>"INTERVENTORIA TECNICA, ADMINISTRATIVA, FINANCIERA Y AMBIENTAL PARA LA OBRA "MEJORAMIENTO DE LA CARRETERA TIERRALTA CASERIO EL 15 y REHABILITACIÓN DE LA CARRETERA YE DE LOS MORALES ·RIO SINÚ EN LA VIA A VALENCIA EN EL DEPARTAMENTO DE CÓRDOBA -TRAMO No. 4."</t>
  </si>
  <si>
    <t>En el formato 3 - Experiencia se diligencio como forma de ejecucion individual pero este contrato se ejecuto en consorcio, se realizo correccion.</t>
  </si>
  <si>
    <t xml:space="preserve"> FONDECUN</t>
  </si>
  <si>
    <t>984 DE 2017</t>
  </si>
  <si>
    <t>REALIZAR LA INTERVENTORÍA TÉCNICA, FINANCIERA,ADMINISTRATIVA Y DE CONTROL PRESUPUESTAL A LA CONSTRUCCIÓN DE PAVIMENTO RÍGIDO EN LOS BARRIOS LAS PALMAS, 20 DE ENERO Y EL PRADO CASCO URBANO DE NECHI -ANTIOQUIA</t>
  </si>
  <si>
    <t>En la documentacion de verificacion de experiencia no se pudo verificar el % de participacion dentro del consocio, se verifico en el RUP es 70% y no 10%.</t>
  </si>
  <si>
    <t xml:space="preserve">REALIZAR LA INTERVENTORIA A LAS OBRAS Y ACTIVIDADES QUE SE REALICEN PARA EL MANTENIMIENTO, REHABILITACION, MEJORAMIENTO Y PAVIMENTACION DE L VIA TAME - ARAUCA, ENTRE LOS SECTORES DE K111+000 (PUENTE SOBRE EL RIO LIPA) Y EL K 151+722 ("Y" DE LA ANTIOQUEÑA), EN EL DEPARTAMENTO DE ARAUCA </t>
  </si>
  <si>
    <t>INTERVENTORIA TECNICA ADMINISTRATIVA Y DE CONTROL PRESUPUESTAL A LA TERMINACION DE LOS PROYECTOS DE ADECUACION, AMPLIACION, MANTENIMIENTO Y MEJORAMIENTO DE LAS VIAS: TRANSVERSAL MONTES DE MARIA, DPTO. DE BOLIVAR Y ATACO - PLANADAS, DPTO. DEL TOLIMA</t>
  </si>
  <si>
    <t>MUNICIPIO DE ORITO</t>
  </si>
  <si>
    <t>465 - 2013</t>
  </si>
  <si>
    <t>INTERVENTORIA TECNICA, ADMINISTRATIVAY FINANCIERA PARA LA PAVIMENTACION CONCRETO RIGIDO VIAS URBANAS SECTORES: BETENIA, SAN MARTIN, FLORESTA, CHAPINERO - VILLA CAROLINA,COLOMBIA, SIMON BOLIVAR, SABALO II ETAPA Y CARRERA 1A, DEL MUNICIPIO DE ORITO, DEPARTAMENTO DEL PUTUMAYO</t>
  </si>
  <si>
    <t xml:space="preserve">INSTITUTO NACIONAL DE VIAS - INVIAS </t>
  </si>
  <si>
    <t>2249  -2008</t>
  </si>
  <si>
    <t>NTERVENTORIAS TECNICA,ADMINISTRATIVA, FINANCIERA Y AMBIENTAL DE LOS PROYECTOS DE MEJORAMIENTO DE VIAS RURALES, MUNICIPALES EN EL DEPARTAMENTO DEL HUILA , GRUPO 7,NATAGA, TESALIA Y PAICOL.</t>
  </si>
  <si>
    <t>MUNICIPIO DE INZA</t>
  </si>
  <si>
    <t>174 - 2015</t>
  </si>
  <si>
    <t>INTERVENTORIA TECNICA, ADMINISTRATIVA, FINANCIERA, CONTABLE, AMBIENTAL, SOCIAL Y JURIDICA A LA EJECUCION DEL CONTRATO DE OBRA QUE SE DEREIBE DEL PROCESO DE LA CONTRATACION DE I CONSTRUCCIÓN DE PLACA HUELLA EN CONCRETO, EN TRAMOS DE LA RED VIAL TERCIARIA DEL MUNICIPIO DE INZA, DEPARTAMENTO DEL CAUCA. II - REPOSICION DE PAVIMENTO CABECERA Y OTROS MUNICIPIO DE INZA CAUCA</t>
  </si>
  <si>
    <t>INSTITUTO DE DESARROLLO URBANO - IDU</t>
  </si>
  <si>
    <t>IDU-101-2006</t>
  </si>
  <si>
    <t>INTERVENTORÍA TÉCNICA, ADMINISTRATIVA, FINANCIERA Y AMBIENTAL AL DIAGNÓSTICO Y MANTENIMIENTO DE VÍAS, GRUPO 4, A TRAVÉS DEL PROGRAMA BRIGADA DE REACCIÓN VIAL EN BOGOTÁ D.C.</t>
  </si>
  <si>
    <t>AERONAUTICA CIVIL</t>
  </si>
  <si>
    <t>12000105-OH-2012</t>
  </si>
  <si>
    <t>INTERVENTORÍA TÉCNICA Y ADMINISTRATIVA PARA EL MANTENIMIENTO DE LA PISTA DEL AEROPUERTO SIMÓN BOLÍVAR DE LA CIUDAD DE SANTA MARTA.</t>
  </si>
  <si>
    <t>GOBERNACION DE BOYACA</t>
  </si>
  <si>
    <t>1650 - 2018</t>
  </si>
  <si>
    <t>INTERVENTORIA TÉCNICA, ADMINISTRATIVA, FINANCIERA, JURIDICA, CONTABLE Y AMBIENTAL AL CONTRATO DE OBRA CUYO OBJETO ES REHABILITACIÓN Y MEJORAMIENTO DEL CORREDOR VIAL CALLE 3 SUR ENTRE CARRERAS 11 Y 18, CARRERA 18, ENTRE CALLES 3 Y 5 SUR DEL MUNICIPIO DE SOGAMOSO-DEPARTAMENTO DE BOYACÁ</t>
  </si>
  <si>
    <t>En la documentacion de verificacion de experiencia no se pudo verificar el % de participacion dentro de la UT, se verifico en el RUP</t>
  </si>
  <si>
    <t xml:space="preserve"> 625 - 2010</t>
  </si>
  <si>
    <t>INTERVENTORÍA PARA EL MEJORAMIENTO Y MANTENIMIENTO DE LA CARRETERA SANTA CECILIA - ASIA, RUTA 5003 SECTOR PUEBLO RICO - APIA - VITERBO- ASIA DELPR 33+000 AL PR 78 + 550. DEPARTAMENTO DE RISARALDA Y CALDAS.</t>
  </si>
  <si>
    <t>NSTITUTO DE  DESARROLLO URBANO - IDU</t>
  </si>
  <si>
    <t>IDU-148 DE 2006</t>
  </si>
  <si>
    <t>NTERVENTORÍA TÉCNICA, ADMINISTRATIVA, FINANCIERA Y SOCIO AMBIENTAL
PARA LA CONSTRUCCIÓN DE ACCESOS A BARRIOS Y PAVIMENTOS LOCALES,
PROGRAMA DE PAVIMENTOS LOCALES GRUPO II: FONTIBON, SUBA Y USAQUEN. EN BOGOTÁ D.C.</t>
  </si>
  <si>
    <t>FONDO DE DESARROLLO LOCAL DE BARRIOS UNIDOS_x000D_</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</si>
  <si>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</si>
  <si>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</si>
  <si>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Municipio de Mistrató</t>
  </si>
  <si>
    <t>004-2019</t>
  </si>
  <si>
    <t>INTERVENTORÍA TÉCNICA Y ADMINISTRATIVA Y FINANCIERA PARA EL MEJORAMIENTO DE VÍAS URBANAS, MUNICIPIO DE MISTRATÓ RISARALDA</t>
  </si>
  <si>
    <t>Municipio de Guática</t>
  </si>
  <si>
    <t xml:space="preserve"> 083-2019</t>
  </si>
  <si>
    <t>INTERVENTORIA TECNICA, ADMINISTRATIVA FINANCIERA, LEGAL Y AMBIENTAL DE OBRAS PARA EL MEJORAMIENTO DE LA VIA LA VARIANTE, EN EL MUNICIPIO DE GUATICA, RISARALDA</t>
  </si>
  <si>
    <t>Municipio de La Celia</t>
  </si>
  <si>
    <t>003-2019</t>
  </si>
  <si>
    <t>INTERVENTORIA TECNICA, ADMINISTRATIVA, FINANCIERA Y AMBIENTAL AL MEJORAMIENTO DE LAS VIAS URBANAS EN EL MUNICIPIO DE LA CELIA, RISARALDA</t>
  </si>
  <si>
    <t xml:space="preserve">AERONAUTICA CIVIL </t>
  </si>
  <si>
    <t>9000222-OH-2009</t>
  </si>
  <si>
    <t>INTERVENTORIA TÉCNICA Y ADMINISTRATIVA PARA LAS OBRAS DE CONSTRUCCION DE LA PLATAFORMA Y EL MANTENIMIENTO DE LA INSFRAESTRUTURA COMPLEMENTARIA DEL AEROPUERTO LEÓN BENTLEY DE MITÚ - VAUPES.</t>
  </si>
  <si>
    <t>ALCALDIA MAYOR  DE CARTAGENA DE  INDIAS D.T.C</t>
  </si>
  <si>
    <t>6-048181</t>
  </si>
  <si>
    <t>INTERVENTORIA TECNICA, ADMINISTATIVA, FINANCIERA,CONTABLE Y AMBIENTAL A LAS RECONSTRUCCION Y REPARCHEO DE VIAS EN LAS TRES (3) LOCALIDADES DEL DISTRITO DE CARTAGENA</t>
  </si>
  <si>
    <t>ALCALDÍA DE MEDELLÍN</t>
  </si>
  <si>
    <t>4600078505 de 2018</t>
  </si>
  <si>
    <t xml:space="preserve">INTERVENTORIA PARA LA PRECONSTRUCCION Y CONSTRUCCIÓN DE LA PROLONGACIÓN DE LA CRA 15 (SAN LUCAS) ENTRE LA CLL 20C SUR Y LA URB. SAN MARCOS DE LA SIERRA Y OBRAS COMPLEMENTARIAS </t>
  </si>
  <si>
    <t xml:space="preserve">AGENCIA DISTRITAL DE INFRAESTRUCTURA - ADI </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</si>
  <si>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</si>
  <si>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</si>
  <si>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INSTITUTO NACIONAL DE VÍAS - INVÍAS</t>
  </si>
  <si>
    <t>2209 de 2012</t>
  </si>
  <si>
    <t>INTERVENTORIA PARA EL MANTENIMIENTO Y REHABILITACIÓN DE LAS CARRETERAS LORICA – CHINÚ, RUTA 78 TRAMO 7801; LORICA – SAN ONOFRE, SECTOR LORICA – COVEÑAS – TOLÚ –TOLÚVIEJO, RUTA 90 TRAMO 9004. DEPARTAMENTOS DE CÓRDOBA Y SUCRE</t>
  </si>
  <si>
    <t>ALCALDÍA MUNICIPAL DE MUZO</t>
  </si>
  <si>
    <t>CMA-SP-2018-001</t>
  </si>
  <si>
    <t>REALIZAR LA INTERVENTORÍA TÉCNICA, ADMINISTARTIVA, FINANICERA Y AMBIENTAL DE LOS CONTRATOS QUE TIENEN POR OBJETO "CONSTRUCCION DE OBRAS DE RENOVACION URBANA" Y "CONSTRUCCION Y REHABILITACION DE REDES Y VIAS URBANAS DEL MUNICIPIO DE MUZO -BOYACA".</t>
  </si>
  <si>
    <t>DEPARTAMENTO DE GUAINIA</t>
  </si>
  <si>
    <t>223 DE 2013</t>
  </si>
  <si>
    <t>INTERVENTORIA TECNICA, ADMINISTRATIVA ,FINANCIERA CONTABLE, JURIDICA Y AMBIENTAL A LA CONSTRUCCION DE 5,91 KM DE VIAS URBANAS DEL MUNICIPIO DE INIRIDA BEPARTAMENTO DEL GUAINIA</t>
  </si>
  <si>
    <t xml:space="preserve"> 1394-2015</t>
  </si>
  <si>
    <t>INTERVENTORIA TECNICA, ADMINISTRATIVA, FINANCIERA, CONTABLE, JURIDICA Y AMBIENTAL PARA LA PAVIMENTACION EN CONTRETO RIGIDO Y MEJORAMIENTO DE LA VIA PAYANDE HASTA ADELANTE DEL CENTRO COMUNITARIO CEMEX EN EL DEPARTAMENTO DEL TOLIMA</t>
  </si>
  <si>
    <t>889-2015</t>
  </si>
  <si>
    <t>INTERVENTORIA TECNICA, ADMINISTRATIVA, FINANCIERA Y AMBIENTAL PARA
EL MEJORAMIENTO, MANTENIMIENTO Y CONSERVACION DE VIAS – CAMIINOS
DE PROSPERIDAD DEPARTAMENTO DE SANTANDER – MODULO 1.</t>
  </si>
  <si>
    <t xml:space="preserve">GOBERNACIÓN 
DE NARIÑO </t>
  </si>
  <si>
    <t xml:space="preserve">890 de 2013 </t>
  </si>
  <si>
    <t>INTERVENTORÍA PARA EL MEJORAMIENTO Y PAVIMENTACIÓN DE LA VÍA EL TAMBO - EL MOTILON (SECTOR EL TAMBO - EL ZANJÓN: K4+200 A K9+200), DEPARTAMENTO DE NARIÑO</t>
  </si>
  <si>
    <t xml:space="preserve">914-2017 </t>
  </si>
  <si>
    <t>INTERVENTORÍA PARA EL MEJORAMIENTO Y MANTENIMIENTO DE LA
CARRETERA MOJARRAS - POPAYÁN RUTA 25 TRAMO 2503 ENTRE LOS PR0+0000 AL PR121+0000 EN EL DEPTO DEL CAUCA</t>
  </si>
  <si>
    <t>GOBERNACIÓN DE  BOLIVAR</t>
  </si>
  <si>
    <t>984-2011</t>
  </si>
  <si>
    <t>NTERVENTORIA TECNICA, ADMINISTRATIVA Y FINANCIERA SOBRE LOS CONTRATOS DE OBRA SOPC-940 2011: MEJORAMIENTO Y/O REHABILITACION DE LAS VIAS ALTOS DEL ROSARIO-ORILLAS DEL RIO MAGDALENA-SECTOR BOCA DE LAS PALOMAS; BUENAVISTA-ARENAL-NOROSI;BARRANCO DE LA LOBA, SECTOR PORTUGAL-ALTOS DEL ROSARIO; SOP-C-941-2011: MEJORAMIENTO Y/O REHABILITACION DE LA VIA HATILLO DE LOBA-LA VICTORIA Y SOP-C-942-2011: MEJORAMIENTO Y/O REHABILITACION DE LS VIAS ZAMBRANO-CORDOBA, ZAMBRANO-ANTIGUO PUERTO FERRY, RIO VIEJOREGIDOR Y BARRANCO DE LOBASAN MARTIN DE LOBA</t>
  </si>
  <si>
    <t>ALCALDIA DE SANTIAGO DE CALI</t>
  </si>
  <si>
    <t>4151,0,26,1,863,2016</t>
  </si>
  <si>
    <t>"INTERVENTORIA TECNICA, ADMINISTRATIVA Y FINANCIERA PARA EL MANTENIMIENTO DE LA CALLE 26B ENTRE CARRERAS 24 Y 28, BARRIO AGUABLANCA COMUNA 11 DEL MUNICIPIO DE SANTIAGO DE CALI</t>
  </si>
  <si>
    <t>INSTITUTO  NACIONAL DE VIAS  - INVIAS</t>
  </si>
  <si>
    <t>1513-2013</t>
  </si>
  <si>
    <t>INTERVENTORIA TECNICA, ADMINISTRATIVA, FINANCIERA, CONTABLE Y JURIDICA PARA EL MANTENIMIENTO Y MEJORAMIENTODE LA CARRETERA VARIANTE CALARCA - LA CABAÑA RUTA 40QN05 DEL PR 00+0000 AL PR 07+0200, DEPARTAMENTO DEL QUINDIO. DIRECCION TERRITORIAL QUINDIO</t>
  </si>
  <si>
    <t>Se modifica el valor registro del SMLV en el formato No 3 con respecto al registrado en el RUP.</t>
  </si>
  <si>
    <t>MUNICIPIO DE SAN GIL SANTANDER</t>
  </si>
  <si>
    <t>006-2016</t>
  </si>
  <si>
    <t>Interventoria tecnica, administrativa ambiental y financiera de la obra cuyo objeto es construccion de vias urbanas en el municipiode San Gil departamento de Santander</t>
  </si>
  <si>
    <t>011-2014</t>
  </si>
  <si>
    <t>INTERVENTORIA TECNICA ADMINISTRATIVA FINANCIERA Y AMBIENTAL DEL CONTRATO DE OBRA CUYO OBJETO ES EL MANTENIMIENTO Y CONSTRUCCION VIAS URBANAS DEL MUNICIPIO DE SAN GIL</t>
  </si>
  <si>
    <t>002-2021_x000D_</t>
  </si>
  <si>
    <t>INTERVENTORÍA TÉCNICA, ADMINISTRATIVA Y FINANCIERA AL CONTRATO DE OBRA PÚBLICA CUYO OBJETO ES EL MEJORAMIENTO Y PAVIMENTACIÓN CON ESTRUCTURA EN PAVIMENTO RÍGIDO DE LAS VÍAS CARRERA 16 ENTRE CALLES 16 Y 19, CALLES 15 ENTRE CARRERAS 21 Y 22 VILLA OLÍMPICA Y TRANSVERSAL 4 ENTRE CALLES 1C Y 2 SECTOR PASEO DEL MANGO DEL MUNICIPIO DE SAN GIL,SANTANDER</t>
  </si>
  <si>
    <t>004-2015</t>
  </si>
  <si>
    <t>Interventoria tecnica, administrativa, financiera y ambiental del contrato de obra cuyo objeto es la construcción de pavimento rigido de vias urbanas del municipio de San Gil.</t>
  </si>
  <si>
    <t>006-2018</t>
  </si>
  <si>
    <t>Interventoría técnica, administrativa, financiera al contrato cuyo objeto es la construcción de placa huellas para las diferentes veredas del municipio de San Gil- Santander</t>
  </si>
  <si>
    <t>860-2017</t>
  </si>
  <si>
    <t>INTERVENTORIA PARA LAS OBRAS DE  MEJORAMIENTO Y MANTENIMIENTO DE LA  CARRETERA OCAÑA - LA ONDINA - LLANO GRANDE - CONVENCION PR10+0000 -  PR11+0000 Y PR13+0000 - PR15+0000 DEPARTAMENTO DE NORTE DE SANTANDER.</t>
  </si>
  <si>
    <t>El % de participacion dentro del consorcio se verifico en el RUP, debido a que no adjuntaron documento donde verificar.</t>
  </si>
  <si>
    <t>244-2014</t>
  </si>
  <si>
    <t xml:space="preserve">Interventoria Tecnica, Administrativa, Financiera y Ambiental para el mejoramiento, mantenimiento y conservacion de vias - Caminos de la prosperidad en el Departamento del Valle. Modulo 3. </t>
  </si>
  <si>
    <t>GOBERNACION DEL HUILA</t>
  </si>
  <si>
    <t>27-2002</t>
  </si>
  <si>
    <t>A TODO COSTO INTERVENTORIA TECNICA Y ADMINISTRATIVA DE LA PAVIMENTACION DE VIAS URBANAS EN EL MUNICIPIO DE TIMANA HUILA</t>
  </si>
  <si>
    <t>IDU - Instituto de Desarrollo Urbano</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</si>
  <si>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</si>
  <si>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</si>
  <si>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Instituto de Infraestructura y Concesiones de Cundinamarca
- ICCU -</t>
  </si>
  <si>
    <t>067 DE 2019</t>
  </si>
  <si>
    <t>INTERVENTORÍA TÉCNICA, ADMINISTRATIVA, FINANCIERA Y LEGAL PARA EL MEJORAMIENTO Y REHABILITACIÓN DE VÍAS SECUNDARIAS EN LA PROVINCIA DE UBATE, DEPARTAMENTO DE CUNDINAMARCA.</t>
  </si>
  <si>
    <t>Instituto Nacional de Vías -INVIAS</t>
  </si>
  <si>
    <t>2215 DE 2012</t>
  </si>
  <si>
    <t>Interventoría para el Mantenimiento y Rehabilitación de las Carreteras Sincelejo – Calamar – Barranquilla, sector Carreto – Calamar – PR 54+000, Ruta 25 Tramo 2515 y 2516, Departamentos de Bolívar y Atlántico, Módulo 2.</t>
  </si>
  <si>
    <t xml:space="preserve">Se modifico el % de participacion </t>
  </si>
  <si>
    <t>INSTITUTO  NACIONAL DE VIAS - INVIAS</t>
  </si>
  <si>
    <t>ROCA-12-2003</t>
  </si>
  <si>
    <t>ADELANTAR LA INTERVENTORIA PARA EL MANTENIMIENTO DE LAS CARRETERAS AGUACLARA - OCAÑA,PASO NACIONAL POR OCAÑA, RUTA 70-07 Y OCAÑA - ALTO DEL POZO, RUTA 70-08</t>
  </si>
  <si>
    <t>78 DE 2002</t>
  </si>
  <si>
    <t>INTERVENTORIA OBRAS DE LA CONSTRUCCION Y PAVIMENTACION DE LOS SECTORES K3+490 AL K3+890 Y DEL K4+030 AL K4+194 DE LA VARIANTE CALARCA - ARMENIA</t>
  </si>
  <si>
    <t>MUNICIPIO DE BUCARAMANGA</t>
  </si>
  <si>
    <t>284 DE 30/07/2013</t>
  </si>
  <si>
    <t>INTERVENTORIA PARA LA CONSTRUCCIÓN DEL PROYECTO DE CONECTIVIDAD REGIONAL "TRONCAL METROPOLITANA NORTE SUR DEL MUNICIPIO DE BUCARAMANGA - TRAMO 7</t>
  </si>
  <si>
    <t>2351-2019</t>
  </si>
  <si>
    <t>“INTERVENTORÍIA PARA EL MANTENIMIENTO DE LAS VÍAS: 1. 2501 A HIGUERONES MOJARRAS; 2. 25CC02 TIMBIO – EL HATO EL TABLÓN; 3. 2601 PIENDAMÓ MORALES; 4. 2602 A PIENDAMÓ- SILVIA-TOTORÓ; 5.
3105 SANTANDER DE QUILICHAO – RIO
DESBARATADO”</t>
  </si>
  <si>
    <t>119/1996</t>
  </si>
  <si>
    <t>EJECUTAR TODAS LAS LABORES PROPIAS DE
LA INTERVENTORIA PARALOS CONTRATOS No.
108,109,110,111,112,113,114,115,116,117,11812
0,121,122,123,124 DE 1996 LOS CUALES
CONTEMPLAN LAS OBRAS DE: AMPLIACION,
RECTIFICACION Y PAVIMENTACION DE LA VIA
POPAYAN, PATICO, RIO MAZAMORRAS,
SECTOR PATICO - COCONUCO PR19+210 A
PR25+0650</t>
  </si>
  <si>
    <t>1834/2013</t>
  </si>
  <si>
    <t>INTERVENTROIA PARA EL MANTENIMIENTO Y
REHABILITACION DE LA CARRETERA LA
PINTADA - MEDELLIN, RUTA 25, TRAMO 2509
EN EL DEPARTAMENTO DE ANTIOQUIA
MODULO 4</t>
  </si>
  <si>
    <t>1564 DE 2020</t>
  </si>
  <si>
    <t>INTERVENTORÍA TÉCNICA, ADMINISTRATIVA, FINANCIERA Y AMBIENTAL PARA EL MANTENIMIENTO Y MEJORAMIENTO DE VÍAS TERCIARIAS DEL PROGRAMA "COLOMBIA RURAL" EN LOS MUNICIPIOS DEL DEPARTAMENTO DE SUCRE</t>
  </si>
  <si>
    <t>2062/2006</t>
  </si>
  <si>
    <t>Interventoría para el mantenimiento de la carretera Las Animas – Mumbu Sector Playa de Oro – Mumbu Ruta 5002.</t>
  </si>
  <si>
    <t>017/03</t>
  </si>
  <si>
    <t>Interventoría para el mantenimiento de las carreteras Cerritos–Pereira ruta 29RS01, Cartago–Cerritos–Cauya, ruta 2506–2507 y paso por La Virginia, tramo 25RSA.</t>
  </si>
  <si>
    <t>2588/2006</t>
  </si>
  <si>
    <t>Interventoría Técnica, Administrativa, Financiera y Ambiental para el mejoramiento de la Red Terciaria Nacional del Departamento de Meta.</t>
  </si>
  <si>
    <t>MUNICIPIO DE MEDELLIN</t>
  </si>
  <si>
    <t>4600062126 DE 2015</t>
  </si>
  <si>
    <t>Interventoria para las obras de ampliacion de la doble calzada de la carrera 74 entre las calles 52 y 53 y obras complementarias</t>
  </si>
  <si>
    <t>NO</t>
  </si>
  <si>
    <t>EN LA CERTIFICACION ADJUNTA PARA EL CTO DE OBRA SUPERVISADO, LAS CANTIDADES DE OBRA INDICAN QUE LOS CONCRETOS FUERON REALIZADOS EN ANDENES Y LA MEZCLA ASFALTICA COLOCADA ES UN ITEM DE MINIMA CUANTIA</t>
  </si>
  <si>
    <t>NO ES VALIDO</t>
  </si>
  <si>
    <t>FONVALMED</t>
  </si>
  <si>
    <t>359 DE 2015</t>
  </si>
  <si>
    <t>Interventoria para la construccion de la prolongación de la doble calzada de la Loma Los Balsos (Calle 12 sur) entre la calle 9A sur y la transversal superior (Carrera25) y obras complementarias</t>
  </si>
  <si>
    <t>4600077970 DE 2018</t>
  </si>
  <si>
    <t>INTERVENTORIA A LA CONSTRUCCIÓN, REPARACIÓN A OBRAS DEL ESPACIO PUBLICO EN LA COMUNA 13 (PLYPP 2017-2018)</t>
  </si>
  <si>
    <t>ESTE CONTRATO NO CORRESPONDE CON EL REGISTRADO EN EL RUP EN EL NUMERAL 50</t>
  </si>
  <si>
    <t>¿EL INTEGRANTE CUMPLE CON PARTICIPAR CON 5% Y ACREDITAR MIN EL 5% DE LA EXPERIENCIA?</t>
  </si>
  <si>
    <t>ALCALDIA LOCAL DE RAFAEL URIBE URIBE</t>
  </si>
  <si>
    <t>CI-132-2017</t>
  </si>
  <si>
    <t>REALIZAR LA INTERVENTORÍA TÉCNICA, ADMINISTRATIVA, LEGAL, FINANCIERA, SOCIAL, AMBIENTAL Y SISO, AL CONTRATO DE OBRA PÚBLICA DERIVADO DE LICITACIÓN No. LP-122-2017</t>
  </si>
  <si>
    <t>FONDECUN</t>
  </si>
  <si>
    <t>341 DE 2017</t>
  </si>
  <si>
    <t>REALIZAR LA INTERVENTORIA TECNICA, FINANCIERA, ADMINISTRATIVA Y DE CONTROL PRESUPUESTAL A LA CONSTRUCCIÓN DE PÁVIMENTO EN CONCRETO RÍGIDO DE 4000 PSI PARA LAS DIFERENTES CALLES Y CARRERAS DE LOS BARRIOS NUBIA CORREA DE LUNA, 19 DE ABRIL, 20 DE ENERO, CASCAJILLO Y LOMA FRESCA, DEL CASCO URBANO DEL MUNICIPIO DE SAN SEBASTIÁN DE BUENA VISTA MAGDALENA - GRUPO 2</t>
  </si>
  <si>
    <t>FONDO DE DESARROLLO LOCAL DE TUNJUELITO</t>
  </si>
  <si>
    <t>149-2019</t>
  </si>
  <si>
    <t>EJERCER LA INTERVENTORÍA A LOS CONTRATOS DE OBRA PÚBLICA QUE SE SUSCRIBAN PARA EL MANTENIMIENTO DE LA MALLA VIAL LOCAL Y LA CONSTRUCCIÓN Y MANTENIMIENTO DEL ESPACIO PÚBLICO LOCAL PRODUCTO DEL PROCESO FDLT-LP-02-2019</t>
  </si>
  <si>
    <t>GOBERNACIÓN DE ANTIOQUIA</t>
  </si>
  <si>
    <t>2011-SS-20-172</t>
  </si>
  <si>
    <t>Interventoría Técnica, Administrativa y Ambiental Para el Mejoramiento y Pavimentación de la Vía Caracolí - San José del Nus, Subregión Nordeste del Departamento de Antioquia.</t>
  </si>
  <si>
    <t>MUNICIPIO DE MEDELLÍN</t>
  </si>
  <si>
    <t>4600053811 de 2014</t>
  </si>
  <si>
    <t>Interventoría  para la Construcción de Obras de Mejoramiento Vial en Diferentes Sitios de la Zona Rural del Municipio de Medellín (Programa de Planeación Local y Presupuesto Participativo 2012-2013)</t>
  </si>
  <si>
    <t>4600006898 DE 2017</t>
  </si>
  <si>
    <t>Interventoría Técnica, Administrativa, Ambiental Financiera Y Legal Para El Mejoramiento, Mantenimiento, Rehabilitación Y Construcción De Obras Complementarias En Los Corredores Viales Del Departamento De Antioquia. Grupos 1 Al 5</t>
  </si>
  <si>
    <t>4600007222 DE 2017</t>
  </si>
  <si>
    <t>Interventoría Técnica, Administrativa, Ambiental, Financiera Y Legal Para El  Mejoramiento, Rehabilitación Y Mantenimiento De Las Vías En La Subregión Suroeste Del Departamento De Antioquia</t>
  </si>
  <si>
    <t>DEPARTAMENTO DE BOYACA</t>
  </si>
  <si>
    <t>443 DE 2006</t>
  </si>
  <si>
    <t>INTERVENTORIA CONTRATO DEL MEJORAMIENTO, PAVIMENTACIÓN Y RAHABILITACIÓN DE LA VIA - SOATA - BOAVITA - SECTOR PR20 - LA UVITA DEPARTAMENTO DE BOYACÁ</t>
  </si>
  <si>
    <t>MUNICIPIO DE NOBSA</t>
  </si>
  <si>
    <t>002 DE 2012</t>
  </si>
  <si>
    <t>INTERVENTORIA TECNICA, ADMINISTRATIVA Y FINANCIERA AL CONTRATO DE OBRA PUBLICA No.006 DE 2012, CUYO OBJETO ES: “CONTINUACION CONSTRUCCION DOBLE CALZADA AVENIDA SAN ROQUE MUNICIPIO DE NOBSA-BOYACA</t>
  </si>
  <si>
    <t>0673 DE 2016</t>
  </si>
  <si>
    <t>INTERVENTORÍA PARA MEJORAMIENTO Y MANTENIMIENTO DE LA CARRETERA YOPAL-HATO COROZAL-LA CABUYA, SECTOR HATO COROZAL-LA CABUYA (PR39+0800 AL PR73+0380).</t>
  </si>
  <si>
    <t>INSTITUTO DE DESARROLLO URBANO</t>
  </si>
  <si>
    <t>050 DE 2009</t>
  </si>
  <si>
    <t>INTERVENTORIA TECNICA, ADMINISTRATIVA, FINANCIERA, LEGAL, SOCIAL Y AMBIENTAL PARA LA CONSTRUCCION DEL CODIGO DE OBRA 130 DEL ACUERDO 180 DE 2005 DE VALORIZACION, CORRESPONDIENTE A LAS OREJAS NOR-ORIENTAL, SUR OCCIDENTAL, CONECTANTES NOR-ORIENTAL Y SUR-OCCIDENTAL, RETORNO SENTIDO NORTE-NORTE DE LA AVENIDA BOYACA Y REFORZAMIENTO ESTRUCTURAL DE LOS PUENTE VEHICULARES EXISTENTES DE LA INTERSECCION DE LA AVENIDA VILLAVICENCIO CON LA AVENIDA BOYACA, EN BOGOTA D.C.</t>
  </si>
  <si>
    <t>GOBERNACIÓN DE BOYACA</t>
  </si>
  <si>
    <t>0161 DE 2006</t>
  </si>
  <si>
    <t>INTERVENTORIA MEJORAMIENTO VIA ZETAQUIRA - MIRAFLORES SECTOR PR 66+400 AL PR78+400,</t>
  </si>
  <si>
    <t>ALCALDÍA MUNICIPAL
CAJICÁ -
CUNDINAMARCA</t>
  </si>
  <si>
    <t>006 de 2013</t>
  </si>
  <si>
    <t>INTERVENTORIA TECNICA, SEGUIMIENTO ADMINISTRATIVO, FINANCIERO, CONTABLE, JURIDICO Y AMBIENTAL DEL  CONTRATO DE OBRA QUE TIENE POR OBJETO: “MANTENIMIENTO Y MEJORAMIENTO DE LA VIA LA CUMBRE ENEL MUNICIPIO DE CAJICÁ- DEPARTAMENTODE CUNDINAMARCA”.</t>
  </si>
  <si>
    <t>SE CORRIGE FECHA DEL CONTRATO, SEGUN CERTIFICACION ADJUNTA</t>
  </si>
  <si>
    <t>MUNICIPIO DE FUNZA</t>
  </si>
  <si>
    <t>383 DE 2015</t>
  </si>
  <si>
    <t>INTERVENTORIA TECNICA,ADMINISTRATIVA, FINANCIERA Y AMBIENTAL PARA LA CONSTRUCCION Y MANTENIMIENTO DE VIAS, ANDENES Y CICLO RUTA SEGÚN ANEXO No 1 EN EL MUNICIPIO DE FUNZA CUNDINAMARCA, EN CUMPLIMIENTO AL PLAN DE DESARROLLO "FUNZA AVANZA CON GARANTIA DE CIUDAD 2012-2015</t>
  </si>
  <si>
    <t>SE CORRIGEN FECHAS DE INICIO Y TERMINACION SEGUN CERTIFICACION ADJUNTA. SE CORRIGE LA FORMA DE PARTICIPACION, SEGUN EL RUP EN EL NUMERO 50</t>
  </si>
  <si>
    <t>Municipio De Sabaneta</t>
  </si>
  <si>
    <t>CONTRATO DE CONSULTORIA No. 931 DEL 22 DE JULIO DE 2 010</t>
  </si>
  <si>
    <t>Interventoría Técnica, Administrativa, Financiera Y Ambiental Para La Construcción De La Segunda Calzada De La Avenida Las Vegas Y Obras Complementarias En El Municipio De Sabaneta</t>
  </si>
  <si>
    <t>EMPRESA DE DESARROLLO URBANO, EDU</t>
  </si>
  <si>
    <t>CONTRATO NRO 348 DE 2018</t>
  </si>
  <si>
    <t>“Interventoría Técnica, Administrativa, Financiera, Legal Y Ambiental Para La Construcción De Obras De Urbanismo De La Playa Tramo 1 Y Zonas De Influencia, En El Municipio De Medellín”</t>
  </si>
  <si>
    <t>SE CORRIGEN LAS FECHAS DE INICIO Y TERMINACION SEGUN CERTIFICACION ADJUNTA</t>
  </si>
  <si>
    <t>1416 DE 2014</t>
  </si>
  <si>
    <t>INTERVENTORÍA PARA EL MEJORAMIENTO Y MANTENIMIENTO DE LA CARRETERA MOÑITOS - SANTA LUCIA (RUTA 74CR02). EN EL DEPARTAMENTO DE CÓRDOBA</t>
  </si>
  <si>
    <t>287 - 2003</t>
  </si>
  <si>
    <t xml:space="preserve">INTERVENTORÍA PARA EL MANTENIMIENTO, MEJORAMIENTO Y PAVIMENTACIÓN DE LA CARRETERA PUERTO LOPEZ - PUERTO GAITAN DEL PR 0 AL PR 84, RUTA 40 TRAMO 4008. </t>
  </si>
  <si>
    <t>289-2014</t>
  </si>
  <si>
    <t>Interventoria tecnica, financiera, administrativa y ambiental para el mejoramiento, mantenimiento y conservación de vías - caminos de prosperidad, en el departamento de Caldas.</t>
  </si>
  <si>
    <t>ALCALDIA MUNICIPAL DE CUCUTA</t>
  </si>
  <si>
    <t>2000/2004</t>
  </si>
  <si>
    <t>INTERVENTORIA TECNICA, ADMINISTRATIVA Y FINACIERA PARA LA RECUPERACION, ADECUACION Y MANTENIMIENTO DE LA RED VIAL MUNICIPIO DE SAN JOSE DE CUCUTA.</t>
  </si>
  <si>
    <t>1024-2016</t>
  </si>
  <si>
    <t>INTERVENTORIA PARA EL MEJORAMIENTO Y MANTENIMIENTO DE LA CARRETERA BUCARAMANGA ¿ SAN ALBERTO, RUTA 45A, TRAMO 08, SECTOR RIONEGRO SAN ALBERTO PR18+0000 AL PR93+0694 EN EL DEPARTAMENTO DE SANTANDER</t>
  </si>
  <si>
    <t>MUNICIPIO DE
BCABJA</t>
  </si>
  <si>
    <t>1269-09</t>
  </si>
  <si>
    <t>INTERVENTORIA PARA LA RECUPERACION DE LA VIA Y MANEJO DE AGUAS LLUVIAS DE LA CARRERA 64 ENTRE CALLES 40ª Y AUTOPISTA BUCARAMANGA (VIA EL RETEN) DEL MUNICIPIO DE BARRANCABERMEJA.</t>
  </si>
  <si>
    <t>INSTITUTO
UNIVERSITARIO
DE LA PAZ</t>
  </si>
  <si>
    <t>008-10</t>
  </si>
  <si>
    <t>INTERVENTORÍA PARA LA CONSTRUCCIÓN VIAS DE ACCESO VEHICULARES Y PEATONALES AL INSTITUTO UNIVERSITARIO DE LA PAZ MUNICIPIO DE BARRANCABERMEJA DEPARTAMENTO DE SANTANDER</t>
  </si>
  <si>
    <t>1072-11</t>
  </si>
  <si>
    <t>INTERVENTORIA TECNICA, ADMINISTRATIVA, FINANCIERA Y AMBIENTAL PARA LA PAVIMENTACION DE LA CALLE 33 ENTRE CARRERA 39 Y CARRERA 50 SECTOR PLANADA DEL CERRO DEL MUNICIPIO DE BARRANCABERMEJA</t>
  </si>
  <si>
    <t>1684-15</t>
  </si>
  <si>
    <t>INTERVENTORÍA TÉCNICA, ADMINISTRATIVA, FINANCIERA Y AMBIENTAL DE LA CONSTRUCCIÓN DE PAVIMENTO RÍGIDO EN CONCRETO HIDRÁULICO DE 3000 PSI EN LAS DIFERENTES COMUNAS DEL MUNICIPIO DE BARRANCABERMEJA. FASE II</t>
  </si>
  <si>
    <t>0998-2018</t>
  </si>
  <si>
    <t>INTEVENTORIA TECNICA, ADMINISTRATIVA, FINANCIERA Y AMBIENTAL PARA EL MEJORAMIENTO, MANTENIMIENTO Y CONSERVACION DE VIAS PARA CONECTIVIDAD REGIONAL FINANCIADOS CON RECURSOS DE LA ENAGENACION DE ISAGEN, MUNICIPIO DE SANTO DOMINGO EN EL DEPARTAMENTO DE ANTIOQUIA.</t>
  </si>
  <si>
    <t>13000280-OJ-2013</t>
  </si>
  <si>
    <t>INTERVENTORIA TECNICA Y ADMINISTRATIVA PARA CONSTRUIR LA ESTRUCTURA DE LA PISTA 10-28, INCLUYENDO BERMAS Y EL UMBRAL DEL AEROPUERTO SAN LUIS DE IPIALES-NARIÑO</t>
  </si>
  <si>
    <t>1558-2006</t>
  </si>
  <si>
    <t>INTERVENTORIA PARA EL MEJORAMIENTO Y MANTENIMIENTO DEL SECTOR GABINETE - EL CARAÑO DE LA CARRETERA ALTAMIRA - FLORENCIA RUTA 20 TRAMO 2003</t>
  </si>
  <si>
    <t>BOGOTÁ D.C.- ALCALDÍA LOCAL DE KENNEDY</t>
  </si>
  <si>
    <t>CIN - 205-2011</t>
  </si>
  <si>
    <t>DESARROLLAR LA INTERVENTORÍA TÉCNICA, ADMINISTRATIVA, AMBIENTAL, SOCIAL, JURÍDICA Y FINANCIERA A CONTRATOS DE OBRA PÚBLICA RESULTADO DE LAS LICITACIONES FDLK-LP-05-2011 Y FDLK-LP-07-2011</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</si>
  <si>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</si>
  <si>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</si>
  <si>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</si>
  <si>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BOGOTÁ D.C. - ALCALDIA LOCAL LA CANDELARIA</t>
  </si>
  <si>
    <t>CIN-118-2013</t>
  </si>
  <si>
    <t>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</si>
  <si>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ARTICULADO</t>
  </si>
  <si>
    <t xml:space="preserve">ALCALDIA DE SOCHA </t>
  </si>
  <si>
    <t>874 DEL 30 DIC 2014</t>
  </si>
  <si>
    <t xml:space="preserve">INTERVENTORIA TECNICA, ADMINISTRATIVA Y FINANCIERA DE LOS ESTUDIOS, DISEÑOS Y REHABILITACION DE VIAS CONURBANAS DE LA COMUNA 4 DEL MUNICIPIO DE SOACHA, CELEBRADO EN EL MUNICIPIO DE SOACHA </t>
  </si>
  <si>
    <t>MUNICIPIO DE TENJO</t>
  </si>
  <si>
    <t>CM - CA - INT - 159-2017</t>
  </si>
  <si>
    <t xml:space="preserve">INTERVENTORIA TECNICA, ADMINISTRATIVA, FINANCIERA PARA LA AMPLIACION, ADECUACION, REPOSICION Y MANTENIMIENTO DEL SISTEMA DE ALCANTARILLADO PLUVIAL, SANITARIO Y ESTRUCTURA VIAL DE LA CARRERA 10 ENTRE CALLES 3 Y 6 DEL MUNICIPIO DE TENJO </t>
  </si>
  <si>
    <t>EL CONTRATO APORTADO COMO EXPERIENCIA, EN SU OBJETO NO CUMPLE CON LO SOLICITADO EN EL PRESENTE PLIEGO DE CONDICIONES</t>
  </si>
  <si>
    <t>EL ACTA DE TERMINACION DEL CONTRATO DE OBRA SUPERVISADO ES ILEGIBLE</t>
  </si>
  <si>
    <t>META - ALCALDÍA MUNICIPIO DE CASTILLA LA NUEVA</t>
  </si>
  <si>
    <t>OC-054-2020</t>
  </si>
  <si>
    <t>INTERVENTORIA TECNICA, LEGAL, ADMINISTRATIVA , FINANCIERA Y AMBIENTAL PARA EL MEJORAMIENTO DE LA VIA QUE CONDUCE A  DEL CRUCE DE CARNICERIAS AL CRUCE DE BARRO BLANCO DESDE LA ABCISA K0+000 A LA K1 +820 Y MEJORAMIENTO DE LA SEÑALIZACION Y ESTABILIDAD DE TALUDES ENTRE LA ABCISA K1+820 A LA K2+560, EN EL MUNICIPIO DE CASTILLA LA NUEVA EN EL DEPARTAMENTO DEL META"</t>
  </si>
  <si>
    <t>434/2006</t>
  </si>
  <si>
    <t>INTERVENTORÍA CONTRATO DE MEJORAMIENTO Y PAVIMENTACIÓN DE LA VÍA GUACAMAYAS - EL EMPALME - PANQUEBA- EL COCUY, DEPARTAMENTO DE BOYACÁ</t>
  </si>
  <si>
    <t>874/2017</t>
  </si>
  <si>
    <t>INTERVENTORIA PARA EL MEJORAMIENTO Y MANTENIMIENTO DE LA CARRETERA CAUCASIA - PLANETA RICA (RUTA 2513) - LA YE (RUTA 2514), EN EL DEPARTAMENTO DE CORDOBA</t>
  </si>
  <si>
    <t>EDU</t>
  </si>
  <si>
    <t>052 DE 2014</t>
  </si>
  <si>
    <t>INTERVENTORÍA TÉCNICA, ADMINISTRATIVA, FINANCIERA, LEGAL Y AMBIENTAL PARA LA CONSTRUCCIÓN DE OBRAS DE URBANISMO, REPAVIMENTACIÓN DE LA VÍA, REPOSICIÓN DE REDES DE SERVICIOS PÚBLICOS, OBRAS DE PAISAJISMO Y OBRAS COMPLEMENTARIAS PARA LA VÍA CALLE 2 SUR ENTRE LA AUTOPISTA SUR Y LA CARRERA 52, UBICADO EN LA CIUDAD DE MEDELLÍN.</t>
  </si>
  <si>
    <t>1064-2015</t>
  </si>
  <si>
    <t>“INTERVENTORIA PARA EL MANTENIMIENTO DE LA CARRETERA ARMENIA-IBAGUE, SECTOR CALARCA- ALTO DE LA LINEA, RUTA 4003, DEL PR 03+0828 AL PR 27+000, DEPARTAMENTO DEL QUINDIO.</t>
  </si>
  <si>
    <t>MUNICIPIO DE BARRANCABERMEJA</t>
  </si>
  <si>
    <t>0760 DE 2013</t>
  </si>
  <si>
    <t>INTERVENTORÍA TÉCNICA, ADMINISTRATIVA, FINANCIERA Y AMBIENTAL PARA LA REPOSICIÓN DE PLACAS EN CONCRETO, MUNICIPIO DE BARRANCABERMEJA</t>
  </si>
  <si>
    <t>EL OBJETO NO CORRESPONDE CON LA EXPERIENCIA MINIMA SOLICITADA EN EL NUEMRAL 10.1 ACREDITACIÓN DE LA EXPERIENCIA DEL PROPONENTE: INTERVENTORÍA A PROYECTOS DE: CONSTRUCCIÓN O MEJORAMIENTO O MANTENIMIENTO O REHABILITACIÓN O REPAVIMENTACIÓN O PAVIMENTACIÓN O CONSERVACIÓN DE CARRETERAS PRIMARIAS O SECUNDARIAS O VÍAS TERCIARIAS O VIAS URBANAS O PISTAS DE AEROPUERTOS</t>
  </si>
  <si>
    <t>NO ES VALIDA</t>
  </si>
  <si>
    <t>MUNICIPIO DE PIEDECUESTA</t>
  </si>
  <si>
    <t>1187 DE 2018</t>
  </si>
  <si>
    <t>INTERVENTORIA TECNICA, ADMINISTRATIVA Y FINANCIERA PARA LA CONSTRUCCIÓN TRANSVERSAL VILLA CONCHA FASE I Y CONSTRUCCION, MANTENIMIENTO Y REHABILITACIÓN DE LA MALLA VIAL URBANA DEL MUNICIPIO DE PIEDECUESTA SANTANDER</t>
  </si>
  <si>
    <t>1563 DE 2020</t>
  </si>
  <si>
    <t>INTERVENTORÍA TÉCNICA, ADMINISTRATIVA FINANCIERA Y AMBIENTAL PARA EL MANTENIMIENTO Y MEJORAMIENTO DE VÍAS TERCIARIAS DEL PROGRAMA DE COLOMBIA RURAL EN MUNICIPIO DEL DEPARTAMENTO DE PUTUMAYO</t>
  </si>
  <si>
    <t>MUNICIPIO SABANA DE TORRES</t>
  </si>
  <si>
    <t>011-2013</t>
  </si>
  <si>
    <t>SERVICIO DE INTERVENTORIA TECNICA, ADMINISTRATIVA Y FINANCIERA AL PROYECTO "MEJORAMIENTO Y PAVIMENTACION DE LA CARRETERA SABANA DE TORRES - LOS PINOS, SABANA DE TORRES - SANTANDER, CENTRO ORIENTE.</t>
  </si>
  <si>
    <t>MUNICIPIO DE SOACHA</t>
  </si>
  <si>
    <t>1503 DE 2009</t>
  </si>
  <si>
    <t>INTERVENTORIA TECNICA, ADMINISTRATIVA, FIANANCIERA, LEGAR Y AMBIENTAL PARA LOS ESTUDIOS DISEÑOS Y CONSTRUCCION Y/O REHABILITACION VIA CARRERA 11 ENTRE CALLE 11 SUR Y CALLE 3 SUR, BARRIO SANTA ANA COMUNA 1 DEL MUNICIPIO DE SOACHA, CUNDINAMARCA</t>
  </si>
  <si>
    <t>AVANTE SISTEMA ESTRATEGICO DE TRANSPORTE PUBLICO</t>
  </si>
  <si>
    <t>2011-55</t>
  </si>
  <si>
    <t>INTERVENTORIA TECNICA, ADMINISTRATIVA, FINANCIERA Y AMBIENTAL PARA LA OBRA DE PAVIMENTACIÓN DE LA CALLE 12 (AVENIDA PANAMERICANA) DESDE MOLINOS NARIÑO HASTA INTERSECCIÓN CARRERA 4. EN LA CIUDAD DE PASTO DEPARTAMENTO DE NARIÑO</t>
  </si>
  <si>
    <t>648-2010</t>
  </si>
  <si>
    <t>INTERVENTORÍA PARA EL MEJORAMIENTO Y MANTENIMIENTO DE LA CIRCUNVALAR DE SAN ANDRES (TRAMO 0101), SECTOR PR2+500 - PR6+000, Y CIRCUNVALAR DE PROVIDENCIA (TRAMO 0301), SECTOR PR8+200 - PR8+500 Y MEJORAMIENTO Y MANTENIMIENTO DE LA CIRCUNVALAR DE SAN ANDRES (TRAMO 0101), MEDIANTE LA PROTECCIÓN DE LA BANCA EN LOS SIGUIENTES SECTORES CRÍTICOS PR16+945 - PR17+000, PR17+500 - PR17+650, PR20+220 - PR20+380 Y PR20+450 - PR20+600. DEPARTAMENTO ARCHIPIELAGO DE SAN ANDRES, PROVIDENCIA Y SANTA CATALINA</t>
  </si>
  <si>
    <t>2681-2008</t>
  </si>
  <si>
    <t>INTERVENTORIA TECNICA,ADMINISTRATIVA, FINANCIERA Y AMBIENTAL DE LOS PROYECTOS DE MEJORAMIENTO DE VIAS RURALES MUNICIPALES EN EL DEPARTAMENTO DE SANTANDER GRUPO 5, MUNICIPIOS DE BARICHARA, VILLANUEVA Y CABRERA</t>
  </si>
  <si>
    <t>GOBERNACION DE SANTANDER</t>
  </si>
  <si>
    <t>1892-2010</t>
  </si>
  <si>
    <t>INTERVENTORIA MEJORAMIENTO Y PAVIMENTACION DE LA VIA HATO - PALMAR, DEPARTAMENTO DE SANTANDER</t>
  </si>
  <si>
    <t>680/2010</t>
  </si>
  <si>
    <t>INTERVENTORIA DE LAS OBRAS DE MEJORAMIENTO Y MANTENIMIENTO DE LA CARRETERA YE DE GRANADA - CRUCE PUERTO RICO, RUTA 6508, DEPARTAMENTO DEL META, MODULO 4</t>
  </si>
  <si>
    <t>INTERVENTORIA DE LAS OBRAS DE MEJORAMIENTO Y MANTENIMIENTO DE LA CARRETERA YE DE GRANADA - CRUCE PUERTO RICO, RUTA 6508, DEPARTAMENTO DEL META, MODULO 5</t>
  </si>
  <si>
    <t>GOBERNACIÓN
DEL HUILA</t>
  </si>
  <si>
    <t>361-2010</t>
  </si>
  <si>
    <t>INTERVENTORIA TECNICA A LOS ESTUDIOS, DISEÑOS Y CONSTRUCCION DE 3.0 KM DE VIA EN PAVIMENTO FLEXIBLE DE LA VIA PALERMO-OSPINA PEREZ DEL PR 0 + 000 AL PR 3 + 000 DEL MUNICIPIO DE PALERMO DEPARTAMENTO DEL HUILA</t>
  </si>
  <si>
    <t>GOBERNACION DE
ANTIOQUIA</t>
  </si>
  <si>
    <t>2018-SS-20-0004 -2018</t>
  </si>
  <si>
    <t>INTERVENTORIA TECNICA,ADMINISTRATIVA, AMBIENTAL, FINANCIERA Y LEGAL PARA EL MEJORAMIENTO,REHABILITACION Y MANTENIMIENTO DE LAS VIAS EN LA SUBREGIÓN ORIENTE DEL DEPARTAMENTO DE ANTIQUIA</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</si>
  <si>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</si>
  <si>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</si>
  <si>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</si>
  <si>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GOBERNACIÓN
DEL TOLIMA</t>
  </si>
  <si>
    <t>0633-2013</t>
  </si>
  <si>
    <t>INTERVENTORÍA TÉCNICA, ADMINISTRATIVA, FINANCIERA Y AMBIENTAL PARA REALIZAR EL SEGUIMIENTO AL CONTRATO DE OBRA, CUYO OBJETO ES MEJORAMIENTO Y PAVIMENTACION DE LA VÍA SECUNDARIA SAN LUIS - GUAMO DEL DEPARTAMENTO DEL TOLIMA</t>
  </si>
  <si>
    <t>ALCALDÍA
MUNICIPAL DE
COGUA</t>
  </si>
  <si>
    <t>129 DE 2014</t>
  </si>
  <si>
    <t>INTERVENTORÍA TÉCNICA, VIGILANCIA ADMINISTRATIVA, AMBIENTAL, FINANCIERA, CONTABLE Y JURIDICA PARA LOS CONTRATOS DE OBRA CUYO OBJETO ES: 1) MEJORAMIENTO DE LA ESTRUCTURA DE VÍA, CONSTRUCCION DE PLACA HUELLAS Y OBRAS DE ARTE EN LA VEREDA LA CHAPA DEL MUNICIPIO DE COGUA. 2) CONSTRUCCION Y ADECUACION DE ZONAS PEATONALES EN LAS VIAS DEL CASCO URBANO DEL MUNICIPIO DE COGUA.</t>
  </si>
  <si>
    <t>173 DE 2014</t>
  </si>
  <si>
    <t>INTERVENTORÍA TÉCNICA, VIGILANCIA ADMINISTRATIVA, AMBIENTAL, FINANCIERA, CONTABLE Y JURIDICA PARA LOS CONTRATOS DE OBRA CUYO OBJETO ES: 1) MEJORAMIENTO DE LA VÍA, COGUA SAN CAYETANO ETAPA II SECTOR LAS MARGARITAS KM 11+100 HASTA KM 13+300 CON KM 0+000 EN COGUA DEPARTAMENTO DE CUNDINAMARCA. 2) REHABILITACIÓN DE LA VÍA CEMENTERIO - AUTOPISTA VEREDA SUSAGUA DEL MUNICIPIO DE COGUA CUNDINAMARCA</t>
  </si>
  <si>
    <t>FONDO DE
DESARROLLO
LOCAL DE USME</t>
  </si>
  <si>
    <t>291-FDLU-
2018</t>
  </si>
  <si>
    <t>INTERVENTORÍA TÉCNICA, ADMINISTRATIVA, FINANCIERA, JURIDICA, AMBIENTAL Y SOCIAL DEL PROYECTO, CUYO OBJETO ES "REALIZAR LAS ACTIVIDADES A MONTO AGOTABLE PARA LA CONSERVACIÓN DE LA MALLA VÍAL RURAL LOCAL DE USME DE LA CIUDAD DE BOGOTÁ D.C."</t>
  </si>
  <si>
    <t>5INTERVENTORÍATÉCNICA,ADMINISTRATIVA,AMBIENTAL,FINANCIERAYLEGALPARALAAMPLIACION,RECTIFICACION,PAVIMENTACIONYCONSTRUCCIONDEOBRASCOMPL</t>
  </si>
  <si>
    <t>DEPARTAMENTO DE ANTIOQUIA</t>
  </si>
  <si>
    <t>4600010174 DE 2019</t>
  </si>
  <si>
    <t>INTERVENTORÍATÉCNICA,ADMINISTRATIVA,AMBIENTAL,FINANCIERA Y LEGAL PARA LA AMPLIACION,RECTIFICACION,PAVIMENTACION Y CONSTRUCCION DE OBRAS COMPLEMENTARIAS EN LA VIA PURO CUERO PUENTE CHAPINEROS MUNICIPIO DEL RETIRO SUBREGION ORIENTE DEL DEPARTAMENTO DE ANTIOQUIA-</t>
  </si>
  <si>
    <t>EMPRESA DE DESARROLLO URBANO</t>
  </si>
  <si>
    <t>659 de 2011</t>
  </si>
  <si>
    <t>Interventoría técnica,administrativa,financiera,legal y ambiental para la construcción de la infraestructura vial, redes de servicios y obras de mitigación, para la ampliación de la vía Cucaracho y obras complementarias en la ciudadela Nuevo Occidente</t>
  </si>
  <si>
    <t>MUNICIPIO DE ITAGUI</t>
  </si>
  <si>
    <t>SI-016-2013</t>
  </si>
  <si>
    <t>Interventoría Mantenimiento,rehabilitación y reconstrucción de la malla vial urbana del municipio de Itagüí</t>
  </si>
  <si>
    <t>2014-00257</t>
  </si>
  <si>
    <t>Interventoría para la construcción de la prolongación Carrera 37A hasta vía las palmas y obras complementarias</t>
  </si>
  <si>
    <t>GOBERNACION DE
SANTANDER</t>
  </si>
  <si>
    <t>1294 DE 2010</t>
  </si>
  <si>
    <t>INTERVENTORIA MEJORAMIENTO DE LA VIA TRONCAL
CENTRAL LA ESTACION - GUAPOTA DEL MUNICIPIO DE
GUAPOTA, DEPARTAMENTO DE SANTANDER</t>
  </si>
  <si>
    <t xml:space="preserve">PI LIMITADA </t>
  </si>
  <si>
    <t>INSTITUTO
NACIONAL DE VÍAS</t>
  </si>
  <si>
    <t>1534 DE 2011</t>
  </si>
  <si>
    <t>INTERVENTORIA PARA EL MEJORAMIENTO Y MANTENIMIENTO DE LA CARRETERA CUATROVIENTOS CODAZZI RUTA 45CS09 EN EL DEPARTAMENTO DEL CESAR MODULO 1</t>
  </si>
  <si>
    <t>00875 DE 2018</t>
  </si>
  <si>
    <t>INTERVENTORIA TECNICA, ADMINISTRATIVA, FINANCIERA Y AMBIENTAL PARA EL MEJORAMIENTO, MANTENIMIENTO Y CONSERVACION DE VIAS PARA CONECTIVIDAD REGIONAL, FINANCIADOS CON RECURSOS DE LA ENAJENACIÓN DE ISAGEN EN EL DEPARTAMENTO DE CALDAS, VIAS VICTORIA – MARQUETALIA Y CAÑAVERAL – SAMANÁ.</t>
  </si>
  <si>
    <t>EL RUP EN ESTE NUMERO CONSECUTIVO 74 TIENE CONSORCIO VIAL CAQUETÁ - NO CORRESPONDE AL CONTRATO APORTADO EN LA EXPERIENCIA CON NOMBRE CONSORCIO ZCP 052 ES EL #83</t>
  </si>
  <si>
    <t>001123 DE 2018</t>
  </si>
  <si>
    <t>INTERVENTORÍA TÉCNICA, ADMINISTRATIVA, FINANCIERA Y AMBIENTAL PARA EL MEJORAMIENTO EN PLACA HUELLA DE LA VÍA QUE CONDUCE DESDE LA YE DE LOS ARRASTRES HASTA EL MUNICIPIO DE SAN JACINTO DEL CAUCA, DEL DEPARTAMENTO DE BOLIVAR</t>
  </si>
  <si>
    <t xml:space="preserve">EL RUP EN ESTE NUMERO CONSECUTIVO 79 TIENE CONSORCIO VIAL CAQUETÁ - NO CORRESPONDE AL CONTRATO APORTADO EN LA EXPERIENCIA CON NOMBRE CONSORCIO ZCP 052 ES EL #86	</t>
  </si>
  <si>
    <t>Dpto del Atlantico</t>
  </si>
  <si>
    <t>0108*2012*000022</t>
  </si>
  <si>
    <t>Interventoría Técnica, Administrativa, Financiera y Ambiental de las Obras de Pavimentación de La Vía Malambo – Caracolí, Tramo 3, en el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</si>
  <si>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</si>
  <si>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</si>
  <si>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</si>
  <si>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0108*2013*000049</t>
  </si>
  <si>
    <t>Interventoría Técnica y Ambiental para el Proyecto de Mejoramiento Vía a La Playa (Mallorquín) – Cruce Ruta 90AAT08, Etapa 2 Departamento del Atlántico</t>
  </si>
  <si>
    <t>Departamento del Atlántico</t>
  </si>
  <si>
    <t>0108*2014*000004</t>
  </si>
  <si>
    <t>Interventoría Técnica, Administrativa y Ambiental para el proyecto: Mejoramiento, Pavimentación Vía Juan Mina – Los Pocitos, Sector K9+622 – Los Pocitos, en el Departamento del Atlántico</t>
  </si>
  <si>
    <t>1471 DE 2014</t>
  </si>
  <si>
    <t>Interventoría para el Mejoramiento y Mantenimiento de la Carretera Bucaramanga - Cuestaboba Ruta 6603, PR3+0400 al PR8+0000. Departamento de Santander</t>
  </si>
  <si>
    <t>Municipio de montenegro</t>
  </si>
  <si>
    <t>003-2018</t>
  </si>
  <si>
    <t>Interventoría administrativa, tecnica, financiera, legal y ambiental al contrato de obra cuyo objeto es "Construccion de la conexión vial y obras complementarias de la carrera 8 entre calles 15 a 18 del municipio de montenegro Quindio, según las tecnicas</t>
  </si>
  <si>
    <t>Megabus S.A.</t>
  </si>
  <si>
    <t>02/1/09/2004</t>
  </si>
  <si>
    <t>Asesoría e interventoría técnica, administrativa y financiera para la construcción de un (1) tramo de corredor para el sistema integrado de transporte masivo Megabus, comprendido entre la carrera 6 entre calles 12 y 24, calle 24 entre carreras 6 y 7 en el Municipio de Pereira</t>
  </si>
  <si>
    <t>MEGABUS</t>
  </si>
  <si>
    <t>124 DE 2009</t>
  </si>
  <si>
    <t>ASESORIA E INTERVENTORIA TÉCNICA ADMINISTRATIVA Y FINANCIERA PARA LA CONSTRUCCIÓN DE CORREDORES DEL SISTEMA DE TRANSPORTE MASIVO MEGABÚS. CONSTRUCCIÓN AVENIDA SAN MATEO.INTERSECClÓN AVENIDA SAN MATEO AVENIDA DE LAS AMÉRICAS FASE1,MUNICIPIO DE PEREIRA.</t>
  </si>
  <si>
    <t>1667 D E2007</t>
  </si>
  <si>
    <t>INTERVENTORIA PARA EL MEJORAMIENTO Y MANTENIMIENTO DE LA CARRETERA CARTAGENA-LIMITES ATLANTICO (CORDIALIDAD)</t>
  </si>
  <si>
    <t>AEROCIVIL</t>
  </si>
  <si>
    <t>5000571 - OH DE 2005</t>
  </si>
  <si>
    <t>INTERVENTORIA TECNICA Y ADMINISTRATIVA PARA EL MEJORAMIENTO DE LA PISTA DEL AEROPUERTO DE RIOSUCIO CHOCÓ</t>
  </si>
  <si>
    <t>DEPARTAMENTO DE SANTANDER</t>
  </si>
  <si>
    <t>256 DE 2012</t>
  </si>
  <si>
    <t>INTERVENTORIA TECNICA ADMINSTRATIVA Y FINANCIERA DEL CONTRATO DE OBRA PUBLICA Nº LP006-2011 cuyo Objeto es:CONSTRUCCIÓN ALCANTARILLADO Y PAVIMENTO EN CONCRETO RÍGIDO DE LA CALLE 4TA ENTRE LAS CARRERAS 18 Y 1C DEL CASCO URBANO DEL MUNICIPIO DE FLORIAN SANTANDER.</t>
  </si>
  <si>
    <t xml:space="preserve">Valor SMMLV según Rup 26,67 
. </t>
  </si>
  <si>
    <t>Invias</t>
  </si>
  <si>
    <t>00974 DE
2018</t>
  </si>
  <si>
    <t>Interventoría integral que incluye, pero no se limita a la interventoría técnica,
financiera, administrativa, jurídica, gestión social, predial y ambiental para la
construcción del puente y obras complementarias que une el bajo Rosal -
Avenida Kevin ángel ciudad de Manizales</t>
  </si>
  <si>
    <t>Municipio de
Madrid</t>
  </si>
  <si>
    <t>011 - 2005</t>
  </si>
  <si>
    <t>Interventoría Administrativa, Técnica y Financiera, para el proyecto:
construcción puente vehicular, pavimentación y repavimentación
(concreto y asfalto) de calles y carreras del casco urbano del municipio
de Madrid.</t>
  </si>
  <si>
    <t>Metrolínea</t>
  </si>
  <si>
    <t>124 del 31 de
Agosto de
2010</t>
  </si>
  <si>
    <t>Interventoria tecnica, administrativa, legal, financiera y ambiental para la
construccion del tramo pretroncal carrera 26 del municipio de Giron del sistema
integrado de transporte masivo para el area metropolitana de Bucaramanga
(BRT Bus Rapid Transit).</t>
  </si>
  <si>
    <t>0941 DE 2015</t>
  </si>
  <si>
    <t>INTERVENTORIA TÉCNICA, ADMINISTRATIVA, FINANCIERA Y AMBIENTAL PARA EL MEJORAMIENTO,MANTENIMIENTO Y CONSERVACIÓN DE VIAS CAMINOS DE PROSPERIDAD EN EL DEPARTAMENTO DEL VALLE, MODULO 5.</t>
  </si>
  <si>
    <t>914-2017</t>
  </si>
  <si>
    <t>INTERVENTORÍAPARAELMEJORAMIENTOYMANTENIMIENTODELACARRETERAMOJARRAS-POPAYÁNRUTA25TRAMO2503ENTRELOSPR0+0000AL PR121+0000 EN EL DEPTO DEL CAUCA</t>
  </si>
  <si>
    <t>La participación para este consorcio fue del 20% no del 60%</t>
  </si>
  <si>
    <t>Cot. No. 17-001-1999</t>
  </si>
  <si>
    <t>INTERVENTORIA PARA EL MANTENIMEINTO DE LACARRETERA TUMACO PEDREGAL</t>
  </si>
  <si>
    <t>Cot. NO. 1781 de 2009</t>
  </si>
  <si>
    <t>INTERVENTORIA TECNICA,ADMINISTRATIVA,FINACIERA Y AMBIENTAL DE LOS PROYECTOS DE MEJORAMIENTO DE LAS VIAS RURALES,MUNICIPPALES EN EL DEPARTAMENTO DE NARIÑO,GRUPO 11 MUNICIPIO DE CHACHAGUI, POLICARPA Y CUMBITARA.</t>
  </si>
  <si>
    <t>Cot. NO. 1475 de 2014</t>
  </si>
  <si>
    <t>INTERVENTORIA TECNICA,ADMINISTRATIVA,FINACIERA Y AMBIENTAL PARA EL MEJORAMIENTO Y MANTENIMIENTO Y CONSERVACION DE LAS VIAS GUABOLAOSCURANAYAMARILLO PUEBLO VIEJO Y LA BERBENATELCANEN EL MUNICIPIO DE MALLAMA DEPARTAMENTO DE NARIÑO,PROGRAMA CAMINO DE LA PROSPERIDAD.</t>
  </si>
  <si>
    <t>INSTITUTO NACIONAL DE VIAS</t>
  </si>
  <si>
    <t>0563-2001</t>
  </si>
  <si>
    <t>Interventoría para el mantenimiento de la carretera Barrancabermeja-Bucaramanga.</t>
  </si>
  <si>
    <t>DESARROLLO EN ING DIN LTDA</t>
  </si>
  <si>
    <t>819-2002</t>
  </si>
  <si>
    <t>Interventoria obras de construccion y pavimentacion del sector K4+194 al K4+400 de la variante Calarca - Armenia</t>
  </si>
  <si>
    <t>FONDO FINANCIERO DE PROYECTOS DE DESARROLLO FONADE</t>
  </si>
  <si>
    <t>No. 2051943</t>
  </si>
  <si>
    <t>Interventoría técnica, administrativa, contable y ambiental, para los proyectos de la red vial secundaria, en el municipio de Silvania (Cundinamarca)</t>
  </si>
  <si>
    <t>3780 DE 2003 Y SUS ADICIONALES</t>
  </si>
  <si>
    <t>CONSULTORÍA PARA LA INTERVENTORÍA DE LA CONSTRUCCIÓN DEL INTERCAMBIO VIAL A NIVEL DE LA AVENIDA 80-81 CON CARRERA 76. OBRAS BARRIO BELÉN</t>
  </si>
  <si>
    <t xml:space="preserve">Los contratos no se encontraban bien relacionados con los consorciados y valor total ejecutado del contrato en el RUP no coindia con el encontrado. </t>
  </si>
  <si>
    <t>2009-SS-20- 339</t>
  </si>
  <si>
    <t>INTERVENTORIA TECNICA ADMINISTRATIVA Y AMBIENTAL PARA PAVIMENTACION DE LA VIA CARACOLI - SAN JOSE DEL NUS</t>
  </si>
  <si>
    <t>:)</t>
  </si>
  <si>
    <t>MUNICIPIO DEL CARMEN DE BOLÍVAR</t>
  </si>
  <si>
    <t>No. CM-003-2013</t>
  </si>
  <si>
    <t>INTERVENTORÍATÉCNICA,ADMINISTRATIVA,FINANCIERA,SOCIALYAMBIENTALPARALAOBRAREHABILITACIÓNDEVÍASURBANASENELMUNICIPIODE EL CARMEN DE BOLÍVAR.</t>
  </si>
  <si>
    <t>EMPRESA NACIONAL
PROMOTORA DEL DESARROLLO TERRITORIAL - ENTerritorio -</t>
  </si>
  <si>
    <t>INTERVENTORIA TECNICA, ADMINISTRATIVA, DE CONTROL FINANCIERO Y AMBIENTAL, PARA LA CONSTRUCCIÓN DE PAVIMENTO RIGIDO DE LA CARRERA 17 ENTRE CALLES 10 Y 17; CARRERA 18 ENTRE CALLES 2 Y 13 ENTRE CARRERA 17 Y 18 CABECERA MUNICIPAL DE PIVIJAY - MAGDALENA</t>
  </si>
  <si>
    <t>1613 DE 2019</t>
  </si>
  <si>
    <t>INTERVENTORÍA A LA BRIGADA DE REACCIÓN  VIAL PARA EJECUTAR ACTIVIDADES PUNTUALES A PRECIOS UNITARIOS Y A MONTO AGOTABLE EN LA MALLA VIAL QUE SOPORTA RUTAS DEL SISTEMA DE INTEGRADO DE TRANPORTE PÚBLICO SITP</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</si>
  <si>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</si>
  <si>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</si>
  <si>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</si>
  <si>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1-059/95</t>
  </si>
  <si>
    <t>Interventoría para la construcción vías en pavimento rígido</t>
  </si>
  <si>
    <t>MUNICIPIO PIEDRAS TOLIMA</t>
  </si>
  <si>
    <t>CM-002</t>
  </si>
  <si>
    <t>INTERVENTORÍA TÉCNICA,ADMINISTRATIVA,FINANCIERA,LEGAL Y AMBIENTAL AL MEJORAMIENTO DE VÍAS URBANAS CONCONSTRUCCIÓN DE ALCANTARILLADO PLUVAL SEGUNDA ETAPA MUNICIPIO DE PIEDRAS TOLIMA</t>
  </si>
  <si>
    <t>MUNICIPIO DE RICAURTE</t>
  </si>
  <si>
    <t>127-2019</t>
  </si>
  <si>
    <t>INTERVENTORIA TÉCNICA,ADMINISTRATIVA,FINANCIERA Y AMBIENTAL PARA LAS OBRAS DE PAVIMENTACION Y EMBELLECIMIENTO DE LA CRA 16 DESDE LA CALLE 10 HASTA LA CALLE 2 Y PARA LA PAVIMENTACION DE LA CALLE 15A VIA DE ACCESO A MEGA PROYECTO DEL MUNICIPIO DE RICAURTE CUNDINAMARCA</t>
  </si>
  <si>
    <t>ALCALDIA DE NEIVA</t>
  </si>
  <si>
    <t>073 DE 2007</t>
  </si>
  <si>
    <t>CONTRATO DE CONSULTORIA EN LA MODALIDAD DE INTERVENTORIA TECNICA, ADMINISTRATIVA, FINANCIERA Y CONTROL DE CALIDAD AL CONTRATO DE OBRA PUBLICA CUYO OBJETO ES LA CONSTRUCCION EN PAVIMENTO FLEXIBLE EN LA CARRERA 7 ENTRE CALLE 3 SUR Y 26 SUR - FASE I - CALZADA OCCIDENTAL, (INCLUYE SUMINISTRO E INSTACION DE LA RED DE ALCALTARILLADO, POZO DE INSPECCIÓN, CÁMARAS Y SUMIDEROS) DEL MUNICIPIO DE NEIVA - DEPARTAMENTO DEL HUILA.</t>
  </si>
  <si>
    <t>NSTITUTO
NACIONAL DE VIAS</t>
  </si>
  <si>
    <t>3428 DE 2013</t>
  </si>
  <si>
    <t>INTERVENTORIA TÉCNICA, ADMINISTRATIVA, FINANCIERA Y AMBIENTAL PARA EL MANTENIMIENTO Y MEJORAMIENTO DE LAS Vías: FERRALARADA BAJA -
QUEBRADA EL SALITRE, GRANADILLO - MAZA Y CHOACHI -CHIVATE - BARRONEGRO EN EL MUNICIPIO DE CHOACHI; LA VIA QUETAME EL CALVARIO SECTOR EL MANGO HASTA LA ESCUELA LAS MERCEDES EN EL MUNICIPIO DE QUETAME Y LA VIA PRINCIPAL DE LA VEREDA MOCHILA - SECTOR DIVINO NIÑO EN EL MUNICIPIO DE CHOCONTA DEL DEPARTAMENTO DE CUNDINAMARCA</t>
  </si>
  <si>
    <t>Este contrato se conformó mediante consorcio con una partidipación del 70% no del 100%</t>
  </si>
  <si>
    <t>ALCALDÍA DE
PURIFICACIÓN</t>
  </si>
  <si>
    <t>258 DE 2017</t>
  </si>
  <si>
    <t>"INTERVENTORÍA TÉCNICA, ADMINISTRATIVA, FINANCIERA, CONTABLE Y JURÍDICA AL CONTRATO DE OBRA QUE TIENE POR OBJETO: CONSTRUCCIÓN EN PAVIMENTACIÓN FLEXIBLE LA VÍA SECTOR LA OVEJERA DEL MUNICIPI DE PURIFICACIÓN DPARTAMENTO DEL TOLIMA"</t>
  </si>
  <si>
    <t>Instituto Nacional de
Vías - Subdirección de la red
nacional de Carreteras</t>
  </si>
  <si>
    <t>695 de 2004</t>
  </si>
  <si>
    <t>Interventoría mejoramiento y mantenimiento de la carretera Chocontá - Aguaclara sector el Sisga - Guateque - Aguaclara, 55CN03 y ruta 56, tramo 5607 y 5608.</t>
  </si>
  <si>
    <t xml:space="preserve">GRUPO DE ESTUDIOS E INVESTIGACIONES COLOMBIANO GEICOL LTDA </t>
  </si>
  <si>
    <t xml:space="preserve">2339 DE 2014
</t>
  </si>
  <si>
    <t>INTERVENTORIA TÉCNICA, ADMINISTRATIVA, FINANCIERA Y AMBIENTAL, PARA
EL PROYECTO DE MEJORAMIENTO, MANTENIMIENTO Y CONSERVACION DE LAS VÍAS: AGUAS VIVAS - VILLA LATA, MUNICIPIO DE PIOJO, LA PEÑA - AGUADA DE PABLO, MUNICIPIO DE SABANALARGA, SANTA LUCIA - LA ISLA - SUAN, MUNICIPIOS DE SANTA LUCIA Y SUAN, DEPARTAMENTO DEL ATLÁNTICO</t>
  </si>
  <si>
    <t>PV 14-2017</t>
  </si>
  <si>
    <t>INTERVENTORÍA TÉCNICA, ADMINISTRATIVA, FINANCIERA Y AMBIENTAL AL CONTRATO DE OBRA No. PV 09-2017 PARA LA RECONSTRUCCIÓN, PAVIMENTACIÓN Y/O REPAVIMENTACIÓN, EN EL TRAMO VIAL SAN JOSÉ -
RISARALDA CELEBRADO ENTRE EL INSTITUTO DE FINANCIAMIENTO,
PROMOCIÓN Y DESARROLLO DE CALDAS INFICALDAS Y CONSORCIO INTERCALDAS IDJ</t>
  </si>
  <si>
    <t>1346-2017</t>
  </si>
  <si>
    <t>INTERVENTORIA TECNICA, ADMINISTRATIVA , FINANCIERA,
JURIDICA Y AMBIENTAL " MEJORAMIENTO DE VIAS TERCIARIAS MEDIANTE EL USO DE PLACA HUELLAS EN EL DEPARTAMENTO DEL HUILA FASE I</t>
  </si>
  <si>
    <t>0923-2019</t>
  </si>
  <si>
    <t>INTERVENTORÍA TÉCNICA, ADMINISTRATIVA, FINANCIERA, JURÍDICA, CONTABLE Y AMBIENTAL A LA "REHABILITACIÓN Y BACHEO EN VIAS SECUNDARIAS DEL DEPARTAMENTO DEL HUILA”.</t>
  </si>
  <si>
    <t>U</t>
  </si>
  <si>
    <t>Secretaria de comunicaciones y transporte del Estado de México</t>
  </si>
  <si>
    <t>DGTFM-20- 14</t>
  </si>
  <si>
    <t>Realización de los servicios relacionado socn la obra pública consistentes en "supervisión de aplicación de recursos federales reasignados al proyecto de transporte masivo BRT en el corredor: Indios Verdes - Ecatepec"</t>
  </si>
  <si>
    <t>DEPARTAMENTO DEL CESAR</t>
  </si>
  <si>
    <t>336-2006</t>
  </si>
  <si>
    <t>Interventoría para el mejoramiento y/o pavimentación de la red secundaria y terciaria (etapa III), en el departamento del Cesar.</t>
  </si>
  <si>
    <t>280-2006</t>
  </si>
  <si>
    <t>Interventoría para el mejoramiento y/o pavimentación de las vías terciarias del departamento del Cesar, etapa II (Grupo IV)</t>
  </si>
  <si>
    <t>Instituto de Desarrollo
Urbano - IDU -</t>
  </si>
  <si>
    <t>IDU-UEL-10- 282-00-98</t>
  </si>
  <si>
    <t>INTERVENTORIA TÉCNICA Y ADMINISTRATIVA A PRECIO GLOBAL FIJO PARA EL CONTRATO DE COMPLEMENTACIÓN DE CONSULTORÍAS Y REHABILITACIÓN DE VÍAS EN LA LOCALIDAD DE ENGATIVÁ.</t>
  </si>
  <si>
    <t>Instituto Nacional de Vias
INVIAS</t>
  </si>
  <si>
    <t>2211 de 2012</t>
  </si>
  <si>
    <t>INTERVENTORIA PARA EL MANTENIMIENTO Y REHABILITACIÓN DE LA VIA ALTERNA AL PUERTO MARITIMO DE SANTA MARTA, MAMATOCO - TERMINAL - MARÍTIMO, DEPARTAMENTO DEL MAGDALENA, MODULO 5,</t>
  </si>
  <si>
    <t>UNIDAD ADMINISTRATIVA
ESPECIAL
AREONAUTICA CIVIL</t>
  </si>
  <si>
    <t>14000102-
OH-2014</t>
  </si>
  <si>
    <t>CONTRATAR LA INTERVENTORIA TECNICA Y ADMINISTRATIVA PARA EL MANTENIMIENTO Y LA DEMARCACION DE LA PISTA DEL AEROPUERTO "CANANGUCHAL" DE VILLAGARZÓN-PUTUMAYO</t>
  </si>
  <si>
    <t>INSTITUTO NACIONAL
DE VÍAS - INVIAS -</t>
  </si>
  <si>
    <t>579 de 2019</t>
  </si>
  <si>
    <t>INTERVENTORÍA PARA EL MEJORAMIENTO DE LA VÍA K15- TIERRA ALTA, DEPARTAMENTO DE CÓRDOBA</t>
  </si>
  <si>
    <t>BOGOTA DISTRITO
CAPITAL ALCALDIA
LOCAL DE TUNJUELITO</t>
  </si>
  <si>
    <t>154-2017</t>
  </si>
  <si>
    <t>EJERCER LA INTERVENTORÍA A LOS CONTRATOS DE OBRA PÚBLICA QUE SE SUSCRIBAN PARA EL MANTENIMIENTO DE LA MALLA VIAL LOCAL Y LA CONSTRUCCIÓN Y MANTENIMIENTO DEL ESPACIO PÚBLICO LOCAL” (URBANA. 7mts OK)</t>
  </si>
  <si>
    <t>MUNICIPIO DE
NEIVA</t>
  </si>
  <si>
    <t>057 DE 2002</t>
  </si>
  <si>
    <t>CONSULTORIA EN LA MODALIDAD DE INTERVENTORIA PARA EL MEJORAMIENTO Y PAVIMENTACION DE LA VIA NEIVA - EL CAGUAN</t>
  </si>
  <si>
    <t>CUADRO No. 6</t>
  </si>
  <si>
    <t xml:space="preserve"> PONDERACIÓN POR EQUIPO DE TRABAJO</t>
  </si>
  <si>
    <t>Propuesta No.</t>
  </si>
  <si>
    <t>FORMATO No.8</t>
  </si>
  <si>
    <t>FORMATO No.9</t>
  </si>
  <si>
    <t xml:space="preserve">EQUIPO DE TRABAJO </t>
  </si>
  <si>
    <t>CUMPLE/NO CUMPLE</t>
  </si>
  <si>
    <t>CUMPLE</t>
  </si>
  <si>
    <t>NO CUMPLE-1</t>
  </si>
  <si>
    <t xml:space="preserve"> PONDERACIÓN APOYO A LA INDUSTRIA NACIONAL</t>
  </si>
  <si>
    <t>CUADRO No. 5</t>
  </si>
  <si>
    <t>VINCULACIÓN TRABAJADORES CON DISCAPACIDAD EN PLANTA DE PERSONAL (PARA ASIGNAR PUNTUACION 1 PTOS)</t>
  </si>
  <si>
    <t>CUMPLIMIENTO TECNICO
APLICA CON EL MIN 40% DE EXPERIENCIA</t>
  </si>
  <si>
    <t xml:space="preserve">CUMPLIMIENTO JURIDICO
</t>
  </si>
  <si>
    <t>REGISTRO NACIONAL DE OBRAS CIVILES INCONCLUSAS</t>
  </si>
  <si>
    <t>CUENTA CON ANOTACION VIGENTE</t>
  </si>
  <si>
    <t>PUNTOS NEGATIVOS</t>
  </si>
  <si>
    <t>CUADRO No. 7</t>
  </si>
  <si>
    <t>RESUMEN DE LA PONDERACIÓN A LOS CRITERIOS DE EVALUACIÓN</t>
  </si>
  <si>
    <t>Cuenta</t>
  </si>
  <si>
    <t>PUNTAJES</t>
  </si>
  <si>
    <t>PUNTAJE TOTAL</t>
  </si>
  <si>
    <t>OBSERVACIONES</t>
  </si>
  <si>
    <t>HABILIDAD DEL PROPONENTE</t>
  </si>
  <si>
    <t>EXPERIENCIA GENERAL</t>
  </si>
  <si>
    <t>VINCULACIÓN TRABAJADORES CON DISCAPACIDAD EN PLANTA DE PERSONAL</t>
  </si>
  <si>
    <t>PERIODO</t>
  </si>
  <si>
    <t>SMLM</t>
  </si>
  <si>
    <t>AÑO</t>
  </si>
  <si>
    <t>VALOR SMMLV</t>
  </si>
  <si>
    <t>DISCAPACITADOS</t>
  </si>
  <si>
    <t>FECHA ACTUAL</t>
  </si>
  <si>
    <t>SALARIO ACTUAL</t>
  </si>
  <si>
    <t>ID</t>
  </si>
  <si>
    <t>DEPENDENCIAS</t>
  </si>
  <si>
    <t>VALIDEZ</t>
  </si>
  <si>
    <t>CUMPLIMIENTO</t>
  </si>
  <si>
    <t>APOYONAL</t>
  </si>
  <si>
    <t>EXPGEN</t>
  </si>
  <si>
    <t>SECRETARIA GENERAL TECNICA - SUBDIRECCION RED NACIONAL DE CARRETERAS</t>
  </si>
  <si>
    <t>100% NACIONALES</t>
  </si>
  <si>
    <t>HÁBIL</t>
  </si>
  <si>
    <t>SECRETARIA GENERAL TECNICA - SUBDIRECCION RED TERCIARIA Y FERREA</t>
  </si>
  <si>
    <t>NO CUMPLE</t>
  </si>
  <si>
    <t>NACIONAL Y EXTRANJERO</t>
  </si>
  <si>
    <t>NO HÁBIL</t>
  </si>
  <si>
    <t>DIRECCION GENERAL - OFICINA DE PREVENCION Y ATENCION DE EMERGENCIAS</t>
  </si>
  <si>
    <t>100% EXTRANJEROS</t>
  </si>
  <si>
    <t>SECRETARIA GENERAL TECNICA - SUBDIRECCION DE APOYO TECNICO</t>
  </si>
  <si>
    <t>NO PONDERABLE</t>
  </si>
  <si>
    <t>SECRETARIA GENERAL TECNICA - SUBDIRECCION DE MEDIO AMBIENTE Y GESTION SOCIAL</t>
  </si>
  <si>
    <t>SECRETARIA GENERAL TECNICA - SUBDIRECCION MARITIMA Y FLUVIAL</t>
  </si>
  <si>
    <t>SECRETARIA GENERAL TECNICA - DIRECCIONES TERRITORIALES</t>
  </si>
  <si>
    <t>SECRETARIA GENERAL ADMINISTRATIVA - SUBDIRECCION ADMINISTRATIVA</t>
  </si>
  <si>
    <t>SECRETARIA GENERAL ADMINISTRATIVA - SUBDIRECCION FINANCIERA</t>
  </si>
  <si>
    <t>DIRECCIÓN DE CONTRATACIÓN</t>
  </si>
  <si>
    <t>DIRECCIÓN OPERATIVA - GERENCIA DE GRANDES PROYECTOS</t>
  </si>
  <si>
    <t>CMA-DTE-SEP-XXX-2022→MODULO UNICO</t>
  </si>
  <si>
    <t>MULTAS Y/O SANCIONES EN EL AÑO INMEDIATAMENTE ANTERIOR AL CIERRE DE ESTE PROCESO</t>
  </si>
  <si>
    <t>Consecutivo</t>
  </si>
  <si>
    <t>EL PROPONENTE TIENE MULTAS Y/O SANCIONES EN EL AÑO ANTERIOR AL CIERRE</t>
  </si>
  <si>
    <t>EVALUACION ECONOMICA</t>
  </si>
  <si>
    <t xml:space="preserve"> </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</si>
  <si>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</si>
  <si>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</si>
  <si>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</si>
  <si>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</si>
  <si>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</si>
  <si>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</si>
  <si>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</si>
  <si>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</si>
  <si>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</si>
  <si>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</si>
  <si>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 / No Hábil)</t>
  </si>
  <si>
    <t>RECHAZO</t>
  </si>
  <si>
    <t>CUADRO No. 9</t>
  </si>
  <si>
    <t>RESUMEN DE HABILIDAD Y PONDERACIÓN DEFINITIVA A LOS CRITERIOS DE EVALUACIÓN</t>
  </si>
  <si>
    <t>DESCUENTO POR MULTAS Y/O SANCIONES</t>
  </si>
  <si>
    <t>ANOTACION EN  RNOCI
SI=MENOS 1 PUNTO
NO=0 PUNTOS</t>
  </si>
  <si>
    <t>0 ó -1</t>
  </si>
  <si>
    <t>2% DEL TOTAL</t>
  </si>
  <si>
    <t>DIRECCIÓN OPERATIVA - SUBDIRECCIÓN RED NACIONAL DE CARRETERAS</t>
  </si>
  <si>
    <t>LICITACIÓN PÚBLICA LP-DO-SRN-XXX-2020</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</si>
  <si>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</si>
  <si>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</si>
  <si>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</si>
  <si>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</si>
  <si>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</si>
  <si>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</si>
  <si>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</si>
  <si>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</si>
  <si>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</si>
  <si>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</si>
  <si>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</si>
  <si>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</si>
  <si>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</si>
  <si>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</si>
  <si>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</si>
  <si>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</si>
  <si>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</si>
  <si>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</si>
  <si>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</si>
  <si>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</si>
  <si>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</si>
  <si>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</si>
  <si>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</si>
  <si>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t>NUEVA</t>
  </si>
  <si>
    <t>Media artimética Alta (XA)</t>
  </si>
  <si>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</si>
  <si>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</si>
  <si>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</si>
  <si>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</si>
  <si>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</si>
  <si>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</si>
  <si>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</si>
  <si>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</si>
  <si>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</si>
  <si>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</si>
  <si>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</si>
  <si>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</si>
  <si>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</si>
  <si>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</si>
  <si>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</si>
  <si>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</si>
  <si>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</si>
  <si>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</si>
  <si>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</si>
  <si>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</si>
  <si>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</si>
  <si>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</si>
  <si>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</si>
  <si>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</si>
  <si>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</si>
  <si>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</si>
  <si>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</si>
  <si>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</si>
  <si>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</si>
  <si>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</si>
  <si>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</si>
  <si>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</si>
  <si>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</si>
  <si>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</si>
  <si>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</si>
  <si>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</si>
  <si>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</si>
  <si>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</si>
  <si>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OCULTAR COLUMNAS C,D,E,F</t>
  </si>
  <si>
    <t>ELEGIBILIDAD DEL MÓDULO</t>
  </si>
  <si>
    <t>Orden</t>
  </si>
  <si>
    <t>No. Propuesta</t>
  </si>
  <si>
    <t>Cifra de Ajuste</t>
  </si>
  <si>
    <t>Puntaje Ajustado con Desempate</t>
  </si>
  <si>
    <t>Jerarquía</t>
  </si>
  <si>
    <t>Proponente</t>
  </si>
  <si>
    <t>Puntaje obtenido</t>
  </si>
  <si>
    <t>Estado</t>
  </si>
  <si>
    <t>(Razon social/nombre)</t>
  </si>
  <si>
    <t>Valor del Módulo</t>
  </si>
  <si>
    <t>Presupuesto en SMMLV</t>
  </si>
  <si>
    <t>Relación PO</t>
  </si>
  <si>
    <t>Plazo del Módulo</t>
  </si>
  <si>
    <t>PMFO del Módulo</t>
  </si>
  <si>
    <t>3 * Plazo Oficial</t>
  </si>
  <si>
    <t>% Solicitado</t>
  </si>
  <si>
    <t>% Requerido de PMFO</t>
  </si>
  <si>
    <t>Propuestas Presentadas al Módulo</t>
  </si>
  <si>
    <t>HABILIDAD POR PLAZOS</t>
  </si>
  <si>
    <t>HABILIDAD POR PMFT</t>
  </si>
  <si>
    <t>Vprop</t>
  </si>
  <si>
    <t>Contratos Válidos del Proponente</t>
  </si>
  <si>
    <t>Número de Propuestas Hábiles</t>
  </si>
  <si>
    <t>Plazo promedio acreditado por el proponente</t>
  </si>
  <si>
    <t>PFMT promedio acreditado por el proponente</t>
  </si>
  <si>
    <t>Suma Promedios Propuestas Hábiles</t>
  </si>
  <si>
    <t>¿Plazo acreditado es mayor a 3 veces el Plazo Oficial del Módulo?</t>
  </si>
  <si>
    <t>¿La relación PFMT/PMFO es mayor a la Relación PO del Módulo?</t>
  </si>
  <si>
    <t>Relación PFMT / PMFO</t>
  </si>
  <si>
    <t>Valor Pph</t>
  </si>
  <si>
    <t>¿El proponente es Hábil?</t>
  </si>
  <si>
    <t>PONDERACIÓN POR PLAZOS</t>
  </si>
  <si>
    <t>PONDERACIÓN POR PMFT</t>
  </si>
  <si>
    <t>Puntaje Máx Plazo</t>
  </si>
  <si>
    <t>¿Plazo acreditado es igual, mayor o menor a pph?</t>
  </si>
  <si>
    <t>¿PFMT acreditado es igual, mayor o menor a % Requerido de PMFO?</t>
  </si>
  <si>
    <t>Puntaje Max PFM</t>
  </si>
  <si>
    <t>Puntaje por Plazo</t>
  </si>
  <si>
    <t>Puntaje por PFMT</t>
  </si>
  <si>
    <t>TIPO DE ASOCIACIÓN</t>
  </si>
  <si>
    <t>PROFESIONALES REQUERIDOS</t>
  </si>
  <si>
    <t>TIPO D_K</t>
  </si>
  <si>
    <t>TAMAÑOEMP</t>
  </si>
  <si>
    <t>HABILIDAD</t>
  </si>
  <si>
    <t>CONDICION 20%</t>
  </si>
  <si>
    <t>EXP.ESPEC.PROF</t>
  </si>
  <si>
    <t>LUGAR DE EJECUCIÓN</t>
  </si>
  <si>
    <t>CONDICIÓN AC</t>
  </si>
  <si>
    <t>CONDICIÓN 50% PO</t>
  </si>
  <si>
    <t>TIPO DE VÍA</t>
  </si>
  <si>
    <t>TIPOPAVIMENTO</t>
  </si>
  <si>
    <t>PORCE</t>
  </si>
  <si>
    <t>SUBSANACION</t>
  </si>
  <si>
    <t>ESTRUCTURA</t>
  </si>
  <si>
    <t>CUMQUIPO</t>
  </si>
  <si>
    <t>CONSORCIO O UNION TEMPORAL CON APORTE DE TODOS LOS INTEGRANTES</t>
  </si>
  <si>
    <t>DIRECTOR DE INTERVENTORÍA</t>
  </si>
  <si>
    <t>COMO CONSTRUCTOR</t>
  </si>
  <si>
    <t>PENDIENTE</t>
  </si>
  <si>
    <t>MICRO EMPRESA</t>
  </si>
  <si>
    <t>3 AÑOS</t>
  </si>
  <si>
    <t>COLOMBIA</t>
  </si>
  <si>
    <t>SE REQUIRIO Y SUBSANO</t>
  </si>
  <si>
    <t>CONCRETO HIDRAULICO</t>
  </si>
  <si>
    <t>SECRETARIA GENERAL - SUBDIRECCIÓN ADMINISTRATIVA</t>
  </si>
  <si>
    <t>CONSORCIO O UNION TEMPORAL CON APORTE DE INTEGRANTE LIDER</t>
  </si>
  <si>
    <t>INGENIERO RESIDENTE</t>
  </si>
  <si>
    <t>COMO CONSULTOR</t>
  </si>
  <si>
    <t>PEQUEÑA EMPRESA</t>
  </si>
  <si>
    <t>MAYOR A TRES AÑOS Y MENOR O IGUAL A CUATRO AÑOS</t>
  </si>
  <si>
    <t>EXTRANJERO</t>
  </si>
  <si>
    <t>SE REQUIRIO Y NO SUBSANO</t>
  </si>
  <si>
    <t>METALICA</t>
  </si>
  <si>
    <t>SECRETARIA GENERAL - SUBDIRECCIÓN FINANCIERA</t>
  </si>
  <si>
    <t>INTERESADO PERSONA NATURAL O JURIDICA</t>
  </si>
  <si>
    <t>ESPECIALISTA EN GEOTÉCNIA Y/O PAVIMENTOS</t>
  </si>
  <si>
    <t>COMO PROVEDOR</t>
  </si>
  <si>
    <t>MEDIANA EMPRESA</t>
  </si>
  <si>
    <t>VERIFICAR</t>
  </si>
  <si>
    <t>MAYOR A CUATRO AÑOS</t>
  </si>
  <si>
    <t>MIXTA(CONCRETO Y METALICA)</t>
  </si>
  <si>
    <t>NO CUMPLE-2</t>
  </si>
  <si>
    <t>DIRECCIÓN OPERATIVA - DIRECCIONES TERRITORIALES</t>
  </si>
  <si>
    <t>ESPECIALISTA EN HIDROLOGÍA</t>
  </si>
  <si>
    <t xml:space="preserve">ESPECIALISTA EN VIAS </t>
  </si>
  <si>
    <t>DIRECCIÓN OPERATIVA - GRUPO PLAN 2500</t>
  </si>
  <si>
    <t>ESPECIALISTA EN AMBIENTAL</t>
  </si>
  <si>
    <t>DIRECCIÓN TÉCNICA - SUBDIRECCIÓN DE ESTUDIOS DE INNOVACIÓN</t>
  </si>
  <si>
    <t>INGENIERO AUXILIAR</t>
  </si>
  <si>
    <t>DIRECCIÓN TÉCNICA - SUBDIRECCIÓN DE MEDIO AMBIENTE Y GESTIÓN SOCIAL</t>
  </si>
  <si>
    <t>PROFESIONAL DE ASEGURAMIENTO O GESTIÓN DE LA CALIDAD</t>
  </si>
  <si>
    <t>DIRECCIÓN TÉCNICA - SUBDIRECCIÓN DE PREVENCIÓN Y ATENCIÓN DE EMERGENCIAS</t>
  </si>
  <si>
    <t>AUDITOR INTERNO DE CALIDAD</t>
  </si>
  <si>
    <t>DIRECCIÓN OPERATIVA - SUBDIRECCIÓN MARÍTIMA Y FLUVIAL</t>
  </si>
  <si>
    <t>DIRECCIÓN OPERATIVA - SUBDIRECCIÓN RED TERCIARIA Y FERREA</t>
  </si>
  <si>
    <t>DIRECCIÓN TÉCNICA</t>
  </si>
  <si>
    <t>DIRECCIÓN OPERATIVA</t>
  </si>
  <si>
    <t>DIRECCIÓN OPERATIVA - GRUPO TÚNEL DE LA LÍNEA</t>
  </si>
  <si>
    <t>SUBDIRECCION DE PROCESOS DE SELECCIÓN CONTRACTUALES</t>
  </si>
  <si>
    <t>SUBDIRECCION DE SOSTENIBILIDAD</t>
  </si>
  <si>
    <t xml:space="preserve">SUBDIRECCION DE ESTRUCTURACION DE PROYECTOS </t>
  </si>
  <si>
    <t>DIRECCION TECNICA Y DE ESTRUCTURACION</t>
  </si>
  <si>
    <t xml:space="preserve">DIRECCION DE EJECUCION Y OPERACIÓN </t>
  </si>
  <si>
    <t>SUBDIRECCION  DE REGLAMENTACION TECNICA  E INNOVACION</t>
  </si>
  <si>
    <t>SUBDIRECCION DE GESTION DEL RIESGO</t>
  </si>
  <si>
    <t>SUBDIRECCION DE GESTION CONTRACTUAL Y PROCESOS ADMINISTRATIVOS</t>
  </si>
  <si>
    <t>SUBDIRECCION DE DEFENSA JURIDICA</t>
  </si>
  <si>
    <t>EQUIPO DE TRABAJO
FORMATO No.8</t>
  </si>
  <si>
    <t>ANOTACION VIGENTE EN RNOCI</t>
  </si>
  <si>
    <t>CAPACIDAD TECNICA</t>
  </si>
  <si>
    <t>Ponderación por VTF</t>
  </si>
  <si>
    <t>EQUIPO DE TRABAJO
FORMATO No.9</t>
  </si>
  <si>
    <t>VINCULACIÓN TRABAJADORES CON DISCAPACIDAD PLANTA DE PERSONAL</t>
  </si>
  <si>
    <t>PUNTAJE POR ANOTACION VIGENTE EN RNOCI</t>
  </si>
  <si>
    <t>PUNTAJE POR MULTAS Y/O SANCIONES</t>
  </si>
  <si>
    <t>SUMA MANUAL</t>
  </si>
  <si>
    <t>ES IGUAL?</t>
  </si>
  <si>
    <t>PONDERACION</t>
  </si>
  <si>
    <t>PUNTAJE OBTENIDO</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</si>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</sst>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0&quot;°&quot;"/>
    <numFmt numFmtId="183" formatCode="_([$$-240A]\ * #,##0.00_);_([$$-240A]\ * \(#,##0.00\);_([$$-240A]\ * &quot;-&quot;??_);_(@_)"/>
    <numFmt numFmtId="184" formatCode="#,##0.0000000"/>
    <numFmt numFmtId="185" formatCode="0.0000000"/>
    <numFmt numFmtId="186" formatCode="0&quot; MODULOS&quot;"/>
    <numFmt numFmtId="187" formatCode="_-* #,##0.00\ _P_t_s_-;\-* #,##0.00\ _P_t_s_-;_-* &quot;-&quot;??\ _P_t_s_-;_-@_-"/>
    <numFmt numFmtId="188" formatCode="&quot;No. &quot;0"/>
    <numFmt numFmtId="189" formatCode="&quot;MODULO No. &quot;0&quot;→→&quot;"/>
    <numFmt numFmtId="190" formatCode="_-* #,##0\ _P_t_s_-;\-* #,##0\ _P_t_s_-;_-* &quot;-&quot;??\ _P_t_s_-;_-@_-"/>
    <numFmt numFmtId="191" formatCode="_(* #,##0_);_(* \(#,##0\);_(* &quot;-&quot;??_);_(@_)"/>
    <numFmt numFmtId="192" formatCode="_-* #,##0.00\ &quot;Pts&quot;_-;\-* #,##0.00\ &quot;Pts&quot;_-;_-* &quot;-&quot;??\ &quot;Pts&quot;_-;_-@_-"/>
    <numFmt numFmtId="193" formatCode="0.000000000000000E+00"/>
    <numFmt numFmtId="194" formatCode="_([$$-240A]\ * #,##0.0000000_);_([$$-240A]\ * \(#,##0.0000000\);_([$$-240A]\ * &quot;-&quot;??_);_(@_)"/>
    <numFmt numFmtId="195" formatCode="0.000E+00"/>
    <numFmt numFmtId="196" formatCode="0&quot; Puntos&quot;"/>
    <numFmt numFmtId="197" formatCode="0.0"/>
    <numFmt numFmtId="198" formatCode="_ &quot;$&quot;\ * #,##0.00_ ;_ &quot;$&quot;\ * \-#,##0.00_ ;_ &quot;$&quot;\ * &quot;-&quot;??_ ;_ @_ "/>
    <numFmt numFmtId="199" formatCode="_-[$$-240A]\ * #,##0.0000000_-;\-[$$-240A]\ * #,##0.0000000_-;_-[$$-240A]\ * &quot;-&quot;???????_-;_-@_-"/>
    <numFmt numFmtId="200" formatCode="dddd\-dd\-mmmm\-yyyy"/>
    <numFmt numFmtId="201" formatCode="dddd\-dd\-mmmm"/>
    <numFmt numFmtId="202" formatCode="#,##0.0000"/>
    <numFmt numFmtId="203" formatCode="#,##0.00000"/>
    <numFmt numFmtId="204" formatCode="#,##0.00000000"/>
    <numFmt numFmtId="205" formatCode="#,##0.000000"/>
  </numFmts>
  <fonts count="138">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b/>
      <sz val="20"/>
      <name val="Arial"/>
      <family val="2"/>
    </font>
    <font>
      <sz val="11"/>
      <color indexed="8"/>
      <name val="Calibri"/>
      <family val="2"/>
    </font>
    <font>
      <b/>
      <sz val="11"/>
      <color indexed="8"/>
      <name val="Calibri"/>
      <family val="2"/>
    </font>
    <font>
      <b/>
      <sz val="10"/>
      <color indexed="8"/>
      <name val="Arial"/>
      <family val="2"/>
    </font>
    <font>
      <b/>
      <sz val="10"/>
      <color indexed="8"/>
      <name val="Calibri"/>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b/>
      <sz val="11"/>
      <color indexed="8"/>
      <name val="Arial"/>
      <family val="2"/>
    </font>
    <font>
      <sz val="5"/>
      <name val="Arial"/>
      <family val="2"/>
    </font>
    <font>
      <b/>
      <sz val="9"/>
      <name val="Arial"/>
      <family val="2"/>
    </font>
    <font>
      <b/>
      <sz val="18"/>
      <name val="Arial"/>
      <family val="2"/>
    </font>
    <font>
      <sz val="9"/>
      <name val="Arial Narrow"/>
      <family val="2"/>
    </font>
    <font>
      <b/>
      <sz val="9"/>
      <color indexed="8"/>
      <name val="Arial"/>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9"/>
      <name val="Calibri"/>
      <family val="2"/>
    </font>
    <font>
      <b/>
      <sz val="9"/>
      <name val="Calibri"/>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4"/>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b/>
      <sz val="9"/>
      <name val="Calibri"/>
      <family val="2"/>
      <scheme val="minor"/>
    </font>
    <font>
      <sz val="8"/>
      <color theme="1"/>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sz val="12"/>
      <color rgb="FF000000"/>
      <name val="Arial Narrow"/>
      <family val="2"/>
    </font>
    <font>
      <b/>
      <sz val="12"/>
      <color rgb="FF000000"/>
      <name val="Arial Narrow"/>
      <family val="2"/>
    </font>
    <font>
      <b/>
      <sz val="10"/>
      <color rgb="FF000000"/>
      <name val="Calibri"/>
      <family val="2"/>
    </font>
    <font>
      <sz val="12"/>
      <name val="Calibri"/>
      <family val="2"/>
    </font>
    <font>
      <sz val="8"/>
      <name val="Sans Serif 10cpi"/>
      <family val="3"/>
    </font>
    <font>
      <b/>
      <sz val="7"/>
      <name val="Calibri"/>
      <family val="2"/>
    </font>
    <font>
      <b/>
      <sz val="9"/>
      <color rgb="FF0000FF"/>
      <name val="Arial Narrow"/>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7"/>
      <name val="Arial Narrow"/>
      <family val="2"/>
    </font>
    <font>
      <b/>
      <sz val="9"/>
      <color rgb="FF64821E"/>
      <name val="Calibri"/>
      <family val="2"/>
    </font>
    <font>
      <b/>
      <sz val="12"/>
      <color rgb="FFFF0000"/>
      <name val="Arial"/>
      <family val="2"/>
    </font>
    <font>
      <b/>
      <sz val="16"/>
      <name val="Calibri"/>
      <family val="2"/>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9"/>
      <color rgb="FF000000"/>
      <name val="Arial"/>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7"/>
      <color rgb="FF000000"/>
      <name val="Arial"/>
      <family val="2"/>
    </font>
    <font>
      <b/>
      <sz val="8"/>
      <color rgb="FFD28660"/>
      <name val="Arial Narrow"/>
      <family val="2"/>
    </font>
    <font>
      <sz val="8"/>
      <color theme="0"/>
      <name val="Arial Narrow"/>
      <family val="2"/>
    </font>
    <font>
      <b/>
      <sz val="8"/>
      <color indexed="8"/>
      <name val="Arial"/>
      <family val="2"/>
    </font>
    <font>
      <sz val="9"/>
      <color rgb="FFD28660"/>
      <name val="Calibri"/>
      <family val="2"/>
    </font>
    <font>
      <b/>
      <sz val="10"/>
      <color rgb="FFA6A6A6"/>
      <name val="Arial"/>
      <family val="2"/>
    </font>
    <font>
      <b/>
      <sz val="8"/>
      <color rgb="FF000000"/>
      <name val="Arial"/>
      <family val="2"/>
    </font>
    <font>
      <sz val="8"/>
      <color rgb="FF000000"/>
      <name val="Arial Narrow"/>
      <family val="2"/>
    </font>
    <font>
      <sz val="8"/>
      <name val="Arial Narrow"/>
    </font>
    <font>
      <sz val="8"/>
      <name val="Arial"/>
    </font>
    <font>
      <b/>
      <sz val="11"/>
      <color rgb="FF000000"/>
      <name val="Calibri"/>
    </font>
    <font>
      <b/>
      <sz val="8"/>
      <name val="Arial"/>
    </font>
    <font>
      <sz val="8"/>
      <color theme="1"/>
      <name val="Calibri"/>
      <family val="2"/>
      <scheme val="minor"/>
    </font>
    <font>
      <sz val="10"/>
      <name val="Calibri"/>
      <family val="2"/>
      <scheme val="minor"/>
    </font>
    <font>
      <b/>
      <sz val="11"/>
      <color rgb="FF800000"/>
      <name val="Calibri"/>
      <family val="2"/>
    </font>
  </fonts>
  <fills count="39">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00FF00"/>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FFFFFF"/>
        <bgColor rgb="FF000000"/>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96D20A"/>
        <bgColor rgb="FF000000"/>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C8F028"/>
        <bgColor rgb="FF000000"/>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D28660"/>
        <bgColor indexed="64"/>
      </patternFill>
    </fill>
    <fill>
      <patternFill patternType="solid">
        <fgColor rgb="FFD28660"/>
        <bgColor rgb="FF000000"/>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s>
  <borders count="172">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hair">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uble">
        <color indexed="64"/>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rgb="FF000000"/>
      </top>
      <bottom style="thin">
        <color indexed="64"/>
      </bottom>
      <diagonal/>
    </border>
    <border>
      <left style="hair">
        <color indexed="64"/>
      </left>
      <right style="hair">
        <color indexed="64"/>
      </right>
      <top style="thin">
        <color indexed="64"/>
      </top>
      <bottom/>
      <diagonal/>
    </border>
  </borders>
  <cellStyleXfs count="98">
    <xf numFmtId="0" fontId="0" fillId="0" borderId="0"/>
    <xf numFmtId="176" fontId="1" fillId="0" borderId="0" applyFont="0" applyFill="0" applyBorder="0" applyAlignment="0" applyProtection="0"/>
    <xf numFmtId="164" fontId="1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55" fillId="0" borderId="0"/>
    <xf numFmtId="0" fontId="2" fillId="0" borderId="0"/>
    <xf numFmtId="0" fontId="2" fillId="0" borderId="0"/>
    <xf numFmtId="0" fontId="55" fillId="0" borderId="0"/>
    <xf numFmtId="0" fontId="2" fillId="0" borderId="0"/>
    <xf numFmtId="0" fontId="2" fillId="0" borderId="0"/>
    <xf numFmtId="0" fontId="2" fillId="0" borderId="0"/>
    <xf numFmtId="0" fontId="55"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 fillId="0" borderId="0"/>
    <xf numFmtId="0" fontId="12" fillId="5" borderId="139" applyNumberFormat="0" applyFont="0" applyAlignment="0" applyProtection="0"/>
    <xf numFmtId="9" fontId="16"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54"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2"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91">
    <xf numFmtId="0" fontId="0" fillId="0" borderId="0" xfId="0"/>
    <xf numFmtId="0" fontId="2" fillId="0" borderId="0" xfId="36" applyAlignment="1">
      <alignment horizontal="centerContinuous" vertical="center" wrapText="1"/>
    </xf>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8"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171" fontId="4" fillId="0" borderId="12" xfId="40" applyNumberFormat="1" applyFont="1" applyBorder="1" applyAlignment="1">
      <alignment horizontal="centerContinuous" vertical="center"/>
    </xf>
    <xf numFmtId="0" fontId="9" fillId="0" borderId="16" xfId="36" applyFont="1" applyBorder="1" applyAlignment="1">
      <alignment vertical="center"/>
    </xf>
    <xf numFmtId="0" fontId="20" fillId="0" borderId="0" xfId="0" applyFont="1"/>
    <xf numFmtId="0" fontId="9" fillId="0" borderId="21" xfId="36" applyFont="1" applyBorder="1" applyAlignment="1">
      <alignment vertical="center"/>
    </xf>
    <xf numFmtId="0" fontId="18" fillId="2" borderId="3" xfId="0" applyFont="1" applyFill="1" applyBorder="1" applyAlignment="1">
      <alignment horizontal="center" vertical="center"/>
    </xf>
    <xf numFmtId="0" fontId="17" fillId="0" borderId="0" xfId="0" applyFont="1" applyAlignment="1">
      <alignment horizontal="center" vertical="center"/>
    </xf>
    <xf numFmtId="0" fontId="2" fillId="0" borderId="0" xfId="36" applyAlignment="1">
      <alignment wrapText="1"/>
    </xf>
    <xf numFmtId="0" fontId="22" fillId="0" borderId="0" xfId="36" applyFont="1" applyAlignment="1">
      <alignment horizontal="center" vertical="center"/>
    </xf>
    <xf numFmtId="0" fontId="24" fillId="0" borderId="0" xfId="36" applyFont="1" applyAlignment="1">
      <alignment horizontal="centerContinuous" vertical="center" wrapText="1"/>
    </xf>
    <xf numFmtId="0" fontId="25" fillId="0" borderId="0" xfId="36" applyFont="1" applyAlignment="1">
      <alignment horizontal="centerContinuous" vertical="center" wrapText="1"/>
    </xf>
    <xf numFmtId="0" fontId="25" fillId="0" borderId="0" xfId="36" applyFont="1" applyAlignment="1">
      <alignment horizontal="centerContinuous"/>
    </xf>
    <xf numFmtId="0" fontId="25" fillId="0" borderId="0" xfId="36" applyFont="1" applyAlignment="1">
      <alignment horizontal="centerContinuous" vertical="center"/>
    </xf>
    <xf numFmtId="0" fontId="25" fillId="0" borderId="0" xfId="36" applyFont="1"/>
    <xf numFmtId="0" fontId="58" fillId="0" borderId="0" xfId="35" applyFont="1"/>
    <xf numFmtId="0" fontId="23" fillId="0" borderId="0" xfId="36" applyFont="1" applyAlignment="1">
      <alignment horizontal="centerContinuous" vertical="center" wrapText="1"/>
    </xf>
    <xf numFmtId="0" fontId="25" fillId="0" borderId="0" xfId="36" applyFont="1" applyAlignment="1">
      <alignment wrapText="1"/>
    </xf>
    <xf numFmtId="0" fontId="25" fillId="0" borderId="0" xfId="36" applyFont="1" applyAlignment="1">
      <alignment horizontal="center" vertical="center"/>
    </xf>
    <xf numFmtId="169" fontId="28" fillId="0" borderId="0" xfId="36" applyNumberFormat="1" applyFont="1" applyAlignment="1">
      <alignment horizontal="center"/>
    </xf>
    <xf numFmtId="169" fontId="28" fillId="0" borderId="0" xfId="36" applyNumberFormat="1" applyFont="1" applyAlignment="1">
      <alignment horizontal="center" wrapText="1"/>
    </xf>
    <xf numFmtId="168" fontId="29" fillId="0" borderId="0" xfId="36" applyNumberFormat="1" applyFont="1" applyAlignment="1">
      <alignment horizontal="center" vertical="center"/>
    </xf>
    <xf numFmtId="168" fontId="30" fillId="0" borderId="0" xfId="36" applyNumberFormat="1" applyFont="1" applyAlignment="1">
      <alignment horizontal="center" vertical="center"/>
    </xf>
    <xf numFmtId="0" fontId="30" fillId="0" borderId="0" xfId="36" applyFont="1" applyAlignment="1">
      <alignment horizontal="left" vertical="center"/>
    </xf>
    <xf numFmtId="0" fontId="31" fillId="0" borderId="0" xfId="36" applyFont="1" applyAlignment="1">
      <alignment horizontal="center" vertical="center"/>
    </xf>
    <xf numFmtId="168" fontId="32" fillId="0" borderId="0" xfId="36" applyNumberFormat="1" applyFont="1" applyAlignment="1">
      <alignment horizontal="center" vertical="center"/>
    </xf>
    <xf numFmtId="0" fontId="31" fillId="0" borderId="0" xfId="36" applyFont="1" applyAlignment="1">
      <alignment horizontal="centerContinuous" vertical="center"/>
    </xf>
    <xf numFmtId="0" fontId="31" fillId="0" borderId="0" xfId="36" applyFont="1" applyAlignment="1">
      <alignment vertical="center"/>
    </xf>
    <xf numFmtId="0" fontId="31" fillId="0" borderId="0" xfId="36" applyFont="1"/>
    <xf numFmtId="0" fontId="22" fillId="0" borderId="0" xfId="36" applyFont="1" applyAlignment="1">
      <alignment horizontal="center" vertical="center" wrapText="1"/>
    </xf>
    <xf numFmtId="4" fontId="28" fillId="7" borderId="29" xfId="36" applyNumberFormat="1" applyFont="1" applyFill="1" applyBorder="1" applyAlignment="1">
      <alignment horizontal="center" vertical="center" wrapText="1"/>
    </xf>
    <xf numFmtId="0" fontId="25" fillId="0" borderId="0" xfId="36" applyFont="1" applyAlignment="1">
      <alignment vertical="center" wrapText="1"/>
    </xf>
    <xf numFmtId="0" fontId="28" fillId="0" borderId="31" xfId="36" applyFont="1" applyBorder="1" applyAlignment="1">
      <alignment vertical="center"/>
    </xf>
    <xf numFmtId="0" fontId="28" fillId="0" borderId="32" xfId="36" applyFont="1" applyBorder="1" applyAlignment="1">
      <alignment vertical="center"/>
    </xf>
    <xf numFmtId="0" fontId="25" fillId="0" borderId="32" xfId="36" applyFont="1" applyBorder="1" applyAlignment="1">
      <alignment vertical="center"/>
    </xf>
    <xf numFmtId="0" fontId="25" fillId="0" borderId="33" xfId="36" applyFont="1" applyBorder="1"/>
    <xf numFmtId="0" fontId="59" fillId="0" borderId="0" xfId="35" applyFont="1"/>
    <xf numFmtId="0" fontId="58" fillId="0" borderId="0" xfId="35" applyFont="1" applyAlignment="1">
      <alignment vertical="center"/>
    </xf>
    <xf numFmtId="0" fontId="58" fillId="0" borderId="0" xfId="35" applyFont="1" applyAlignment="1">
      <alignment horizontal="center" vertical="center"/>
    </xf>
    <xf numFmtId="0" fontId="58" fillId="8" borderId="0" xfId="35" applyFont="1" applyFill="1"/>
    <xf numFmtId="171" fontId="4" fillId="0" borderId="36" xfId="40" applyNumberFormat="1" applyFont="1" applyBorder="1" applyAlignment="1">
      <alignment horizontal="centerContinuous" vertical="center"/>
    </xf>
    <xf numFmtId="1" fontId="25" fillId="0" borderId="38" xfId="36" applyNumberFormat="1" applyFont="1" applyBorder="1" applyAlignment="1">
      <alignment horizontal="center" vertical="center" wrapText="1"/>
    </xf>
    <xf numFmtId="0" fontId="35"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9" xfId="36" applyFont="1" applyBorder="1" applyAlignment="1" applyProtection="1">
      <alignment horizontal="centerContinuous"/>
      <protection hidden="1"/>
    </xf>
    <xf numFmtId="0" fontId="9" fillId="0" borderId="35" xfId="36" applyFont="1" applyBorder="1" applyAlignment="1" applyProtection="1">
      <alignment horizontal="center" vertical="center"/>
      <protection hidden="1"/>
    </xf>
    <xf numFmtId="1" fontId="36" fillId="0" borderId="40" xfId="36" applyNumberFormat="1" applyFont="1" applyBorder="1" applyAlignment="1" applyProtection="1">
      <alignment horizontal="center" vertical="center"/>
      <protection hidden="1"/>
    </xf>
    <xf numFmtId="0" fontId="36" fillId="0" borderId="29"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8" fillId="0" borderId="29" xfId="36" applyNumberFormat="1" applyFont="1" applyBorder="1" applyAlignment="1" applyProtection="1">
      <alignment horizontal="center" vertical="center"/>
      <protection hidden="1"/>
    </xf>
    <xf numFmtId="0" fontId="0" fillId="0" borderId="0" xfId="0" applyAlignment="1">
      <alignment horizontal="center" vertical="center"/>
    </xf>
    <xf numFmtId="0" fontId="40" fillId="8" borderId="0" xfId="80" applyFont="1" applyFill="1" applyAlignment="1" applyProtection="1">
      <alignment horizontal="justify" vertical="center"/>
      <protection locked="0"/>
    </xf>
    <xf numFmtId="0" fontId="25" fillId="8" borderId="0" xfId="80" applyFont="1" applyFill="1" applyProtection="1">
      <protection hidden="1"/>
    </xf>
    <xf numFmtId="0" fontId="25" fillId="0" borderId="0" xfId="80" applyFont="1" applyProtection="1">
      <protection hidden="1"/>
    </xf>
    <xf numFmtId="0" fontId="41" fillId="8" borderId="0" xfId="80" applyFont="1" applyFill="1" applyProtection="1">
      <protection hidden="1"/>
    </xf>
    <xf numFmtId="0" fontId="41" fillId="0" borderId="0" xfId="80" applyFont="1" applyProtection="1">
      <protection hidden="1"/>
    </xf>
    <xf numFmtId="0" fontId="24" fillId="8" borderId="0" xfId="80" applyFont="1" applyFill="1" applyAlignment="1" applyProtection="1">
      <alignment horizontal="centerContinuous"/>
      <protection hidden="1"/>
    </xf>
    <xf numFmtId="0" fontId="24" fillId="8" borderId="0" xfId="80" applyFont="1" applyFill="1" applyAlignment="1" applyProtection="1">
      <alignment horizontal="centerContinuous" vertical="center"/>
      <protection hidden="1"/>
    </xf>
    <xf numFmtId="4" fontId="24" fillId="8" borderId="0" xfId="80" applyNumberFormat="1" applyFont="1" applyFill="1" applyAlignment="1" applyProtection="1">
      <alignment horizontal="centerContinuous" vertical="center"/>
      <protection hidden="1"/>
    </xf>
    <xf numFmtId="4" fontId="25" fillId="8" borderId="0" xfId="80" applyNumberFormat="1" applyFont="1" applyFill="1" applyProtection="1">
      <protection hidden="1"/>
    </xf>
    <xf numFmtId="1" fontId="60" fillId="8" borderId="0" xfId="35" applyNumberFormat="1" applyFont="1" applyFill="1"/>
    <xf numFmtId="1" fontId="24" fillId="8" borderId="0" xfId="80" applyNumberFormat="1" applyFont="1" applyFill="1" applyAlignment="1" applyProtection="1">
      <alignment vertical="center" wrapText="1"/>
      <protection hidden="1"/>
    </xf>
    <xf numFmtId="1" fontId="60" fillId="8" borderId="0" xfId="35" applyNumberFormat="1" applyFont="1" applyFill="1" applyAlignment="1">
      <alignment horizontal="centerContinuous"/>
    </xf>
    <xf numFmtId="1" fontId="26" fillId="0" borderId="0" xfId="36" applyNumberFormat="1" applyFont="1" applyAlignment="1">
      <alignment horizontal="centerContinuous" vertical="center" wrapText="1"/>
    </xf>
    <xf numFmtId="1" fontId="26" fillId="8" borderId="0" xfId="36" applyNumberFormat="1" applyFont="1" applyFill="1" applyAlignment="1">
      <alignment horizontal="centerContinuous" vertical="center" wrapText="1"/>
    </xf>
    <xf numFmtId="1" fontId="24" fillId="8" borderId="0" xfId="80" applyNumberFormat="1" applyFont="1" applyFill="1" applyAlignment="1" applyProtection="1">
      <alignment horizontal="centerContinuous" vertical="center" wrapText="1"/>
      <protection hidden="1"/>
    </xf>
    <xf numFmtId="1" fontId="24" fillId="8" borderId="0" xfId="36" applyNumberFormat="1" applyFont="1" applyFill="1" applyAlignment="1">
      <alignment horizontal="centerContinuous" vertical="center" wrapText="1"/>
    </xf>
    <xf numFmtId="0" fontId="43" fillId="0" borderId="0" xfId="36" applyFont="1" applyAlignment="1">
      <alignment horizontal="center" vertical="center"/>
    </xf>
    <xf numFmtId="1" fontId="24" fillId="0" borderId="0" xfId="36" applyNumberFormat="1" applyFont="1" applyAlignment="1">
      <alignment horizontal="centerContinuous" vertical="center" wrapText="1"/>
    </xf>
    <xf numFmtId="0" fontId="43" fillId="0" borderId="0" xfId="36" applyFont="1" applyAlignment="1">
      <alignment horizontal="centerContinuous" vertical="center" wrapText="1"/>
    </xf>
    <xf numFmtId="0" fontId="43" fillId="0" borderId="0" xfId="36" applyFont="1" applyAlignment="1">
      <alignment horizontal="centerContinuous"/>
    </xf>
    <xf numFmtId="0" fontId="43" fillId="0" borderId="0" xfId="36" applyFont="1" applyAlignment="1">
      <alignment horizontal="centerContinuous" vertical="center"/>
    </xf>
    <xf numFmtId="0" fontId="43" fillId="0" borderId="0" xfId="36" applyFont="1"/>
    <xf numFmtId="0" fontId="61" fillId="8" borderId="0" xfId="35" applyFont="1" applyFill="1"/>
    <xf numFmtId="0" fontId="61" fillId="0" borderId="0" xfId="35" applyFont="1"/>
    <xf numFmtId="0" fontId="44" fillId="0" borderId="0" xfId="36" applyFont="1" applyAlignment="1">
      <alignment horizontal="centerContinuous" vertical="center" wrapText="1"/>
    </xf>
    <xf numFmtId="0" fontId="9" fillId="0" borderId="46" xfId="40" applyFont="1" applyBorder="1" applyAlignment="1">
      <alignment horizontal="center" vertical="center" wrapText="1"/>
    </xf>
    <xf numFmtId="1" fontId="4" fillId="0" borderId="51" xfId="36" applyNumberFormat="1" applyFont="1" applyBorder="1" applyAlignment="1">
      <alignment horizontal="center" vertical="center" wrapText="1"/>
    </xf>
    <xf numFmtId="0" fontId="4" fillId="0" borderId="52" xfId="36" applyFont="1" applyBorder="1" applyAlignment="1">
      <alignment horizontal="center" vertical="center" wrapText="1"/>
    </xf>
    <xf numFmtId="0" fontId="9" fillId="0" borderId="29" xfId="36" applyFont="1" applyBorder="1" applyAlignment="1">
      <alignment horizontal="left" vertical="center" wrapText="1"/>
    </xf>
    <xf numFmtId="10" fontId="9" fillId="0" borderId="53" xfId="36" applyNumberFormat="1" applyFont="1" applyBorder="1" applyAlignment="1">
      <alignment horizontal="center" vertical="center" wrapText="1"/>
    </xf>
    <xf numFmtId="49" fontId="42" fillId="8" borderId="54" xfId="80" applyNumberFormat="1" applyFont="1" applyFill="1" applyBorder="1" applyAlignment="1" applyProtection="1">
      <alignment vertical="center"/>
      <protection hidden="1"/>
    </xf>
    <xf numFmtId="0" fontId="58" fillId="8" borderId="55" xfId="35" applyFont="1" applyFill="1" applyBorder="1"/>
    <xf numFmtId="1" fontId="9" fillId="8" borderId="56" xfId="36" applyNumberFormat="1" applyFont="1" applyFill="1" applyBorder="1" applyAlignment="1">
      <alignment horizontal="center" vertical="center" wrapText="1"/>
    </xf>
    <xf numFmtId="2" fontId="25" fillId="0" borderId="58" xfId="36" applyNumberFormat="1" applyFont="1" applyBorder="1" applyAlignment="1">
      <alignment horizontal="center" vertical="center" wrapText="1"/>
    </xf>
    <xf numFmtId="0" fontId="33" fillId="8" borderId="21" xfId="80" applyFont="1" applyFill="1" applyBorder="1" applyAlignment="1" applyProtection="1">
      <alignment horizontal="center"/>
      <protection hidden="1"/>
    </xf>
    <xf numFmtId="0" fontId="33" fillId="8" borderId="9" xfId="80" applyFont="1" applyFill="1" applyBorder="1" applyAlignment="1" applyProtection="1">
      <alignment horizontal="center" vertical="center"/>
      <protection hidden="1"/>
    </xf>
    <xf numFmtId="4" fontId="33" fillId="8" borderId="59" xfId="80" applyNumberFormat="1" applyFont="1" applyFill="1" applyBorder="1" applyAlignment="1" applyProtection="1">
      <alignment horizontal="center" vertical="center"/>
      <protection hidden="1"/>
    </xf>
    <xf numFmtId="1" fontId="26" fillId="8" borderId="0" xfId="80" applyNumberFormat="1" applyFont="1" applyFill="1" applyAlignment="1" applyProtection="1">
      <alignment vertical="center" wrapText="1"/>
      <protection hidden="1"/>
    </xf>
    <xf numFmtId="0" fontId="9" fillId="0" borderId="60" xfId="36" quotePrefix="1" applyFont="1" applyBorder="1" applyAlignment="1">
      <alignment horizontal="center" vertical="center" wrapText="1"/>
    </xf>
    <xf numFmtId="0" fontId="2" fillId="0" borderId="48" xfId="36" applyBorder="1"/>
    <xf numFmtId="10" fontId="25" fillId="0" borderId="24" xfId="36" applyNumberFormat="1" applyFont="1" applyBorder="1" applyAlignment="1">
      <alignment horizontal="center" vertical="center" wrapText="1"/>
    </xf>
    <xf numFmtId="0" fontId="25" fillId="0" borderId="38" xfId="36" applyFont="1" applyBorder="1" applyAlignment="1">
      <alignment horizontal="center" vertical="center"/>
    </xf>
    <xf numFmtId="1" fontId="25" fillId="0" borderId="67" xfId="36" applyNumberFormat="1" applyFont="1" applyBorder="1" applyAlignment="1">
      <alignment horizontal="center" vertical="center" wrapText="1"/>
    </xf>
    <xf numFmtId="2" fontId="25" fillId="0" borderId="68" xfId="36" applyNumberFormat="1" applyFont="1" applyBorder="1" applyAlignment="1">
      <alignment horizontal="center" vertical="center" wrapText="1"/>
    </xf>
    <xf numFmtId="10" fontId="25" fillId="0" borderId="66" xfId="36" applyNumberFormat="1" applyFont="1" applyBorder="1" applyAlignment="1">
      <alignment horizontal="center" vertical="center" wrapText="1"/>
    </xf>
    <xf numFmtId="0" fontId="22" fillId="8" borderId="0" xfId="36" applyFont="1" applyFill="1" applyAlignment="1">
      <alignment horizontal="center" vertical="center" wrapText="1"/>
    </xf>
    <xf numFmtId="0" fontId="45" fillId="0" borderId="61" xfId="36" applyFont="1" applyBorder="1" applyAlignment="1">
      <alignment horizontal="center" vertical="center" wrapText="1"/>
    </xf>
    <xf numFmtId="1" fontId="36" fillId="0" borderId="30"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2" xfId="36" applyFont="1" applyBorder="1" applyAlignment="1" applyProtection="1">
      <alignment horizontal="center" vertical="center"/>
      <protection hidden="1"/>
    </xf>
    <xf numFmtId="0" fontId="9" fillId="0" borderId="73" xfId="36" applyFont="1" applyBorder="1" applyAlignment="1" applyProtection="1">
      <alignment horizontal="centerContinuous"/>
      <protection hidden="1"/>
    </xf>
    <xf numFmtId="0" fontId="9" fillId="0" borderId="74" xfId="36" applyFont="1" applyBorder="1" applyAlignment="1" applyProtection="1">
      <alignment horizontal="center" vertical="center"/>
      <protection hidden="1"/>
    </xf>
    <xf numFmtId="0" fontId="46" fillId="0" borderId="0" xfId="36" applyFont="1"/>
    <xf numFmtId="1" fontId="5" fillId="0" borderId="0" xfId="36" applyNumberFormat="1" applyFont="1" applyAlignment="1">
      <alignment horizontal="centerContinuous" vertical="center" wrapText="1"/>
    </xf>
    <xf numFmtId="0" fontId="47"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63" fillId="0" borderId="0" xfId="43" applyFont="1" applyAlignment="1">
      <alignment horizontal="center" vertical="center"/>
    </xf>
    <xf numFmtId="0" fontId="54" fillId="0" borderId="0" xfId="43" applyAlignment="1">
      <alignment horizontal="centerContinuous"/>
    </xf>
    <xf numFmtId="0" fontId="54" fillId="0" borderId="0" xfId="43"/>
    <xf numFmtId="0" fontId="9" fillId="0" borderId="76" xfId="36" applyFont="1" applyBorder="1" applyAlignment="1">
      <alignment horizontal="centerContinuous"/>
    </xf>
    <xf numFmtId="0" fontId="9" fillId="0" borderId="32" xfId="36" applyFont="1" applyBorder="1" applyAlignment="1">
      <alignment horizontal="center" vertical="center"/>
    </xf>
    <xf numFmtId="0" fontId="9" fillId="0" borderId="77" xfId="36" applyFont="1" applyBorder="1" applyAlignment="1">
      <alignment horizontal="center" vertical="center"/>
    </xf>
    <xf numFmtId="1" fontId="9" fillId="0" borderId="78" xfId="36" applyNumberFormat="1" applyFont="1" applyBorder="1" applyAlignment="1">
      <alignment horizontal="center" vertical="center"/>
    </xf>
    <xf numFmtId="1" fontId="9" fillId="0" borderId="79" xfId="36" applyNumberFormat="1" applyFont="1" applyBorder="1" applyAlignment="1">
      <alignment horizontal="left" vertical="center"/>
    </xf>
    <xf numFmtId="0" fontId="57" fillId="0" borderId="80"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1" xfId="36" applyNumberFormat="1" applyFont="1" applyBorder="1" applyAlignment="1">
      <alignment horizontal="center"/>
    </xf>
    <xf numFmtId="0" fontId="57" fillId="6" borderId="4" xfId="43" applyFont="1" applyFill="1" applyBorder="1" applyAlignment="1">
      <alignment horizontal="center" vertical="center"/>
    </xf>
    <xf numFmtId="0" fontId="54" fillId="6" borderId="82" xfId="43" applyFill="1" applyBorder="1"/>
    <xf numFmtId="0" fontId="57" fillId="6" borderId="82" xfId="43" applyFont="1" applyFill="1" applyBorder="1" applyAlignment="1">
      <alignment horizontal="center" vertical="center"/>
    </xf>
    <xf numFmtId="0" fontId="57" fillId="6" borderId="5" xfId="43" applyFont="1" applyFill="1" applyBorder="1" applyAlignment="1">
      <alignment horizontal="center" vertical="center"/>
    </xf>
    <xf numFmtId="0" fontId="48" fillId="10" borderId="83" xfId="36" applyFont="1" applyFill="1" applyBorder="1"/>
    <xf numFmtId="0" fontId="54" fillId="11" borderId="1" xfId="43" applyFill="1" applyBorder="1"/>
    <xf numFmtId="0" fontId="54" fillId="12" borderId="84" xfId="43" applyFill="1" applyBorder="1"/>
    <xf numFmtId="0" fontId="48" fillId="10" borderId="85" xfId="36" applyFont="1" applyFill="1" applyBorder="1"/>
    <xf numFmtId="0" fontId="54" fillId="11" borderId="2" xfId="43" applyFill="1" applyBorder="1"/>
    <xf numFmtId="0" fontId="54" fillId="12" borderId="86" xfId="43" applyFill="1" applyBorder="1"/>
    <xf numFmtId="0" fontId="54" fillId="0" borderId="2" xfId="43" applyBorder="1"/>
    <xf numFmtId="0" fontId="54" fillId="0" borderId="0" xfId="43" quotePrefix="1"/>
    <xf numFmtId="0" fontId="64" fillId="10" borderId="87" xfId="43" applyFont="1" applyFill="1" applyBorder="1"/>
    <xf numFmtId="0" fontId="54" fillId="0" borderId="88" xfId="43" applyBorder="1"/>
    <xf numFmtId="0" fontId="54" fillId="11" borderId="88" xfId="43" applyFill="1" applyBorder="1"/>
    <xf numFmtId="0" fontId="2" fillId="0" borderId="89" xfId="36" applyBorder="1"/>
    <xf numFmtId="0" fontId="10" fillId="0" borderId="89" xfId="36" applyFont="1" applyBorder="1"/>
    <xf numFmtId="166" fontId="4" fillId="0" borderId="40" xfId="36" applyNumberFormat="1" applyFont="1" applyBorder="1" applyAlignment="1">
      <alignment horizontal="left" vertical="center" wrapText="1"/>
    </xf>
    <xf numFmtId="0" fontId="57" fillId="0" borderId="0" xfId="43" applyFont="1" applyAlignment="1">
      <alignment wrapText="1"/>
    </xf>
    <xf numFmtId="0" fontId="66" fillId="0" borderId="0" xfId="43" applyFont="1"/>
    <xf numFmtId="0" fontId="66" fillId="0" borderId="76" xfId="43" applyFont="1" applyBorder="1"/>
    <xf numFmtId="0" fontId="67" fillId="0" borderId="32" xfId="36" applyFont="1" applyBorder="1" applyAlignment="1">
      <alignment horizontal="centerContinuous"/>
    </xf>
    <xf numFmtId="0" fontId="67" fillId="0" borderId="32" xfId="36" applyFont="1" applyBorder="1" applyAlignment="1">
      <alignment horizontal="center" vertical="center"/>
    </xf>
    <xf numFmtId="0" fontId="66" fillId="0" borderId="32" xfId="43" applyFont="1" applyBorder="1"/>
    <xf numFmtId="0" fontId="66" fillId="0" borderId="77" xfId="43" applyFont="1" applyBorder="1"/>
    <xf numFmtId="1" fontId="67" fillId="0" borderId="52" xfId="36" applyNumberFormat="1" applyFont="1" applyBorder="1" applyAlignment="1">
      <alignment horizontal="center" vertical="center" wrapText="1"/>
    </xf>
    <xf numFmtId="1" fontId="67" fillId="0" borderId="29" xfId="36" applyNumberFormat="1" applyFont="1" applyBorder="1" applyAlignment="1">
      <alignment horizontal="center" vertical="center" wrapText="1"/>
    </xf>
    <xf numFmtId="1" fontId="67" fillId="0" borderId="29" xfId="36" applyNumberFormat="1" applyFont="1" applyBorder="1" applyAlignment="1">
      <alignment horizontal="left" vertical="center" wrapText="1"/>
    </xf>
    <xf numFmtId="0" fontId="68" fillId="0" borderId="53" xfId="43" applyFont="1" applyBorder="1" applyAlignment="1">
      <alignment wrapText="1"/>
    </xf>
    <xf numFmtId="0" fontId="54" fillId="0" borderId="54" xfId="43" applyBorder="1"/>
    <xf numFmtId="0" fontId="54" fillId="0" borderId="90" xfId="43" applyBorder="1"/>
    <xf numFmtId="0" fontId="55" fillId="8" borderId="0" xfId="35" applyFill="1" applyAlignment="1">
      <alignment horizontal="center" vertical="center"/>
    </xf>
    <xf numFmtId="0" fontId="55" fillId="8" borderId="0" xfId="35" applyFill="1"/>
    <xf numFmtId="169" fontId="14" fillId="8" borderId="0" xfId="37" applyNumberFormat="1" applyFont="1" applyFill="1" applyAlignment="1">
      <alignment horizontal="center"/>
    </xf>
    <xf numFmtId="169" fontId="13" fillId="8" borderId="0" xfId="37" applyNumberFormat="1" applyFont="1" applyFill="1" applyAlignment="1">
      <alignment horizontal="center"/>
    </xf>
    <xf numFmtId="4" fontId="13" fillId="8" borderId="0" xfId="37" applyNumberFormat="1" applyFont="1" applyFill="1"/>
    <xf numFmtId="174" fontId="2" fillId="8" borderId="0" xfId="37" applyNumberFormat="1" applyFill="1"/>
    <xf numFmtId="169" fontId="13" fillId="8" borderId="0" xfId="36" applyNumberFormat="1" applyFont="1" applyFill="1" applyAlignment="1">
      <alignment horizontal="center"/>
    </xf>
    <xf numFmtId="0" fontId="2" fillId="8" borderId="0" xfId="36" applyFill="1"/>
    <xf numFmtId="4" fontId="13" fillId="8" borderId="0" xfId="36" applyNumberFormat="1" applyFont="1" applyFill="1"/>
    <xf numFmtId="0" fontId="9" fillId="8" borderId="52" xfId="36" applyFont="1" applyFill="1" applyBorder="1" applyAlignment="1">
      <alignment horizontal="center" vertical="center" wrapText="1"/>
    </xf>
    <xf numFmtId="0" fontId="57" fillId="13" borderId="24" xfId="0" applyFont="1" applyFill="1" applyBorder="1" applyAlignment="1">
      <alignment horizontal="center" vertical="center"/>
    </xf>
    <xf numFmtId="0" fontId="0" fillId="8" borderId="0" xfId="0" applyFill="1"/>
    <xf numFmtId="0" fontId="0" fillId="8" borderId="0" xfId="0" applyFill="1" applyAlignment="1">
      <alignment horizontal="center" vertical="center"/>
    </xf>
    <xf numFmtId="0" fontId="0" fillId="8" borderId="32" xfId="0" applyFill="1" applyBorder="1" applyAlignment="1">
      <alignment horizontal="center" vertical="center"/>
    </xf>
    <xf numFmtId="1" fontId="0" fillId="8" borderId="0" xfId="0" applyNumberFormat="1" applyFill="1" applyAlignment="1">
      <alignment horizontal="center" vertical="center"/>
    </xf>
    <xf numFmtId="14" fontId="0" fillId="8" borderId="0" xfId="0" applyNumberFormat="1" applyFill="1" applyAlignment="1">
      <alignment horizontal="center" vertical="center"/>
    </xf>
    <xf numFmtId="14" fontId="0" fillId="8" borderId="0" xfId="0" applyNumberFormat="1" applyFill="1"/>
    <xf numFmtId="179" fontId="0" fillId="8" borderId="0" xfId="0" applyNumberFormat="1" applyFill="1"/>
    <xf numFmtId="14" fontId="0" fillId="8" borderId="27" xfId="0" applyNumberFormat="1" applyFill="1" applyBorder="1" applyAlignment="1">
      <alignment horizontal="center" vertical="center"/>
    </xf>
    <xf numFmtId="180" fontId="0" fillId="8" borderId="0" xfId="0" applyNumberFormat="1" applyFill="1"/>
    <xf numFmtId="0" fontId="9" fillId="0" borderId="91" xfId="36" applyFont="1" applyBorder="1" applyAlignment="1">
      <alignment vertical="center"/>
    </xf>
    <xf numFmtId="0" fontId="0" fillId="0" borderId="24" xfId="0" applyBorder="1" applyAlignment="1">
      <alignment horizontal="center" vertical="center"/>
    </xf>
    <xf numFmtId="0" fontId="2" fillId="0" borderId="0" xfId="36" applyAlignment="1" applyProtection="1">
      <alignment horizontal="centerContinuous"/>
      <protection hidden="1"/>
    </xf>
    <xf numFmtId="0" fontId="37" fillId="0" borderId="0" xfId="36" applyFont="1" applyAlignment="1" applyProtection="1">
      <alignment horizontal="left" vertical="center"/>
      <protection hidden="1"/>
    </xf>
    <xf numFmtId="0" fontId="2" fillId="0" borderId="42" xfId="36" applyBorder="1" applyProtection="1">
      <protection hidden="1"/>
    </xf>
    <xf numFmtId="0" fontId="2" fillId="0" borderId="94" xfId="36" applyBorder="1" applyProtection="1">
      <protection hidden="1"/>
    </xf>
    <xf numFmtId="3" fontId="38" fillId="0" borderId="95" xfId="36" applyNumberFormat="1" applyFont="1" applyBorder="1" applyAlignment="1" applyProtection="1">
      <alignment horizontal="center" vertical="center"/>
      <protection hidden="1"/>
    </xf>
    <xf numFmtId="0" fontId="57" fillId="13" borderId="24" xfId="0" applyFont="1" applyFill="1" applyBorder="1" applyAlignment="1">
      <alignment horizontal="center" vertical="center" wrapText="1"/>
    </xf>
    <xf numFmtId="173" fontId="54"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7" fillId="0" borderId="24" xfId="0" applyFont="1" applyBorder="1" applyAlignment="1">
      <alignment horizontal="center" vertical="center"/>
    </xf>
    <xf numFmtId="0" fontId="56" fillId="0" borderId="24" xfId="0" applyFont="1" applyBorder="1" applyAlignment="1">
      <alignment horizontal="center" vertical="center"/>
    </xf>
    <xf numFmtId="0" fontId="9" fillId="0" borderId="98" xfId="0" applyFont="1" applyBorder="1" applyAlignment="1" applyProtection="1">
      <alignment horizontal="center" vertical="center"/>
      <protection hidden="1"/>
    </xf>
    <xf numFmtId="0" fontId="9" fillId="0" borderId="99" xfId="0" applyFont="1" applyBorder="1" applyAlignment="1" applyProtection="1">
      <alignment horizontal="centerContinuous"/>
      <protection hidden="1"/>
    </xf>
    <xf numFmtId="0" fontId="9" fillId="0" borderId="98" xfId="0" applyFont="1" applyBorder="1" applyAlignment="1" applyProtection="1">
      <alignment horizontal="centerContinuous"/>
      <protection hidden="1"/>
    </xf>
    <xf numFmtId="0" fontId="9" fillId="0" borderId="100" xfId="0" applyFont="1" applyBorder="1" applyAlignment="1" applyProtection="1">
      <alignment horizontal="center" vertical="center"/>
      <protection hidden="1"/>
    </xf>
    <xf numFmtId="182" fontId="34" fillId="0" borderId="52" xfId="0" applyNumberFormat="1" applyFont="1" applyBorder="1" applyAlignment="1">
      <alignment horizontal="center" vertical="center"/>
    </xf>
    <xf numFmtId="11" fontId="34" fillId="0" borderId="29" xfId="0" applyNumberFormat="1" applyFont="1" applyBorder="1" applyAlignment="1">
      <alignment horizontal="center" vertical="center"/>
    </xf>
    <xf numFmtId="1" fontId="34" fillId="0" borderId="29" xfId="0" applyNumberFormat="1" applyFont="1" applyBorder="1" applyAlignment="1">
      <alignment horizontal="center" vertical="center"/>
    </xf>
    <xf numFmtId="0" fontId="34" fillId="0" borderId="93" xfId="0" applyFont="1" applyBorder="1" applyAlignment="1">
      <alignment horizontal="center" vertical="center"/>
    </xf>
    <xf numFmtId="3" fontId="51" fillId="0" borderId="53" xfId="0" applyNumberFormat="1" applyFont="1" applyBorder="1" applyAlignment="1">
      <alignment horizontal="center" vertical="center"/>
    </xf>
    <xf numFmtId="3" fontId="34" fillId="0" borderId="40" xfId="0" applyNumberFormat="1" applyFont="1" applyBorder="1" applyAlignment="1">
      <alignment horizontal="center" vertical="center"/>
    </xf>
    <xf numFmtId="0" fontId="54" fillId="0" borderId="89" xfId="43" applyBorder="1"/>
    <xf numFmtId="175" fontId="69" fillId="0" borderId="29" xfId="43" applyNumberFormat="1" applyFont="1" applyBorder="1" applyAlignment="1">
      <alignment horizontal="center" vertical="center" wrapText="1"/>
    </xf>
    <xf numFmtId="175" fontId="69" fillId="0" borderId="40" xfId="43" applyNumberFormat="1" applyFont="1" applyBorder="1" applyAlignment="1" applyProtection="1">
      <alignment horizontal="center" vertical="center" wrapText="1"/>
      <protection hidden="1"/>
    </xf>
    <xf numFmtId="180" fontId="57" fillId="14" borderId="64" xfId="0" applyNumberFormat="1" applyFont="1" applyFill="1" applyBorder="1" applyAlignment="1">
      <alignment horizontal="left" vertical="center"/>
    </xf>
    <xf numFmtId="0" fontId="0" fillId="8" borderId="103" xfId="0" applyFill="1" applyBorder="1" applyAlignment="1">
      <alignment horizontal="center" vertical="center" wrapText="1"/>
    </xf>
    <xf numFmtId="0" fontId="57" fillId="13" borderId="0" xfId="0" applyFont="1" applyFill="1" applyAlignment="1">
      <alignment horizontal="center" vertical="center" wrapText="1"/>
    </xf>
    <xf numFmtId="0" fontId="0" fillId="8" borderId="104" xfId="0" applyFill="1" applyBorder="1" applyAlignment="1">
      <alignment horizontal="center" vertical="center" wrapText="1"/>
    </xf>
    <xf numFmtId="0" fontId="0" fillId="8" borderId="0" xfId="0" applyFill="1" applyAlignment="1">
      <alignment horizontal="center" vertical="center" wrapText="1"/>
    </xf>
    <xf numFmtId="0" fontId="57" fillId="14" borderId="101" xfId="0" applyFont="1" applyFill="1" applyBorder="1" applyAlignment="1">
      <alignment horizontal="left" vertical="center"/>
    </xf>
    <xf numFmtId="173" fontId="57" fillId="8" borderId="61" xfId="0" applyNumberFormat="1" applyFont="1" applyFill="1" applyBorder="1" applyAlignment="1">
      <alignment horizontal="center" vertical="center"/>
    </xf>
    <xf numFmtId="0" fontId="57" fillId="14" borderId="102" xfId="0" applyFont="1" applyFill="1" applyBorder="1" applyAlignment="1">
      <alignment horizontal="left" vertical="center" wrapText="1"/>
    </xf>
    <xf numFmtId="164" fontId="56" fillId="0" borderId="24" xfId="2" applyFont="1" applyBorder="1" applyAlignment="1">
      <alignment horizontal="center" vertical="center"/>
    </xf>
    <xf numFmtId="9" fontId="56" fillId="0" borderId="24" xfId="82" applyFont="1" applyBorder="1" applyAlignment="1">
      <alignment horizontal="center" vertical="center"/>
    </xf>
    <xf numFmtId="173" fontId="56" fillId="0" borderId="24" xfId="0" applyNumberFormat="1" applyFont="1" applyBorder="1" applyAlignment="1">
      <alignment horizontal="center" vertical="center"/>
    </xf>
    <xf numFmtId="173" fontId="56" fillId="0" borderId="24" xfId="2" applyNumberFormat="1" applyFont="1" applyBorder="1" applyAlignment="1">
      <alignment horizontal="center" vertical="center"/>
    </xf>
    <xf numFmtId="0" fontId="37" fillId="0" borderId="0" xfId="36" applyFont="1" applyAlignment="1" applyProtection="1">
      <alignment horizontal="right" vertical="center"/>
      <protection hidden="1"/>
    </xf>
    <xf numFmtId="0" fontId="57" fillId="9" borderId="24" xfId="0" applyFont="1" applyFill="1" applyBorder="1" applyAlignment="1">
      <alignment horizontal="center" vertical="center"/>
    </xf>
    <xf numFmtId="183" fontId="0" fillId="8" borderId="27" xfId="0" applyNumberFormat="1" applyFill="1" applyBorder="1" applyAlignment="1">
      <alignment horizontal="center" vertical="center"/>
    </xf>
    <xf numFmtId="183" fontId="0" fillId="8" borderId="0" xfId="0" applyNumberFormat="1" applyFill="1" applyAlignment="1">
      <alignment horizontal="center" vertical="center"/>
    </xf>
    <xf numFmtId="173" fontId="57" fillId="8" borderId="0" xfId="0" applyNumberFormat="1" applyFont="1" applyFill="1" applyAlignment="1">
      <alignment horizontal="center" vertical="center"/>
    </xf>
    <xf numFmtId="0" fontId="57" fillId="8" borderId="70" xfId="0" applyFont="1" applyFill="1" applyBorder="1" applyAlignment="1">
      <alignment horizontal="center" vertical="center" wrapText="1"/>
    </xf>
    <xf numFmtId="0" fontId="57" fillId="8" borderId="60" xfId="0" applyFont="1" applyFill="1" applyBorder="1" applyAlignment="1">
      <alignment horizontal="center" vertical="center" wrapText="1"/>
    </xf>
    <xf numFmtId="175" fontId="28" fillId="7" borderId="29" xfId="36" applyNumberFormat="1" applyFont="1" applyFill="1" applyBorder="1" applyAlignment="1">
      <alignment horizontal="center" vertical="center" wrapText="1"/>
    </xf>
    <xf numFmtId="0" fontId="71" fillId="8" borderId="0" xfId="0" applyFont="1" applyFill="1"/>
    <xf numFmtId="0" fontId="72" fillId="8" borderId="24" xfId="0" applyFont="1" applyFill="1" applyBorder="1" applyAlignment="1">
      <alignment horizontal="center" vertical="center" wrapText="1"/>
    </xf>
    <xf numFmtId="0" fontId="71" fillId="8" borderId="24" xfId="0" applyFont="1" applyFill="1" applyBorder="1" applyAlignment="1">
      <alignment horizontal="center" vertical="center" wrapText="1"/>
    </xf>
    <xf numFmtId="173" fontId="71" fillId="8" borderId="24" xfId="0" applyNumberFormat="1" applyFont="1" applyFill="1" applyBorder="1" applyAlignment="1">
      <alignment horizontal="center" vertical="center" wrapText="1"/>
    </xf>
    <xf numFmtId="173" fontId="72" fillId="8" borderId="24" xfId="0" applyNumberFormat="1" applyFont="1" applyFill="1" applyBorder="1" applyAlignment="1">
      <alignment horizontal="center" vertical="center" wrapText="1"/>
    </xf>
    <xf numFmtId="173" fontId="71" fillId="8" borderId="24" xfId="0" applyNumberFormat="1" applyFont="1" applyFill="1" applyBorder="1" applyAlignment="1">
      <alignment horizontal="center" vertical="center"/>
    </xf>
    <xf numFmtId="0" fontId="72" fillId="8" borderId="24" xfId="0" applyFont="1" applyFill="1" applyBorder="1" applyAlignment="1">
      <alignment horizontal="center" vertical="center"/>
    </xf>
    <xf numFmtId="0" fontId="0" fillId="0" borderId="75" xfId="0" applyBorder="1" applyAlignment="1">
      <alignment horizontal="center" vertical="center"/>
    </xf>
    <xf numFmtId="4" fontId="33" fillId="8" borderId="9" xfId="80" applyNumberFormat="1" applyFont="1" applyFill="1" applyBorder="1" applyAlignment="1" applyProtection="1">
      <alignment horizontal="center" vertical="center"/>
      <protection hidden="1"/>
    </xf>
    <xf numFmtId="10" fontId="9" fillId="0" borderId="93" xfId="36" applyNumberFormat="1" applyFont="1" applyBorder="1" applyAlignment="1">
      <alignment horizontal="center" vertical="center" wrapText="1"/>
    </xf>
    <xf numFmtId="49" fontId="42" fillId="8" borderId="81" xfId="80" applyNumberFormat="1" applyFont="1" applyFill="1" applyBorder="1" applyAlignment="1" applyProtection="1">
      <alignment vertical="center"/>
      <protection hidden="1"/>
    </xf>
    <xf numFmtId="164" fontId="73" fillId="8" borderId="0" xfId="2" applyFont="1" applyFill="1" applyAlignment="1">
      <alignment horizontal="center" vertical="center"/>
    </xf>
    <xf numFmtId="0" fontId="13" fillId="0" borderId="0" xfId="37" applyFont="1" applyAlignment="1">
      <alignment horizontal="center" vertical="center"/>
    </xf>
    <xf numFmtId="1" fontId="74" fillId="8" borderId="0" xfId="2" applyNumberFormat="1" applyFont="1" applyFill="1" applyAlignment="1">
      <alignment horizontal="center" vertical="center"/>
    </xf>
    <xf numFmtId="164" fontId="74" fillId="8" borderId="0" xfId="2" applyFont="1" applyFill="1" applyAlignment="1">
      <alignment horizontal="center" vertical="center"/>
    </xf>
    <xf numFmtId="0" fontId="54" fillId="12" borderId="84" xfId="43" applyFill="1" applyBorder="1" applyAlignment="1">
      <alignment horizontal="center" vertical="center"/>
    </xf>
    <xf numFmtId="0" fontId="54" fillId="0" borderId="0" xfId="43" applyAlignment="1">
      <alignment horizontal="center" vertical="center"/>
    </xf>
    <xf numFmtId="0" fontId="54" fillId="12" borderId="86" xfId="43" applyFill="1" applyBorder="1" applyAlignment="1">
      <alignment horizontal="center" vertical="center"/>
    </xf>
    <xf numFmtId="0" fontId="54" fillId="12" borderId="140" xfId="43" applyFill="1" applyBorder="1" applyAlignment="1">
      <alignment horizontal="center" vertical="center"/>
    </xf>
    <xf numFmtId="0" fontId="54" fillId="12" borderId="141" xfId="43" applyFill="1" applyBorder="1" applyAlignment="1">
      <alignment horizontal="center" vertical="center"/>
    </xf>
    <xf numFmtId="0" fontId="0" fillId="12" borderId="141" xfId="43" applyFont="1" applyFill="1" applyBorder="1" applyAlignment="1">
      <alignment horizontal="center" vertical="center"/>
    </xf>
    <xf numFmtId="0" fontId="80" fillId="0" borderId="0" xfId="36" applyFont="1" applyAlignment="1" applyProtection="1">
      <alignment horizontal="center" vertical="center"/>
      <protection hidden="1"/>
    </xf>
    <xf numFmtId="0" fontId="80" fillId="0" borderId="0" xfId="36" applyFont="1" applyAlignment="1">
      <alignment horizontal="center" vertical="center"/>
    </xf>
    <xf numFmtId="171" fontId="83" fillId="0" borderId="36" xfId="40" applyNumberFormat="1" applyFont="1" applyBorder="1" applyAlignment="1">
      <alignment horizontal="centerContinuous" vertical="center"/>
    </xf>
    <xf numFmtId="0" fontId="0" fillId="0" borderId="63" xfId="0" applyBorder="1" applyAlignment="1">
      <alignment horizontal="center" vertical="center"/>
    </xf>
    <xf numFmtId="0" fontId="34" fillId="0" borderId="29" xfId="0" applyFont="1" applyBorder="1" applyAlignment="1">
      <alignment horizontal="left" vertical="center" wrapText="1"/>
    </xf>
    <xf numFmtId="175" fontId="28" fillId="0" borderId="32" xfId="36" applyNumberFormat="1" applyFont="1" applyBorder="1" applyAlignment="1">
      <alignment vertical="center"/>
    </xf>
    <xf numFmtId="184" fontId="28" fillId="0" borderId="29" xfId="36" quotePrefix="1" applyNumberFormat="1" applyFont="1" applyBorder="1" applyAlignment="1">
      <alignment horizontal="center" vertical="center" wrapText="1"/>
    </xf>
    <xf numFmtId="185" fontId="34" fillId="0" borderId="29" xfId="0" applyNumberFormat="1" applyFont="1" applyBorder="1" applyAlignment="1">
      <alignment horizontal="center" vertical="center"/>
    </xf>
    <xf numFmtId="184" fontId="69" fillId="0" borderId="40" xfId="43" applyNumberFormat="1" applyFont="1" applyBorder="1" applyAlignment="1" applyProtection="1">
      <alignment horizontal="center" vertical="center" wrapText="1"/>
      <protection hidden="1"/>
    </xf>
    <xf numFmtId="184" fontId="69" fillId="0" borderId="29" xfId="43" applyNumberFormat="1" applyFont="1" applyBorder="1" applyAlignment="1">
      <alignment horizontal="center" vertical="center" wrapText="1"/>
    </xf>
    <xf numFmtId="184" fontId="71" fillId="8" borderId="24" xfId="0" applyNumberFormat="1" applyFont="1" applyFill="1" applyBorder="1" applyAlignment="1">
      <alignment horizontal="center" vertical="center" wrapText="1"/>
    </xf>
    <xf numFmtId="185" fontId="72" fillId="8" borderId="24" xfId="0" applyNumberFormat="1" applyFont="1" applyFill="1" applyBorder="1" applyAlignment="1">
      <alignment horizontal="center" vertical="center" wrapText="1"/>
    </xf>
    <xf numFmtId="185" fontId="72" fillId="8" borderId="24" xfId="0" applyNumberFormat="1" applyFont="1" applyFill="1" applyBorder="1" applyAlignment="1">
      <alignment horizontal="center" vertical="center"/>
    </xf>
    <xf numFmtId="1" fontId="86" fillId="0" borderId="22" xfId="36" applyNumberFormat="1" applyFont="1" applyBorder="1" applyAlignment="1">
      <alignment horizontal="center" vertical="center"/>
    </xf>
    <xf numFmtId="1" fontId="86" fillId="0" borderId="18" xfId="36" applyNumberFormat="1" applyFont="1" applyBorder="1" applyAlignment="1" applyProtection="1">
      <alignment horizontal="center" vertical="center"/>
      <protection hidden="1"/>
    </xf>
    <xf numFmtId="0" fontId="85" fillId="0" borderId="57" xfId="43" applyFont="1" applyBorder="1"/>
    <xf numFmtId="0" fontId="85" fillId="0" borderId="54" xfId="43" applyFont="1" applyBorder="1"/>
    <xf numFmtId="0" fontId="85" fillId="0" borderId="90" xfId="43" applyFont="1" applyBorder="1"/>
    <xf numFmtId="0" fontId="85" fillId="0" borderId="0" xfId="43" applyFont="1"/>
    <xf numFmtId="0" fontId="85" fillId="8" borderId="0" xfId="0" applyFont="1" applyFill="1"/>
    <xf numFmtId="0" fontId="87" fillId="0" borderId="0" xfId="0" applyFont="1" applyAlignment="1" applyProtection="1">
      <alignment horizontal="center" vertical="center"/>
      <protection hidden="1"/>
    </xf>
    <xf numFmtId="9" fontId="11" fillId="0" borderId="81" xfId="84" applyFont="1" applyFill="1" applyBorder="1" applyAlignment="1">
      <alignment horizontal="center" vertical="center"/>
    </xf>
    <xf numFmtId="0" fontId="90" fillId="17" borderId="8" xfId="35" applyFont="1" applyFill="1" applyBorder="1" applyAlignment="1">
      <alignment horizontal="center" vertical="center"/>
    </xf>
    <xf numFmtId="0" fontId="89" fillId="0" borderId="112" xfId="35" applyFont="1" applyBorder="1" applyAlignment="1">
      <alignment horizontal="center"/>
    </xf>
    <xf numFmtId="0" fontId="89" fillId="0" borderId="3" xfId="35" applyFont="1" applyBorder="1" applyAlignment="1">
      <alignment horizontal="center"/>
    </xf>
    <xf numFmtId="184" fontId="91" fillId="0" borderId="40" xfId="43" applyNumberFormat="1" applyFont="1" applyBorder="1" applyAlignment="1" applyProtection="1">
      <alignment horizontal="center" vertical="center" wrapText="1"/>
      <protection hidden="1"/>
    </xf>
    <xf numFmtId="0" fontId="55" fillId="16" borderId="0" xfId="35" applyFill="1"/>
    <xf numFmtId="0" fontId="92" fillId="18" borderId="0" xfId="35" applyFont="1" applyFill="1"/>
    <xf numFmtId="0" fontId="80" fillId="0" borderId="0" xfId="36" applyFont="1" applyAlignment="1">
      <alignment horizontal="centerContinuous"/>
    </xf>
    <xf numFmtId="0" fontId="27" fillId="0" borderId="0" xfId="36" applyFont="1" applyAlignment="1">
      <alignment horizontal="center" vertical="center" wrapText="1"/>
    </xf>
    <xf numFmtId="0" fontId="45" fillId="0" borderId="0" xfId="36" applyFont="1" applyAlignment="1">
      <alignment horizontal="center" vertical="center" wrapText="1"/>
    </xf>
    <xf numFmtId="0" fontId="25" fillId="0" borderId="0" xfId="36" applyFont="1" applyAlignment="1">
      <alignment vertical="center"/>
    </xf>
    <xf numFmtId="0" fontId="23" fillId="0" borderId="0" xfId="36" applyFont="1" applyAlignment="1">
      <alignment horizontal="center" vertical="center"/>
    </xf>
    <xf numFmtId="1" fontId="24" fillId="0" borderId="0" xfId="36" applyNumberFormat="1" applyFont="1" applyAlignment="1">
      <alignment horizontal="center" vertical="center" wrapText="1"/>
    </xf>
    <xf numFmtId="0" fontId="24" fillId="0" borderId="0" xfId="36" applyFont="1" applyAlignment="1">
      <alignment horizontal="center" vertical="center" wrapText="1"/>
    </xf>
    <xf numFmtId="0" fontId="4" fillId="0" borderId="146" xfId="36" applyFont="1" applyBorder="1" applyAlignment="1">
      <alignment horizontal="centerContinuous" vertical="center" wrapText="1"/>
    </xf>
    <xf numFmtId="0" fontId="57" fillId="0" borderId="79" xfId="43" applyFont="1" applyBorder="1" applyAlignment="1" applyProtection="1">
      <alignment horizontal="center" vertical="center"/>
      <protection hidden="1"/>
    </xf>
    <xf numFmtId="0" fontId="0" fillId="12" borderId="84" xfId="43" applyFont="1" applyFill="1" applyBorder="1" applyAlignment="1">
      <alignment horizontal="center" vertical="center"/>
    </xf>
    <xf numFmtId="0" fontId="0" fillId="12" borderId="140" xfId="43" applyFont="1" applyFill="1" applyBorder="1" applyAlignment="1">
      <alignment horizontal="center" vertical="center"/>
    </xf>
    <xf numFmtId="9" fontId="0" fillId="12" borderId="84" xfId="82" applyFont="1" applyFill="1" applyBorder="1" applyAlignment="1">
      <alignment horizontal="center" vertical="center"/>
    </xf>
    <xf numFmtId="9" fontId="0" fillId="12" borderId="140" xfId="82" applyFont="1" applyFill="1" applyBorder="1" applyAlignment="1">
      <alignment horizontal="center" vertical="center"/>
    </xf>
    <xf numFmtId="9" fontId="0" fillId="12" borderId="141" xfId="82" applyFont="1" applyFill="1" applyBorder="1" applyAlignment="1">
      <alignment horizontal="center" vertical="center"/>
    </xf>
    <xf numFmtId="9" fontId="54" fillId="12" borderId="141"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93" fillId="0" borderId="48" xfId="36" applyFont="1" applyBorder="1" applyAlignment="1">
      <alignment horizontal="center" vertical="center"/>
    </xf>
    <xf numFmtId="0" fontId="93" fillId="0" borderId="0" xfId="36" applyFont="1" applyAlignment="1">
      <alignment horizontal="center" vertical="center"/>
    </xf>
    <xf numFmtId="0" fontId="93" fillId="0" borderId="33" xfId="36" applyFont="1" applyBorder="1" applyAlignment="1">
      <alignment horizontal="center" vertical="center"/>
    </xf>
    <xf numFmtId="0" fontId="2" fillId="0" borderId="101" xfId="36" applyBorder="1" applyAlignment="1">
      <alignment horizontal="center" vertical="center"/>
    </xf>
    <xf numFmtId="0" fontId="2" fillId="0" borderId="24" xfId="36" applyBorder="1" applyAlignment="1">
      <alignment horizontal="center" vertical="center"/>
    </xf>
    <xf numFmtId="0" fontId="2" fillId="0" borderId="60"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45" fillId="0" borderId="37" xfId="36" applyFont="1" applyBorder="1" applyAlignment="1">
      <alignment horizontal="center" vertical="center" wrapText="1"/>
    </xf>
    <xf numFmtId="0" fontId="45" fillId="0" borderId="94" xfId="36" applyFont="1" applyBorder="1" applyAlignment="1">
      <alignment horizontal="center" vertical="center" wrapText="1"/>
    </xf>
    <xf numFmtId="0" fontId="45" fillId="0" borderId="33" xfId="36" applyFont="1" applyBorder="1" applyAlignment="1">
      <alignment horizontal="center" vertical="center" wrapText="1"/>
    </xf>
    <xf numFmtId="0" fontId="58" fillId="0" borderId="0" xfId="35" applyFont="1" applyAlignment="1">
      <alignment horizontal="center"/>
    </xf>
    <xf numFmtId="0" fontId="77" fillId="8" borderId="66" xfId="35" applyFont="1" applyFill="1" applyBorder="1" applyAlignment="1">
      <alignment horizontal="center" vertical="center"/>
    </xf>
    <xf numFmtId="185" fontId="62" fillId="8" borderId="66" xfId="35" applyNumberFormat="1" applyFont="1" applyFill="1" applyBorder="1" applyAlignment="1">
      <alignment horizontal="center" vertical="center"/>
    </xf>
    <xf numFmtId="0" fontId="9" fillId="19" borderId="61"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80" fillId="4" borderId="0" xfId="40" applyFont="1" applyFill="1"/>
    <xf numFmtId="0" fontId="80"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80" fillId="0" borderId="0" xfId="36" applyFont="1"/>
    <xf numFmtId="0" fontId="5" fillId="0" borderId="0" xfId="40" applyFont="1" applyAlignment="1">
      <alignment horizontal="centerContinuous" vertical="center"/>
    </xf>
    <xf numFmtId="0" fontId="5" fillId="0" borderId="51" xfId="40" applyFont="1" applyBorder="1" applyAlignment="1">
      <alignment horizontal="right" vertical="center"/>
    </xf>
    <xf numFmtId="0" fontId="5" fillId="0" borderId="51" xfId="40" applyFont="1" applyBorder="1" applyAlignment="1">
      <alignment vertical="center"/>
    </xf>
    <xf numFmtId="0" fontId="96" fillId="4" borderId="0" xfId="40" applyFont="1" applyFill="1"/>
    <xf numFmtId="0" fontId="2" fillId="4" borderId="41" xfId="40" applyFill="1" applyBorder="1"/>
    <xf numFmtId="0" fontId="2" fillId="4" borderId="51" xfId="40" applyFill="1" applyBorder="1"/>
    <xf numFmtId="0" fontId="2" fillId="0" borderId="51" xfId="40" applyBorder="1"/>
    <xf numFmtId="191" fontId="5" fillId="0" borderId="150" xfId="91" applyNumberFormat="1" applyFont="1" applyFill="1" applyBorder="1" applyAlignment="1" applyProtection="1">
      <alignment vertical="center"/>
      <protection locked="0"/>
    </xf>
    <xf numFmtId="0" fontId="5" fillId="0" borderId="41" xfId="40" applyFont="1" applyBorder="1" applyAlignment="1">
      <alignment horizontal="left" vertical="center"/>
    </xf>
    <xf numFmtId="183" fontId="5" fillId="4" borderId="150" xfId="92" applyNumberFormat="1" applyFont="1" applyFill="1" applyBorder="1" applyAlignment="1"/>
    <xf numFmtId="0" fontId="5" fillId="0" borderId="41" xfId="40" applyFont="1" applyBorder="1" applyAlignment="1">
      <alignment horizontal="center" vertical="center" wrapText="1"/>
    </xf>
    <xf numFmtId="0" fontId="5" fillId="0" borderId="51" xfId="40" applyFont="1" applyBorder="1" applyAlignment="1">
      <alignment horizontal="center" vertical="center" wrapText="1"/>
    </xf>
    <xf numFmtId="0" fontId="96"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3" fontId="5" fillId="4" borderId="106" xfId="92" applyNumberFormat="1" applyFont="1" applyFill="1" applyBorder="1" applyAlignment="1">
      <alignment horizontal="center" vertical="center"/>
    </xf>
    <xf numFmtId="2" fontId="5" fillId="4" borderId="60" xfId="92" applyNumberFormat="1" applyFont="1" applyFill="1" applyBorder="1" applyAlignment="1"/>
    <xf numFmtId="183" fontId="5" fillId="4" borderId="60" xfId="92" applyNumberFormat="1" applyFont="1" applyFill="1" applyBorder="1" applyAlignment="1"/>
    <xf numFmtId="183" fontId="5" fillId="4" borderId="61" xfId="92" applyNumberFormat="1" applyFont="1" applyFill="1" applyBorder="1" applyAlignment="1"/>
    <xf numFmtId="0" fontId="96" fillId="4" borderId="0" xfId="40" applyFont="1" applyFill="1" applyAlignment="1">
      <alignment wrapText="1"/>
    </xf>
    <xf numFmtId="0" fontId="9" fillId="4" borderId="0" xfId="40" applyFont="1" applyFill="1" applyAlignment="1">
      <alignment vertical="center"/>
    </xf>
    <xf numFmtId="183" fontId="51" fillId="4" borderId="0" xfId="92" applyNumberFormat="1" applyFont="1" applyFill="1" applyBorder="1" applyAlignment="1"/>
    <xf numFmtId="0" fontId="80" fillId="4" borderId="0" xfId="40" applyFont="1" applyFill="1" applyAlignment="1">
      <alignment wrapText="1"/>
    </xf>
    <xf numFmtId="0" fontId="80"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52" xfId="40" applyNumberFormat="1" applyFont="1" applyFill="1" applyBorder="1" applyAlignment="1">
      <alignment horizontal="center" vertical="center" wrapText="1"/>
    </xf>
    <xf numFmtId="1" fontId="5" fillId="4" borderId="153" xfId="40" applyNumberFormat="1" applyFont="1" applyFill="1" applyBorder="1" applyAlignment="1">
      <alignment horizontal="left" vertical="center" wrapText="1"/>
    </xf>
    <xf numFmtId="3" fontId="5" fillId="0" borderId="153" xfId="40" applyNumberFormat="1" applyFont="1" applyBorder="1" applyAlignment="1">
      <alignment horizontal="center" vertical="center" wrapText="1"/>
    </xf>
    <xf numFmtId="195" fontId="5" fillId="0" borderId="153" xfId="40" applyNumberFormat="1" applyFont="1" applyBorder="1" applyAlignment="1">
      <alignment horizontal="center" vertical="center" wrapText="1"/>
    </xf>
    <xf numFmtId="184" fontId="5" fillId="0" borderId="154" xfId="40" applyNumberFormat="1" applyFont="1" applyBorder="1" applyAlignment="1">
      <alignment horizontal="center" vertical="center" wrapText="1"/>
    </xf>
    <xf numFmtId="187" fontId="80" fillId="4" borderId="0" xfId="90" applyFont="1" applyFill="1" applyAlignment="1">
      <alignment horizontal="center" vertical="center"/>
    </xf>
    <xf numFmtId="0" fontId="5" fillId="0" borderId="60" xfId="36" applyFont="1" applyBorder="1" applyAlignment="1">
      <alignment horizontal="center" vertical="center"/>
    </xf>
    <xf numFmtId="0" fontId="5" fillId="4" borderId="60" xfId="40" applyFont="1" applyFill="1" applyBorder="1" applyAlignment="1">
      <alignment horizontal="center"/>
    </xf>
    <xf numFmtId="10" fontId="5" fillId="4" borderId="60" xfId="40" applyNumberFormat="1" applyFont="1" applyFill="1" applyBorder="1" applyAlignment="1">
      <alignment horizontal="center" vertical="center" wrapText="1"/>
    </xf>
    <xf numFmtId="0" fontId="9" fillId="4" borderId="37" xfId="40" applyFont="1" applyFill="1" applyBorder="1" applyAlignment="1">
      <alignment horizontal="center" vertical="center" wrapText="1"/>
    </xf>
    <xf numFmtId="0" fontId="9" fillId="4" borderId="34" xfId="40" applyFont="1" applyFill="1" applyBorder="1" applyAlignment="1">
      <alignment horizontal="center" vertical="center"/>
    </xf>
    <xf numFmtId="4" fontId="9" fillId="4" borderId="34" xfId="40" applyNumberFormat="1" applyFont="1" applyFill="1" applyBorder="1" applyAlignment="1">
      <alignment horizontal="center" vertical="center"/>
    </xf>
    <xf numFmtId="0" fontId="2" fillId="4" borderId="0" xfId="40" applyFill="1" applyAlignment="1">
      <alignment horizontal="center" vertical="center"/>
    </xf>
    <xf numFmtId="0" fontId="89" fillId="21" borderId="20" xfId="35" applyFont="1" applyFill="1" applyBorder="1" applyAlignment="1">
      <alignment horizontal="center" vertical="center"/>
    </xf>
    <xf numFmtId="3" fontId="5" fillId="0" borderId="29" xfId="36" quotePrefix="1" applyNumberFormat="1" applyFont="1" applyBorder="1" applyAlignment="1" applyProtection="1">
      <alignment horizontal="center" vertical="center"/>
      <protection hidden="1"/>
    </xf>
    <xf numFmtId="2" fontId="5" fillId="4" borderId="153" xfId="40" applyNumberFormat="1" applyFont="1" applyFill="1" applyBorder="1" applyAlignment="1">
      <alignment horizontal="center" vertical="center" wrapText="1"/>
    </xf>
    <xf numFmtId="41" fontId="2" fillId="23" borderId="0" xfId="93" applyFont="1" applyFill="1" applyBorder="1"/>
    <xf numFmtId="0" fontId="2" fillId="4" borderId="0" xfId="40" applyFill="1" applyAlignment="1">
      <alignment horizontal="left" vertical="top" wrapText="1"/>
    </xf>
    <xf numFmtId="193" fontId="2" fillId="0" borderId="0" xfId="36" applyNumberFormat="1"/>
    <xf numFmtId="183" fontId="0" fillId="0" borderId="0" xfId="92" applyNumberFormat="1" applyFont="1" applyBorder="1"/>
    <xf numFmtId="0" fontId="98"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0" fontId="51" fillId="20" borderId="14" xfId="40" applyFont="1" applyFill="1" applyBorder="1" applyAlignment="1">
      <alignment horizontal="center" vertical="center" wrapText="1"/>
    </xf>
    <xf numFmtId="0" fontId="51" fillId="20" borderId="34" xfId="40" applyFont="1" applyFill="1" applyBorder="1" applyAlignment="1">
      <alignment horizontal="center" vertical="center"/>
    </xf>
    <xf numFmtId="0" fontId="99" fillId="20" borderId="34" xfId="40" applyFont="1" applyFill="1" applyBorder="1" applyAlignment="1">
      <alignment horizontal="center" vertical="center" wrapText="1"/>
    </xf>
    <xf numFmtId="1" fontId="5" fillId="4" borderId="61" xfId="40" applyNumberFormat="1" applyFont="1" applyFill="1" applyBorder="1" applyAlignment="1">
      <alignment horizontal="center" vertical="center" wrapText="1"/>
    </xf>
    <xf numFmtId="0" fontId="2" fillId="0" borderId="0" xfId="36" applyAlignment="1">
      <alignment vertical="center" wrapText="1"/>
    </xf>
    <xf numFmtId="4" fontId="79" fillId="0" borderId="92" xfId="87" applyNumberFormat="1" applyFont="1" applyFill="1" applyBorder="1" applyAlignment="1">
      <alignment horizontal="center" vertical="center" wrapText="1"/>
    </xf>
    <xf numFmtId="185" fontId="25" fillId="0" borderId="58" xfId="36" applyNumberFormat="1" applyFont="1" applyBorder="1" applyAlignment="1">
      <alignment horizontal="center" vertical="center" wrapText="1"/>
    </xf>
    <xf numFmtId="0" fontId="65" fillId="24" borderId="120" xfId="36" applyFont="1" applyFill="1" applyBorder="1" applyAlignment="1">
      <alignment horizontal="center" vertical="center" wrapText="1"/>
    </xf>
    <xf numFmtId="0" fontId="65" fillId="24" borderId="15" xfId="36" applyFont="1" applyFill="1" applyBorder="1" applyAlignment="1">
      <alignment vertical="center" wrapText="1"/>
    </xf>
    <xf numFmtId="196" fontId="101" fillId="24" borderId="15" xfId="36" applyNumberFormat="1" applyFont="1" applyFill="1" applyBorder="1" applyAlignment="1">
      <alignment horizontal="center" vertical="center" wrapText="1"/>
    </xf>
    <xf numFmtId="196" fontId="101" fillId="24" borderId="50" xfId="36" applyNumberFormat="1" applyFont="1" applyFill="1" applyBorder="1" applyAlignment="1">
      <alignment horizontal="center" vertical="center" wrapText="1"/>
    </xf>
    <xf numFmtId="196" fontId="102" fillId="24" borderId="50" xfId="43" applyNumberFormat="1" applyFont="1" applyFill="1" applyBorder="1" applyAlignment="1">
      <alignment horizontal="center" vertical="center" wrapText="1"/>
    </xf>
    <xf numFmtId="0" fontId="76" fillId="0" borderId="69" xfId="35" applyFont="1" applyBorder="1" applyAlignment="1">
      <alignment vertical="center"/>
    </xf>
    <xf numFmtId="0" fontId="76" fillId="0" borderId="11" xfId="35" applyFont="1" applyBorder="1" applyAlignment="1">
      <alignment vertical="center"/>
    </xf>
    <xf numFmtId="0" fontId="76" fillId="0" borderId="127" xfId="35" applyFont="1" applyBorder="1" applyAlignment="1">
      <alignment vertical="center"/>
    </xf>
    <xf numFmtId="0" fontId="94" fillId="0" borderId="58" xfId="36" applyFont="1" applyBorder="1" applyAlignment="1">
      <alignment horizontal="center" vertical="center" wrapText="1"/>
    </xf>
    <xf numFmtId="1" fontId="8" fillId="0" borderId="0" xfId="36" applyNumberFormat="1" applyFont="1" applyAlignment="1">
      <alignment horizontal="center" vertical="center" wrapText="1"/>
    </xf>
    <xf numFmtId="9" fontId="8" fillId="0" borderId="0" xfId="82" applyFont="1" applyFill="1" applyBorder="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0" fontId="2" fillId="0" borderId="92" xfId="36" applyBorder="1" applyAlignment="1">
      <alignment horizontal="center" vertical="center" wrapText="1"/>
    </xf>
    <xf numFmtId="1" fontId="106" fillId="0" borderId="92" xfId="82" applyNumberFormat="1" applyFont="1" applyFill="1" applyBorder="1" applyAlignment="1">
      <alignment horizontal="center" vertical="center"/>
    </xf>
    <xf numFmtId="0" fontId="72" fillId="0" borderId="0" xfId="35" applyFont="1" applyAlignment="1">
      <alignment horizontal="center" vertical="center" wrapText="1"/>
    </xf>
    <xf numFmtId="0" fontId="72" fillId="0" borderId="32" xfId="35" applyFont="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5" xfId="40" applyNumberFormat="1" applyFont="1" applyFill="1" applyBorder="1" applyAlignment="1">
      <alignment horizontal="center" vertical="center" wrapText="1"/>
    </xf>
    <xf numFmtId="0" fontId="9" fillId="25" borderId="61" xfId="36" quotePrefix="1" applyFont="1" applyFill="1" applyBorder="1" applyAlignment="1">
      <alignment horizontal="center" vertical="center" wrapText="1"/>
    </xf>
    <xf numFmtId="199" fontId="2" fillId="4" borderId="0" xfId="40" applyNumberFormat="1" applyFill="1"/>
    <xf numFmtId="164" fontId="5" fillId="22" borderId="0" xfId="3" applyFont="1" applyFill="1" applyAlignment="1">
      <alignment horizontal="center" vertical="center"/>
    </xf>
    <xf numFmtId="0" fontId="7" fillId="4" borderId="0" xfId="40" applyFont="1" applyFill="1" applyAlignment="1">
      <alignment horizontal="center" vertical="center"/>
    </xf>
    <xf numFmtId="0" fontId="5" fillId="26" borderId="0" xfId="40" applyFont="1" applyFill="1"/>
    <xf numFmtId="0" fontId="2" fillId="4" borderId="71" xfId="40" applyFill="1" applyBorder="1"/>
    <xf numFmtId="164" fontId="2" fillId="4" borderId="71" xfId="3" applyFont="1" applyFill="1" applyBorder="1"/>
    <xf numFmtId="164" fontId="2" fillId="4" borderId="0" xfId="3" applyFont="1" applyFill="1"/>
    <xf numFmtId="0" fontId="5" fillId="19" borderId="0" xfId="40" applyFont="1" applyFill="1"/>
    <xf numFmtId="0" fontId="5" fillId="27" borderId="0" xfId="40" applyFont="1" applyFill="1"/>
    <xf numFmtId="0" fontId="5" fillId="28" borderId="0" xfId="40" applyFont="1" applyFill="1"/>
    <xf numFmtId="187" fontId="5" fillId="0" borderId="0" xfId="90" applyFont="1" applyFill="1" applyBorder="1" applyAlignment="1" applyProtection="1">
      <alignment horizontal="center" vertical="center" wrapText="1"/>
    </xf>
    <xf numFmtId="191"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4" fontId="5" fillId="0" borderId="0" xfId="40" applyNumberFormat="1" applyFont="1" applyAlignment="1">
      <alignment horizontal="center" vertical="center" wrapText="1"/>
    </xf>
    <xf numFmtId="0" fontId="51" fillId="0" borderId="0" xfId="40" applyFont="1" applyAlignment="1">
      <alignment horizontal="center" vertical="center" wrapText="1"/>
    </xf>
    <xf numFmtId="190" fontId="5" fillId="0" borderId="0" xfId="90" applyNumberFormat="1" applyFont="1" applyFill="1" applyBorder="1" applyAlignment="1" applyProtection="1">
      <alignment horizontal="center" vertical="center" wrapText="1"/>
    </xf>
    <xf numFmtId="183" fontId="5" fillId="0" borderId="0" xfId="92" applyNumberFormat="1" applyFont="1" applyFill="1" applyBorder="1" applyAlignment="1"/>
    <xf numFmtId="0" fontId="51" fillId="0" borderId="0" xfId="40" applyFont="1" applyAlignment="1">
      <alignment horizontal="left" vertical="center" wrapText="1"/>
    </xf>
    <xf numFmtId="183" fontId="5" fillId="0" borderId="0" xfId="92" applyNumberFormat="1" applyFont="1" applyFill="1" applyBorder="1" applyAlignment="1">
      <alignment horizontal="center" vertical="center"/>
    </xf>
    <xf numFmtId="2" fontId="5" fillId="0" borderId="0" xfId="92" applyNumberFormat="1" applyFont="1" applyFill="1" applyBorder="1" applyAlignment="1"/>
    <xf numFmtId="194" fontId="51"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51" fillId="20" borderId="42" xfId="40" applyFont="1" applyFill="1" applyBorder="1" applyAlignment="1">
      <alignment horizontal="center" vertical="center"/>
    </xf>
    <xf numFmtId="0" fontId="51" fillId="20" borderId="3" xfId="40" applyFont="1" applyFill="1" applyBorder="1" applyAlignment="1">
      <alignment horizontal="center" vertical="center"/>
    </xf>
    <xf numFmtId="0" fontId="5" fillId="0" borderId="144" xfId="36" applyFont="1" applyBorder="1" applyAlignment="1">
      <alignment horizontal="center" vertical="center"/>
    </xf>
    <xf numFmtId="0" fontId="5" fillId="4" borderId="144" xfId="40" applyFont="1" applyFill="1" applyBorder="1" applyAlignment="1">
      <alignment horizontal="center"/>
    </xf>
    <xf numFmtId="10" fontId="5" fillId="4" borderId="144" xfId="40" applyNumberFormat="1" applyFont="1" applyFill="1" applyBorder="1" applyAlignment="1">
      <alignment horizontal="center" vertical="center" wrapText="1"/>
    </xf>
    <xf numFmtId="1" fontId="5" fillId="4" borderId="92" xfId="40" applyNumberFormat="1" applyFont="1" applyFill="1" applyBorder="1" applyAlignment="1">
      <alignment horizontal="center" vertical="center" wrapText="1"/>
    </xf>
    <xf numFmtId="10" fontId="9" fillId="4" borderId="115" xfId="40" applyNumberFormat="1" applyFont="1" applyFill="1" applyBorder="1" applyAlignment="1">
      <alignment horizontal="center" vertical="center" wrapText="1"/>
    </xf>
    <xf numFmtId="0" fontId="108" fillId="0" borderId="0" xfId="35" applyFont="1" applyAlignment="1">
      <alignment horizontal="center" vertical="center"/>
    </xf>
    <xf numFmtId="0" fontId="109" fillId="0" borderId="0" xfId="35" applyFont="1"/>
    <xf numFmtId="0" fontId="110" fillId="0" borderId="80" xfId="43" applyFont="1" applyBorder="1" applyAlignment="1" applyProtection="1">
      <alignment horizontal="center" vertical="center"/>
      <protection hidden="1"/>
    </xf>
    <xf numFmtId="0" fontId="91" fillId="0" borderId="53" xfId="43" applyFont="1" applyBorder="1" applyAlignment="1">
      <alignment horizontal="center" vertical="center" wrapText="1"/>
    </xf>
    <xf numFmtId="0" fontId="23" fillId="30" borderId="34" xfId="36" applyFont="1" applyFill="1" applyBorder="1" applyAlignment="1">
      <alignment horizontal="right" vertical="center"/>
    </xf>
    <xf numFmtId="167" fontId="23" fillId="30" borderId="34" xfId="36" applyNumberFormat="1" applyFont="1" applyFill="1" applyBorder="1" applyAlignment="1">
      <alignment horizontal="center" vertical="center"/>
    </xf>
    <xf numFmtId="0" fontId="110" fillId="31" borderId="5" xfId="43" applyFont="1" applyFill="1" applyBorder="1" applyAlignment="1">
      <alignment horizontal="center" vertical="center"/>
    </xf>
    <xf numFmtId="0" fontId="81" fillId="32" borderId="84" xfId="43" applyFont="1" applyFill="1" applyBorder="1" applyAlignment="1">
      <alignment horizontal="center" vertical="center"/>
    </xf>
    <xf numFmtId="0" fontId="9" fillId="0" borderId="161" xfId="36" applyFont="1" applyBorder="1" applyAlignment="1">
      <alignment vertical="center"/>
    </xf>
    <xf numFmtId="0" fontId="4" fillId="0" borderId="56" xfId="36" applyFont="1" applyBorder="1" applyAlignment="1">
      <alignment horizontal="center" vertical="center" wrapText="1"/>
    </xf>
    <xf numFmtId="166" fontId="4" fillId="0" borderId="164" xfId="36" applyNumberFormat="1" applyFont="1" applyBorder="1" applyAlignment="1">
      <alignment horizontal="left" vertical="center" wrapText="1"/>
    </xf>
    <xf numFmtId="0" fontId="51" fillId="20" borderId="115" xfId="40" applyFont="1" applyFill="1" applyBorder="1" applyAlignment="1">
      <alignment horizontal="center" vertical="center" wrapText="1"/>
    </xf>
    <xf numFmtId="1" fontId="5" fillId="4" borderId="145" xfId="40" applyNumberFormat="1" applyFont="1" applyFill="1" applyBorder="1" applyAlignment="1">
      <alignment horizontal="center" vertical="center" wrapText="1"/>
    </xf>
    <xf numFmtId="191" fontId="5" fillId="0" borderId="151" xfId="91" applyNumberFormat="1" applyFont="1" applyFill="1" applyBorder="1" applyAlignment="1" applyProtection="1">
      <alignment vertical="center"/>
      <protection locked="0"/>
    </xf>
    <xf numFmtId="0" fontId="4" fillId="0" borderId="146" xfId="36" applyFont="1" applyBorder="1" applyAlignment="1">
      <alignment horizontal="center" vertical="center" wrapText="1"/>
    </xf>
    <xf numFmtId="1" fontId="9" fillId="8" borderId="146" xfId="36" applyNumberFormat="1" applyFont="1" applyFill="1" applyBorder="1" applyAlignment="1">
      <alignment horizontal="center" vertical="center" wrapText="1"/>
    </xf>
    <xf numFmtId="1" fontId="111" fillId="0" borderId="166" xfId="36" applyNumberFormat="1" applyFont="1" applyBorder="1" applyAlignment="1">
      <alignment horizontal="center" vertical="center"/>
    </xf>
    <xf numFmtId="0" fontId="111" fillId="8" borderId="165" xfId="36" applyFont="1" applyFill="1" applyBorder="1" applyAlignment="1">
      <alignment horizontal="center" vertical="center" wrapText="1"/>
    </xf>
    <xf numFmtId="190" fontId="7" fillId="4" borderId="106" xfId="90" applyNumberFormat="1" applyFont="1" applyFill="1" applyBorder="1" applyAlignment="1" applyProtection="1">
      <alignment horizontal="center" vertical="center" wrapText="1"/>
    </xf>
    <xf numFmtId="173" fontId="83" fillId="0" borderId="0" xfId="2" applyNumberFormat="1" applyFont="1" applyFill="1" applyBorder="1" applyAlignment="1">
      <alignment horizontal="center" vertical="center" wrapText="1"/>
    </xf>
    <xf numFmtId="184" fontId="4" fillId="0" borderId="0" xfId="41" applyNumberFormat="1" applyFont="1" applyAlignment="1">
      <alignment horizontal="center" vertical="center"/>
    </xf>
    <xf numFmtId="0" fontId="9" fillId="0" borderId="17" xfId="36" applyFont="1" applyBorder="1" applyAlignment="1">
      <alignment vertical="center"/>
    </xf>
    <xf numFmtId="0" fontId="37" fillId="0" borderId="18" xfId="36" applyFont="1" applyBorder="1" applyAlignment="1">
      <alignment horizontal="center" vertical="center" wrapText="1"/>
    </xf>
    <xf numFmtId="39" fontId="83" fillId="0" borderId="50" xfId="2" applyNumberFormat="1" applyFont="1" applyFill="1" applyBorder="1" applyAlignment="1">
      <alignment horizontal="center" vertical="center" wrapText="1"/>
    </xf>
    <xf numFmtId="0" fontId="81" fillId="32" borderId="140" xfId="43" applyFont="1" applyFill="1" applyBorder="1" applyAlignment="1">
      <alignment horizontal="center" vertical="center"/>
    </xf>
    <xf numFmtId="0" fontId="81" fillId="32" borderId="141" xfId="43" applyFont="1" applyFill="1" applyBorder="1" applyAlignment="1">
      <alignment horizontal="center" vertical="center"/>
    </xf>
    <xf numFmtId="0" fontId="117" fillId="32" borderId="141" xfId="43" applyFont="1" applyFill="1" applyBorder="1" applyAlignment="1">
      <alignment horizontal="center" vertical="center"/>
    </xf>
    <xf numFmtId="0" fontId="81" fillId="0" borderId="0" xfId="43" applyFont="1"/>
    <xf numFmtId="184" fontId="5" fillId="0" borderId="91" xfId="40" applyNumberFormat="1" applyFont="1" applyBorder="1" applyAlignment="1">
      <alignment horizontal="center" vertical="center" wrapText="1"/>
    </xf>
    <xf numFmtId="184" fontId="5" fillId="0" borderId="144"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82" fillId="0" borderId="0" xfId="36" applyFont="1" applyAlignment="1">
      <alignment vertical="center" wrapText="1"/>
    </xf>
    <xf numFmtId="0" fontId="2" fillId="0" borderId="34" xfId="36" applyBorder="1" applyProtection="1">
      <protection hidden="1"/>
    </xf>
    <xf numFmtId="0" fontId="2" fillId="0" borderId="11" xfId="36" applyBorder="1" applyProtection="1">
      <protection hidden="1"/>
    </xf>
    <xf numFmtId="0" fontId="88" fillId="0" borderId="24" xfId="35" applyFont="1" applyBorder="1" applyAlignment="1">
      <alignment horizontal="center" vertical="center" wrapText="1"/>
    </xf>
    <xf numFmtId="0" fontId="80" fillId="0" borderId="0" xfId="40" applyFont="1"/>
    <xf numFmtId="0" fontId="82" fillId="4" borderId="37" xfId="40" applyFont="1" applyFill="1" applyBorder="1"/>
    <xf numFmtId="0" fontId="80" fillId="4" borderId="48" xfId="40" applyFont="1" applyFill="1" applyBorder="1" applyAlignment="1">
      <alignment horizontal="center" vertical="center"/>
    </xf>
    <xf numFmtId="0" fontId="2" fillId="4" borderId="33" xfId="40" applyFill="1" applyBorder="1"/>
    <xf numFmtId="187" fontId="96" fillId="22" borderId="48" xfId="90" applyFont="1" applyFill="1" applyBorder="1" applyAlignment="1">
      <alignment horizontal="center" vertical="center"/>
    </xf>
    <xf numFmtId="187" fontId="96" fillId="22" borderId="0" xfId="90" applyFont="1" applyFill="1" applyBorder="1" applyAlignment="1">
      <alignment horizontal="center" vertical="center"/>
    </xf>
    <xf numFmtId="187" fontId="80" fillId="4" borderId="0" xfId="90" applyFont="1" applyFill="1" applyBorder="1" applyAlignment="1">
      <alignment horizontal="center" vertical="center"/>
    </xf>
    <xf numFmtId="0" fontId="96" fillId="23" borderId="0" xfId="40" applyFont="1" applyFill="1"/>
    <xf numFmtId="41" fontId="2" fillId="23" borderId="33" xfId="93" applyFont="1" applyFill="1" applyBorder="1"/>
    <xf numFmtId="187" fontId="80" fillId="4" borderId="48" xfId="90" applyFont="1" applyFill="1" applyBorder="1" applyAlignment="1">
      <alignment horizontal="center" vertical="center"/>
    </xf>
    <xf numFmtId="0" fontId="2" fillId="0" borderId="33" xfId="36" applyBorder="1"/>
    <xf numFmtId="0" fontId="2" fillId="4" borderId="33" xfId="40" applyFill="1" applyBorder="1" applyAlignment="1">
      <alignment wrapText="1"/>
    </xf>
    <xf numFmtId="187" fontId="80" fillId="4" borderId="14" xfId="90" applyFont="1" applyFill="1" applyBorder="1" applyAlignment="1">
      <alignment horizontal="center" vertical="center"/>
    </xf>
    <xf numFmtId="187" fontId="80" fillId="4" borderId="34" xfId="90" applyFont="1" applyFill="1" applyBorder="1" applyAlignment="1">
      <alignment horizontal="center" vertical="center"/>
    </xf>
    <xf numFmtId="0" fontId="2" fillId="4" borderId="34" xfId="40" applyFill="1" applyBorder="1"/>
    <xf numFmtId="0" fontId="96" fillId="4" borderId="34" xfId="40" applyFont="1" applyFill="1" applyBorder="1"/>
    <xf numFmtId="0" fontId="2" fillId="4" borderId="42" xfId="40" applyFill="1" applyBorder="1"/>
    <xf numFmtId="0" fontId="9" fillId="34" borderId="44" xfId="36" applyFont="1" applyFill="1" applyBorder="1" applyAlignment="1">
      <alignment horizontal="center" vertical="center" wrapText="1"/>
    </xf>
    <xf numFmtId="0" fontId="9" fillId="34" borderId="42" xfId="36" applyFont="1" applyFill="1" applyBorder="1" applyAlignment="1">
      <alignment horizontal="center" vertical="center" wrapText="1"/>
    </xf>
    <xf numFmtId="4" fontId="4" fillId="34" borderId="61" xfId="41" applyNumberFormat="1" applyFont="1" applyFill="1" applyBorder="1" applyAlignment="1">
      <alignment horizontal="center" vertical="center"/>
    </xf>
    <xf numFmtId="0" fontId="5" fillId="34" borderId="112" xfId="40" applyFont="1" applyFill="1" applyBorder="1" applyAlignment="1">
      <alignment vertical="center" wrapText="1"/>
    </xf>
    <xf numFmtId="0" fontId="9" fillId="34" borderId="8" xfId="40" applyFont="1" applyFill="1" applyBorder="1" applyAlignment="1">
      <alignment horizontal="center" vertical="center" wrapText="1"/>
    </xf>
    <xf numFmtId="0" fontId="9" fillId="34" borderId="46" xfId="40" applyFont="1" applyFill="1" applyBorder="1" applyAlignment="1">
      <alignment horizontal="center" vertical="center" wrapText="1"/>
    </xf>
    <xf numFmtId="167" fontId="9" fillId="34" borderId="13" xfId="40" applyNumberFormat="1" applyFont="1" applyFill="1" applyBorder="1" applyAlignment="1">
      <alignment horizontal="center" vertical="center" wrapText="1"/>
    </xf>
    <xf numFmtId="0" fontId="19" fillId="34" borderId="13" xfId="0" applyFont="1" applyFill="1" applyBorder="1" applyAlignment="1">
      <alignment horizontal="center" vertical="center" wrapText="1"/>
    </xf>
    <xf numFmtId="0" fontId="33" fillId="34" borderId="118" xfId="36" applyFont="1" applyFill="1" applyBorder="1" applyAlignment="1">
      <alignment horizontal="center" vertical="center"/>
    </xf>
    <xf numFmtId="0" fontId="33" fillId="34" borderId="119" xfId="36" applyFont="1" applyFill="1" applyBorder="1" applyAlignment="1">
      <alignment horizontal="center" vertical="center"/>
    </xf>
    <xf numFmtId="0" fontId="33" fillId="34" borderId="15" xfId="36" applyFont="1" applyFill="1" applyBorder="1" applyAlignment="1">
      <alignment horizontal="center" vertical="center"/>
    </xf>
    <xf numFmtId="0" fontId="33" fillId="34" borderId="69" xfId="36" applyFont="1" applyFill="1" applyBorder="1" applyAlignment="1">
      <alignment horizontal="center" vertical="center" wrapText="1"/>
    </xf>
    <xf numFmtId="0" fontId="5" fillId="34" borderId="64" xfId="36" applyFont="1" applyFill="1" applyBorder="1" applyAlignment="1">
      <alignment horizontal="center" vertical="center"/>
    </xf>
    <xf numFmtId="0" fontId="5" fillId="34" borderId="50" xfId="36" applyFont="1" applyFill="1" applyBorder="1" applyAlignment="1">
      <alignment horizontal="center" vertical="center"/>
    </xf>
    <xf numFmtId="0" fontId="5" fillId="34" borderId="61" xfId="36" applyFont="1" applyFill="1" applyBorder="1" applyAlignment="1">
      <alignment horizontal="center" vertical="center"/>
    </xf>
    <xf numFmtId="0" fontId="27" fillId="34" borderId="23" xfId="36" applyFont="1" applyFill="1" applyBorder="1" applyAlignment="1">
      <alignment horizontal="center" vertical="center" wrapText="1"/>
    </xf>
    <xf numFmtId="0" fontId="27" fillId="34" borderId="23" xfId="36" applyFont="1" applyFill="1" applyBorder="1" applyAlignment="1">
      <alignment horizontal="centerContinuous" vertical="center"/>
    </xf>
    <xf numFmtId="9" fontId="27" fillId="34" borderId="23" xfId="84" applyFont="1" applyFill="1" applyBorder="1" applyAlignment="1">
      <alignment horizontal="centerContinuous" vertical="center" wrapText="1"/>
    </xf>
    <xf numFmtId="0" fontId="27" fillId="34" borderId="24" xfId="36" applyFont="1" applyFill="1" applyBorder="1" applyAlignment="1">
      <alignment horizontal="center" vertical="center" wrapText="1"/>
    </xf>
    <xf numFmtId="0" fontId="27" fillId="34" borderId="24" xfId="36" applyFont="1" applyFill="1" applyBorder="1" applyAlignment="1">
      <alignment horizontal="center" vertical="center"/>
    </xf>
    <xf numFmtId="9" fontId="27" fillId="34" borderId="24" xfId="84" applyFont="1" applyFill="1" applyBorder="1" applyAlignment="1">
      <alignment horizontal="center" vertical="center" wrapText="1"/>
    </xf>
    <xf numFmtId="0" fontId="70" fillId="34" borderId="102" xfId="36" applyFont="1" applyFill="1" applyBorder="1" applyAlignment="1">
      <alignment horizontal="center" vertical="center" wrapText="1"/>
    </xf>
    <xf numFmtId="0" fontId="70" fillId="34" borderId="24" xfId="36" applyFont="1" applyFill="1" applyBorder="1" applyAlignment="1">
      <alignment horizontal="center" vertical="center" wrapText="1"/>
    </xf>
    <xf numFmtId="0" fontId="70" fillId="34" borderId="70" xfId="36" applyFont="1" applyFill="1" applyBorder="1" applyAlignment="1">
      <alignment horizontal="center" vertical="center" wrapText="1"/>
    </xf>
    <xf numFmtId="0" fontId="25" fillId="34" borderId="14" xfId="36" applyFont="1" applyFill="1" applyBorder="1" applyAlignment="1">
      <alignment vertical="center"/>
    </xf>
    <xf numFmtId="0" fontId="23" fillId="34" borderId="34" xfId="36" applyFont="1" applyFill="1" applyBorder="1" applyAlignment="1">
      <alignment vertical="center"/>
    </xf>
    <xf numFmtId="0" fontId="27" fillId="34" borderId="38" xfId="36" applyFont="1" applyFill="1" applyBorder="1" applyAlignment="1">
      <alignment horizontal="center" vertical="center" wrapText="1"/>
    </xf>
    <xf numFmtId="0" fontId="95" fillId="34" borderId="60" xfId="36" applyFont="1" applyFill="1" applyBorder="1" applyAlignment="1">
      <alignment horizontal="center" vertical="center" wrapText="1"/>
    </xf>
    <xf numFmtId="0" fontId="27" fillId="34" borderId="65" xfId="36" applyFont="1" applyFill="1" applyBorder="1" applyAlignment="1">
      <alignment horizontal="center" vertical="center" wrapText="1"/>
    </xf>
    <xf numFmtId="0" fontId="27" fillId="34" borderId="58" xfId="36" applyFont="1" applyFill="1" applyBorder="1" applyAlignment="1">
      <alignment horizontal="center" vertical="center" wrapText="1"/>
    </xf>
    <xf numFmtId="0" fontId="27" fillId="34" borderId="51" xfId="36" applyFont="1" applyFill="1" applyBorder="1" applyAlignment="1">
      <alignment horizontal="center" vertical="center" wrapText="1"/>
    </xf>
    <xf numFmtId="0" fontId="94" fillId="35" borderId="143" xfId="36" applyFont="1" applyFill="1" applyBorder="1" applyAlignment="1">
      <alignment horizontal="center" vertical="center" wrapText="1"/>
    </xf>
    <xf numFmtId="175" fontId="27" fillId="34" borderId="11" xfId="36" applyNumberFormat="1" applyFont="1" applyFill="1" applyBorder="1" applyAlignment="1">
      <alignment horizontal="center" vertical="center" wrapText="1"/>
    </xf>
    <xf numFmtId="0" fontId="27" fillId="34" borderId="34" xfId="36" applyFont="1" applyFill="1" applyBorder="1" applyAlignment="1">
      <alignment vertical="center" wrapText="1"/>
    </xf>
    <xf numFmtId="197" fontId="105" fillId="35" borderId="114" xfId="36" applyNumberFormat="1" applyFont="1" applyFill="1" applyBorder="1" applyAlignment="1">
      <alignment horizontal="center" vertical="center" wrapText="1"/>
    </xf>
    <xf numFmtId="0" fontId="107" fillId="35" borderId="145" xfId="36" applyFont="1" applyFill="1" applyBorder="1" applyAlignment="1">
      <alignment horizontal="center" vertical="center" wrapText="1"/>
    </xf>
    <xf numFmtId="0" fontId="27" fillId="34" borderId="71" xfId="36" applyFont="1" applyFill="1" applyBorder="1" applyAlignment="1">
      <alignment vertical="center" wrapText="1"/>
    </xf>
    <xf numFmtId="0" fontId="45" fillId="34" borderId="71" xfId="36" applyFont="1" applyFill="1" applyBorder="1" applyAlignment="1">
      <alignment horizontal="center" vertical="center" wrapText="1"/>
    </xf>
    <xf numFmtId="0" fontId="45" fillId="34" borderId="112" xfId="36" applyFont="1" applyFill="1" applyBorder="1" applyAlignment="1">
      <alignment horizontal="center" vertical="center" wrapText="1"/>
    </xf>
    <xf numFmtId="0" fontId="72" fillId="34" borderId="62" xfId="35" applyFont="1" applyFill="1" applyBorder="1" applyAlignment="1">
      <alignment vertical="center" wrapText="1"/>
    </xf>
    <xf numFmtId="0" fontId="72" fillId="34" borderId="126" xfId="35" applyFont="1" applyFill="1" applyBorder="1" applyAlignment="1">
      <alignment vertical="center" wrapText="1"/>
    </xf>
    <xf numFmtId="0" fontId="72" fillId="34" borderId="0" xfId="35" applyFont="1" applyFill="1" applyAlignment="1">
      <alignment vertical="center" wrapText="1"/>
    </xf>
    <xf numFmtId="0" fontId="103" fillId="34" borderId="101" xfId="35" applyFont="1" applyFill="1" applyBorder="1" applyAlignment="1">
      <alignment horizontal="center" vertical="center" wrapText="1"/>
    </xf>
    <xf numFmtId="0" fontId="103" fillId="34" borderId="27" xfId="35" applyFont="1" applyFill="1" applyBorder="1" applyAlignment="1">
      <alignment vertical="center" wrapText="1"/>
    </xf>
    <xf numFmtId="177" fontId="23" fillId="34" borderId="34" xfId="36" applyNumberFormat="1" applyFont="1" applyFill="1" applyBorder="1" applyAlignment="1">
      <alignment horizontal="center" vertical="center"/>
    </xf>
    <xf numFmtId="178" fontId="23" fillId="34" borderId="34" xfId="36" applyNumberFormat="1" applyFont="1" applyFill="1" applyBorder="1" applyAlignment="1">
      <alignment horizontal="center" vertical="center"/>
    </xf>
    <xf numFmtId="0" fontId="25" fillId="34" borderId="34" xfId="36" applyFont="1" applyFill="1" applyBorder="1" applyAlignment="1">
      <alignment vertical="center"/>
    </xf>
    <xf numFmtId="0" fontId="25" fillId="34" borderId="19" xfId="36" applyFont="1" applyFill="1" applyBorder="1" applyAlignment="1">
      <alignment vertical="center"/>
    </xf>
    <xf numFmtId="9" fontId="28" fillId="36" borderId="29" xfId="84" applyFont="1" applyFill="1" applyBorder="1" applyAlignment="1">
      <alignment horizontal="center" vertical="center" wrapText="1"/>
    </xf>
    <xf numFmtId="15" fontId="25" fillId="36" borderId="29" xfId="36" applyNumberFormat="1" applyFont="1" applyFill="1" applyBorder="1" applyAlignment="1">
      <alignment horizontal="center" vertical="center" wrapText="1"/>
    </xf>
    <xf numFmtId="4" fontId="28" fillId="36" borderId="29" xfId="36" applyNumberFormat="1" applyFont="1" applyFill="1" applyBorder="1" applyAlignment="1">
      <alignment horizontal="center" vertical="center" wrapText="1"/>
    </xf>
    <xf numFmtId="175" fontId="28" fillId="36" borderId="29" xfId="36" applyNumberFormat="1" applyFont="1" applyFill="1" applyBorder="1" applyAlignment="1">
      <alignment horizontal="center" vertical="center" wrapText="1"/>
    </xf>
    <xf numFmtId="0" fontId="4" fillId="36" borderId="41" xfId="36" applyFont="1" applyFill="1" applyBorder="1" applyAlignment="1">
      <alignment horizontal="center" vertical="center" wrapText="1"/>
    </xf>
    <xf numFmtId="0" fontId="9" fillId="36" borderId="24" xfId="36" applyFont="1" applyFill="1" applyBorder="1" applyAlignment="1">
      <alignment horizontal="center" vertical="center" wrapText="1"/>
    </xf>
    <xf numFmtId="0" fontId="4" fillId="36" borderId="60" xfId="36" applyFont="1" applyFill="1" applyBorder="1" applyAlignment="1">
      <alignment horizontal="center" vertical="center" wrapText="1"/>
    </xf>
    <xf numFmtId="2" fontId="45" fillId="37" borderId="144" xfId="36" applyNumberFormat="1" applyFont="1" applyFill="1" applyBorder="1" applyAlignment="1">
      <alignment horizontal="center" vertical="center" wrapText="1"/>
    </xf>
    <xf numFmtId="0" fontId="4" fillId="36" borderId="101" xfId="36" applyFont="1" applyFill="1" applyBorder="1" applyAlignment="1">
      <alignment horizontal="center" vertical="center" wrapText="1"/>
    </xf>
    <xf numFmtId="9" fontId="4" fillId="36" borderId="24" xfId="82" applyFont="1" applyFill="1" applyBorder="1" applyAlignment="1">
      <alignment horizontal="center" vertical="center" wrapText="1"/>
    </xf>
    <xf numFmtId="0" fontId="4" fillId="36" borderId="24" xfId="36" applyFont="1" applyFill="1" applyBorder="1" applyAlignment="1">
      <alignment horizontal="center" vertical="center" wrapText="1"/>
    </xf>
    <xf numFmtId="0" fontId="4" fillId="36" borderId="142" xfId="36" applyFont="1" applyFill="1" applyBorder="1" applyAlignment="1">
      <alignment horizontal="center" vertical="center" wrapText="1"/>
    </xf>
    <xf numFmtId="9" fontId="4" fillId="36" borderId="50" xfId="82" applyFont="1" applyFill="1" applyBorder="1" applyAlignment="1">
      <alignment horizontal="center" vertical="center" wrapText="1"/>
    </xf>
    <xf numFmtId="9" fontId="27" fillId="34" borderId="62" xfId="81" applyNumberFormat="1" applyFont="1" applyFill="1" applyBorder="1" applyAlignment="1">
      <alignment horizontal="center" vertical="center" wrapText="1"/>
    </xf>
    <xf numFmtId="9" fontId="27" fillId="34" borderId="63" xfId="81" applyNumberFormat="1" applyFont="1" applyFill="1" applyBorder="1" applyAlignment="1">
      <alignment horizontal="center" vertical="center" wrapText="1"/>
    </xf>
    <xf numFmtId="9" fontId="27" fillId="34" borderId="64" xfId="82" applyFont="1" applyFill="1" applyBorder="1" applyAlignment="1">
      <alignment horizontal="center" vertical="center"/>
    </xf>
    <xf numFmtId="172" fontId="27" fillId="34" borderId="64" xfId="81" applyNumberFormat="1" applyFont="1" applyFill="1" applyBorder="1" applyAlignment="1">
      <alignment horizontal="center" vertical="center"/>
    </xf>
    <xf numFmtId="172" fontId="27" fillId="34" borderId="61" xfId="81" applyNumberFormat="1" applyFont="1" applyFill="1" applyBorder="1" applyAlignment="1">
      <alignment horizontal="center" vertical="center"/>
    </xf>
    <xf numFmtId="0" fontId="51" fillId="35" borderId="17" xfId="40" applyFont="1" applyFill="1" applyBorder="1" applyAlignment="1">
      <alignment horizontal="center" vertical="center" wrapText="1"/>
    </xf>
    <xf numFmtId="189" fontId="51" fillId="35" borderId="106" xfId="40" applyNumberFormat="1" applyFont="1" applyFill="1" applyBorder="1" applyAlignment="1">
      <alignment horizontal="center" vertical="center"/>
    </xf>
    <xf numFmtId="0" fontId="51" fillId="34" borderId="71" xfId="40" applyFont="1" applyFill="1" applyBorder="1" applyAlignment="1">
      <alignment horizontal="center" vertical="center" wrapText="1"/>
    </xf>
    <xf numFmtId="194" fontId="51" fillId="34" borderId="112" xfId="92" applyNumberFormat="1" applyFont="1" applyFill="1" applyBorder="1" applyAlignment="1">
      <alignment horizontal="center" vertical="center" wrapText="1"/>
    </xf>
    <xf numFmtId="0" fontId="51" fillId="34" borderId="16" xfId="40" applyFont="1" applyFill="1" applyBorder="1" applyAlignment="1">
      <alignment horizontal="centerContinuous" vertical="center" wrapText="1"/>
    </xf>
    <xf numFmtId="0" fontId="51" fillId="34" borderId="9" xfId="40" applyFont="1" applyFill="1" applyBorder="1" applyAlignment="1">
      <alignment horizontal="centerContinuous" vertical="center" wrapText="1"/>
    </xf>
    <xf numFmtId="0" fontId="51" fillId="34" borderId="37" xfId="40" applyFont="1" applyFill="1" applyBorder="1" applyAlignment="1">
      <alignment horizontal="centerContinuous" vertical="center" wrapText="1"/>
    </xf>
    <xf numFmtId="0" fontId="51" fillId="34" borderId="94" xfId="40" applyFont="1" applyFill="1" applyBorder="1" applyAlignment="1">
      <alignment horizontal="centerContinuous" vertical="center" wrapText="1"/>
    </xf>
    <xf numFmtId="0" fontId="51" fillId="34" borderId="66" xfId="40" applyFont="1" applyFill="1" applyBorder="1" applyAlignment="1">
      <alignment horizontal="center" vertical="center" wrapText="1"/>
    </xf>
    <xf numFmtId="0" fontId="51" fillId="34" borderId="130" xfId="40" applyFont="1" applyFill="1" applyBorder="1" applyAlignment="1">
      <alignment horizontal="center" vertical="center" wrapText="1"/>
    </xf>
    <xf numFmtId="0" fontId="51" fillId="34" borderId="50" xfId="40" applyFont="1" applyFill="1" applyBorder="1" applyAlignment="1">
      <alignment horizontal="center" vertical="center" wrapText="1"/>
    </xf>
    <xf numFmtId="0" fontId="51" fillId="34" borderId="50" xfId="40" applyFont="1" applyFill="1" applyBorder="1" applyAlignment="1">
      <alignment horizontal="center" vertical="center"/>
    </xf>
    <xf numFmtId="0" fontId="51" fillId="34" borderId="15" xfId="40" applyFont="1" applyFill="1" applyBorder="1" applyAlignment="1">
      <alignment horizontal="center" vertical="center"/>
    </xf>
    <xf numFmtId="0" fontId="51" fillId="34" borderId="75" xfId="40" applyFont="1" applyFill="1" applyBorder="1" applyAlignment="1">
      <alignment horizontal="center" vertical="center"/>
    </xf>
    <xf numFmtId="0" fontId="51" fillId="34" borderId="106" xfId="40" applyFont="1" applyFill="1" applyBorder="1" applyAlignment="1">
      <alignment vertical="center" wrapText="1"/>
    </xf>
    <xf numFmtId="0" fontId="51" fillId="34" borderId="158" xfId="40" applyFont="1" applyFill="1" applyBorder="1" applyAlignment="1">
      <alignment horizontal="center" vertical="center" wrapText="1"/>
    </xf>
    <xf numFmtId="0" fontId="51" fillId="34" borderId="42" xfId="40" applyFont="1" applyFill="1" applyBorder="1" applyAlignment="1">
      <alignment horizontal="center" vertical="center"/>
    </xf>
    <xf numFmtId="0" fontId="9" fillId="35" borderId="121" xfId="36" applyFont="1" applyFill="1" applyBorder="1" applyAlignment="1">
      <alignment horizontal="center" vertical="center"/>
    </xf>
    <xf numFmtId="0" fontId="9" fillId="35" borderId="122" xfId="36" applyFont="1" applyFill="1" applyBorder="1" applyAlignment="1">
      <alignment horizontal="center" vertical="center"/>
    </xf>
    <xf numFmtId="0" fontId="123" fillId="35" borderId="3" xfId="0" applyFont="1" applyFill="1" applyBorder="1" applyAlignment="1">
      <alignment horizontal="center" vertical="center" wrapText="1"/>
    </xf>
    <xf numFmtId="0" fontId="115" fillId="35" borderId="3" xfId="0" applyFont="1" applyFill="1" applyBorder="1" applyAlignment="1">
      <alignment horizontal="center" vertical="center" wrapText="1"/>
    </xf>
    <xf numFmtId="0" fontId="39" fillId="34" borderId="75" xfId="0" applyFont="1" applyFill="1" applyBorder="1" applyAlignment="1">
      <alignment horizontal="center" vertical="center" wrapText="1"/>
    </xf>
    <xf numFmtId="0" fontId="65" fillId="34" borderId="167" xfId="36" applyFont="1" applyFill="1" applyBorder="1" applyAlignment="1">
      <alignment horizontal="center" vertical="center" wrapText="1"/>
    </xf>
    <xf numFmtId="196" fontId="101" fillId="34" borderId="15" xfId="36" applyNumberFormat="1" applyFont="1" applyFill="1" applyBorder="1" applyAlignment="1">
      <alignment horizontal="center" vertical="center" wrapText="1"/>
    </xf>
    <xf numFmtId="196" fontId="102" fillId="34" borderId="15" xfId="43" applyNumberFormat="1" applyFont="1" applyFill="1" applyBorder="1" applyAlignment="1">
      <alignment vertical="center" wrapText="1"/>
    </xf>
    <xf numFmtId="0" fontId="8" fillId="34" borderId="49" xfId="0" applyFont="1" applyFill="1" applyBorder="1" applyAlignment="1" applyProtection="1">
      <alignment horizontal="center" vertical="center" wrapText="1"/>
      <protection hidden="1"/>
    </xf>
    <xf numFmtId="0" fontId="8" fillId="34" borderId="97" xfId="0" applyFont="1" applyFill="1" applyBorder="1" applyAlignment="1" applyProtection="1">
      <alignment horizontal="center" vertical="center" wrapText="1"/>
      <protection hidden="1"/>
    </xf>
    <xf numFmtId="0" fontId="28" fillId="36" borderId="29" xfId="84" applyNumberFormat="1" applyFont="1" applyFill="1" applyBorder="1" applyAlignment="1">
      <alignment horizontal="center" vertical="center" wrapText="1"/>
    </xf>
    <xf numFmtId="0" fontId="4" fillId="38" borderId="29" xfId="84" applyNumberFormat="1" applyFont="1" applyFill="1" applyBorder="1" applyAlignment="1">
      <alignment horizontal="center" vertical="center" wrapText="1"/>
    </xf>
    <xf numFmtId="0" fontId="28" fillId="36" borderId="29" xfId="36" applyFont="1" applyFill="1" applyBorder="1" applyAlignment="1">
      <alignment horizontal="center" vertical="center" wrapText="1"/>
    </xf>
    <xf numFmtId="0" fontId="28" fillId="36" borderId="168" xfId="36" applyFont="1" applyFill="1" applyBorder="1" applyAlignment="1">
      <alignment horizontal="center" vertical="center" wrapText="1"/>
    </xf>
    <xf numFmtId="9" fontId="28" fillId="36" borderId="168" xfId="84" applyFont="1" applyFill="1" applyBorder="1" applyAlignment="1">
      <alignment horizontal="center" vertical="center" wrapText="1"/>
    </xf>
    <xf numFmtId="0" fontId="28" fillId="36" borderId="168" xfId="84" applyNumberFormat="1" applyFont="1" applyFill="1" applyBorder="1" applyAlignment="1">
      <alignment horizontal="center" vertical="center" wrapText="1"/>
    </xf>
    <xf numFmtId="0" fontId="4" fillId="38" borderId="168" xfId="84" applyNumberFormat="1" applyFont="1" applyFill="1" applyBorder="1" applyAlignment="1">
      <alignment horizontal="center" vertical="center" wrapText="1"/>
    </xf>
    <xf numFmtId="15" fontId="25" fillId="36" borderId="168" xfId="36" applyNumberFormat="1" applyFont="1" applyFill="1" applyBorder="1" applyAlignment="1">
      <alignment horizontal="center" vertical="center" wrapText="1"/>
    </xf>
    <xf numFmtId="175" fontId="28" fillId="36" borderId="168" xfId="36" applyNumberFormat="1" applyFont="1" applyFill="1" applyBorder="1" applyAlignment="1">
      <alignment horizontal="center" vertical="center" wrapText="1"/>
    </xf>
    <xf numFmtId="0" fontId="124" fillId="34" borderId="37" xfId="35" applyFont="1" applyFill="1" applyBorder="1" applyAlignment="1">
      <alignment horizontal="center" vertical="center" wrapText="1"/>
    </xf>
    <xf numFmtId="0" fontId="2" fillId="0" borderId="41" xfId="36" applyBorder="1"/>
    <xf numFmtId="0" fontId="2" fillId="0" borderId="106" xfId="36" applyBorder="1"/>
    <xf numFmtId="0" fontId="52" fillId="35" borderId="112" xfId="36" applyFont="1" applyFill="1" applyBorder="1" applyAlignment="1">
      <alignment vertical="center" wrapText="1"/>
    </xf>
    <xf numFmtId="0" fontId="89" fillId="17" borderId="18" xfId="35" applyFont="1" applyFill="1" applyBorder="1"/>
    <xf numFmtId="0" fontId="89" fillId="17" borderId="19" xfId="35" applyFont="1" applyFill="1" applyBorder="1"/>
    <xf numFmtId="0" fontId="125" fillId="0" borderId="26" xfId="36" applyFont="1" applyBorder="1" applyAlignment="1">
      <alignment horizontal="center" vertical="center"/>
    </xf>
    <xf numFmtId="0" fontId="125" fillId="0" borderId="27" xfId="36" applyFont="1" applyBorder="1" applyAlignment="1">
      <alignment horizontal="center" vertical="center"/>
    </xf>
    <xf numFmtId="0" fontId="108" fillId="0" borderId="0" xfId="36" applyFont="1" applyAlignment="1">
      <alignment horizontal="center" vertical="center"/>
    </xf>
    <xf numFmtId="0" fontId="108" fillId="0" borderId="32" xfId="36" applyFont="1" applyBorder="1" applyAlignment="1">
      <alignment horizontal="center"/>
    </xf>
    <xf numFmtId="0" fontId="80" fillId="0" borderId="48" xfId="36" applyFont="1" applyBorder="1" applyAlignment="1">
      <alignment horizontal="center" vertical="center"/>
    </xf>
    <xf numFmtId="0" fontId="80" fillId="0" borderId="33" xfId="36" applyFont="1" applyBorder="1" applyAlignment="1">
      <alignment horizontal="center" vertical="center"/>
    </xf>
    <xf numFmtId="186" fontId="7" fillId="37" borderId="106" xfId="40" applyNumberFormat="1" applyFont="1" applyFill="1" applyBorder="1" applyAlignment="1">
      <alignment horizontal="center"/>
    </xf>
    <xf numFmtId="0" fontId="5" fillId="37" borderId="19" xfId="40" applyFont="1" applyFill="1" applyBorder="1" applyAlignment="1">
      <alignment horizontal="center" vertical="center"/>
    </xf>
    <xf numFmtId="201" fontId="7" fillId="36" borderId="149" xfId="40" applyNumberFormat="1" applyFont="1" applyFill="1" applyBorder="1" applyAlignment="1">
      <alignment horizontal="center" vertical="center" wrapText="1"/>
    </xf>
    <xf numFmtId="187" fontId="7" fillId="36" borderId="150" xfId="90" applyFont="1" applyFill="1" applyBorder="1" applyAlignment="1" applyProtection="1">
      <alignment horizontal="center" vertical="center" wrapText="1"/>
    </xf>
    <xf numFmtId="0" fontId="51" fillId="36" borderId="3" xfId="36" applyFont="1" applyFill="1" applyBorder="1" applyAlignment="1">
      <alignment horizontal="center" vertical="center"/>
    </xf>
    <xf numFmtId="0" fontId="28" fillId="0" borderId="30" xfId="36" applyFont="1" applyBorder="1" applyAlignment="1">
      <alignment horizontal="center" vertical="center" wrapText="1"/>
    </xf>
    <xf numFmtId="0" fontId="28" fillId="0" borderId="32" xfId="36" applyFont="1" applyBorder="1" applyAlignment="1">
      <alignment horizontal="center" vertical="center"/>
    </xf>
    <xf numFmtId="0" fontId="58" fillId="8" borderId="0" xfId="35" applyFont="1" applyFill="1" applyAlignment="1">
      <alignment horizontal="center" vertical="center"/>
    </xf>
    <xf numFmtId="1" fontId="58" fillId="0" borderId="0" xfId="35" applyNumberFormat="1" applyFont="1" applyAlignment="1">
      <alignment horizontal="center" vertical="center"/>
    </xf>
    <xf numFmtId="0" fontId="51" fillId="34" borderId="91" xfId="40" applyFont="1" applyFill="1" applyBorder="1" applyAlignment="1">
      <alignment horizontal="centerContinuous" vertical="center" wrapText="1"/>
    </xf>
    <xf numFmtId="0" fontId="8" fillId="29" borderId="0" xfId="40" applyFont="1" applyFill="1" applyAlignment="1">
      <alignment horizontal="center" vertical="center" wrapText="1"/>
    </xf>
    <xf numFmtId="14" fontId="55" fillId="8" borderId="0" xfId="35" applyNumberFormat="1" applyFill="1"/>
    <xf numFmtId="0" fontId="28" fillId="0" borderId="169" xfId="36" applyFont="1" applyBorder="1" applyAlignment="1">
      <alignment horizontal="center" vertical="center" wrapText="1"/>
    </xf>
    <xf numFmtId="197" fontId="127" fillId="35" borderId="20" xfId="36" applyNumberFormat="1" applyFont="1" applyFill="1" applyBorder="1" applyAlignment="1">
      <alignment vertical="center" wrapText="1"/>
    </xf>
    <xf numFmtId="0" fontId="5" fillId="0" borderId="0" xfId="36" applyFont="1" applyAlignment="1">
      <alignment vertical="center" wrapText="1"/>
    </xf>
    <xf numFmtId="0" fontId="4" fillId="0" borderId="81" xfId="36" applyFont="1" applyBorder="1" applyAlignment="1">
      <alignment horizontal="centerContinuous" vertical="center" wrapText="1"/>
    </xf>
    <xf numFmtId="0" fontId="9" fillId="35" borderId="121" xfId="36" applyFont="1" applyFill="1" applyBorder="1" applyAlignment="1">
      <alignment horizontal="center" vertical="center" wrapText="1"/>
    </xf>
    <xf numFmtId="0" fontId="85" fillId="0" borderId="0" xfId="43" applyFont="1" applyAlignment="1">
      <alignment horizontal="center" vertical="center"/>
    </xf>
    <xf numFmtId="196" fontId="102" fillId="34" borderId="15" xfId="43" applyNumberFormat="1" applyFont="1" applyFill="1" applyBorder="1" applyAlignment="1">
      <alignment horizontal="center" vertical="center" wrapText="1"/>
    </xf>
    <xf numFmtId="0" fontId="5" fillId="4" borderId="41" xfId="40" applyFont="1" applyFill="1" applyBorder="1" applyAlignment="1">
      <alignment vertical="center"/>
    </xf>
    <xf numFmtId="0" fontId="5" fillId="4" borderId="51" xfId="40" applyFont="1" applyFill="1" applyBorder="1" applyAlignment="1">
      <alignment vertical="center"/>
    </xf>
    <xf numFmtId="0" fontId="128" fillId="17" borderId="51" xfId="40" applyFont="1" applyFill="1" applyBorder="1" applyAlignment="1">
      <alignment horizontal="center" vertical="center"/>
    </xf>
    <xf numFmtId="1" fontId="9" fillId="0" borderId="53" xfId="36" applyNumberFormat="1" applyFont="1" applyBorder="1" applyAlignment="1">
      <alignment horizontal="center" vertical="center" wrapText="1"/>
    </xf>
    <xf numFmtId="10" fontId="4" fillId="0" borderId="53" xfId="36" applyNumberFormat="1" applyFont="1" applyBorder="1" applyAlignment="1">
      <alignment horizontal="center" vertical="center" wrapText="1"/>
    </xf>
    <xf numFmtId="0" fontId="9" fillId="0" borderId="53" xfId="36" applyFont="1" applyBorder="1" applyAlignment="1">
      <alignment horizontal="center" vertical="center" wrapText="1"/>
    </xf>
    <xf numFmtId="3" fontId="9" fillId="0" borderId="53" xfId="36" applyNumberFormat="1" applyFont="1" applyBorder="1" applyAlignment="1">
      <alignment horizontal="center" vertical="center" wrapText="1"/>
    </xf>
    <xf numFmtId="10" fontId="129" fillId="0" borderId="53" xfId="36" applyNumberFormat="1" applyFont="1" applyBorder="1" applyAlignment="1">
      <alignment horizontal="center" vertical="center" wrapText="1"/>
    </xf>
    <xf numFmtId="0" fontId="9" fillId="25" borderId="61" xfId="36" applyFont="1" applyFill="1" applyBorder="1" applyAlignment="1">
      <alignment horizontal="center" vertical="center" wrapText="1"/>
    </xf>
    <xf numFmtId="9" fontId="28" fillId="22" borderId="29" xfId="84" applyFont="1" applyFill="1" applyBorder="1" applyAlignment="1">
      <alignment horizontal="center" vertical="center" wrapText="1"/>
    </xf>
    <xf numFmtId="202" fontId="28" fillId="0" borderId="29" xfId="36" quotePrefix="1" applyNumberFormat="1" applyFont="1" applyBorder="1" applyAlignment="1">
      <alignment horizontal="center" vertical="center" wrapText="1"/>
    </xf>
    <xf numFmtId="174" fontId="25" fillId="0" borderId="58" xfId="36" applyNumberFormat="1" applyFont="1" applyBorder="1" applyAlignment="1">
      <alignment horizontal="center" vertical="center" wrapText="1"/>
    </xf>
    <xf numFmtId="184" fontId="28" fillId="0" borderId="29" xfId="36" applyNumberFormat="1" applyFont="1" applyBorder="1" applyAlignment="1">
      <alignment horizontal="center" vertical="center" wrapText="1"/>
    </xf>
    <xf numFmtId="0" fontId="38" fillId="36" borderId="29" xfId="36" applyFont="1" applyFill="1" applyBorder="1" applyAlignment="1">
      <alignment horizontal="center" vertical="center" wrapText="1"/>
    </xf>
    <xf numFmtId="2" fontId="28" fillId="36" borderId="29" xfId="36" applyNumberFormat="1" applyFont="1" applyFill="1" applyBorder="1" applyAlignment="1">
      <alignment horizontal="center" vertical="center" wrapText="1"/>
    </xf>
    <xf numFmtId="1" fontId="28" fillId="36" borderId="29" xfId="36" applyNumberFormat="1" applyFont="1" applyFill="1" applyBorder="1" applyAlignment="1">
      <alignment horizontal="center" vertical="center" wrapText="1"/>
    </xf>
    <xf numFmtId="14" fontId="28" fillId="36" borderId="29" xfId="84" applyNumberFormat="1" applyFont="1" applyFill="1" applyBorder="1" applyAlignment="1">
      <alignment horizontal="center" vertical="center" wrapText="1"/>
    </xf>
    <xf numFmtId="0" fontId="130" fillId="36" borderId="29" xfId="36" applyFont="1" applyFill="1" applyBorder="1" applyAlignment="1">
      <alignment horizontal="center" vertical="center" wrapText="1"/>
    </xf>
    <xf numFmtId="203" fontId="28" fillId="0" borderId="29" xfId="36" quotePrefix="1" applyNumberFormat="1" applyFont="1" applyBorder="1" applyAlignment="1">
      <alignment horizontal="center" vertical="center" wrapText="1"/>
    </xf>
    <xf numFmtId="0" fontId="131" fillId="36" borderId="29" xfId="36" applyFont="1" applyFill="1" applyBorder="1" applyAlignment="1">
      <alignment horizontal="center" vertical="center" wrapText="1"/>
    </xf>
    <xf numFmtId="173" fontId="28" fillId="36" borderId="41" xfId="36" quotePrefix="1" applyNumberFormat="1" applyFont="1" applyFill="1" applyBorder="1" applyAlignment="1">
      <alignment vertical="center" wrapText="1"/>
    </xf>
    <xf numFmtId="173" fontId="28" fillId="36" borderId="51" xfId="36" quotePrefix="1" applyNumberFormat="1" applyFont="1" applyFill="1" applyBorder="1" applyAlignment="1">
      <alignment vertical="center" wrapText="1"/>
    </xf>
    <xf numFmtId="0" fontId="132" fillId="36" borderId="41" xfId="36" applyFont="1" applyFill="1" applyBorder="1" applyAlignment="1">
      <alignment horizontal="center" vertical="center" wrapText="1"/>
    </xf>
    <xf numFmtId="0" fontId="9" fillId="19" borderId="61" xfId="36" applyFont="1" applyFill="1" applyBorder="1" applyAlignment="1">
      <alignment horizontal="center" vertical="center" wrapText="1"/>
    </xf>
    <xf numFmtId="0" fontId="9" fillId="0" borderId="60" xfId="36" applyFont="1" applyBorder="1" applyAlignment="1">
      <alignment horizontal="center" vertical="center" wrapText="1"/>
    </xf>
    <xf numFmtId="15" fontId="25" fillId="0" borderId="29" xfId="36" applyNumberFormat="1" applyFont="1" applyBorder="1" applyAlignment="1">
      <alignment horizontal="center" vertical="center" wrapText="1"/>
    </xf>
    <xf numFmtId="0" fontId="28" fillId="36" borderId="170" xfId="36" applyFont="1" applyFill="1" applyBorder="1" applyAlignment="1">
      <alignment horizontal="center" vertical="center" wrapText="1"/>
    </xf>
    <xf numFmtId="0" fontId="28" fillId="36" borderId="171" xfId="36" applyFont="1" applyFill="1" applyBorder="1" applyAlignment="1">
      <alignment horizontal="center" vertical="center" wrapText="1"/>
    </xf>
    <xf numFmtId="3" fontId="134" fillId="0" borderId="53" xfId="36" applyNumberFormat="1" applyFont="1" applyBorder="1" applyAlignment="1">
      <alignment horizontal="center" vertical="center" wrapText="1"/>
    </xf>
    <xf numFmtId="184" fontId="131" fillId="0" borderId="29" xfId="36" applyNumberFormat="1" applyFont="1" applyBorder="1" applyAlignment="1">
      <alignment horizontal="center" vertical="center" wrapText="1"/>
    </xf>
    <xf numFmtId="0" fontId="132" fillId="36" borderId="60" xfId="36" applyFont="1" applyFill="1" applyBorder="1" applyAlignment="1">
      <alignment horizontal="center" vertical="center" wrapText="1"/>
    </xf>
    <xf numFmtId="204" fontId="28" fillId="0" borderId="29" xfId="36" quotePrefix="1" applyNumberFormat="1" applyFont="1" applyBorder="1" applyAlignment="1">
      <alignment horizontal="center" vertical="center" wrapText="1"/>
    </xf>
    <xf numFmtId="204" fontId="28" fillId="7" borderId="29" xfId="36" applyNumberFormat="1" applyFont="1" applyFill="1" applyBorder="1" applyAlignment="1">
      <alignment horizontal="center" vertical="center" wrapText="1"/>
    </xf>
    <xf numFmtId="2" fontId="133" fillId="0" borderId="80" xfId="43" applyNumberFormat="1" applyFont="1" applyBorder="1" applyAlignment="1" applyProtection="1">
      <alignment horizontal="center" vertical="center"/>
      <protection hidden="1"/>
    </xf>
    <xf numFmtId="1" fontId="136" fillId="0" borderId="0" xfId="43" applyNumberFormat="1" applyFont="1" applyAlignment="1">
      <alignment horizontal="center" vertical="center"/>
    </xf>
    <xf numFmtId="3" fontId="38" fillId="22" borderId="29" xfId="36" applyNumberFormat="1" applyFont="1" applyFill="1" applyBorder="1" applyAlignment="1" applyProtection="1">
      <alignment horizontal="center" vertical="center"/>
      <protection hidden="1"/>
    </xf>
    <xf numFmtId="0" fontId="9" fillId="35" borderId="123" xfId="36" applyFont="1" applyFill="1" applyBorder="1" applyAlignment="1">
      <alignment horizontal="center" vertical="center"/>
    </xf>
    <xf numFmtId="0" fontId="9" fillId="35" borderId="44" xfId="36" applyFont="1" applyFill="1" applyBorder="1" applyAlignment="1">
      <alignment horizontal="center" vertical="center"/>
    </xf>
    <xf numFmtId="3" fontId="69" fillId="0" borderId="29" xfId="43" applyNumberFormat="1" applyFont="1" applyBorder="1" applyAlignment="1">
      <alignment horizontal="center" vertical="center" wrapText="1"/>
    </xf>
    <xf numFmtId="175" fontId="23" fillId="30" borderId="34" xfId="36" applyNumberFormat="1" applyFont="1" applyFill="1" applyBorder="1" applyAlignment="1">
      <alignment horizontal="center" vertical="center"/>
    </xf>
    <xf numFmtId="205" fontId="28" fillId="0" borderId="29" xfId="36" quotePrefix="1" applyNumberFormat="1" applyFont="1" applyBorder="1" applyAlignment="1">
      <alignment horizontal="center" vertical="center" wrapText="1"/>
    </xf>
    <xf numFmtId="0" fontId="0" fillId="0" borderId="46" xfId="0" applyBorder="1" applyAlignment="1">
      <alignment horizontal="left" vertical="center"/>
    </xf>
    <xf numFmtId="0" fontId="0" fillId="0" borderId="71" xfId="0" applyBorder="1" applyAlignment="1">
      <alignment horizontal="left" vertical="center"/>
    </xf>
    <xf numFmtId="0" fontId="0" fillId="0" borderId="107" xfId="0" applyBorder="1" applyAlignment="1">
      <alignment horizontal="left" vertical="center"/>
    </xf>
    <xf numFmtId="0" fontId="0" fillId="0" borderId="18" xfId="0" applyBorder="1" applyAlignment="1">
      <alignment horizontal="center"/>
    </xf>
    <xf numFmtId="0" fontId="0" fillId="0" borderId="11" xfId="0" applyBorder="1" applyAlignment="1">
      <alignment horizontal="center"/>
    </xf>
    <xf numFmtId="0" fontId="0" fillId="0" borderId="127" xfId="0" applyBorder="1" applyAlignment="1">
      <alignment horizontal="center"/>
    </xf>
    <xf numFmtId="0" fontId="9" fillId="35" borderId="114" xfId="36" applyFont="1" applyFill="1" applyBorder="1" applyAlignment="1">
      <alignment horizontal="center" vertical="center" wrapText="1"/>
    </xf>
    <xf numFmtId="0" fontId="9" fillId="35" borderId="115" xfId="36" applyFont="1" applyFill="1" applyBorder="1" applyAlignment="1">
      <alignment horizontal="center" vertical="center" wrapText="1"/>
    </xf>
    <xf numFmtId="0" fontId="7" fillId="0" borderId="54" xfId="36" applyFont="1" applyBorder="1" applyAlignment="1">
      <alignment horizontal="center" vertical="center" wrapText="1"/>
    </xf>
    <xf numFmtId="0" fontId="7" fillId="0" borderId="0" xfId="36" applyFont="1" applyAlignment="1">
      <alignment horizontal="center" vertical="center" wrapText="1"/>
    </xf>
    <xf numFmtId="0" fontId="5" fillId="34" borderId="117" xfId="36" applyFont="1" applyFill="1" applyBorder="1" applyAlignment="1">
      <alignment horizontal="center" vertical="center" textRotation="90" wrapText="1"/>
    </xf>
    <xf numFmtId="0" fontId="5" fillId="34" borderId="108" xfId="36" applyFont="1" applyFill="1" applyBorder="1" applyAlignment="1">
      <alignment horizontal="center" vertical="center" textRotation="90" wrapText="1"/>
    </xf>
    <xf numFmtId="0" fontId="9" fillId="34" borderId="46" xfId="36" applyFont="1" applyFill="1" applyBorder="1" applyAlignment="1">
      <alignment horizontal="center" vertical="center"/>
    </xf>
    <xf numFmtId="0" fontId="9" fillId="34" borderId="107" xfId="36" applyFont="1" applyFill="1" applyBorder="1" applyAlignment="1">
      <alignment horizontal="center" vertical="center"/>
    </xf>
    <xf numFmtId="0" fontId="9" fillId="0" borderId="46" xfId="40" applyFont="1" applyBorder="1" applyAlignment="1">
      <alignment horizontal="center" vertical="center" wrapText="1"/>
    </xf>
    <xf numFmtId="0" fontId="9" fillId="0" borderId="107" xfId="40" applyFont="1" applyBorder="1" applyAlignment="1">
      <alignment horizontal="center" vertical="center" wrapText="1"/>
    </xf>
    <xf numFmtId="0" fontId="9" fillId="34" borderId="43" xfId="36" applyFont="1" applyFill="1" applyBorder="1" applyAlignment="1">
      <alignment horizontal="center" vertical="center" wrapText="1"/>
    </xf>
    <xf numFmtId="0" fontId="9" fillId="34" borderId="94" xfId="36" applyFont="1" applyFill="1" applyBorder="1" applyAlignment="1">
      <alignment horizontal="center" vertical="center" wrapText="1"/>
    </xf>
    <xf numFmtId="0" fontId="83" fillId="0" borderId="69" xfId="36" applyFont="1" applyBorder="1" applyAlignment="1">
      <alignment horizontal="center" vertical="center" wrapText="1"/>
    </xf>
    <xf numFmtId="0" fontId="83" fillId="0" borderId="11" xfId="36" applyFont="1" applyBorder="1" applyAlignment="1">
      <alignment horizontal="center" vertical="center" wrapText="1"/>
    </xf>
    <xf numFmtId="0" fontId="83" fillId="0" borderId="127" xfId="36" applyFont="1" applyBorder="1" applyAlignment="1">
      <alignment horizontal="center" vertical="center" wrapText="1"/>
    </xf>
    <xf numFmtId="0" fontId="15" fillId="34" borderId="20" xfId="40" applyFont="1" applyFill="1" applyBorder="1" applyAlignment="1">
      <alignment horizontal="center" vertical="center" wrapText="1"/>
    </xf>
    <xf numFmtId="0" fontId="15" fillId="34" borderId="71" xfId="40" applyFont="1" applyFill="1" applyBorder="1" applyAlignment="1">
      <alignment horizontal="center" vertical="center" wrapText="1"/>
    </xf>
    <xf numFmtId="0" fontId="15" fillId="34" borderId="112" xfId="40" applyFont="1" applyFill="1" applyBorder="1" applyAlignment="1">
      <alignment horizontal="center" vertical="center" wrapText="1"/>
    </xf>
    <xf numFmtId="0" fontId="9" fillId="34" borderId="20" xfId="36" applyFont="1" applyFill="1" applyBorder="1" applyAlignment="1">
      <alignment horizontal="center" vertical="center"/>
    </xf>
    <xf numFmtId="0" fontId="9" fillId="34" borderId="71" xfId="36" applyFont="1" applyFill="1" applyBorder="1" applyAlignment="1">
      <alignment horizontal="center" vertical="center"/>
    </xf>
    <xf numFmtId="0" fontId="8" fillId="0" borderId="20" xfId="40" applyFont="1" applyBorder="1" applyAlignment="1">
      <alignment horizontal="center" vertical="center" wrapText="1"/>
    </xf>
    <xf numFmtId="0" fontId="8" fillId="0" borderId="71" xfId="40" applyFont="1" applyBorder="1" applyAlignment="1">
      <alignment horizontal="center" vertical="center" wrapText="1"/>
    </xf>
    <xf numFmtId="0" fontId="8" fillId="0" borderId="107" xfId="40" applyFont="1" applyBorder="1" applyAlignment="1">
      <alignment horizontal="center" vertical="center" wrapText="1"/>
    </xf>
    <xf numFmtId="0" fontId="9" fillId="0" borderId="110" xfId="40" applyFont="1" applyBorder="1" applyAlignment="1">
      <alignment horizontal="center" vertical="center" wrapText="1"/>
    </xf>
    <xf numFmtId="0" fontId="9" fillId="0" borderId="111" xfId="40" applyFont="1" applyBorder="1" applyAlignment="1">
      <alignment horizontal="center" vertical="center" wrapText="1"/>
    </xf>
    <xf numFmtId="0" fontId="9" fillId="0" borderId="159" xfId="40" applyFont="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82" fillId="0" borderId="0" xfId="36" applyFont="1" applyAlignment="1">
      <alignment horizontal="center" vertical="center" wrapText="1"/>
    </xf>
    <xf numFmtId="0" fontId="82" fillId="0" borderId="0" xfId="36" applyFont="1" applyAlignment="1">
      <alignment horizontal="center" vertical="center"/>
    </xf>
    <xf numFmtId="200" fontId="8" fillId="36" borderId="3" xfId="36" applyNumberFormat="1" applyFont="1" applyFill="1" applyBorder="1" applyAlignment="1">
      <alignment horizontal="center" vertical="center"/>
    </xf>
    <xf numFmtId="0" fontId="19" fillId="34" borderId="20" xfId="0" applyFont="1" applyFill="1" applyBorder="1" applyAlignment="1">
      <alignment horizontal="center" vertical="center"/>
    </xf>
    <xf numFmtId="0" fontId="19" fillId="34" borderId="71" xfId="0" applyFont="1" applyFill="1" applyBorder="1" applyAlignment="1">
      <alignment horizontal="center" vertical="center"/>
    </xf>
    <xf numFmtId="0" fontId="19" fillId="34" borderId="107" xfId="0" applyFont="1" applyFill="1" applyBorder="1" applyAlignment="1">
      <alignment horizontal="center" vertical="center"/>
    </xf>
    <xf numFmtId="0" fontId="9" fillId="34" borderId="114" xfId="36" applyFont="1" applyFill="1" applyBorder="1" applyAlignment="1">
      <alignment horizontal="center" vertical="center" wrapText="1"/>
    </xf>
    <xf numFmtId="0" fontId="9" fillId="34" borderId="115" xfId="36" applyFont="1" applyFill="1" applyBorder="1" applyAlignment="1">
      <alignment horizontal="center" vertical="center" wrapText="1"/>
    </xf>
    <xf numFmtId="0" fontId="9" fillId="34" borderId="37" xfId="36" applyFont="1" applyFill="1" applyBorder="1" applyAlignment="1">
      <alignment horizontal="center" vertical="center" wrapText="1"/>
    </xf>
    <xf numFmtId="0" fontId="9" fillId="34" borderId="113" xfId="36" applyFont="1" applyFill="1" applyBorder="1" applyAlignment="1">
      <alignment horizontal="center" vertical="center" wrapText="1"/>
    </xf>
    <xf numFmtId="0" fontId="9" fillId="34" borderId="44" xfId="36" applyFont="1" applyFill="1" applyBorder="1" applyAlignment="1">
      <alignment horizontal="center" vertical="center" wrapText="1"/>
    </xf>
    <xf numFmtId="0" fontId="9" fillId="34" borderId="34" xfId="36" applyFont="1" applyFill="1" applyBorder="1" applyAlignment="1">
      <alignment horizontal="center" vertical="center" wrapText="1"/>
    </xf>
    <xf numFmtId="0" fontId="9" fillId="34" borderId="45" xfId="36" applyFont="1" applyFill="1" applyBorder="1" applyAlignment="1">
      <alignment horizontal="center" vertical="center" wrapText="1"/>
    </xf>
    <xf numFmtId="0" fontId="9" fillId="0" borderId="114" xfId="36" applyFont="1" applyBorder="1" applyAlignment="1">
      <alignment horizontal="center" vertical="center" wrapText="1"/>
    </xf>
    <xf numFmtId="0" fontId="9" fillId="0" borderId="115" xfId="36" applyFont="1" applyBorder="1" applyAlignment="1">
      <alignment horizontal="center" vertical="center" wrapText="1"/>
    </xf>
    <xf numFmtId="0" fontId="0" fillId="0" borderId="16" xfId="0" applyBorder="1" applyAlignment="1">
      <alignment horizontal="center"/>
    </xf>
    <xf numFmtId="0" fontId="0" fillId="0" borderId="9" xfId="0" applyBorder="1" applyAlignment="1">
      <alignment horizontal="center"/>
    </xf>
    <xf numFmtId="0" fontId="0" fillId="0" borderId="129" xfId="0" applyBorder="1" applyAlignment="1">
      <alignment horizontal="center"/>
    </xf>
    <xf numFmtId="0" fontId="45" fillId="0" borderId="0" xfId="36" applyFont="1" applyAlignment="1">
      <alignment horizontal="center" vertical="center" wrapText="1"/>
    </xf>
    <xf numFmtId="0" fontId="19" fillId="34" borderId="46" xfId="0" applyFont="1" applyFill="1" applyBorder="1" applyAlignment="1">
      <alignment horizontal="center" vertical="center" wrapText="1"/>
    </xf>
    <xf numFmtId="0" fontId="19" fillId="34" borderId="71" xfId="0" applyFont="1" applyFill="1" applyBorder="1" applyAlignment="1">
      <alignment horizontal="center" vertical="center" wrapText="1"/>
    </xf>
    <xf numFmtId="0" fontId="19" fillId="34" borderId="107" xfId="0" applyFont="1" applyFill="1" applyBorder="1" applyAlignment="1">
      <alignment horizontal="center" vertical="center" wrapText="1"/>
    </xf>
    <xf numFmtId="0" fontId="135" fillId="0" borderId="128" xfId="0" applyFont="1" applyBorder="1" applyAlignment="1">
      <alignment horizontal="left" vertical="center"/>
    </xf>
    <xf numFmtId="0" fontId="135" fillId="0" borderId="9" xfId="0" applyFont="1" applyBorder="1" applyAlignment="1">
      <alignment horizontal="left" vertical="center"/>
    </xf>
    <xf numFmtId="0" fontId="135" fillId="0" borderId="129" xfId="0" applyFont="1" applyBorder="1" applyAlignment="1">
      <alignment horizontal="left" vertical="center"/>
    </xf>
    <xf numFmtId="0" fontId="0" fillId="0" borderId="69" xfId="0" applyBorder="1" applyAlignment="1">
      <alignment horizontal="left" vertical="center"/>
    </xf>
    <xf numFmtId="0" fontId="0" fillId="0" borderId="11" xfId="0" applyBorder="1" applyAlignment="1">
      <alignment horizontal="left" vertical="center"/>
    </xf>
    <xf numFmtId="0" fontId="0" fillId="0" borderId="127" xfId="0" applyBorder="1" applyAlignment="1">
      <alignment horizontal="left" vertical="center"/>
    </xf>
    <xf numFmtId="0" fontId="9" fillId="0" borderId="160" xfId="40" applyFont="1" applyBorder="1" applyAlignment="1">
      <alignment horizontal="center" vertical="center" wrapText="1"/>
    </xf>
    <xf numFmtId="0" fontId="5" fillId="34" borderId="20" xfId="40" applyFont="1" applyFill="1" applyBorder="1" applyAlignment="1">
      <alignment horizontal="center" vertical="center" wrapText="1"/>
    </xf>
    <xf numFmtId="0" fontId="5" fillId="34" borderId="71" xfId="40" applyFont="1" applyFill="1" applyBorder="1" applyAlignment="1">
      <alignment horizontal="center" vertical="center" wrapText="1"/>
    </xf>
    <xf numFmtId="0" fontId="5" fillId="34" borderId="112" xfId="40" applyFont="1" applyFill="1" applyBorder="1" applyAlignment="1">
      <alignment horizontal="center" vertical="center" wrapText="1"/>
    </xf>
    <xf numFmtId="0" fontId="5" fillId="34" borderId="116" xfId="36" applyFont="1" applyFill="1" applyBorder="1" applyAlignment="1">
      <alignment horizontal="center" vertical="center"/>
    </xf>
    <xf numFmtId="0" fontId="5" fillId="34" borderId="37" xfId="36" applyFont="1" applyFill="1" applyBorder="1" applyAlignment="1">
      <alignment horizontal="center" vertical="center"/>
    </xf>
    <xf numFmtId="0" fontId="5" fillId="34" borderId="94" xfId="36" applyFont="1" applyFill="1" applyBorder="1" applyAlignment="1">
      <alignment horizontal="center" vertical="center"/>
    </xf>
    <xf numFmtId="0" fontId="23" fillId="0" borderId="0" xfId="36" applyFont="1" applyAlignment="1">
      <alignment horizontal="center" vertical="center" wrapText="1"/>
    </xf>
    <xf numFmtId="0" fontId="2" fillId="0" borderId="0" xfId="36" applyAlignment="1">
      <alignment horizontal="center"/>
    </xf>
    <xf numFmtId="0" fontId="33" fillId="34" borderId="162" xfId="36" applyFont="1" applyFill="1" applyBorder="1" applyAlignment="1">
      <alignment horizontal="center" vertical="center"/>
    </xf>
    <xf numFmtId="0" fontId="33" fillId="34" borderId="163" xfId="36" applyFont="1" applyFill="1" applyBorder="1" applyAlignment="1">
      <alignment horizontal="center" vertical="center"/>
    </xf>
    <xf numFmtId="0" fontId="33" fillId="34" borderId="120" xfId="36" applyFont="1" applyFill="1" applyBorder="1" applyAlignment="1">
      <alignment horizontal="center" vertical="center"/>
    </xf>
    <xf numFmtId="0" fontId="33" fillId="34" borderId="98" xfId="36" applyFont="1" applyFill="1" applyBorder="1" applyAlignment="1">
      <alignment horizontal="center" vertical="center"/>
    </xf>
    <xf numFmtId="0" fontId="36" fillId="34" borderId="124" xfId="36" applyFont="1" applyFill="1" applyBorder="1" applyAlignment="1" applyProtection="1">
      <alignment horizontal="center" vertical="center" wrapText="1"/>
      <protection hidden="1"/>
    </xf>
    <xf numFmtId="0" fontId="36" fillId="34" borderId="125" xfId="36" applyFont="1" applyFill="1" applyBorder="1" applyAlignment="1" applyProtection="1">
      <alignment horizontal="center" vertical="center" wrapText="1"/>
      <protection hidden="1"/>
    </xf>
    <xf numFmtId="1" fontId="60" fillId="8" borderId="0" xfId="35" applyNumberFormat="1" applyFont="1" applyFill="1" applyAlignment="1">
      <alignment horizontal="center" vertical="center" wrapText="1"/>
    </xf>
    <xf numFmtId="1" fontId="26" fillId="8" borderId="0" xfId="36" applyNumberFormat="1" applyFont="1" applyFill="1" applyAlignment="1">
      <alignment horizontal="center" vertical="center" wrapText="1"/>
    </xf>
    <xf numFmtId="1" fontId="75" fillId="8" borderId="0" xfId="35" applyNumberFormat="1" applyFont="1" applyFill="1" applyAlignment="1">
      <alignment horizontal="center"/>
    </xf>
    <xf numFmtId="1" fontId="24" fillId="8" borderId="0" xfId="36" applyNumberFormat="1" applyFont="1" applyFill="1" applyAlignment="1">
      <alignment horizontal="center" vertical="center" wrapText="1"/>
    </xf>
    <xf numFmtId="1" fontId="60" fillId="8" borderId="0" xfId="35" applyNumberFormat="1" applyFont="1" applyFill="1" applyAlignment="1">
      <alignment horizontal="center"/>
    </xf>
    <xf numFmtId="4" fontId="27" fillId="34" borderId="121" xfId="36" applyNumberFormat="1" applyFont="1" applyFill="1" applyBorder="1" applyAlignment="1">
      <alignment horizontal="center" vertical="center" wrapText="1"/>
    </xf>
    <xf numFmtId="4" fontId="27" fillId="34" borderId="122" xfId="36" applyNumberFormat="1" applyFont="1" applyFill="1" applyBorder="1" applyAlignment="1">
      <alignment horizontal="center" vertical="center" wrapText="1"/>
    </xf>
    <xf numFmtId="0" fontId="27" fillId="34" borderId="118" xfId="36" applyFont="1" applyFill="1" applyBorder="1" applyAlignment="1">
      <alignment horizontal="center" vertical="center" wrapText="1"/>
    </xf>
    <xf numFmtId="0" fontId="27" fillId="34" borderId="119" xfId="36" applyFont="1" applyFill="1" applyBorder="1" applyAlignment="1">
      <alignment horizontal="center" vertical="center" wrapText="1"/>
    </xf>
    <xf numFmtId="0" fontId="27" fillId="34" borderId="49" xfId="36" applyFont="1" applyFill="1" applyBorder="1" applyAlignment="1">
      <alignment horizontal="center" vertical="center" wrapText="1"/>
    </xf>
    <xf numFmtId="0" fontId="27" fillId="34" borderId="15" xfId="36" applyFont="1" applyFill="1" applyBorder="1" applyAlignment="1">
      <alignment horizontal="center" vertical="center" wrapText="1"/>
    </xf>
    <xf numFmtId="4" fontId="27" fillId="34" borderId="123" xfId="36" applyNumberFormat="1" applyFont="1" applyFill="1" applyBorder="1" applyAlignment="1">
      <alignment horizontal="center" vertical="center" wrapText="1"/>
    </xf>
    <xf numFmtId="4" fontId="27" fillId="34" borderId="44" xfId="36" applyNumberFormat="1" applyFont="1" applyFill="1" applyBorder="1" applyAlignment="1">
      <alignment horizontal="center" vertical="center" wrapText="1"/>
    </xf>
    <xf numFmtId="0" fontId="57" fillId="15" borderId="20" xfId="0" applyFont="1" applyFill="1" applyBorder="1" applyAlignment="1">
      <alignment horizontal="center"/>
    </xf>
    <xf numFmtId="0" fontId="57" fillId="15" borderId="71" xfId="0" applyFont="1" applyFill="1" applyBorder="1" applyAlignment="1">
      <alignment horizontal="center"/>
    </xf>
    <xf numFmtId="0" fontId="57" fillId="15" borderId="112" xfId="0" applyFont="1" applyFill="1" applyBorder="1" applyAlignment="1">
      <alignment horizontal="center"/>
    </xf>
    <xf numFmtId="0" fontId="57" fillId="8" borderId="20" xfId="0" applyFont="1" applyFill="1" applyBorder="1" applyAlignment="1">
      <alignment horizontal="center" vertical="center" wrapText="1"/>
    </xf>
    <xf numFmtId="0" fontId="57" fillId="8" borderId="112" xfId="0" applyFont="1" applyFill="1" applyBorder="1" applyAlignment="1">
      <alignment horizontal="center" vertical="center" wrapText="1"/>
    </xf>
    <xf numFmtId="0" fontId="57" fillId="9" borderId="24" xfId="0" applyFont="1" applyFill="1" applyBorder="1" applyAlignment="1">
      <alignment horizontal="center" vertical="center" wrapText="1"/>
    </xf>
    <xf numFmtId="0" fontId="57" fillId="9" borderId="24" xfId="0" applyFont="1" applyFill="1" applyBorder="1" applyAlignment="1">
      <alignment horizontal="center" vertical="center"/>
    </xf>
    <xf numFmtId="0" fontId="0" fillId="0" borderId="105"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8" borderId="0" xfId="0" applyFill="1" applyAlignment="1">
      <alignment horizontal="center"/>
    </xf>
    <xf numFmtId="0" fontId="0" fillId="0" borderId="58" xfId="0" applyBorder="1" applyAlignment="1">
      <alignment horizontal="center"/>
    </xf>
    <xf numFmtId="0" fontId="0" fillId="0" borderId="38" xfId="0" applyBorder="1" applyAlignment="1">
      <alignment horizontal="center"/>
    </xf>
    <xf numFmtId="173" fontId="28" fillId="36" borderId="41" xfId="36" quotePrefix="1" applyNumberFormat="1" applyFont="1" applyFill="1" applyBorder="1" applyAlignment="1">
      <alignment horizontal="center" vertical="center" wrapText="1"/>
    </xf>
    <xf numFmtId="173" fontId="28" fillId="36" borderId="106" xfId="36" quotePrefix="1" applyNumberFormat="1" applyFont="1" applyFill="1" applyBorder="1" applyAlignment="1">
      <alignment horizontal="center" vertical="center" wrapText="1"/>
    </xf>
    <xf numFmtId="0" fontId="25" fillId="0" borderId="58" xfId="36" applyFont="1" applyBorder="1" applyAlignment="1">
      <alignment horizontal="center" vertical="center"/>
    </xf>
    <xf numFmtId="0" fontId="25" fillId="0" borderId="38" xfId="36" applyFont="1" applyBorder="1" applyAlignment="1">
      <alignment horizontal="center" vertical="center"/>
    </xf>
    <xf numFmtId="173" fontId="28" fillId="36" borderId="101" xfId="36" quotePrefix="1" applyNumberFormat="1" applyFont="1" applyFill="1" applyBorder="1" applyAlignment="1">
      <alignment vertical="center" wrapText="1"/>
    </xf>
    <xf numFmtId="173" fontId="28" fillId="36" borderId="60" xfId="36" quotePrefix="1" applyNumberFormat="1" applyFont="1" applyFill="1" applyBorder="1" applyAlignment="1">
      <alignment vertical="center" wrapText="1"/>
    </xf>
    <xf numFmtId="0" fontId="27" fillId="34" borderId="58" xfId="36" applyFont="1" applyFill="1" applyBorder="1" applyAlignment="1">
      <alignment horizontal="center" vertical="center" wrapText="1"/>
    </xf>
    <xf numFmtId="0" fontId="27" fillId="34" borderId="51" xfId="36" applyFont="1" applyFill="1" applyBorder="1" applyAlignment="1">
      <alignment horizontal="center" vertical="center" wrapText="1"/>
    </xf>
    <xf numFmtId="0" fontId="27" fillId="34" borderId="38" xfId="36" applyFont="1" applyFill="1" applyBorder="1" applyAlignment="1">
      <alignment horizontal="center" vertical="center" wrapText="1"/>
    </xf>
    <xf numFmtId="0" fontId="27" fillId="34" borderId="43" xfId="36" applyFont="1" applyFill="1" applyBorder="1" applyAlignment="1">
      <alignment horizontal="center" vertical="center" wrapText="1"/>
    </xf>
    <xf numFmtId="0" fontId="27" fillId="34" borderId="37" xfId="36" applyFont="1" applyFill="1" applyBorder="1" applyAlignment="1">
      <alignment horizontal="center" vertical="center" wrapText="1"/>
    </xf>
    <xf numFmtId="0" fontId="27" fillId="34" borderId="94" xfId="36" applyFont="1" applyFill="1" applyBorder="1" applyAlignment="1">
      <alignment horizontal="center" vertical="center" wrapText="1"/>
    </xf>
    <xf numFmtId="0" fontId="27" fillId="34" borderId="25" xfId="36" applyFont="1" applyFill="1" applyBorder="1" applyAlignment="1">
      <alignment horizontal="center" vertical="center" wrapText="1"/>
    </xf>
    <xf numFmtId="0" fontId="27" fillId="34" borderId="32" xfId="36" applyFont="1" applyFill="1" applyBorder="1" applyAlignment="1">
      <alignment horizontal="center" vertical="center" wrapText="1"/>
    </xf>
    <xf numFmtId="0" fontId="27" fillId="34" borderId="28" xfId="36" applyFont="1" applyFill="1" applyBorder="1" applyAlignment="1">
      <alignment horizontal="center" vertical="center" wrapText="1"/>
    </xf>
    <xf numFmtId="0" fontId="53" fillId="35" borderId="62" xfId="36" applyFont="1" applyFill="1" applyBorder="1" applyAlignment="1">
      <alignment horizontal="center" vertical="center" wrapText="1"/>
    </xf>
    <xf numFmtId="0" fontId="53" fillId="35" borderId="23" xfId="36" applyFont="1" applyFill="1" applyBorder="1" applyAlignment="1">
      <alignment horizontal="center" vertical="center" wrapText="1"/>
    </xf>
    <xf numFmtId="0" fontId="53" fillId="35" borderId="101" xfId="36" applyFont="1" applyFill="1" applyBorder="1" applyAlignment="1">
      <alignment horizontal="center" vertical="center" wrapText="1"/>
    </xf>
    <xf numFmtId="173" fontId="28" fillId="36" borderId="41" xfId="36" quotePrefix="1" applyNumberFormat="1" applyFont="1" applyFill="1" applyBorder="1" applyAlignment="1">
      <alignment vertical="center" wrapText="1"/>
    </xf>
    <xf numFmtId="173" fontId="28" fillId="36" borderId="51" xfId="36" quotePrefix="1" applyNumberFormat="1" applyFont="1" applyFill="1" applyBorder="1" applyAlignment="1">
      <alignment vertical="center" wrapText="1"/>
    </xf>
    <xf numFmtId="0" fontId="23" fillId="34" borderId="34" xfId="36" applyFont="1" applyFill="1" applyBorder="1" applyAlignment="1">
      <alignment horizontal="center" vertical="center"/>
    </xf>
    <xf numFmtId="0" fontId="27" fillId="34" borderId="116" xfId="36" applyFont="1" applyFill="1" applyBorder="1" applyAlignment="1">
      <alignment horizontal="center" vertical="center" wrapText="1"/>
    </xf>
    <xf numFmtId="0" fontId="27" fillId="34" borderId="14" xfId="36" applyFont="1" applyFill="1" applyBorder="1" applyAlignment="1">
      <alignment horizontal="center" vertical="center" wrapText="1"/>
    </xf>
    <xf numFmtId="0" fontId="27" fillId="34" borderId="34" xfId="36" applyFont="1" applyFill="1" applyBorder="1" applyAlignment="1">
      <alignment horizontal="center" vertical="center" wrapText="1"/>
    </xf>
    <xf numFmtId="0" fontId="27" fillId="34" borderId="42" xfId="36" applyFont="1" applyFill="1" applyBorder="1" applyAlignment="1">
      <alignment horizontal="center" vertical="center" wrapText="1"/>
    </xf>
    <xf numFmtId="0" fontId="88" fillId="35" borderId="66" xfId="35" applyFont="1" applyFill="1" applyBorder="1" applyAlignment="1">
      <alignment horizontal="center" vertical="center" wrapText="1"/>
    </xf>
    <xf numFmtId="0" fontId="88" fillId="35" borderId="105" xfId="35" applyFont="1" applyFill="1" applyBorder="1" applyAlignment="1">
      <alignment horizontal="center" vertical="center" wrapText="1"/>
    </xf>
    <xf numFmtId="0" fontId="33" fillId="0" borderId="117" xfId="36" applyFont="1" applyBorder="1" applyAlignment="1">
      <alignment horizontal="center" vertical="center" wrapText="1"/>
    </xf>
    <xf numFmtId="0" fontId="33" fillId="0" borderId="126" xfId="36" applyFont="1" applyBorder="1" applyAlignment="1">
      <alignment horizontal="center" vertical="center" wrapText="1"/>
    </xf>
    <xf numFmtId="0" fontId="33" fillId="0" borderId="108" xfId="36" applyFont="1" applyBorder="1" applyAlignment="1">
      <alignment horizontal="center" vertical="center" wrapText="1"/>
    </xf>
    <xf numFmtId="0" fontId="27" fillId="34" borderId="24" xfId="36" applyFont="1" applyFill="1" applyBorder="1" applyAlignment="1">
      <alignment horizontal="center" vertical="center" wrapText="1"/>
    </xf>
    <xf numFmtId="0" fontId="9" fillId="19" borderId="69" xfId="36" quotePrefix="1" applyFont="1" applyFill="1" applyBorder="1" applyAlignment="1">
      <alignment horizontal="center" vertical="center" wrapText="1"/>
    </xf>
    <xf numFmtId="0" fontId="9" fillId="19" borderId="19" xfId="36" quotePrefix="1" applyFont="1" applyFill="1" applyBorder="1" applyAlignment="1">
      <alignment horizontal="center" vertical="center" wrapText="1"/>
    </xf>
    <xf numFmtId="0" fontId="27" fillId="34" borderId="48" xfId="36" applyFont="1" applyFill="1" applyBorder="1" applyAlignment="1">
      <alignment horizontal="center" vertical="center" wrapText="1"/>
    </xf>
    <xf numFmtId="0" fontId="27" fillId="34" borderId="33" xfId="36" applyFont="1" applyFill="1" applyBorder="1" applyAlignment="1">
      <alignment horizontal="center" vertical="center" wrapText="1"/>
    </xf>
    <xf numFmtId="0" fontId="70" fillId="34" borderId="16" xfId="36" applyFont="1" applyFill="1" applyBorder="1" applyAlignment="1">
      <alignment horizontal="center" vertical="center" wrapText="1"/>
    </xf>
    <xf numFmtId="0" fontId="70" fillId="34" borderId="9" xfId="36" applyFont="1" applyFill="1" applyBorder="1" applyAlignment="1">
      <alignment horizontal="center" vertical="center" wrapText="1"/>
    </xf>
    <xf numFmtId="0" fontId="70" fillId="34" borderId="17" xfId="36" applyFont="1" applyFill="1" applyBorder="1" applyAlignment="1">
      <alignment horizontal="center" vertical="center" wrapText="1"/>
    </xf>
    <xf numFmtId="0" fontId="27" fillId="34" borderId="31" xfId="36" applyFont="1" applyFill="1" applyBorder="1" applyAlignment="1">
      <alignment horizontal="center" vertical="center"/>
    </xf>
    <xf numFmtId="0" fontId="27" fillId="34" borderId="28" xfId="36" applyFont="1" applyFill="1" applyBorder="1" applyAlignment="1">
      <alignment horizontal="center" vertical="center"/>
    </xf>
    <xf numFmtId="0" fontId="27" fillId="34" borderId="23" xfId="36" applyFont="1" applyFill="1" applyBorder="1" applyAlignment="1">
      <alignment horizontal="center" vertical="center" wrapText="1"/>
    </xf>
    <xf numFmtId="0" fontId="27" fillId="34" borderId="128" xfId="36" applyFont="1" applyFill="1" applyBorder="1" applyAlignment="1">
      <alignment horizontal="center" vertical="center"/>
    </xf>
    <xf numFmtId="0" fontId="27" fillId="34" borderId="129" xfId="36" applyFont="1" applyFill="1" applyBorder="1" applyAlignment="1">
      <alignment horizontal="center" vertical="center"/>
    </xf>
    <xf numFmtId="0" fontId="27" fillId="34" borderId="116" xfId="36" applyFont="1" applyFill="1" applyBorder="1" applyAlignment="1">
      <alignment horizontal="center"/>
    </xf>
    <xf numFmtId="0" fontId="27" fillId="34" borderId="94" xfId="36" applyFont="1" applyFill="1" applyBorder="1" applyAlignment="1">
      <alignment horizontal="center"/>
    </xf>
    <xf numFmtId="0" fontId="88" fillId="35" borderId="63" xfId="35" applyFont="1" applyFill="1" applyBorder="1" applyAlignment="1">
      <alignment horizontal="center" vertical="center" wrapText="1"/>
    </xf>
    <xf numFmtId="0" fontId="88" fillId="35" borderId="60" xfId="35" applyFont="1" applyFill="1" applyBorder="1" applyAlignment="1">
      <alignment horizontal="center" vertical="center" wrapText="1"/>
    </xf>
    <xf numFmtId="0" fontId="53" fillId="35" borderId="24" xfId="36" applyFont="1" applyFill="1" applyBorder="1" applyAlignment="1">
      <alignment horizontal="center" vertical="center" wrapText="1"/>
    </xf>
    <xf numFmtId="0" fontId="45" fillId="0" borderId="130" xfId="36" applyFont="1" applyBorder="1" applyAlignment="1">
      <alignment horizontal="center" vertical="center" wrapText="1"/>
    </xf>
    <xf numFmtId="0" fontId="45" fillId="0" borderId="96" xfId="36" applyFont="1" applyBorder="1" applyAlignment="1">
      <alignment horizontal="center" vertical="center" wrapText="1"/>
    </xf>
    <xf numFmtId="0" fontId="45" fillId="0" borderId="75" xfId="36" applyFont="1" applyBorder="1" applyAlignment="1">
      <alignment horizontal="center" vertical="center" wrapText="1"/>
    </xf>
    <xf numFmtId="0" fontId="112" fillId="33" borderId="37" xfId="36" applyFont="1" applyFill="1" applyBorder="1" applyAlignment="1">
      <alignment horizontal="center" vertical="center" wrapText="1"/>
    </xf>
    <xf numFmtId="0" fontId="112" fillId="33" borderId="0" xfId="36" applyFont="1" applyFill="1" applyAlignment="1">
      <alignment horizontal="center" vertical="center" wrapText="1"/>
    </xf>
    <xf numFmtId="0" fontId="112" fillId="33" borderId="32" xfId="36" applyFont="1" applyFill="1" applyBorder="1" applyAlignment="1">
      <alignment horizontal="center" vertical="center" wrapText="1"/>
    </xf>
    <xf numFmtId="168" fontId="112" fillId="33" borderId="37" xfId="36" applyNumberFormat="1" applyFont="1" applyFill="1" applyBorder="1" applyAlignment="1">
      <alignment horizontal="center" vertical="center" wrapText="1"/>
    </xf>
    <xf numFmtId="0" fontId="112" fillId="33" borderId="94" xfId="36" applyFont="1" applyFill="1" applyBorder="1" applyAlignment="1">
      <alignment horizontal="center" vertical="center" wrapText="1"/>
    </xf>
    <xf numFmtId="0" fontId="112" fillId="33" borderId="33" xfId="36" applyFont="1" applyFill="1" applyBorder="1" applyAlignment="1">
      <alignment horizontal="center" vertical="center" wrapText="1"/>
    </xf>
    <xf numFmtId="0" fontId="112" fillId="33" borderId="28" xfId="36" applyFont="1" applyFill="1" applyBorder="1" applyAlignment="1">
      <alignment horizontal="center" vertical="center" wrapText="1"/>
    </xf>
    <xf numFmtId="0" fontId="27" fillId="34" borderId="69" xfId="36" applyFont="1" applyFill="1" applyBorder="1" applyAlignment="1">
      <alignment horizontal="center" vertical="center" wrapText="1"/>
    </xf>
    <xf numFmtId="0" fontId="27" fillId="34" borderId="11" xfId="36" applyFont="1" applyFill="1" applyBorder="1" applyAlignment="1">
      <alignment horizontal="center" vertical="center" wrapText="1"/>
    </xf>
    <xf numFmtId="0" fontId="27" fillId="34" borderId="106" xfId="36" applyFont="1" applyFill="1" applyBorder="1" applyAlignment="1">
      <alignment horizontal="center" vertical="center" wrapText="1"/>
    </xf>
    <xf numFmtId="0" fontId="104" fillId="34" borderId="24" xfId="36" applyFont="1" applyFill="1" applyBorder="1" applyAlignment="1">
      <alignment horizontal="center" vertical="center" wrapText="1"/>
    </xf>
    <xf numFmtId="1" fontId="24" fillId="0" borderId="0" xfId="36" applyNumberFormat="1" applyFont="1" applyAlignment="1">
      <alignment horizontal="center" vertical="center" wrapText="1"/>
    </xf>
    <xf numFmtId="1" fontId="100" fillId="0" borderId="0" xfId="36" applyNumberFormat="1" applyFont="1" applyAlignment="1">
      <alignment horizontal="center" vertical="center" wrapText="1"/>
    </xf>
    <xf numFmtId="0" fontId="24" fillId="0" borderId="0" xfId="36" applyFont="1" applyAlignment="1">
      <alignment horizontal="center" vertical="center" wrapText="1"/>
    </xf>
    <xf numFmtId="0" fontId="30" fillId="0" borderId="0" xfId="36" applyFont="1" applyAlignment="1">
      <alignment horizontal="center" vertical="center"/>
    </xf>
    <xf numFmtId="0" fontId="26" fillId="34" borderId="62" xfId="36" applyFont="1" applyFill="1" applyBorder="1" applyAlignment="1">
      <alignment horizontal="center" vertical="center" textRotation="90"/>
    </xf>
    <xf numFmtId="0" fontId="26" fillId="34" borderId="101" xfId="36" applyFont="1" applyFill="1" applyBorder="1" applyAlignment="1">
      <alignment horizontal="center" vertical="center" textRotation="90"/>
    </xf>
    <xf numFmtId="0" fontId="27" fillId="34" borderId="23" xfId="36" applyFont="1" applyFill="1" applyBorder="1" applyAlignment="1">
      <alignment horizontal="center" vertical="center" textRotation="90" wrapText="1"/>
    </xf>
    <xf numFmtId="0" fontId="27" fillId="34" borderId="24" xfId="36" applyFont="1" applyFill="1" applyBorder="1" applyAlignment="1">
      <alignment horizontal="center" vertical="center" textRotation="90" wrapText="1"/>
    </xf>
    <xf numFmtId="0" fontId="27" fillId="34" borderId="71" xfId="36" applyFont="1" applyFill="1" applyBorder="1" applyAlignment="1">
      <alignment horizontal="center" vertical="center" wrapText="1"/>
    </xf>
    <xf numFmtId="185" fontId="62" fillId="19" borderId="66" xfId="35" applyNumberFormat="1" applyFont="1" applyFill="1" applyBorder="1" applyAlignment="1">
      <alignment horizontal="center" vertical="center"/>
    </xf>
    <xf numFmtId="0" fontId="45" fillId="0" borderId="37" xfId="36" applyFont="1" applyBorder="1" applyAlignment="1">
      <alignment horizontal="left" vertical="center" wrapText="1"/>
    </xf>
    <xf numFmtId="0" fontId="45" fillId="0" borderId="94" xfId="36" applyFont="1" applyBorder="1" applyAlignment="1">
      <alignment horizontal="left" vertical="center" wrapText="1"/>
    </xf>
    <xf numFmtId="0" fontId="45" fillId="0" borderId="0" xfId="36" applyFont="1" applyAlignment="1">
      <alignment horizontal="left" vertical="center" wrapText="1"/>
    </xf>
    <xf numFmtId="0" fontId="45" fillId="0" borderId="33" xfId="36" applyFont="1" applyBorder="1" applyAlignment="1">
      <alignment horizontal="left" vertical="center" wrapText="1"/>
    </xf>
    <xf numFmtId="0" fontId="45" fillId="0" borderId="34" xfId="36" applyFont="1" applyBorder="1" applyAlignment="1">
      <alignment horizontal="left" vertical="center" wrapText="1"/>
    </xf>
    <xf numFmtId="0" fontId="45" fillId="0" borderId="42" xfId="36" applyFont="1" applyBorder="1" applyAlignment="1">
      <alignment horizontal="left" vertical="center" wrapText="1"/>
    </xf>
    <xf numFmtId="173" fontId="131" fillId="36" borderId="101" xfId="36" quotePrefix="1" applyNumberFormat="1" applyFont="1" applyFill="1" applyBorder="1" applyAlignment="1">
      <alignment vertical="center" wrapText="1"/>
    </xf>
    <xf numFmtId="173" fontId="131" fillId="36" borderId="60" xfId="36" quotePrefix="1" applyNumberFormat="1" applyFont="1" applyFill="1" applyBorder="1" applyAlignment="1">
      <alignment vertical="center" wrapText="1"/>
    </xf>
    <xf numFmtId="173" fontId="131" fillId="36" borderId="41" xfId="36" quotePrefix="1" applyNumberFormat="1" applyFont="1" applyFill="1" applyBorder="1" applyAlignment="1">
      <alignment vertical="center" wrapText="1"/>
    </xf>
    <xf numFmtId="173" fontId="131" fillId="36" borderId="51" xfId="36" quotePrefix="1" applyNumberFormat="1" applyFont="1" applyFill="1" applyBorder="1" applyAlignment="1">
      <alignment vertical="center" wrapText="1"/>
    </xf>
    <xf numFmtId="0" fontId="9" fillId="19" borderId="69" xfId="36" applyFont="1" applyFill="1" applyBorder="1" applyAlignment="1">
      <alignment horizontal="center" vertical="center" wrapText="1"/>
    </xf>
    <xf numFmtId="173" fontId="131" fillId="36" borderId="41" xfId="36" quotePrefix="1" applyNumberFormat="1" applyFont="1" applyFill="1" applyBorder="1" applyAlignment="1">
      <alignment horizontal="left" vertical="center" wrapText="1"/>
    </xf>
    <xf numFmtId="173" fontId="131" fillId="36" borderId="106" xfId="36" quotePrefix="1" applyNumberFormat="1" applyFont="1" applyFill="1" applyBorder="1" applyAlignment="1">
      <alignment horizontal="left" vertical="center" wrapText="1"/>
    </xf>
    <xf numFmtId="0" fontId="9" fillId="34" borderId="4" xfId="36" applyFont="1" applyFill="1" applyBorder="1" applyAlignment="1">
      <alignment horizontal="center" vertical="center" wrapText="1"/>
    </xf>
    <xf numFmtId="0" fontId="9" fillId="34" borderId="132"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5" fillId="0" borderId="0" xfId="40" applyFont="1" applyAlignment="1">
      <alignment horizontal="center" vertical="center" wrapText="1"/>
    </xf>
    <xf numFmtId="0" fontId="9" fillId="34" borderId="82" xfId="36" applyFont="1" applyFill="1" applyBorder="1" applyAlignment="1">
      <alignment horizontal="center" vertical="center"/>
    </xf>
    <xf numFmtId="0" fontId="9" fillId="34" borderId="50" xfId="36" applyFont="1" applyFill="1" applyBorder="1" applyAlignment="1">
      <alignment horizontal="center" vertical="center"/>
    </xf>
    <xf numFmtId="0" fontId="9" fillId="34" borderId="121" xfId="36" applyFont="1" applyFill="1" applyBorder="1" applyAlignment="1">
      <alignment horizontal="center" vertical="center"/>
    </xf>
    <xf numFmtId="0" fontId="9" fillId="34" borderId="122" xfId="36" applyFont="1" applyFill="1" applyBorder="1" applyAlignment="1">
      <alignment horizontal="center" vertical="center"/>
    </xf>
    <xf numFmtId="0" fontId="9" fillId="34" borderId="121" xfId="36" applyFont="1" applyFill="1" applyBorder="1" applyAlignment="1">
      <alignment horizontal="center" vertical="center" wrapText="1"/>
    </xf>
    <xf numFmtId="0" fontId="9" fillId="34" borderId="122" xfId="36" applyFont="1" applyFill="1" applyBorder="1" applyAlignment="1">
      <alignment horizontal="center" vertical="center" wrapText="1"/>
    </xf>
    <xf numFmtId="0" fontId="78" fillId="24" borderId="49" xfId="43" applyFont="1" applyFill="1" applyBorder="1" applyAlignment="1">
      <alignment horizontal="center" vertical="center" wrapText="1"/>
    </xf>
    <xf numFmtId="0" fontId="78" fillId="24" borderId="131" xfId="43" applyFont="1" applyFill="1" applyBorder="1" applyAlignment="1">
      <alignment horizontal="center" vertical="center" wrapText="1"/>
    </xf>
    <xf numFmtId="0" fontId="78" fillId="24" borderId="105" xfId="43" applyFont="1" applyFill="1" applyBorder="1" applyAlignment="1">
      <alignment horizontal="center" vertical="center" wrapText="1"/>
    </xf>
    <xf numFmtId="0" fontId="78" fillId="24" borderId="5" xfId="43" applyFont="1" applyFill="1" applyBorder="1" applyAlignment="1">
      <alignment horizontal="center" vertical="center" wrapText="1"/>
    </xf>
    <xf numFmtId="0" fontId="78" fillId="24" borderId="133" xfId="43" applyFont="1" applyFill="1" applyBorder="1" applyAlignment="1">
      <alignment horizontal="center" vertical="center" wrapText="1"/>
    </xf>
    <xf numFmtId="0" fontId="78" fillId="24" borderId="156" xfId="43" applyFont="1" applyFill="1" applyBorder="1" applyAlignment="1">
      <alignment horizontal="center" vertical="center" wrapText="1"/>
    </xf>
    <xf numFmtId="0" fontId="78" fillId="24" borderId="134" xfId="43" applyFont="1" applyFill="1" applyBorder="1" applyAlignment="1">
      <alignment horizontal="center" vertical="center" wrapText="1"/>
    </xf>
    <xf numFmtId="0" fontId="65" fillId="24" borderId="4" xfId="36" applyFont="1" applyFill="1" applyBorder="1" applyAlignment="1">
      <alignment horizontal="center" vertical="center" wrapText="1"/>
    </xf>
    <xf numFmtId="0" fontId="65" fillId="24" borderId="135" xfId="36" applyFont="1" applyFill="1" applyBorder="1" applyAlignment="1">
      <alignment horizontal="center" vertical="center" wrapText="1"/>
    </xf>
    <xf numFmtId="0" fontId="65" fillId="24" borderId="155" xfId="36" applyFont="1" applyFill="1" applyBorder="1" applyAlignment="1">
      <alignment horizontal="center" vertical="center" wrapText="1"/>
    </xf>
    <xf numFmtId="0" fontId="65" fillId="24" borderId="132" xfId="36" applyFont="1" applyFill="1" applyBorder="1" applyAlignment="1">
      <alignment horizontal="center" vertical="center" wrapText="1"/>
    </xf>
    <xf numFmtId="0" fontId="65" fillId="24" borderId="82" xfId="36" applyFont="1" applyFill="1" applyBorder="1" applyAlignment="1">
      <alignment horizontal="center" vertical="center" wrapText="1"/>
    </xf>
    <xf numFmtId="0" fontId="65" fillId="24" borderId="24" xfId="36" applyFont="1" applyFill="1" applyBorder="1" applyAlignment="1">
      <alignment horizontal="center" vertical="center" wrapText="1"/>
    </xf>
    <xf numFmtId="0" fontId="65" fillId="24" borderId="66" xfId="36" applyFont="1" applyFill="1" applyBorder="1" applyAlignment="1">
      <alignment horizontal="center" vertical="center" wrapText="1"/>
    </xf>
    <xf numFmtId="0" fontId="65" fillId="24" borderId="50" xfId="36" applyFont="1" applyFill="1" applyBorder="1" applyAlignment="1">
      <alignment horizontal="center" vertical="center" wrapText="1"/>
    </xf>
    <xf numFmtId="0" fontId="65" fillId="24" borderId="120" xfId="36" applyFont="1" applyFill="1" applyBorder="1" applyAlignment="1">
      <alignment horizontal="center" vertical="center" wrapText="1"/>
    </xf>
    <xf numFmtId="0" fontId="65" fillId="24" borderId="98" xfId="36" applyFont="1" applyFill="1" applyBorder="1" applyAlignment="1">
      <alignment horizontal="center" vertical="center" wrapText="1"/>
    </xf>
    <xf numFmtId="0" fontId="65" fillId="24" borderId="131" xfId="36" applyFont="1" applyFill="1" applyBorder="1" applyAlignment="1">
      <alignment horizontal="center" vertical="center" wrapText="1"/>
    </xf>
    <xf numFmtId="0" fontId="65" fillId="24" borderId="105" xfId="36" applyFont="1" applyFill="1" applyBorder="1" applyAlignment="1">
      <alignment horizontal="center" vertical="center" wrapText="1"/>
    </xf>
    <xf numFmtId="0" fontId="13" fillId="8" borderId="0" xfId="37" applyFont="1" applyFill="1" applyAlignment="1">
      <alignment horizontal="center"/>
    </xf>
    <xf numFmtId="0" fontId="9" fillId="34" borderId="4" xfId="36" applyFont="1" applyFill="1" applyBorder="1" applyAlignment="1">
      <alignment horizontal="center" vertical="center" textRotation="90" wrapText="1"/>
    </xf>
    <xf numFmtId="0" fontId="9" fillId="34" borderId="132" xfId="36" applyFont="1" applyFill="1" applyBorder="1" applyAlignment="1">
      <alignment horizontal="center" vertical="center" textRotation="90" wrapText="1"/>
    </xf>
    <xf numFmtId="0" fontId="34" fillId="34" borderId="20" xfId="0" applyFont="1" applyFill="1" applyBorder="1" applyAlignment="1">
      <alignment horizontal="center" vertical="center" wrapText="1"/>
    </xf>
    <xf numFmtId="0" fontId="34" fillId="34" borderId="71" xfId="0" applyFont="1" applyFill="1" applyBorder="1" applyAlignment="1">
      <alignment horizontal="center" vertical="center" wrapText="1"/>
    </xf>
    <xf numFmtId="0" fontId="34" fillId="34" borderId="112" xfId="0" applyFont="1" applyFill="1" applyBorder="1" applyAlignment="1">
      <alignment horizontal="center" vertical="center" wrapText="1"/>
    </xf>
    <xf numFmtId="0" fontId="126" fillId="34" borderId="48" xfId="0" applyFont="1" applyFill="1" applyBorder="1" applyAlignment="1">
      <alignment horizontal="center" vertical="center" wrapText="1"/>
    </xf>
    <xf numFmtId="0" fontId="126" fillId="34" borderId="14" xfId="0" applyFont="1" applyFill="1" applyBorder="1" applyAlignment="1">
      <alignment horizontal="center" vertical="center" wrapText="1"/>
    </xf>
    <xf numFmtId="0" fontId="39" fillId="34" borderId="104" xfId="0" applyFont="1" applyFill="1" applyBorder="1" applyAlignment="1">
      <alignment horizontal="center" vertical="center" wrapText="1"/>
    </xf>
    <xf numFmtId="0" fontId="39" fillId="34" borderId="44" xfId="0" applyFont="1" applyFill="1" applyBorder="1" applyAlignment="1">
      <alignment horizontal="center" vertical="center" wrapText="1"/>
    </xf>
    <xf numFmtId="0" fontId="39" fillId="34" borderId="131" xfId="0" applyFont="1" applyFill="1" applyBorder="1" applyAlignment="1">
      <alignment horizontal="center" vertical="center" wrapText="1"/>
    </xf>
    <xf numFmtId="0" fontId="39" fillId="34" borderId="15" xfId="0" applyFont="1" applyFill="1" applyBorder="1" applyAlignment="1">
      <alignment horizontal="center" vertical="center" wrapText="1"/>
    </xf>
    <xf numFmtId="0" fontId="39" fillId="34" borderId="109" xfId="0" applyFont="1" applyFill="1" applyBorder="1" applyAlignment="1">
      <alignment horizontal="center" vertical="center" wrapText="1"/>
    </xf>
    <xf numFmtId="0" fontId="39" fillId="34" borderId="43" xfId="0" applyFont="1" applyFill="1" applyBorder="1" applyAlignment="1">
      <alignment horizontal="center" vertical="center" wrapText="1"/>
    </xf>
    <xf numFmtId="0" fontId="39" fillId="34" borderId="47" xfId="0" applyFont="1" applyFill="1" applyBorder="1" applyAlignment="1">
      <alignment horizontal="center" vertical="center" wrapText="1"/>
    </xf>
    <xf numFmtId="0" fontId="39" fillId="34" borderId="96" xfId="0" applyFont="1" applyFill="1" applyBorder="1" applyAlignment="1">
      <alignment horizontal="center" vertical="center" wrapText="1"/>
    </xf>
    <xf numFmtId="0" fontId="115" fillId="35" borderId="109" xfId="0" applyFont="1" applyFill="1" applyBorder="1" applyAlignment="1">
      <alignment horizontal="center" vertical="center" wrapText="1"/>
    </xf>
    <xf numFmtId="0" fontId="115" fillId="35" borderId="131" xfId="0" applyFont="1" applyFill="1" applyBorder="1" applyAlignment="1">
      <alignment horizontal="center" vertical="center" wrapText="1"/>
    </xf>
    <xf numFmtId="0" fontId="115" fillId="35" borderId="15" xfId="0" applyFont="1" applyFill="1" applyBorder="1" applyAlignment="1">
      <alignment horizontal="center" vertical="center" wrapText="1"/>
    </xf>
    <xf numFmtId="0" fontId="39" fillId="34" borderId="94" xfId="0" applyFont="1" applyFill="1" applyBorder="1" applyAlignment="1">
      <alignment horizontal="center" vertical="center" wrapText="1"/>
    </xf>
    <xf numFmtId="1" fontId="26" fillId="0" borderId="0" xfId="36" applyNumberFormat="1" applyFont="1" applyAlignment="1">
      <alignment horizontal="center" vertical="center" wrapText="1"/>
    </xf>
    <xf numFmtId="0" fontId="26" fillId="0" borderId="0" xfId="36" applyFont="1" applyAlignment="1" applyProtection="1">
      <alignment horizontal="center" vertical="center" wrapText="1"/>
      <protection hidden="1"/>
    </xf>
    <xf numFmtId="181" fontId="24" fillId="0" borderId="0" xfId="36" applyNumberFormat="1" applyFont="1" applyAlignment="1" applyProtection="1">
      <alignment horizontal="center" vertical="center" wrapText="1"/>
      <protection hidden="1"/>
    </xf>
    <xf numFmtId="0" fontId="57" fillId="0" borderId="89" xfId="43" applyFont="1" applyBorder="1" applyAlignment="1">
      <alignment horizontal="center" wrapText="1"/>
    </xf>
    <xf numFmtId="0" fontId="78" fillId="34" borderId="5" xfId="43" applyFont="1" applyFill="1" applyBorder="1" applyAlignment="1">
      <alignment horizontal="center" vertical="center" wrapText="1"/>
    </xf>
    <xf numFmtId="0" fontId="78" fillId="34" borderId="133" xfId="43" applyFont="1" applyFill="1" applyBorder="1" applyAlignment="1">
      <alignment horizontal="center" vertical="center" wrapText="1"/>
    </xf>
    <xf numFmtId="0" fontId="78" fillId="34" borderId="156" xfId="43" applyFont="1" applyFill="1" applyBorder="1" applyAlignment="1">
      <alignment horizontal="center" vertical="center" wrapText="1"/>
    </xf>
    <xf numFmtId="0" fontId="78" fillId="34" borderId="134" xfId="43" applyFont="1" applyFill="1" applyBorder="1" applyAlignment="1">
      <alignment horizontal="center" vertical="center" wrapText="1"/>
    </xf>
    <xf numFmtId="0" fontId="65" fillId="34" borderId="118" xfId="36" applyFont="1" applyFill="1" applyBorder="1" applyAlignment="1">
      <alignment horizontal="center" vertical="center" wrapText="1"/>
    </xf>
    <xf numFmtId="0" fontId="65" fillId="34" borderId="157" xfId="36" applyFont="1" applyFill="1" applyBorder="1" applyAlignment="1">
      <alignment horizontal="center" vertical="center" wrapText="1"/>
    </xf>
    <xf numFmtId="0" fontId="65" fillId="34" borderId="119" xfId="36" applyFont="1" applyFill="1" applyBorder="1" applyAlignment="1">
      <alignment horizontal="center" vertical="center" wrapText="1"/>
    </xf>
    <xf numFmtId="0" fontId="65" fillId="34" borderId="82" xfId="36" applyFont="1" applyFill="1" applyBorder="1" applyAlignment="1">
      <alignment horizontal="center" vertical="center" wrapText="1"/>
    </xf>
    <xf numFmtId="0" fontId="65" fillId="34" borderId="24" xfId="36" applyFont="1" applyFill="1" applyBorder="1" applyAlignment="1">
      <alignment horizontal="center" vertical="center" wrapText="1"/>
    </xf>
    <xf numFmtId="0" fontId="65" fillId="34" borderId="66" xfId="36" applyFont="1" applyFill="1" applyBorder="1" applyAlignment="1">
      <alignment horizontal="center" vertical="center" wrapText="1"/>
    </xf>
    <xf numFmtId="0" fontId="65" fillId="34" borderId="50" xfId="36" applyFont="1" applyFill="1" applyBorder="1" applyAlignment="1">
      <alignment horizontal="center" vertical="center" wrapText="1"/>
    </xf>
    <xf numFmtId="0" fontId="65" fillId="34" borderId="49" xfId="36" applyFont="1" applyFill="1" applyBorder="1" applyAlignment="1">
      <alignment horizontal="center" vertical="center" wrapText="1"/>
    </xf>
    <xf numFmtId="0" fontId="65" fillId="34" borderId="131" xfId="36" applyFont="1" applyFill="1" applyBorder="1" applyAlignment="1">
      <alignment horizontal="center" vertical="center" wrapText="1"/>
    </xf>
    <xf numFmtId="0" fontId="65" fillId="34" borderId="15" xfId="36" applyFont="1" applyFill="1" applyBorder="1" applyAlignment="1">
      <alignment horizontal="center" vertical="center" wrapText="1"/>
    </xf>
    <xf numFmtId="0" fontId="65" fillId="34" borderId="120" xfId="36" applyFont="1" applyFill="1" applyBorder="1" applyAlignment="1">
      <alignment horizontal="center" vertical="center" wrapText="1"/>
    </xf>
    <xf numFmtId="0" fontId="65" fillId="34" borderId="98" xfId="36" applyFont="1" applyFill="1" applyBorder="1" applyAlignment="1">
      <alignment horizontal="center" vertical="center" wrapText="1"/>
    </xf>
    <xf numFmtId="0" fontId="65" fillId="34" borderId="136" xfId="36" applyFont="1" applyFill="1" applyBorder="1" applyAlignment="1">
      <alignment horizontal="center" vertical="center" wrapText="1"/>
    </xf>
    <xf numFmtId="0" fontId="78" fillId="34" borderId="49" xfId="43" applyFont="1" applyFill="1" applyBorder="1" applyAlignment="1">
      <alignment horizontal="center" vertical="center" wrapText="1"/>
    </xf>
    <xf numFmtId="0" fontId="78" fillId="34" borderId="131" xfId="43" applyFont="1" applyFill="1" applyBorder="1" applyAlignment="1">
      <alignment horizontal="center" vertical="center" wrapText="1"/>
    </xf>
    <xf numFmtId="0" fontId="82" fillId="4" borderId="116" xfId="40" applyFont="1" applyFill="1" applyBorder="1" applyAlignment="1">
      <alignment horizontal="center" vertical="center"/>
    </xf>
    <xf numFmtId="0" fontId="82" fillId="4" borderId="37" xfId="40" applyFont="1" applyFill="1" applyBorder="1" applyAlignment="1">
      <alignment horizontal="center" vertical="center"/>
    </xf>
    <xf numFmtId="41" fontId="82" fillId="4" borderId="37" xfId="93" applyFont="1" applyFill="1" applyBorder="1" applyAlignment="1">
      <alignment horizontal="center"/>
    </xf>
    <xf numFmtId="41" fontId="82" fillId="4" borderId="94" xfId="93" applyFont="1" applyFill="1" applyBorder="1" applyAlignment="1">
      <alignment horizontal="center"/>
    </xf>
    <xf numFmtId="188" fontId="97" fillId="37" borderId="48" xfId="40" applyNumberFormat="1" applyFont="1" applyFill="1" applyBorder="1" applyAlignment="1">
      <alignment horizontal="center" vertical="center"/>
    </xf>
    <xf numFmtId="188" fontId="97" fillId="37" borderId="33" xfId="40" applyNumberFormat="1" applyFont="1" applyFill="1" applyBorder="1" applyAlignment="1">
      <alignment horizontal="center" vertical="center"/>
    </xf>
    <xf numFmtId="188" fontId="97" fillId="37" borderId="14" xfId="40" applyNumberFormat="1" applyFont="1" applyFill="1" applyBorder="1" applyAlignment="1">
      <alignment horizontal="center" vertical="center"/>
    </xf>
    <xf numFmtId="188" fontId="97" fillId="37" borderId="42" xfId="40" applyNumberFormat="1" applyFont="1" applyFill="1" applyBorder="1" applyAlignment="1">
      <alignment horizontal="center" vertical="center"/>
    </xf>
    <xf numFmtId="0" fontId="5" fillId="0" borderId="11" xfId="40" applyFont="1" applyBorder="1" applyAlignment="1">
      <alignment horizontal="center" vertical="center"/>
    </xf>
    <xf numFmtId="0" fontId="5" fillId="4" borderId="11" xfId="40" applyFont="1" applyFill="1" applyBorder="1" applyAlignment="1">
      <alignment horizontal="center" vertical="center"/>
    </xf>
    <xf numFmtId="0" fontId="5" fillId="4" borderId="19" xfId="40" applyFont="1" applyFill="1" applyBorder="1" applyAlignment="1">
      <alignment horizontal="center" vertical="center"/>
    </xf>
    <xf numFmtId="0" fontId="5" fillId="4" borderId="18" xfId="40" applyFont="1" applyFill="1" applyBorder="1" applyAlignment="1">
      <alignment horizontal="right" vertical="center"/>
    </xf>
    <xf numFmtId="0" fontId="5" fillId="4" borderId="11" xfId="40" applyFont="1" applyFill="1" applyBorder="1" applyAlignment="1">
      <alignment horizontal="right" vertical="center"/>
    </xf>
    <xf numFmtId="0" fontId="5" fillId="4" borderId="127" xfId="40" applyFont="1" applyFill="1" applyBorder="1" applyAlignment="1">
      <alignment horizontal="right" vertical="center"/>
    </xf>
    <xf numFmtId="0" fontId="51" fillId="34" borderId="147" xfId="40" applyFont="1" applyFill="1" applyBorder="1" applyAlignment="1">
      <alignment horizontal="center" vertical="center" wrapText="1"/>
    </xf>
    <xf numFmtId="0" fontId="51" fillId="34" borderId="148" xfId="40" applyFont="1" applyFill="1" applyBorder="1" applyAlignment="1">
      <alignment horizontal="center" vertical="center" wrapText="1"/>
    </xf>
    <xf numFmtId="0" fontId="51" fillId="34" borderId="149" xfId="40" applyFont="1" applyFill="1" applyBorder="1" applyAlignment="1">
      <alignment horizontal="center" vertical="center" wrapText="1"/>
    </xf>
    <xf numFmtId="0" fontId="51" fillId="34" borderId="16" xfId="40" applyFont="1" applyFill="1" applyBorder="1" applyAlignment="1">
      <alignment horizontal="left" vertical="center" wrapText="1"/>
    </xf>
    <xf numFmtId="0" fontId="51" fillId="34" borderId="9" xfId="40" applyFont="1" applyFill="1" applyBorder="1" applyAlignment="1">
      <alignment horizontal="left" vertical="center" wrapText="1"/>
    </xf>
    <xf numFmtId="0" fontId="51" fillId="34" borderId="17" xfId="40" applyFont="1" applyFill="1" applyBorder="1" applyAlignment="1">
      <alignment horizontal="left" vertical="center" wrapText="1"/>
    </xf>
    <xf numFmtId="0" fontId="5" fillId="4" borderId="41" xfId="40" applyFont="1" applyFill="1" applyBorder="1" applyAlignment="1">
      <alignment horizontal="right" vertical="center"/>
    </xf>
    <xf numFmtId="0" fontId="5" fillId="4" borderId="51" xfId="40" applyFont="1" applyFill="1" applyBorder="1" applyAlignment="1">
      <alignment horizontal="right" vertical="center"/>
    </xf>
    <xf numFmtId="0" fontId="5" fillId="4" borderId="38" xfId="40" applyFont="1" applyFill="1" applyBorder="1" applyAlignment="1">
      <alignment horizontal="right" vertical="center"/>
    </xf>
    <xf numFmtId="0" fontId="51" fillId="34" borderId="41" xfId="40" applyFont="1" applyFill="1" applyBorder="1" applyAlignment="1">
      <alignment horizontal="left" vertical="center" wrapText="1"/>
    </xf>
    <xf numFmtId="0" fontId="51" fillId="34" borderId="51" xfId="40" applyFont="1" applyFill="1" applyBorder="1" applyAlignment="1">
      <alignment horizontal="left" vertical="center" wrapText="1"/>
    </xf>
    <xf numFmtId="0" fontId="51" fillId="34" borderId="106" xfId="40" applyFont="1" applyFill="1" applyBorder="1" applyAlignment="1">
      <alignment horizontal="left" vertical="center" wrapText="1"/>
    </xf>
    <xf numFmtId="0" fontId="51" fillId="34" borderId="20" xfId="40" applyFont="1" applyFill="1" applyBorder="1" applyAlignment="1">
      <alignment horizontal="center" vertical="center" wrapText="1"/>
    </xf>
    <xf numFmtId="0" fontId="51" fillId="34" borderId="71" xfId="40"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1" fillId="35" borderId="116" xfId="40" applyFont="1" applyFill="1" applyBorder="1" applyAlignment="1">
      <alignment horizontal="center" vertical="center" wrapText="1"/>
    </xf>
    <xf numFmtId="0" fontId="51" fillId="35" borderId="94" xfId="40" applyFont="1" applyFill="1" applyBorder="1" applyAlignment="1">
      <alignment horizontal="center" vertical="center" wrapText="1"/>
    </xf>
    <xf numFmtId="0" fontId="51" fillId="35" borderId="48" xfId="40" applyFont="1" applyFill="1" applyBorder="1" applyAlignment="1">
      <alignment horizontal="center" vertical="center" wrapText="1"/>
    </xf>
    <xf numFmtId="0" fontId="51" fillId="35" borderId="33" xfId="40" applyFont="1" applyFill="1" applyBorder="1" applyAlignment="1">
      <alignment horizontal="center" vertical="center" wrapText="1"/>
    </xf>
    <xf numFmtId="0" fontId="5" fillId="0" borderId="51" xfId="40" applyFont="1" applyBorder="1" applyAlignment="1">
      <alignment horizontal="center" vertical="center"/>
    </xf>
    <xf numFmtId="0" fontId="51" fillId="34" borderId="16" xfId="40" applyFont="1" applyFill="1" applyBorder="1" applyAlignment="1">
      <alignment horizontal="center" vertical="center" wrapText="1"/>
    </xf>
    <xf numFmtId="0" fontId="51" fillId="34" borderId="9" xfId="40" applyFont="1" applyFill="1" applyBorder="1" applyAlignment="1">
      <alignment horizontal="center" vertical="center" wrapText="1"/>
    </xf>
    <xf numFmtId="183" fontId="51" fillId="34" borderId="71" xfId="92" applyNumberFormat="1" applyFont="1" applyFill="1" applyBorder="1" applyAlignment="1">
      <alignment horizontal="center" vertical="center" wrapText="1"/>
    </xf>
    <xf numFmtId="0" fontId="51" fillId="34" borderId="101" xfId="40" applyFont="1" applyFill="1" applyBorder="1" applyAlignment="1">
      <alignment horizontal="center" vertical="center" wrapText="1"/>
    </xf>
    <xf numFmtId="0" fontId="51" fillId="34" borderId="64" xfId="40" applyFont="1" applyFill="1" applyBorder="1" applyAlignment="1">
      <alignment horizontal="center" vertical="center" wrapText="1"/>
    </xf>
    <xf numFmtId="0" fontId="51" fillId="34" borderId="144" xfId="40" applyFont="1" applyFill="1" applyBorder="1" applyAlignment="1">
      <alignment horizontal="center" vertical="center" textRotation="90" wrapText="1"/>
    </xf>
    <xf numFmtId="0" fontId="51" fillId="34" borderId="92" xfId="40" applyFont="1" applyFill="1" applyBorder="1" applyAlignment="1">
      <alignment horizontal="center" vertical="center" textRotation="90" wrapText="1"/>
    </xf>
    <xf numFmtId="0" fontId="51" fillId="34" borderId="24" xfId="40" applyFont="1" applyFill="1" applyBorder="1" applyAlignment="1">
      <alignment horizontal="center" vertical="center"/>
    </xf>
    <xf numFmtId="0" fontId="51" fillId="34" borderId="50" xfId="40" applyFont="1" applyFill="1" applyBorder="1" applyAlignment="1">
      <alignment horizontal="center" vertical="center"/>
    </xf>
    <xf numFmtId="0" fontId="51" fillId="34" borderId="24" xfId="40" applyFont="1" applyFill="1" applyBorder="1" applyAlignment="1">
      <alignment horizontal="center" vertical="center" wrapText="1"/>
    </xf>
    <xf numFmtId="0" fontId="51" fillId="34" borderId="50" xfId="40" applyFont="1" applyFill="1" applyBorder="1" applyAlignment="1">
      <alignment horizontal="center" vertical="center" wrapText="1"/>
    </xf>
    <xf numFmtId="0" fontId="51" fillId="34" borderId="58" xfId="40" applyFont="1" applyFill="1" applyBorder="1" applyAlignment="1">
      <alignment horizontal="right" vertical="center" wrapText="1"/>
    </xf>
    <xf numFmtId="0" fontId="51" fillId="34" borderId="106" xfId="40" applyFont="1" applyFill="1" applyBorder="1" applyAlignment="1">
      <alignment horizontal="right" vertical="center" wrapText="1"/>
    </xf>
    <xf numFmtId="0" fontId="98" fillId="4" borderId="0" xfId="40" applyFont="1" applyFill="1" applyAlignment="1">
      <alignment horizontal="center" vertical="center" wrapText="1"/>
    </xf>
    <xf numFmtId="4" fontId="5" fillId="4" borderId="108"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101" xfId="40" applyNumberFormat="1" applyFont="1" applyFill="1" applyBorder="1" applyAlignment="1">
      <alignment horizontal="right" vertical="center" wrapText="1"/>
    </xf>
    <xf numFmtId="4" fontId="5" fillId="4" borderId="24" xfId="40" applyNumberFormat="1" applyFont="1" applyFill="1" applyBorder="1" applyAlignment="1">
      <alignment horizontal="right" vertical="center" wrapText="1"/>
    </xf>
    <xf numFmtId="4" fontId="5" fillId="4" borderId="64" xfId="40" applyNumberFormat="1" applyFont="1" applyFill="1" applyBorder="1" applyAlignment="1">
      <alignment horizontal="right" vertical="center" wrapText="1"/>
    </xf>
    <xf numFmtId="4" fontId="5" fillId="4" borderId="50" xfId="40" applyNumberFormat="1" applyFont="1" applyFill="1" applyBorder="1" applyAlignment="1">
      <alignment horizontal="right" vertical="center" wrapText="1"/>
    </xf>
    <xf numFmtId="0" fontId="8" fillId="34" borderId="121" xfId="0" applyFont="1" applyFill="1" applyBorder="1" applyAlignment="1" applyProtection="1">
      <alignment horizontal="center" vertical="center" wrapText="1"/>
      <protection hidden="1"/>
    </xf>
    <xf numFmtId="0" fontId="8" fillId="34" borderId="138" xfId="0" applyFont="1" applyFill="1" applyBorder="1" applyAlignment="1" applyProtection="1">
      <alignment horizontal="center" vertical="center" wrapText="1"/>
      <protection hidden="1"/>
    </xf>
    <xf numFmtId="0" fontId="8" fillId="34" borderId="49" xfId="0" applyFont="1" applyFill="1" applyBorder="1" applyAlignment="1" applyProtection="1">
      <alignment horizontal="center" vertical="center" wrapText="1"/>
      <protection hidden="1"/>
    </xf>
    <xf numFmtId="0" fontId="8" fillId="34" borderId="97" xfId="0" applyFont="1" applyFill="1" applyBorder="1" applyAlignment="1" applyProtection="1">
      <alignment horizontal="center" vertical="center" wrapText="1"/>
      <protection hidden="1"/>
    </xf>
    <xf numFmtId="0" fontId="8" fillId="34" borderId="118" xfId="0" applyFont="1" applyFill="1" applyBorder="1" applyAlignment="1" applyProtection="1">
      <alignment horizontal="center" vertical="center" wrapText="1"/>
      <protection hidden="1"/>
    </xf>
    <xf numFmtId="0" fontId="8" fillId="34" borderId="137" xfId="0" applyFont="1" applyFill="1" applyBorder="1" applyAlignment="1" applyProtection="1">
      <alignment horizontal="center" vertical="center" wrapText="1"/>
      <protection hidden="1"/>
    </xf>
    <xf numFmtId="0" fontId="57" fillId="0" borderId="20" xfId="0" applyFont="1" applyBorder="1" applyAlignment="1">
      <alignment horizontal="center" vertical="center"/>
    </xf>
    <xf numFmtId="0" fontId="57" fillId="0" borderId="112" xfId="0" applyFont="1" applyBorder="1" applyAlignment="1">
      <alignment horizontal="center" vertical="center"/>
    </xf>
    <xf numFmtId="0" fontId="72" fillId="8" borderId="66" xfId="0" applyFont="1" applyFill="1" applyBorder="1" applyAlignment="1">
      <alignment horizontal="center" vertical="center" wrapText="1"/>
    </xf>
    <xf numFmtId="0" fontId="72" fillId="8" borderId="131" xfId="0" applyFont="1" applyFill="1" applyBorder="1" applyAlignment="1">
      <alignment horizontal="center" vertical="center" wrapText="1"/>
    </xf>
    <xf numFmtId="0" fontId="72" fillId="8" borderId="105" xfId="0" applyFont="1" applyFill="1" applyBorder="1" applyAlignment="1">
      <alignment horizontal="center" vertical="center" wrapText="1"/>
    </xf>
    <xf numFmtId="0" fontId="72" fillId="8" borderId="24" xfId="0" applyFont="1" applyFill="1" applyBorder="1" applyAlignment="1">
      <alignment horizontal="center" vertical="center" wrapText="1"/>
    </xf>
    <xf numFmtId="0" fontId="72" fillId="8" borderId="24" xfId="0" applyFont="1" applyFill="1" applyBorder="1" applyAlignment="1">
      <alignment horizontal="center" vertical="center"/>
    </xf>
    <xf numFmtId="0" fontId="72" fillId="8" borderId="58" xfId="0" applyFont="1" applyFill="1" applyBorder="1" applyAlignment="1">
      <alignment horizontal="center" vertical="center" wrapText="1"/>
    </xf>
    <xf numFmtId="0" fontId="72" fillId="8" borderId="38" xfId="0" applyFont="1" applyFill="1" applyBorder="1" applyAlignment="1">
      <alignment horizontal="center" vertical="center" wrapText="1"/>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7385">
    <dxf>
      <fill>
        <patternFill>
          <bgColor rgb="FFFFFF00"/>
        </patternFill>
      </fill>
    </dxf>
    <dxf>
      <fill>
        <patternFill>
          <bgColor rgb="FFFFFF00"/>
        </patternFill>
      </fill>
    </dxf>
    <dxf>
      <font>
        <b/>
        <i val="0"/>
      </font>
    </dxf>
    <dxf>
      <font>
        <b/>
        <i val="0"/>
      </font>
    </dxf>
    <dxf>
      <font>
        <b/>
        <i val="0"/>
      </font>
    </dxf>
    <dxf>
      <font>
        <b/>
        <i val="0"/>
      </font>
    </dxf>
    <dxf>
      <font>
        <b/>
        <i val="0"/>
      </font>
    </dxf>
    <dxf>
      <font>
        <b/>
        <i val="0"/>
      </font>
    </dxf>
    <dxf>
      <font>
        <b/>
        <i val="0"/>
      </font>
    </dxf>
    <dxf>
      <font>
        <b/>
        <i val="0"/>
      </font>
    </dxf>
    <dxf>
      <fill>
        <patternFill>
          <bgColor rgb="FFFFFF00"/>
        </patternFill>
      </fill>
    </dxf>
    <dxf>
      <font>
        <b/>
        <i val="0"/>
      </font>
    </dxf>
    <dxf>
      <font>
        <b/>
        <i val="0"/>
      </font>
    </dxf>
    <dxf>
      <font>
        <b/>
        <i val="0"/>
      </font>
    </dxf>
    <dxf>
      <font>
        <b/>
        <i val="0"/>
      </font>
    </dxf>
    <dxf>
      <font>
        <b/>
        <i val="0"/>
      </font>
    </dxf>
    <dxf>
      <font>
        <b/>
        <i val="0"/>
      </font>
    </dxf>
    <dxf>
      <font>
        <b/>
        <i val="0"/>
      </font>
    </dxf>
    <dxf>
      <font>
        <b/>
        <i val="0"/>
      </font>
    </dxf>
    <dxf>
      <fill>
        <patternFill>
          <bgColor rgb="FFFFFF00"/>
        </patternFill>
      </fill>
    </dxf>
    <dxf>
      <fill>
        <patternFill>
          <bgColor rgb="FFFFFF00"/>
        </patternFill>
      </fill>
    </dxf>
    <dxf>
      <font>
        <b/>
        <i val="0"/>
      </font>
    </dxf>
    <dxf>
      <font>
        <b/>
        <i val="0"/>
      </font>
    </dxf>
    <dxf>
      <fill>
        <patternFill>
          <bgColor rgb="FFFFFF00"/>
        </patternFill>
      </fill>
    </dxf>
    <dxf>
      <fill>
        <patternFill>
          <bgColor rgb="FFFFFF00"/>
        </patternFill>
      </fill>
    </dxf>
    <dxf>
      <font>
        <b/>
        <i val="0"/>
      </font>
    </dxf>
    <dxf>
      <font>
        <b/>
        <i val="0"/>
      </font>
    </dxf>
    <dxf>
      <font>
        <b/>
        <i val="0"/>
      </font>
    </dxf>
    <dxf>
      <font>
        <b/>
        <i val="0"/>
      </font>
    </dxf>
    <dxf>
      <font>
        <b/>
        <i val="0"/>
      </font>
    </dxf>
    <dxf>
      <font>
        <b/>
        <i val="0"/>
      </font>
    </dxf>
    <dxf>
      <font>
        <b/>
        <i val="0"/>
      </font>
    </dxf>
    <dxf>
      <font>
        <b/>
        <i val="0"/>
      </font>
    </dxf>
    <dxf>
      <fill>
        <patternFill>
          <bgColor rgb="FFFFFF00"/>
        </patternFill>
      </fill>
    </dxf>
    <dxf>
      <font>
        <b/>
        <i val="0"/>
      </font>
    </dxf>
    <dxf>
      <font>
        <b/>
        <i val="0"/>
      </font>
    </dxf>
    <dxf>
      <fill>
        <patternFill>
          <bgColor rgb="FFFFFF00"/>
        </patternFill>
      </fill>
    </dxf>
    <dxf>
      <font>
        <b/>
        <i val="0"/>
      </font>
    </dxf>
    <dxf>
      <font>
        <b/>
        <i val="0"/>
      </font>
    </dxf>
    <dxf>
      <font>
        <b/>
        <i val="0"/>
      </font>
    </dxf>
    <dxf>
      <font>
        <b/>
        <i val="0"/>
      </font>
    </dxf>
    <dxf>
      <font>
        <b/>
        <i val="0"/>
      </font>
    </dxf>
    <dxf>
      <font>
        <b/>
        <i val="0"/>
      </font>
    </dxf>
    <dxf>
      <font>
        <b/>
        <i val="0"/>
      </font>
    </dxf>
    <dxf>
      <font>
        <b/>
        <i val="0"/>
      </font>
    </dxf>
    <dxf>
      <font>
        <b/>
        <i val="0"/>
      </font>
      <fill>
        <patternFill>
          <bgColor rgb="FF99CCFF"/>
        </patternFill>
      </fill>
    </dxf>
    <dxf>
      <font>
        <b/>
        <i val="0"/>
      </font>
      <fill>
        <patternFill>
          <bgColor rgb="FFFFCCFF"/>
        </patternFill>
      </fill>
    </dxf>
    <dxf>
      <fill>
        <patternFill>
          <bgColor rgb="FFF0DCC8"/>
        </patternFill>
      </fill>
    </dxf>
    <dxf>
      <font>
        <b/>
        <i val="0"/>
      </font>
      <fill>
        <patternFill>
          <bgColor rgb="FFF0DCC8"/>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0DCC8"/>
        </patternFill>
      </fill>
    </dxf>
    <dxf>
      <fill>
        <patternFill>
          <bgColor rgb="FFF0DCC8"/>
        </patternFill>
      </fill>
    </dxf>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F0DCC8"/>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F0DCC8"/>
        </patternFill>
      </fill>
    </dxf>
    <dxf>
      <fill>
        <patternFill>
          <bgColor rgb="FFF0DC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0DCC8"/>
        </patternFill>
      </fill>
    </dxf>
    <dxf>
      <fill>
        <patternFill>
          <bgColor rgb="FFF0DC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0DCC8"/>
        </patternFill>
      </fill>
    </dxf>
    <dxf>
      <fill>
        <patternFill>
          <bgColor rgb="FFF0DCC8"/>
        </patternFill>
      </fill>
    </dxf>
    <dxf>
      <font>
        <b/>
        <i val="0"/>
        <color rgb="FFFF0000"/>
      </font>
      <fill>
        <patternFill>
          <bgColor theme="5" tint="0.79998168889431442"/>
        </patternFill>
      </fill>
    </dxf>
    <dxf>
      <font>
        <b/>
        <i val="0"/>
        <color rgb="FF0000FF"/>
      </font>
      <fill>
        <patternFill>
          <bgColor rgb="FF8FFFFF"/>
        </patternFill>
      </fill>
    </dxf>
    <dxf>
      <fill>
        <patternFill>
          <bgColor rgb="FFF0DCC8"/>
        </patternFill>
      </fill>
    </dxf>
    <dxf>
      <font>
        <b/>
        <i val="0"/>
        <color rgb="FFFF0000"/>
      </font>
      <fill>
        <patternFill>
          <bgColor theme="5" tint="0.79998168889431442"/>
        </patternFill>
      </fill>
    </dxf>
    <dxf>
      <font>
        <b/>
        <i val="0"/>
        <color rgb="FF0000FF"/>
      </font>
      <fill>
        <patternFill>
          <bgColor rgb="FF8FFFFF"/>
        </patternFill>
      </fill>
    </dxf>
    <dxf>
      <fill>
        <patternFill>
          <bgColor rgb="FFF0DCC8"/>
        </patternFill>
      </fill>
    </dxf>
    <dxf>
      <fill>
        <patternFill>
          <bgColor rgb="FF00FFFF"/>
        </patternFill>
      </fill>
    </dxf>
    <dxf>
      <fill>
        <patternFill>
          <bgColor rgb="FFFF99CC"/>
        </patternFill>
      </fill>
    </dxf>
    <dxf>
      <fill>
        <patternFill>
          <bgColor rgb="FFC8F0C8"/>
        </patternFill>
      </fill>
    </dxf>
    <dxf>
      <fill>
        <patternFill>
          <bgColor rgb="FFF0DCC8"/>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F0DCC8"/>
        </patternFill>
      </fill>
    </dxf>
    <dxf>
      <fill>
        <patternFill>
          <bgColor rgb="FFF0DCC8"/>
        </patternFill>
      </fill>
    </dxf>
    <dxf>
      <fill>
        <patternFill>
          <bgColor rgb="FFF0DCC8"/>
        </patternFill>
      </fill>
    </dxf>
    <dxf>
      <fill>
        <patternFill>
          <bgColor rgb="FFF0DCC8"/>
        </patternFill>
      </fill>
    </dxf>
    <dxf>
      <fill>
        <patternFill>
          <bgColor rgb="FFF0DCC8"/>
        </patternFill>
      </fill>
    </dxf>
    <dxf>
      <fill>
        <patternFill>
          <bgColor rgb="FFF0DC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0DC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0DCC8"/>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rgb="FF0000FF"/>
      </font>
    </dxf>
    <dxf>
      <font>
        <b/>
        <i val="0"/>
        <color rgb="FFFF0000"/>
      </font>
    </dxf>
    <dxf>
      <font>
        <b/>
        <i val="0"/>
        <color rgb="FF0000FF"/>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rgb="FFFFFFFF"/>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0000FF"/>
      </font>
    </dxf>
    <dxf>
      <font>
        <b/>
        <i val="0"/>
        <color rgb="FFFF0000"/>
      </font>
    </dxf>
    <dxf>
      <font>
        <b/>
        <i val="0"/>
        <color rgb="FF0000FF"/>
      </font>
      <fill>
        <patternFill>
          <bgColor rgb="FFC8B4C8"/>
        </patternFill>
      </fill>
    </dxf>
    <dxf>
      <font>
        <b/>
        <i val="0"/>
        <color theme="0"/>
      </font>
      <fill>
        <patternFill>
          <bgColor rgb="FF93952F"/>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color rgb="FF1F497D"/>
      </font>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i val="0"/>
        <color rgb="FF0000FF"/>
      </font>
    </dxf>
    <dxf>
      <font>
        <b/>
        <i val="0"/>
        <color rgb="FFFF0000"/>
      </font>
    </dxf>
    <dxf>
      <font>
        <b/>
        <i val="0"/>
        <color rgb="FF0000FF"/>
      </font>
      <fill>
        <patternFill>
          <bgColor rgb="FFFFFF99"/>
        </patternFill>
      </fill>
    </dxf>
    <dxf>
      <font>
        <b val="0"/>
        <i val="0"/>
        <strike val="0"/>
        <color theme="1"/>
      </font>
      <fill>
        <patternFill>
          <bgColor rgb="FFF0DCC8"/>
        </patternFill>
      </fill>
      <border>
        <top style="dotted">
          <color indexed="64"/>
        </top>
        <bottom style="thin">
          <color indexed="64"/>
        </bottom>
      </border>
    </dxf>
    <dxf>
      <fill>
        <patternFill>
          <bgColor rgb="FFD28660"/>
        </patternFill>
      </fill>
    </dxf>
    <dxf>
      <fill>
        <patternFill>
          <bgColor rgb="FF00FF99"/>
        </patternFill>
      </fill>
    </dxf>
    <dxf>
      <fill>
        <patternFill>
          <bgColor rgb="FF00FF99"/>
        </patternFill>
      </fill>
    </dxf>
    <dxf>
      <font>
        <b/>
        <i val="0"/>
        <color rgb="FF0000FF"/>
      </font>
      <fill>
        <patternFill>
          <bgColor rgb="FFFFFF99"/>
        </patternFill>
      </fill>
    </dxf>
    <dxf>
      <font>
        <b/>
        <i val="0"/>
        <color rgb="FF0000FF"/>
      </font>
    </dxf>
    <dxf>
      <font>
        <b/>
        <i val="0"/>
        <color rgb="FFFF0000"/>
      </font>
    </dxf>
    <dxf>
      <fill>
        <patternFill>
          <bgColor rgb="FFF0DCC8"/>
        </patternFill>
      </fill>
    </dxf>
  </dxfs>
  <tableStyles count="0" defaultTableStyle="TableStyleMedium9" defaultPivotStyle="PivotStyleLight16"/>
  <colors>
    <mruColors>
      <color rgb="FFD28660"/>
      <color rgb="FFF0DCC8"/>
      <color rgb="FF0000FF"/>
      <color rgb="FFFFCCFF"/>
      <color rgb="FF96FFFF"/>
      <color rgb="FF71FFFF"/>
      <color rgb="FFC8F0C8"/>
      <color rgb="FF64821E"/>
      <color rgb="FFF0DCDC"/>
      <color rgb="FF8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38100</xdr:colOff>
          <xdr:row>12</xdr:row>
          <xdr:rowOff>47625</xdr:rowOff>
        </xdr:from>
        <xdr:to>
          <xdr:col>10</xdr:col>
          <xdr:colOff>1076325</xdr:colOff>
          <xdr:row>13</xdr:row>
          <xdr:rowOff>476250</xdr:rowOff>
        </xdr:to>
        <xdr:sp macro="" textlink="">
          <xdr:nvSpPr>
            <xdr:cNvPr id="1025" name="PUBLICA"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800000"/>
                  </a:solidFill>
                  <a:latin typeface="Calibri"/>
                  <a:cs typeface="Calibri"/>
                </a:rPr>
                <a:t>MATRIZ A PUBLICAR</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256766</xdr:colOff>
      <xdr:row>14</xdr:row>
      <xdr:rowOff>173938</xdr:rowOff>
    </xdr:from>
    <xdr:to>
      <xdr:col>6</xdr:col>
      <xdr:colOff>832766</xdr:colOff>
      <xdr:row>16</xdr:row>
      <xdr:rowOff>327525</xdr:rowOff>
    </xdr:to>
    <xdr:sp macro="[0]!VERIFICAR" textlink="">
      <xdr:nvSpPr>
        <xdr:cNvPr id="7" name="Imagen2">
          <a:extLst>
            <a:ext uri="{FF2B5EF4-FFF2-40B4-BE49-F238E27FC236}">
              <a16:creationId xmlns:a16="http://schemas.microsoft.com/office/drawing/2014/main" id="{00000000-0008-0000-0100-000007000000}"/>
            </a:ext>
          </a:extLst>
        </xdr:cNvPr>
        <xdr:cNvSpPr/>
      </xdr:nvSpPr>
      <xdr:spPr bwMode="auto">
        <a:xfrm>
          <a:off x="6650940" y="2824373"/>
          <a:ext cx="576000" cy="576000"/>
        </a:xfrm>
        <a:prstGeom prst="ellipse">
          <a:avLst/>
        </a:prstGeom>
        <a:solidFill>
          <a:srgbClr val="D28660"/>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7</xdr:col>
      <xdr:colOff>261283</xdr:colOff>
      <xdr:row>14</xdr:row>
      <xdr:rowOff>124236</xdr:rowOff>
    </xdr:from>
    <xdr:to>
      <xdr:col>7</xdr:col>
      <xdr:colOff>910714</xdr:colOff>
      <xdr:row>17</xdr:row>
      <xdr:rowOff>19948</xdr:rowOff>
    </xdr:to>
    <xdr:sp macro="[0]!OCULTAR" textlink="">
      <xdr:nvSpPr>
        <xdr:cNvPr id="8" name="Imagen3">
          <a:extLst>
            <a:ext uri="{FF2B5EF4-FFF2-40B4-BE49-F238E27FC236}">
              <a16:creationId xmlns:a16="http://schemas.microsoft.com/office/drawing/2014/main" id="{00000000-0008-0000-0100-000008000000}"/>
            </a:ext>
          </a:extLst>
        </xdr:cNvPr>
        <xdr:cNvSpPr/>
      </xdr:nvSpPr>
      <xdr:spPr bwMode="auto">
        <a:xfrm>
          <a:off x="6655457" y="2898910"/>
          <a:ext cx="649431" cy="649429"/>
        </a:xfrm>
        <a:prstGeom prst="ellipse">
          <a:avLst/>
        </a:prstGeom>
        <a:solidFill>
          <a:srgbClr val="D28660"/>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11</xdr:col>
      <xdr:colOff>94841</xdr:colOff>
      <xdr:row>13</xdr:row>
      <xdr:rowOff>1</xdr:rowOff>
    </xdr:from>
    <xdr:to>
      <xdr:col>11</xdr:col>
      <xdr:colOff>670841</xdr:colOff>
      <xdr:row>16</xdr:row>
      <xdr:rowOff>88956</xdr:rowOff>
    </xdr:to>
    <xdr:sp macro="[0]!VERIFICARINTEG" textlink="">
      <xdr:nvSpPr>
        <xdr:cNvPr id="2" name="Imagen4">
          <a:extLst>
            <a:ext uri="{FF2B5EF4-FFF2-40B4-BE49-F238E27FC236}">
              <a16:creationId xmlns:a16="http://schemas.microsoft.com/office/drawing/2014/main" id="{00000000-0008-0000-0200-000002000000}"/>
            </a:ext>
          </a:extLst>
        </xdr:cNvPr>
        <xdr:cNvSpPr>
          <a:spLocks noChangeAspect="1"/>
        </xdr:cNvSpPr>
      </xdr:nvSpPr>
      <xdr:spPr bwMode="auto">
        <a:xfrm>
          <a:off x="9543641" y="2714626"/>
          <a:ext cx="576000" cy="574730"/>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9</xdr:col>
      <xdr:colOff>889933</xdr:colOff>
      <xdr:row>12</xdr:row>
      <xdr:rowOff>200026</xdr:rowOff>
    </xdr:from>
    <xdr:to>
      <xdr:col>11</xdr:col>
      <xdr:colOff>294358</xdr:colOff>
      <xdr:row>16</xdr:row>
      <xdr:rowOff>60381</xdr:rowOff>
    </xdr:to>
    <xdr:sp macro="[0]!OCULTARINTEGR" textlink="">
      <xdr:nvSpPr>
        <xdr:cNvPr id="3" name="Imagen5">
          <a:extLst>
            <a:ext uri="{FF2B5EF4-FFF2-40B4-BE49-F238E27FC236}">
              <a16:creationId xmlns:a16="http://schemas.microsoft.com/office/drawing/2014/main" id="{00000000-0008-0000-0200-000003000000}"/>
            </a:ext>
            <a:ext uri="{147F2762-F138-4A5C-976F-8EAC2B608ADB}">
              <a16:predDERef xmlns:a16="http://schemas.microsoft.com/office/drawing/2014/main" pred="{00000000-0008-0000-0200-000002000000}"/>
            </a:ext>
          </a:extLst>
        </xdr:cNvPr>
        <xdr:cNvSpPr>
          <a:spLocks noChangeAspect="1"/>
        </xdr:cNvSpPr>
      </xdr:nvSpPr>
      <xdr:spPr bwMode="auto">
        <a:xfrm>
          <a:off x="10338733" y="2686051"/>
          <a:ext cx="576000" cy="574730"/>
        </a:xfrm>
        <a:prstGeom prst="ellipse">
          <a:avLst/>
        </a:prstGeom>
        <a:solidFill>
          <a:srgbClr val="D28660"/>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twoCellAnchor editAs="absolute">
    <xdr:from>
      <xdr:col>13</xdr:col>
      <xdr:colOff>0</xdr:colOff>
      <xdr:row>12</xdr:row>
      <xdr:rowOff>219076</xdr:rowOff>
    </xdr:from>
    <xdr:to>
      <xdr:col>13</xdr:col>
      <xdr:colOff>0</xdr:colOff>
      <xdr:row>16</xdr:row>
      <xdr:rowOff>79431</xdr:rowOff>
    </xdr:to>
    <xdr:sp macro="[0]!INSERTAR_INTEGRANTES" textlink="">
      <xdr:nvSpPr>
        <xdr:cNvPr id="4" name="Imagen6">
          <a:extLst>
            <a:ext uri="{FF2B5EF4-FFF2-40B4-BE49-F238E27FC236}">
              <a16:creationId xmlns:a16="http://schemas.microsoft.com/office/drawing/2014/main" id="{00000000-0008-0000-0200-000004000000}"/>
            </a:ext>
            <a:ext uri="{147F2762-F138-4A5C-976F-8EAC2B608ADB}">
              <a16:predDERef xmlns:a16="http://schemas.microsoft.com/office/drawing/2014/main" pred="{00000000-0008-0000-0200-000003000000}"/>
            </a:ext>
          </a:extLst>
        </xdr:cNvPr>
        <xdr:cNvSpPr>
          <a:spLocks noChangeAspect="1"/>
        </xdr:cNvSpPr>
      </xdr:nvSpPr>
      <xdr:spPr bwMode="auto">
        <a:xfrm>
          <a:off x="11372850" y="2705101"/>
          <a:ext cx="576000" cy="574730"/>
        </a:xfrm>
        <a:prstGeom prst="ellipse">
          <a:avLst/>
        </a:prstGeom>
        <a:solidFill>
          <a:srgbClr val="F0DCC8"/>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INSERTA INTEGRANTES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4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4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37</xdr:row>
      <xdr:rowOff>9721</xdr:rowOff>
    </xdr:from>
    <xdr:to>
      <xdr:col>21</xdr:col>
      <xdr:colOff>1525944</xdr:colOff>
      <xdr:row>39</xdr:row>
      <xdr:rowOff>622042</xdr:rowOff>
    </xdr:to>
    <xdr:sp macro="" textlink="">
      <xdr:nvSpPr>
        <xdr:cNvPr id="4" name="Diagrama de flujo: intercalar 3">
          <a:extLst>
            <a:ext uri="{FF2B5EF4-FFF2-40B4-BE49-F238E27FC236}">
              <a16:creationId xmlns:a16="http://schemas.microsoft.com/office/drawing/2014/main" id="{00000000-0008-0000-0400-000004000000}"/>
            </a:ext>
          </a:extLst>
        </xdr:cNvPr>
        <xdr:cNvSpPr/>
      </xdr:nvSpPr>
      <xdr:spPr bwMode="auto">
        <a:xfrm>
          <a:off x="26776913" y="1041918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5" name="Rectángulo 4">
          <a:extLst>
            <a:ext uri="{FF2B5EF4-FFF2-40B4-BE49-F238E27FC236}">
              <a16:creationId xmlns:a16="http://schemas.microsoft.com/office/drawing/2014/main" id="{00000000-0008-0000-0400-000005000000}"/>
            </a:ext>
          </a:extLst>
        </xdr:cNvPr>
        <xdr:cNvSpPr/>
      </xdr:nvSpPr>
      <xdr:spPr bwMode="auto">
        <a:xfrm>
          <a:off x="1681657" y="480178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67</xdr:row>
      <xdr:rowOff>9721</xdr:rowOff>
    </xdr:from>
    <xdr:to>
      <xdr:col>21</xdr:col>
      <xdr:colOff>1525944</xdr:colOff>
      <xdr:row>69</xdr:row>
      <xdr:rowOff>622042</xdr:rowOff>
    </xdr:to>
    <xdr:sp macro="" textlink="">
      <xdr:nvSpPr>
        <xdr:cNvPr id="6" name="Diagrama de flujo: intercalar 5">
          <a:extLst>
            <a:ext uri="{FF2B5EF4-FFF2-40B4-BE49-F238E27FC236}">
              <a16:creationId xmlns:a16="http://schemas.microsoft.com/office/drawing/2014/main" id="{00000000-0008-0000-0400-000006000000}"/>
            </a:ext>
          </a:extLst>
        </xdr:cNvPr>
        <xdr:cNvSpPr/>
      </xdr:nvSpPr>
      <xdr:spPr bwMode="auto">
        <a:xfrm>
          <a:off x="26776913" y="1041918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7" name="Rectángulo 6">
          <a:extLst>
            <a:ext uri="{FF2B5EF4-FFF2-40B4-BE49-F238E27FC236}">
              <a16:creationId xmlns:a16="http://schemas.microsoft.com/office/drawing/2014/main" id="{00000000-0008-0000-0400-000007000000}"/>
            </a:ext>
          </a:extLst>
        </xdr:cNvPr>
        <xdr:cNvSpPr/>
      </xdr:nvSpPr>
      <xdr:spPr bwMode="auto">
        <a:xfrm>
          <a:off x="1681657" y="1404492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97</xdr:row>
      <xdr:rowOff>9721</xdr:rowOff>
    </xdr:from>
    <xdr:to>
      <xdr:col>21</xdr:col>
      <xdr:colOff>1525944</xdr:colOff>
      <xdr:row>99</xdr:row>
      <xdr:rowOff>622042</xdr:rowOff>
    </xdr:to>
    <xdr:sp macro="" textlink="">
      <xdr:nvSpPr>
        <xdr:cNvPr id="8" name="Diagrama de flujo: intercalar 7">
          <a:extLst>
            <a:ext uri="{FF2B5EF4-FFF2-40B4-BE49-F238E27FC236}">
              <a16:creationId xmlns:a16="http://schemas.microsoft.com/office/drawing/2014/main" id="{00000000-0008-0000-0400-000008000000}"/>
            </a:ext>
          </a:extLst>
        </xdr:cNvPr>
        <xdr:cNvSpPr/>
      </xdr:nvSpPr>
      <xdr:spPr bwMode="auto">
        <a:xfrm>
          <a:off x="26776913" y="19662323"/>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9" name="Rectángulo 8">
          <a:extLst>
            <a:ext uri="{FF2B5EF4-FFF2-40B4-BE49-F238E27FC236}">
              <a16:creationId xmlns:a16="http://schemas.microsoft.com/office/drawing/2014/main" id="{00000000-0008-0000-0400-000009000000}"/>
            </a:ext>
          </a:extLst>
        </xdr:cNvPr>
        <xdr:cNvSpPr/>
      </xdr:nvSpPr>
      <xdr:spPr bwMode="auto">
        <a:xfrm>
          <a:off x="1681657" y="2328805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127</xdr:row>
      <xdr:rowOff>9721</xdr:rowOff>
    </xdr:from>
    <xdr:to>
      <xdr:col>21</xdr:col>
      <xdr:colOff>1525944</xdr:colOff>
      <xdr:row>129</xdr:row>
      <xdr:rowOff>622042</xdr:rowOff>
    </xdr:to>
    <xdr:sp macro="" textlink="">
      <xdr:nvSpPr>
        <xdr:cNvPr id="10" name="Diagrama de flujo: intercalar 9">
          <a:extLst>
            <a:ext uri="{FF2B5EF4-FFF2-40B4-BE49-F238E27FC236}">
              <a16:creationId xmlns:a16="http://schemas.microsoft.com/office/drawing/2014/main" id="{00000000-0008-0000-0400-00000A000000}"/>
            </a:ext>
          </a:extLst>
        </xdr:cNvPr>
        <xdr:cNvSpPr/>
      </xdr:nvSpPr>
      <xdr:spPr bwMode="auto">
        <a:xfrm>
          <a:off x="26776913" y="28905461"/>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11" name="Rectángulo 10">
          <a:extLst>
            <a:ext uri="{FF2B5EF4-FFF2-40B4-BE49-F238E27FC236}">
              <a16:creationId xmlns:a16="http://schemas.microsoft.com/office/drawing/2014/main" id="{00000000-0008-0000-0400-00000B000000}"/>
            </a:ext>
          </a:extLst>
        </xdr:cNvPr>
        <xdr:cNvSpPr/>
      </xdr:nvSpPr>
      <xdr:spPr bwMode="auto">
        <a:xfrm>
          <a:off x="1681657" y="3253119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157</xdr:row>
      <xdr:rowOff>9721</xdr:rowOff>
    </xdr:from>
    <xdr:to>
      <xdr:col>21</xdr:col>
      <xdr:colOff>1525944</xdr:colOff>
      <xdr:row>159</xdr:row>
      <xdr:rowOff>622042</xdr:rowOff>
    </xdr:to>
    <xdr:sp macro="" textlink="">
      <xdr:nvSpPr>
        <xdr:cNvPr id="12" name="Diagrama de flujo: intercalar 11">
          <a:extLst>
            <a:ext uri="{FF2B5EF4-FFF2-40B4-BE49-F238E27FC236}">
              <a16:creationId xmlns:a16="http://schemas.microsoft.com/office/drawing/2014/main" id="{00000000-0008-0000-0400-00000C000000}"/>
            </a:ext>
          </a:extLst>
        </xdr:cNvPr>
        <xdr:cNvSpPr/>
      </xdr:nvSpPr>
      <xdr:spPr bwMode="auto">
        <a:xfrm>
          <a:off x="26776913" y="38148599"/>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13" name="Rectángulo 12">
          <a:extLst>
            <a:ext uri="{FF2B5EF4-FFF2-40B4-BE49-F238E27FC236}">
              <a16:creationId xmlns:a16="http://schemas.microsoft.com/office/drawing/2014/main" id="{00000000-0008-0000-0400-00000D000000}"/>
            </a:ext>
          </a:extLst>
        </xdr:cNvPr>
        <xdr:cNvSpPr/>
      </xdr:nvSpPr>
      <xdr:spPr bwMode="auto">
        <a:xfrm>
          <a:off x="1681657" y="4177433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187</xdr:row>
      <xdr:rowOff>9721</xdr:rowOff>
    </xdr:from>
    <xdr:to>
      <xdr:col>21</xdr:col>
      <xdr:colOff>1525944</xdr:colOff>
      <xdr:row>189</xdr:row>
      <xdr:rowOff>622042</xdr:rowOff>
    </xdr:to>
    <xdr:sp macro="" textlink="">
      <xdr:nvSpPr>
        <xdr:cNvPr id="14" name="Diagrama de flujo: intercalar 13">
          <a:extLst>
            <a:ext uri="{FF2B5EF4-FFF2-40B4-BE49-F238E27FC236}">
              <a16:creationId xmlns:a16="http://schemas.microsoft.com/office/drawing/2014/main" id="{00000000-0008-0000-0400-00000E000000}"/>
            </a:ext>
          </a:extLst>
        </xdr:cNvPr>
        <xdr:cNvSpPr/>
      </xdr:nvSpPr>
      <xdr:spPr bwMode="auto">
        <a:xfrm>
          <a:off x="26776913" y="47391736"/>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15" name="Rectángulo 14">
          <a:extLst>
            <a:ext uri="{FF2B5EF4-FFF2-40B4-BE49-F238E27FC236}">
              <a16:creationId xmlns:a16="http://schemas.microsoft.com/office/drawing/2014/main" id="{00000000-0008-0000-0400-00000F000000}"/>
            </a:ext>
          </a:extLst>
        </xdr:cNvPr>
        <xdr:cNvSpPr/>
      </xdr:nvSpPr>
      <xdr:spPr bwMode="auto">
        <a:xfrm>
          <a:off x="1681657" y="5101747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217</xdr:row>
      <xdr:rowOff>9721</xdr:rowOff>
    </xdr:from>
    <xdr:to>
      <xdr:col>21</xdr:col>
      <xdr:colOff>1525944</xdr:colOff>
      <xdr:row>219</xdr:row>
      <xdr:rowOff>622042</xdr:rowOff>
    </xdr:to>
    <xdr:sp macro="" textlink="">
      <xdr:nvSpPr>
        <xdr:cNvPr id="16" name="Diagrama de flujo: intercalar 15">
          <a:extLst>
            <a:ext uri="{FF2B5EF4-FFF2-40B4-BE49-F238E27FC236}">
              <a16:creationId xmlns:a16="http://schemas.microsoft.com/office/drawing/2014/main" id="{00000000-0008-0000-0400-000010000000}"/>
            </a:ext>
          </a:extLst>
        </xdr:cNvPr>
        <xdr:cNvSpPr/>
      </xdr:nvSpPr>
      <xdr:spPr bwMode="auto">
        <a:xfrm>
          <a:off x="26776913" y="56634874"/>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7" name="Rectángulo 16">
          <a:extLst>
            <a:ext uri="{FF2B5EF4-FFF2-40B4-BE49-F238E27FC236}">
              <a16:creationId xmlns:a16="http://schemas.microsoft.com/office/drawing/2014/main" id="{00000000-0008-0000-0400-000011000000}"/>
            </a:ext>
          </a:extLst>
        </xdr:cNvPr>
        <xdr:cNvSpPr/>
      </xdr:nvSpPr>
      <xdr:spPr bwMode="auto">
        <a:xfrm>
          <a:off x="1681657" y="6026060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247</xdr:row>
      <xdr:rowOff>9721</xdr:rowOff>
    </xdr:from>
    <xdr:to>
      <xdr:col>21</xdr:col>
      <xdr:colOff>1525944</xdr:colOff>
      <xdr:row>249</xdr:row>
      <xdr:rowOff>622042</xdr:rowOff>
    </xdr:to>
    <xdr:sp macro="" textlink="">
      <xdr:nvSpPr>
        <xdr:cNvPr id="18" name="Diagrama de flujo: intercalar 17">
          <a:extLst>
            <a:ext uri="{FF2B5EF4-FFF2-40B4-BE49-F238E27FC236}">
              <a16:creationId xmlns:a16="http://schemas.microsoft.com/office/drawing/2014/main" id="{00000000-0008-0000-0400-000012000000}"/>
            </a:ext>
          </a:extLst>
        </xdr:cNvPr>
        <xdr:cNvSpPr/>
      </xdr:nvSpPr>
      <xdr:spPr bwMode="auto">
        <a:xfrm>
          <a:off x="26776913" y="65878012"/>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9" name="Rectángulo 18">
          <a:extLst>
            <a:ext uri="{FF2B5EF4-FFF2-40B4-BE49-F238E27FC236}">
              <a16:creationId xmlns:a16="http://schemas.microsoft.com/office/drawing/2014/main" id="{00000000-0008-0000-0400-000013000000}"/>
            </a:ext>
          </a:extLst>
        </xdr:cNvPr>
        <xdr:cNvSpPr/>
      </xdr:nvSpPr>
      <xdr:spPr bwMode="auto">
        <a:xfrm>
          <a:off x="1681657" y="6950374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277</xdr:row>
      <xdr:rowOff>9721</xdr:rowOff>
    </xdr:from>
    <xdr:to>
      <xdr:col>21</xdr:col>
      <xdr:colOff>1525944</xdr:colOff>
      <xdr:row>279</xdr:row>
      <xdr:rowOff>622042</xdr:rowOff>
    </xdr:to>
    <xdr:sp macro="" textlink="">
      <xdr:nvSpPr>
        <xdr:cNvPr id="20" name="Diagrama de flujo: intercalar 19">
          <a:extLst>
            <a:ext uri="{FF2B5EF4-FFF2-40B4-BE49-F238E27FC236}">
              <a16:creationId xmlns:a16="http://schemas.microsoft.com/office/drawing/2014/main" id="{00000000-0008-0000-0400-000014000000}"/>
            </a:ext>
          </a:extLst>
        </xdr:cNvPr>
        <xdr:cNvSpPr/>
      </xdr:nvSpPr>
      <xdr:spPr bwMode="auto">
        <a:xfrm>
          <a:off x="26776913" y="75121150"/>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21" name="Rectángulo 20">
          <a:extLst>
            <a:ext uri="{FF2B5EF4-FFF2-40B4-BE49-F238E27FC236}">
              <a16:creationId xmlns:a16="http://schemas.microsoft.com/office/drawing/2014/main" id="{00000000-0008-0000-0400-000015000000}"/>
            </a:ext>
          </a:extLst>
        </xdr:cNvPr>
        <xdr:cNvSpPr/>
      </xdr:nvSpPr>
      <xdr:spPr bwMode="auto">
        <a:xfrm>
          <a:off x="1681657" y="7874688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307</xdr:row>
      <xdr:rowOff>9721</xdr:rowOff>
    </xdr:from>
    <xdr:to>
      <xdr:col>21</xdr:col>
      <xdr:colOff>1525944</xdr:colOff>
      <xdr:row>309</xdr:row>
      <xdr:rowOff>622042</xdr:rowOff>
    </xdr:to>
    <xdr:sp macro="" textlink="">
      <xdr:nvSpPr>
        <xdr:cNvPr id="22" name="Diagrama de flujo: intercalar 21">
          <a:extLst>
            <a:ext uri="{FF2B5EF4-FFF2-40B4-BE49-F238E27FC236}">
              <a16:creationId xmlns:a16="http://schemas.microsoft.com/office/drawing/2014/main" id="{00000000-0008-0000-0400-000016000000}"/>
            </a:ext>
          </a:extLst>
        </xdr:cNvPr>
        <xdr:cNvSpPr/>
      </xdr:nvSpPr>
      <xdr:spPr bwMode="auto">
        <a:xfrm>
          <a:off x="26776913" y="84364287"/>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23" name="Rectángulo 22">
          <a:extLst>
            <a:ext uri="{FF2B5EF4-FFF2-40B4-BE49-F238E27FC236}">
              <a16:creationId xmlns:a16="http://schemas.microsoft.com/office/drawing/2014/main" id="{00000000-0008-0000-0400-000017000000}"/>
            </a:ext>
          </a:extLst>
        </xdr:cNvPr>
        <xdr:cNvSpPr/>
      </xdr:nvSpPr>
      <xdr:spPr bwMode="auto">
        <a:xfrm>
          <a:off x="1681657" y="8799002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337</xdr:row>
      <xdr:rowOff>9721</xdr:rowOff>
    </xdr:from>
    <xdr:to>
      <xdr:col>21</xdr:col>
      <xdr:colOff>1525944</xdr:colOff>
      <xdr:row>339</xdr:row>
      <xdr:rowOff>622042</xdr:rowOff>
    </xdr:to>
    <xdr:sp macro="" textlink="">
      <xdr:nvSpPr>
        <xdr:cNvPr id="24" name="Diagrama de flujo: intercalar 23">
          <a:extLst>
            <a:ext uri="{FF2B5EF4-FFF2-40B4-BE49-F238E27FC236}">
              <a16:creationId xmlns:a16="http://schemas.microsoft.com/office/drawing/2014/main" id="{00000000-0008-0000-0400-000018000000}"/>
            </a:ext>
          </a:extLst>
        </xdr:cNvPr>
        <xdr:cNvSpPr/>
      </xdr:nvSpPr>
      <xdr:spPr bwMode="auto">
        <a:xfrm>
          <a:off x="26776913" y="9360742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25" name="Rectángulo 24">
          <a:extLst>
            <a:ext uri="{FF2B5EF4-FFF2-40B4-BE49-F238E27FC236}">
              <a16:creationId xmlns:a16="http://schemas.microsoft.com/office/drawing/2014/main" id="{00000000-0008-0000-0400-000019000000}"/>
            </a:ext>
          </a:extLst>
        </xdr:cNvPr>
        <xdr:cNvSpPr/>
      </xdr:nvSpPr>
      <xdr:spPr bwMode="auto">
        <a:xfrm>
          <a:off x="1681657" y="9723315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367</xdr:row>
      <xdr:rowOff>9721</xdr:rowOff>
    </xdr:from>
    <xdr:to>
      <xdr:col>21</xdr:col>
      <xdr:colOff>1525944</xdr:colOff>
      <xdr:row>369</xdr:row>
      <xdr:rowOff>622042</xdr:rowOff>
    </xdr:to>
    <xdr:sp macro="" textlink="">
      <xdr:nvSpPr>
        <xdr:cNvPr id="26" name="Diagrama de flujo: intercalar 25">
          <a:extLst>
            <a:ext uri="{FF2B5EF4-FFF2-40B4-BE49-F238E27FC236}">
              <a16:creationId xmlns:a16="http://schemas.microsoft.com/office/drawing/2014/main" id="{00000000-0008-0000-0400-00001A000000}"/>
            </a:ext>
          </a:extLst>
        </xdr:cNvPr>
        <xdr:cNvSpPr/>
      </xdr:nvSpPr>
      <xdr:spPr bwMode="auto">
        <a:xfrm>
          <a:off x="26776913" y="102850563"/>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27" name="Rectángulo 26">
          <a:extLst>
            <a:ext uri="{FF2B5EF4-FFF2-40B4-BE49-F238E27FC236}">
              <a16:creationId xmlns:a16="http://schemas.microsoft.com/office/drawing/2014/main" id="{00000000-0008-0000-0400-00001B000000}"/>
            </a:ext>
          </a:extLst>
        </xdr:cNvPr>
        <xdr:cNvSpPr/>
      </xdr:nvSpPr>
      <xdr:spPr bwMode="auto">
        <a:xfrm>
          <a:off x="1681657" y="10647629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397</xdr:row>
      <xdr:rowOff>9721</xdr:rowOff>
    </xdr:from>
    <xdr:to>
      <xdr:col>21</xdr:col>
      <xdr:colOff>1525944</xdr:colOff>
      <xdr:row>399</xdr:row>
      <xdr:rowOff>622042</xdr:rowOff>
    </xdr:to>
    <xdr:sp macro="" textlink="">
      <xdr:nvSpPr>
        <xdr:cNvPr id="28" name="Diagrama de flujo: intercalar 27">
          <a:extLst>
            <a:ext uri="{FF2B5EF4-FFF2-40B4-BE49-F238E27FC236}">
              <a16:creationId xmlns:a16="http://schemas.microsoft.com/office/drawing/2014/main" id="{00000000-0008-0000-0400-00001C000000}"/>
            </a:ext>
          </a:extLst>
        </xdr:cNvPr>
        <xdr:cNvSpPr/>
      </xdr:nvSpPr>
      <xdr:spPr bwMode="auto">
        <a:xfrm>
          <a:off x="26776913" y="112093701"/>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29" name="Rectángulo 28">
          <a:extLst>
            <a:ext uri="{FF2B5EF4-FFF2-40B4-BE49-F238E27FC236}">
              <a16:creationId xmlns:a16="http://schemas.microsoft.com/office/drawing/2014/main" id="{00000000-0008-0000-0400-00001D000000}"/>
            </a:ext>
          </a:extLst>
        </xdr:cNvPr>
        <xdr:cNvSpPr/>
      </xdr:nvSpPr>
      <xdr:spPr bwMode="auto">
        <a:xfrm>
          <a:off x="1681657" y="11571943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427</xdr:row>
      <xdr:rowOff>9721</xdr:rowOff>
    </xdr:from>
    <xdr:to>
      <xdr:col>21</xdr:col>
      <xdr:colOff>1525944</xdr:colOff>
      <xdr:row>429</xdr:row>
      <xdr:rowOff>622042</xdr:rowOff>
    </xdr:to>
    <xdr:sp macro="" textlink="">
      <xdr:nvSpPr>
        <xdr:cNvPr id="30" name="Diagrama de flujo: intercalar 29">
          <a:extLst>
            <a:ext uri="{FF2B5EF4-FFF2-40B4-BE49-F238E27FC236}">
              <a16:creationId xmlns:a16="http://schemas.microsoft.com/office/drawing/2014/main" id="{00000000-0008-0000-0400-00001E000000}"/>
            </a:ext>
          </a:extLst>
        </xdr:cNvPr>
        <xdr:cNvSpPr/>
      </xdr:nvSpPr>
      <xdr:spPr bwMode="auto">
        <a:xfrm>
          <a:off x="26776913" y="121336838"/>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31" name="Rectángulo 30">
          <a:extLst>
            <a:ext uri="{FF2B5EF4-FFF2-40B4-BE49-F238E27FC236}">
              <a16:creationId xmlns:a16="http://schemas.microsoft.com/office/drawing/2014/main" id="{00000000-0008-0000-0400-00001F000000}"/>
            </a:ext>
          </a:extLst>
        </xdr:cNvPr>
        <xdr:cNvSpPr/>
      </xdr:nvSpPr>
      <xdr:spPr bwMode="auto">
        <a:xfrm>
          <a:off x="1681657" y="12496257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457</xdr:row>
      <xdr:rowOff>9721</xdr:rowOff>
    </xdr:from>
    <xdr:to>
      <xdr:col>21</xdr:col>
      <xdr:colOff>1525944</xdr:colOff>
      <xdr:row>459</xdr:row>
      <xdr:rowOff>622042</xdr:rowOff>
    </xdr:to>
    <xdr:sp macro="" textlink="">
      <xdr:nvSpPr>
        <xdr:cNvPr id="32" name="Diagrama de flujo: intercalar 31">
          <a:extLst>
            <a:ext uri="{FF2B5EF4-FFF2-40B4-BE49-F238E27FC236}">
              <a16:creationId xmlns:a16="http://schemas.microsoft.com/office/drawing/2014/main" id="{00000000-0008-0000-0400-000020000000}"/>
            </a:ext>
          </a:extLst>
        </xdr:cNvPr>
        <xdr:cNvSpPr/>
      </xdr:nvSpPr>
      <xdr:spPr bwMode="auto">
        <a:xfrm>
          <a:off x="26776913" y="130579976"/>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0]!COMBINAR" textlink="">
      <xdr:nvSpPr>
        <xdr:cNvPr id="33" name="Rectángulo 32">
          <a:extLst>
            <a:ext uri="{FF2B5EF4-FFF2-40B4-BE49-F238E27FC236}">
              <a16:creationId xmlns:a16="http://schemas.microsoft.com/office/drawing/2014/main" id="{00000000-0008-0000-0400-000021000000}"/>
            </a:ext>
          </a:extLst>
        </xdr:cNvPr>
        <xdr:cNvSpPr/>
      </xdr:nvSpPr>
      <xdr:spPr bwMode="auto">
        <a:xfrm>
          <a:off x="1681657" y="13420571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487</xdr:row>
      <xdr:rowOff>9721</xdr:rowOff>
    </xdr:from>
    <xdr:to>
      <xdr:col>21</xdr:col>
      <xdr:colOff>1525944</xdr:colOff>
      <xdr:row>489</xdr:row>
      <xdr:rowOff>622042</xdr:rowOff>
    </xdr:to>
    <xdr:sp macro="" textlink="">
      <xdr:nvSpPr>
        <xdr:cNvPr id="34" name="Diagrama de flujo: intercalar 33">
          <a:extLst>
            <a:ext uri="{FF2B5EF4-FFF2-40B4-BE49-F238E27FC236}">
              <a16:creationId xmlns:a16="http://schemas.microsoft.com/office/drawing/2014/main" id="{00000000-0008-0000-0400-000022000000}"/>
            </a:ext>
          </a:extLst>
        </xdr:cNvPr>
        <xdr:cNvSpPr/>
      </xdr:nvSpPr>
      <xdr:spPr bwMode="auto">
        <a:xfrm>
          <a:off x="26776913" y="139823114"/>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0]!COMBINAR" textlink="">
      <xdr:nvSpPr>
        <xdr:cNvPr id="35" name="Rectángulo 34">
          <a:extLst>
            <a:ext uri="{FF2B5EF4-FFF2-40B4-BE49-F238E27FC236}">
              <a16:creationId xmlns:a16="http://schemas.microsoft.com/office/drawing/2014/main" id="{00000000-0008-0000-0400-000023000000}"/>
            </a:ext>
          </a:extLst>
        </xdr:cNvPr>
        <xdr:cNvSpPr/>
      </xdr:nvSpPr>
      <xdr:spPr bwMode="auto">
        <a:xfrm>
          <a:off x="1681657" y="14344884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517</xdr:row>
      <xdr:rowOff>9721</xdr:rowOff>
    </xdr:from>
    <xdr:to>
      <xdr:col>21</xdr:col>
      <xdr:colOff>1525944</xdr:colOff>
      <xdr:row>519</xdr:row>
      <xdr:rowOff>622042</xdr:rowOff>
    </xdr:to>
    <xdr:sp macro="" textlink="">
      <xdr:nvSpPr>
        <xdr:cNvPr id="36" name="Diagrama de flujo: intercalar 35">
          <a:extLst>
            <a:ext uri="{FF2B5EF4-FFF2-40B4-BE49-F238E27FC236}">
              <a16:creationId xmlns:a16="http://schemas.microsoft.com/office/drawing/2014/main" id="{00000000-0008-0000-0400-000024000000}"/>
            </a:ext>
          </a:extLst>
        </xdr:cNvPr>
        <xdr:cNvSpPr/>
      </xdr:nvSpPr>
      <xdr:spPr bwMode="auto">
        <a:xfrm>
          <a:off x="26776913" y="149066252"/>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0]!COMBINAR" textlink="">
      <xdr:nvSpPr>
        <xdr:cNvPr id="37" name="Rectángulo 36">
          <a:extLst>
            <a:ext uri="{FF2B5EF4-FFF2-40B4-BE49-F238E27FC236}">
              <a16:creationId xmlns:a16="http://schemas.microsoft.com/office/drawing/2014/main" id="{00000000-0008-0000-0400-000025000000}"/>
            </a:ext>
          </a:extLst>
        </xdr:cNvPr>
        <xdr:cNvSpPr/>
      </xdr:nvSpPr>
      <xdr:spPr bwMode="auto">
        <a:xfrm>
          <a:off x="1681657" y="15269198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547</xdr:row>
      <xdr:rowOff>9721</xdr:rowOff>
    </xdr:from>
    <xdr:to>
      <xdr:col>21</xdr:col>
      <xdr:colOff>1525944</xdr:colOff>
      <xdr:row>549</xdr:row>
      <xdr:rowOff>622042</xdr:rowOff>
    </xdr:to>
    <xdr:sp macro="" textlink="">
      <xdr:nvSpPr>
        <xdr:cNvPr id="38" name="Diagrama de flujo: intercalar 37">
          <a:extLst>
            <a:ext uri="{FF2B5EF4-FFF2-40B4-BE49-F238E27FC236}">
              <a16:creationId xmlns:a16="http://schemas.microsoft.com/office/drawing/2014/main" id="{00000000-0008-0000-0400-000026000000}"/>
            </a:ext>
          </a:extLst>
        </xdr:cNvPr>
        <xdr:cNvSpPr/>
      </xdr:nvSpPr>
      <xdr:spPr bwMode="auto">
        <a:xfrm>
          <a:off x="26776913" y="158309389"/>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0]!COMBINAR" textlink="">
      <xdr:nvSpPr>
        <xdr:cNvPr id="39" name="Rectángulo 38">
          <a:extLst>
            <a:ext uri="{FF2B5EF4-FFF2-40B4-BE49-F238E27FC236}">
              <a16:creationId xmlns:a16="http://schemas.microsoft.com/office/drawing/2014/main" id="{00000000-0008-0000-0400-000027000000}"/>
            </a:ext>
          </a:extLst>
        </xdr:cNvPr>
        <xdr:cNvSpPr/>
      </xdr:nvSpPr>
      <xdr:spPr bwMode="auto">
        <a:xfrm>
          <a:off x="1681657" y="16193512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577</xdr:row>
      <xdr:rowOff>9721</xdr:rowOff>
    </xdr:from>
    <xdr:to>
      <xdr:col>21</xdr:col>
      <xdr:colOff>1525944</xdr:colOff>
      <xdr:row>579</xdr:row>
      <xdr:rowOff>622042</xdr:rowOff>
    </xdr:to>
    <xdr:sp macro="" textlink="">
      <xdr:nvSpPr>
        <xdr:cNvPr id="40" name="Diagrama de flujo: intercalar 39">
          <a:extLst>
            <a:ext uri="{FF2B5EF4-FFF2-40B4-BE49-F238E27FC236}">
              <a16:creationId xmlns:a16="http://schemas.microsoft.com/office/drawing/2014/main" id="{00000000-0008-0000-0400-000028000000}"/>
            </a:ext>
          </a:extLst>
        </xdr:cNvPr>
        <xdr:cNvSpPr/>
      </xdr:nvSpPr>
      <xdr:spPr bwMode="auto">
        <a:xfrm>
          <a:off x="26776913" y="167552527"/>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0]!COMBINAR" textlink="">
      <xdr:nvSpPr>
        <xdr:cNvPr id="41" name="Rectángulo 40">
          <a:extLst>
            <a:ext uri="{FF2B5EF4-FFF2-40B4-BE49-F238E27FC236}">
              <a16:creationId xmlns:a16="http://schemas.microsoft.com/office/drawing/2014/main" id="{00000000-0008-0000-0400-000029000000}"/>
            </a:ext>
          </a:extLst>
        </xdr:cNvPr>
        <xdr:cNvSpPr/>
      </xdr:nvSpPr>
      <xdr:spPr bwMode="auto">
        <a:xfrm>
          <a:off x="1681657" y="17117826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607</xdr:row>
      <xdr:rowOff>9721</xdr:rowOff>
    </xdr:from>
    <xdr:to>
      <xdr:col>21</xdr:col>
      <xdr:colOff>1525944</xdr:colOff>
      <xdr:row>609</xdr:row>
      <xdr:rowOff>622042</xdr:rowOff>
    </xdr:to>
    <xdr:sp macro="" textlink="">
      <xdr:nvSpPr>
        <xdr:cNvPr id="42" name="Diagrama de flujo: intercalar 41">
          <a:extLst>
            <a:ext uri="{FF2B5EF4-FFF2-40B4-BE49-F238E27FC236}">
              <a16:creationId xmlns:a16="http://schemas.microsoft.com/office/drawing/2014/main" id="{00000000-0008-0000-0400-00002A000000}"/>
            </a:ext>
          </a:extLst>
        </xdr:cNvPr>
        <xdr:cNvSpPr/>
      </xdr:nvSpPr>
      <xdr:spPr bwMode="auto">
        <a:xfrm>
          <a:off x="26776913" y="176795665"/>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43" name="Rectángulo 42">
          <a:extLst>
            <a:ext uri="{FF2B5EF4-FFF2-40B4-BE49-F238E27FC236}">
              <a16:creationId xmlns:a16="http://schemas.microsoft.com/office/drawing/2014/main" id="{00000000-0008-0000-0400-00002B000000}"/>
            </a:ext>
          </a:extLst>
        </xdr:cNvPr>
        <xdr:cNvSpPr/>
      </xdr:nvSpPr>
      <xdr:spPr bwMode="auto">
        <a:xfrm>
          <a:off x="1681657" y="1804213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637</xdr:row>
      <xdr:rowOff>9721</xdr:rowOff>
    </xdr:from>
    <xdr:to>
      <xdr:col>21</xdr:col>
      <xdr:colOff>1525944</xdr:colOff>
      <xdr:row>639</xdr:row>
      <xdr:rowOff>622042</xdr:rowOff>
    </xdr:to>
    <xdr:sp macro="" textlink="">
      <xdr:nvSpPr>
        <xdr:cNvPr id="44" name="Diagrama de flujo: intercalar 43">
          <a:extLst>
            <a:ext uri="{FF2B5EF4-FFF2-40B4-BE49-F238E27FC236}">
              <a16:creationId xmlns:a16="http://schemas.microsoft.com/office/drawing/2014/main" id="{00000000-0008-0000-0400-00002C000000}"/>
            </a:ext>
          </a:extLst>
        </xdr:cNvPr>
        <xdr:cNvSpPr/>
      </xdr:nvSpPr>
      <xdr:spPr bwMode="auto">
        <a:xfrm>
          <a:off x="26776913" y="186038803"/>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45" name="Rectángulo 44">
          <a:extLst>
            <a:ext uri="{FF2B5EF4-FFF2-40B4-BE49-F238E27FC236}">
              <a16:creationId xmlns:a16="http://schemas.microsoft.com/office/drawing/2014/main" id="{00000000-0008-0000-0400-00002D000000}"/>
            </a:ext>
          </a:extLst>
        </xdr:cNvPr>
        <xdr:cNvSpPr/>
      </xdr:nvSpPr>
      <xdr:spPr bwMode="auto">
        <a:xfrm>
          <a:off x="1681657" y="18966453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667</xdr:row>
      <xdr:rowOff>9721</xdr:rowOff>
    </xdr:from>
    <xdr:to>
      <xdr:col>21</xdr:col>
      <xdr:colOff>1525944</xdr:colOff>
      <xdr:row>669</xdr:row>
      <xdr:rowOff>622042</xdr:rowOff>
    </xdr:to>
    <xdr:sp macro="" textlink="">
      <xdr:nvSpPr>
        <xdr:cNvPr id="46" name="Diagrama de flujo: intercalar 45">
          <a:extLst>
            <a:ext uri="{FF2B5EF4-FFF2-40B4-BE49-F238E27FC236}">
              <a16:creationId xmlns:a16="http://schemas.microsoft.com/office/drawing/2014/main" id="{00000000-0008-0000-0400-00002E000000}"/>
            </a:ext>
          </a:extLst>
        </xdr:cNvPr>
        <xdr:cNvSpPr/>
      </xdr:nvSpPr>
      <xdr:spPr bwMode="auto">
        <a:xfrm>
          <a:off x="26776913" y="195281940"/>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47" name="Rectángulo 46">
          <a:extLst>
            <a:ext uri="{FF2B5EF4-FFF2-40B4-BE49-F238E27FC236}">
              <a16:creationId xmlns:a16="http://schemas.microsoft.com/office/drawing/2014/main" id="{00000000-0008-0000-0400-00002F000000}"/>
            </a:ext>
          </a:extLst>
        </xdr:cNvPr>
        <xdr:cNvSpPr/>
      </xdr:nvSpPr>
      <xdr:spPr bwMode="auto">
        <a:xfrm>
          <a:off x="1681657" y="19890767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697</xdr:row>
      <xdr:rowOff>9721</xdr:rowOff>
    </xdr:from>
    <xdr:to>
      <xdr:col>21</xdr:col>
      <xdr:colOff>1525944</xdr:colOff>
      <xdr:row>699</xdr:row>
      <xdr:rowOff>622042</xdr:rowOff>
    </xdr:to>
    <xdr:sp macro="" textlink="">
      <xdr:nvSpPr>
        <xdr:cNvPr id="48" name="Diagrama de flujo: intercalar 47">
          <a:extLst>
            <a:ext uri="{FF2B5EF4-FFF2-40B4-BE49-F238E27FC236}">
              <a16:creationId xmlns:a16="http://schemas.microsoft.com/office/drawing/2014/main" id="{00000000-0008-0000-0400-000030000000}"/>
            </a:ext>
          </a:extLst>
        </xdr:cNvPr>
        <xdr:cNvSpPr/>
      </xdr:nvSpPr>
      <xdr:spPr bwMode="auto">
        <a:xfrm>
          <a:off x="26776913" y="204525078"/>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49" name="Rectángulo 48">
          <a:extLst>
            <a:ext uri="{FF2B5EF4-FFF2-40B4-BE49-F238E27FC236}">
              <a16:creationId xmlns:a16="http://schemas.microsoft.com/office/drawing/2014/main" id="{00000000-0008-0000-0400-000031000000}"/>
            </a:ext>
          </a:extLst>
        </xdr:cNvPr>
        <xdr:cNvSpPr/>
      </xdr:nvSpPr>
      <xdr:spPr bwMode="auto">
        <a:xfrm>
          <a:off x="1681657" y="20815081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727</xdr:row>
      <xdr:rowOff>9721</xdr:rowOff>
    </xdr:from>
    <xdr:to>
      <xdr:col>21</xdr:col>
      <xdr:colOff>1525944</xdr:colOff>
      <xdr:row>729</xdr:row>
      <xdr:rowOff>622042</xdr:rowOff>
    </xdr:to>
    <xdr:sp macro="" textlink="">
      <xdr:nvSpPr>
        <xdr:cNvPr id="50" name="Diagrama de flujo: intercalar 49">
          <a:extLst>
            <a:ext uri="{FF2B5EF4-FFF2-40B4-BE49-F238E27FC236}">
              <a16:creationId xmlns:a16="http://schemas.microsoft.com/office/drawing/2014/main" id="{00000000-0008-0000-0400-000032000000}"/>
            </a:ext>
          </a:extLst>
        </xdr:cNvPr>
        <xdr:cNvSpPr/>
      </xdr:nvSpPr>
      <xdr:spPr bwMode="auto">
        <a:xfrm>
          <a:off x="26776913" y="213768216"/>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51" name="Rectángulo 50">
          <a:extLst>
            <a:ext uri="{FF2B5EF4-FFF2-40B4-BE49-F238E27FC236}">
              <a16:creationId xmlns:a16="http://schemas.microsoft.com/office/drawing/2014/main" id="{00000000-0008-0000-0400-000033000000}"/>
            </a:ext>
          </a:extLst>
        </xdr:cNvPr>
        <xdr:cNvSpPr/>
      </xdr:nvSpPr>
      <xdr:spPr bwMode="auto">
        <a:xfrm>
          <a:off x="1681657" y="21739395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757</xdr:row>
      <xdr:rowOff>9721</xdr:rowOff>
    </xdr:from>
    <xdr:to>
      <xdr:col>21</xdr:col>
      <xdr:colOff>1525944</xdr:colOff>
      <xdr:row>759</xdr:row>
      <xdr:rowOff>622042</xdr:rowOff>
    </xdr:to>
    <xdr:sp macro="" textlink="">
      <xdr:nvSpPr>
        <xdr:cNvPr id="52" name="Diagrama de flujo: intercalar 51">
          <a:extLst>
            <a:ext uri="{FF2B5EF4-FFF2-40B4-BE49-F238E27FC236}">
              <a16:creationId xmlns:a16="http://schemas.microsoft.com/office/drawing/2014/main" id="{00000000-0008-0000-0400-000034000000}"/>
            </a:ext>
          </a:extLst>
        </xdr:cNvPr>
        <xdr:cNvSpPr/>
      </xdr:nvSpPr>
      <xdr:spPr bwMode="auto">
        <a:xfrm>
          <a:off x="26776913" y="223011354"/>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53" name="Rectángulo 52">
          <a:extLst>
            <a:ext uri="{FF2B5EF4-FFF2-40B4-BE49-F238E27FC236}">
              <a16:creationId xmlns:a16="http://schemas.microsoft.com/office/drawing/2014/main" id="{00000000-0008-0000-0400-000035000000}"/>
            </a:ext>
          </a:extLst>
        </xdr:cNvPr>
        <xdr:cNvSpPr/>
      </xdr:nvSpPr>
      <xdr:spPr bwMode="auto">
        <a:xfrm>
          <a:off x="1681657" y="22663708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787</xdr:row>
      <xdr:rowOff>9721</xdr:rowOff>
    </xdr:from>
    <xdr:to>
      <xdr:col>21</xdr:col>
      <xdr:colOff>1525944</xdr:colOff>
      <xdr:row>789</xdr:row>
      <xdr:rowOff>622042</xdr:rowOff>
    </xdr:to>
    <xdr:sp macro="" textlink="">
      <xdr:nvSpPr>
        <xdr:cNvPr id="54" name="Diagrama de flujo: intercalar 53">
          <a:extLst>
            <a:ext uri="{FF2B5EF4-FFF2-40B4-BE49-F238E27FC236}">
              <a16:creationId xmlns:a16="http://schemas.microsoft.com/office/drawing/2014/main" id="{00000000-0008-0000-0400-000036000000}"/>
            </a:ext>
          </a:extLst>
        </xdr:cNvPr>
        <xdr:cNvSpPr/>
      </xdr:nvSpPr>
      <xdr:spPr bwMode="auto">
        <a:xfrm>
          <a:off x="26776913" y="232254491"/>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55" name="Rectángulo 54">
          <a:extLst>
            <a:ext uri="{FF2B5EF4-FFF2-40B4-BE49-F238E27FC236}">
              <a16:creationId xmlns:a16="http://schemas.microsoft.com/office/drawing/2014/main" id="{00000000-0008-0000-0400-000037000000}"/>
            </a:ext>
          </a:extLst>
        </xdr:cNvPr>
        <xdr:cNvSpPr/>
      </xdr:nvSpPr>
      <xdr:spPr bwMode="auto">
        <a:xfrm>
          <a:off x="1681657" y="23588022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817</xdr:row>
      <xdr:rowOff>9721</xdr:rowOff>
    </xdr:from>
    <xdr:to>
      <xdr:col>21</xdr:col>
      <xdr:colOff>1525944</xdr:colOff>
      <xdr:row>819</xdr:row>
      <xdr:rowOff>622042</xdr:rowOff>
    </xdr:to>
    <xdr:sp macro="" textlink="">
      <xdr:nvSpPr>
        <xdr:cNvPr id="56" name="Diagrama de flujo: intercalar 55">
          <a:extLst>
            <a:ext uri="{FF2B5EF4-FFF2-40B4-BE49-F238E27FC236}">
              <a16:creationId xmlns:a16="http://schemas.microsoft.com/office/drawing/2014/main" id="{00000000-0008-0000-0400-000038000000}"/>
            </a:ext>
          </a:extLst>
        </xdr:cNvPr>
        <xdr:cNvSpPr/>
      </xdr:nvSpPr>
      <xdr:spPr bwMode="auto">
        <a:xfrm>
          <a:off x="26776913" y="241497629"/>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57" name="Rectángulo 56">
          <a:extLst>
            <a:ext uri="{FF2B5EF4-FFF2-40B4-BE49-F238E27FC236}">
              <a16:creationId xmlns:a16="http://schemas.microsoft.com/office/drawing/2014/main" id="{00000000-0008-0000-0400-000039000000}"/>
            </a:ext>
          </a:extLst>
        </xdr:cNvPr>
        <xdr:cNvSpPr/>
      </xdr:nvSpPr>
      <xdr:spPr bwMode="auto">
        <a:xfrm>
          <a:off x="1681657" y="245123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847</xdr:row>
      <xdr:rowOff>9721</xdr:rowOff>
    </xdr:from>
    <xdr:to>
      <xdr:col>21</xdr:col>
      <xdr:colOff>1525944</xdr:colOff>
      <xdr:row>849</xdr:row>
      <xdr:rowOff>622042</xdr:rowOff>
    </xdr:to>
    <xdr:sp macro="" textlink="">
      <xdr:nvSpPr>
        <xdr:cNvPr id="58" name="Diagrama de flujo: intercalar 57">
          <a:extLst>
            <a:ext uri="{FF2B5EF4-FFF2-40B4-BE49-F238E27FC236}">
              <a16:creationId xmlns:a16="http://schemas.microsoft.com/office/drawing/2014/main" id="{00000000-0008-0000-0400-00003A000000}"/>
            </a:ext>
          </a:extLst>
        </xdr:cNvPr>
        <xdr:cNvSpPr/>
      </xdr:nvSpPr>
      <xdr:spPr bwMode="auto">
        <a:xfrm>
          <a:off x="26776913" y="250740767"/>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59" name="Rectángulo 58">
          <a:extLst>
            <a:ext uri="{FF2B5EF4-FFF2-40B4-BE49-F238E27FC236}">
              <a16:creationId xmlns:a16="http://schemas.microsoft.com/office/drawing/2014/main" id="{00000000-0008-0000-0400-00003B000000}"/>
            </a:ext>
          </a:extLst>
        </xdr:cNvPr>
        <xdr:cNvSpPr/>
      </xdr:nvSpPr>
      <xdr:spPr bwMode="auto">
        <a:xfrm>
          <a:off x="1681657" y="25436650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877</xdr:row>
      <xdr:rowOff>9721</xdr:rowOff>
    </xdr:from>
    <xdr:to>
      <xdr:col>21</xdr:col>
      <xdr:colOff>1525944</xdr:colOff>
      <xdr:row>879</xdr:row>
      <xdr:rowOff>622042</xdr:rowOff>
    </xdr:to>
    <xdr:sp macro="" textlink="">
      <xdr:nvSpPr>
        <xdr:cNvPr id="60" name="Diagrama de flujo: intercalar 59">
          <a:extLst>
            <a:ext uri="{FF2B5EF4-FFF2-40B4-BE49-F238E27FC236}">
              <a16:creationId xmlns:a16="http://schemas.microsoft.com/office/drawing/2014/main" id="{00000000-0008-0000-0400-00003C000000}"/>
            </a:ext>
          </a:extLst>
        </xdr:cNvPr>
        <xdr:cNvSpPr/>
      </xdr:nvSpPr>
      <xdr:spPr bwMode="auto">
        <a:xfrm>
          <a:off x="26776913" y="259983905"/>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61" name="Rectángulo 60">
          <a:extLst>
            <a:ext uri="{FF2B5EF4-FFF2-40B4-BE49-F238E27FC236}">
              <a16:creationId xmlns:a16="http://schemas.microsoft.com/office/drawing/2014/main" id="{00000000-0008-0000-0400-00003D000000}"/>
            </a:ext>
          </a:extLst>
        </xdr:cNvPr>
        <xdr:cNvSpPr/>
      </xdr:nvSpPr>
      <xdr:spPr bwMode="auto">
        <a:xfrm>
          <a:off x="1681657" y="26360963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908</xdr:row>
      <xdr:rowOff>9721</xdr:rowOff>
    </xdr:from>
    <xdr:to>
      <xdr:col>21</xdr:col>
      <xdr:colOff>1525944</xdr:colOff>
      <xdr:row>910</xdr:row>
      <xdr:rowOff>622042</xdr:rowOff>
    </xdr:to>
    <xdr:sp macro="" textlink="">
      <xdr:nvSpPr>
        <xdr:cNvPr id="62" name="Diagrama de flujo: intercalar 61">
          <a:extLst>
            <a:ext uri="{FF2B5EF4-FFF2-40B4-BE49-F238E27FC236}">
              <a16:creationId xmlns:a16="http://schemas.microsoft.com/office/drawing/2014/main" id="{00000000-0008-0000-0400-00003E000000}"/>
            </a:ext>
          </a:extLst>
        </xdr:cNvPr>
        <xdr:cNvSpPr/>
      </xdr:nvSpPr>
      <xdr:spPr bwMode="auto">
        <a:xfrm>
          <a:off x="26776913" y="269227042"/>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921</xdr:row>
      <xdr:rowOff>19843</xdr:rowOff>
    </xdr:from>
    <xdr:to>
      <xdr:col>3</xdr:col>
      <xdr:colOff>1629922</xdr:colOff>
      <xdr:row>921</xdr:row>
      <xdr:rowOff>293443</xdr:rowOff>
    </xdr:to>
    <xdr:sp macro="[0]!COMBINAR" textlink="">
      <xdr:nvSpPr>
        <xdr:cNvPr id="63" name="Rectángulo 62">
          <a:extLst>
            <a:ext uri="{FF2B5EF4-FFF2-40B4-BE49-F238E27FC236}">
              <a16:creationId xmlns:a16="http://schemas.microsoft.com/office/drawing/2014/main" id="{00000000-0008-0000-0400-00003F000000}"/>
            </a:ext>
          </a:extLst>
        </xdr:cNvPr>
        <xdr:cNvSpPr/>
      </xdr:nvSpPr>
      <xdr:spPr bwMode="auto">
        <a:xfrm>
          <a:off x="1681657" y="27285277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938</xdr:row>
      <xdr:rowOff>9721</xdr:rowOff>
    </xdr:from>
    <xdr:to>
      <xdr:col>21</xdr:col>
      <xdr:colOff>1525944</xdr:colOff>
      <xdr:row>940</xdr:row>
      <xdr:rowOff>622042</xdr:rowOff>
    </xdr:to>
    <xdr:sp macro="" textlink="">
      <xdr:nvSpPr>
        <xdr:cNvPr id="64" name="Diagrama de flujo: intercalar 63">
          <a:extLst>
            <a:ext uri="{FF2B5EF4-FFF2-40B4-BE49-F238E27FC236}">
              <a16:creationId xmlns:a16="http://schemas.microsoft.com/office/drawing/2014/main" id="{00000000-0008-0000-0400-000040000000}"/>
            </a:ext>
          </a:extLst>
        </xdr:cNvPr>
        <xdr:cNvSpPr/>
      </xdr:nvSpPr>
      <xdr:spPr bwMode="auto">
        <a:xfrm>
          <a:off x="26776913" y="278470180"/>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951</xdr:row>
      <xdr:rowOff>19843</xdr:rowOff>
    </xdr:from>
    <xdr:to>
      <xdr:col>3</xdr:col>
      <xdr:colOff>1629922</xdr:colOff>
      <xdr:row>951</xdr:row>
      <xdr:rowOff>293443</xdr:rowOff>
    </xdr:to>
    <xdr:sp macro="[0]!COMBINAR" textlink="">
      <xdr:nvSpPr>
        <xdr:cNvPr id="65" name="Rectángulo 64">
          <a:extLst>
            <a:ext uri="{FF2B5EF4-FFF2-40B4-BE49-F238E27FC236}">
              <a16:creationId xmlns:a16="http://schemas.microsoft.com/office/drawing/2014/main" id="{00000000-0008-0000-0400-000041000000}"/>
            </a:ext>
          </a:extLst>
        </xdr:cNvPr>
        <xdr:cNvSpPr/>
      </xdr:nvSpPr>
      <xdr:spPr bwMode="auto">
        <a:xfrm>
          <a:off x="1681657" y="28209591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968</xdr:row>
      <xdr:rowOff>9721</xdr:rowOff>
    </xdr:from>
    <xdr:to>
      <xdr:col>21</xdr:col>
      <xdr:colOff>1525944</xdr:colOff>
      <xdr:row>970</xdr:row>
      <xdr:rowOff>622042</xdr:rowOff>
    </xdr:to>
    <xdr:sp macro="" textlink="">
      <xdr:nvSpPr>
        <xdr:cNvPr id="66" name="Diagrama de flujo: intercalar 65">
          <a:extLst>
            <a:ext uri="{FF2B5EF4-FFF2-40B4-BE49-F238E27FC236}">
              <a16:creationId xmlns:a16="http://schemas.microsoft.com/office/drawing/2014/main" id="{00000000-0008-0000-0400-000042000000}"/>
            </a:ext>
          </a:extLst>
        </xdr:cNvPr>
        <xdr:cNvSpPr/>
      </xdr:nvSpPr>
      <xdr:spPr bwMode="auto">
        <a:xfrm>
          <a:off x="26776913" y="287713318"/>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981</xdr:row>
      <xdr:rowOff>19843</xdr:rowOff>
    </xdr:from>
    <xdr:to>
      <xdr:col>3</xdr:col>
      <xdr:colOff>1629922</xdr:colOff>
      <xdr:row>981</xdr:row>
      <xdr:rowOff>293443</xdr:rowOff>
    </xdr:to>
    <xdr:sp macro="[0]!COMBINAR" textlink="">
      <xdr:nvSpPr>
        <xdr:cNvPr id="67" name="Rectángulo 66">
          <a:extLst>
            <a:ext uri="{FF2B5EF4-FFF2-40B4-BE49-F238E27FC236}">
              <a16:creationId xmlns:a16="http://schemas.microsoft.com/office/drawing/2014/main" id="{00000000-0008-0000-0400-000043000000}"/>
            </a:ext>
          </a:extLst>
        </xdr:cNvPr>
        <xdr:cNvSpPr/>
      </xdr:nvSpPr>
      <xdr:spPr bwMode="auto">
        <a:xfrm>
          <a:off x="1681657" y="29133905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998</xdr:row>
      <xdr:rowOff>9721</xdr:rowOff>
    </xdr:from>
    <xdr:to>
      <xdr:col>21</xdr:col>
      <xdr:colOff>1525944</xdr:colOff>
      <xdr:row>1000</xdr:row>
      <xdr:rowOff>622042</xdr:rowOff>
    </xdr:to>
    <xdr:sp macro="" textlink="">
      <xdr:nvSpPr>
        <xdr:cNvPr id="68" name="Diagrama de flujo: intercalar 67">
          <a:extLst>
            <a:ext uri="{FF2B5EF4-FFF2-40B4-BE49-F238E27FC236}">
              <a16:creationId xmlns:a16="http://schemas.microsoft.com/office/drawing/2014/main" id="{00000000-0008-0000-0400-000044000000}"/>
            </a:ext>
          </a:extLst>
        </xdr:cNvPr>
        <xdr:cNvSpPr/>
      </xdr:nvSpPr>
      <xdr:spPr bwMode="auto">
        <a:xfrm>
          <a:off x="26776913" y="296956456"/>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1011</xdr:row>
      <xdr:rowOff>19843</xdr:rowOff>
    </xdr:from>
    <xdr:to>
      <xdr:col>3</xdr:col>
      <xdr:colOff>1629922</xdr:colOff>
      <xdr:row>1011</xdr:row>
      <xdr:rowOff>293443</xdr:rowOff>
    </xdr:to>
    <xdr:sp macro="[0]!COMBINAR" textlink="">
      <xdr:nvSpPr>
        <xdr:cNvPr id="69" name="Rectángulo 68">
          <a:extLst>
            <a:ext uri="{FF2B5EF4-FFF2-40B4-BE49-F238E27FC236}">
              <a16:creationId xmlns:a16="http://schemas.microsoft.com/office/drawing/2014/main" id="{00000000-0008-0000-0400-000045000000}"/>
            </a:ext>
          </a:extLst>
        </xdr:cNvPr>
        <xdr:cNvSpPr/>
      </xdr:nvSpPr>
      <xdr:spPr bwMode="auto">
        <a:xfrm>
          <a:off x="1681657" y="30058219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1028</xdr:row>
      <xdr:rowOff>9721</xdr:rowOff>
    </xdr:from>
    <xdr:to>
      <xdr:col>21</xdr:col>
      <xdr:colOff>1525944</xdr:colOff>
      <xdr:row>1030</xdr:row>
      <xdr:rowOff>622042</xdr:rowOff>
    </xdr:to>
    <xdr:sp macro="" textlink="">
      <xdr:nvSpPr>
        <xdr:cNvPr id="70" name="Diagrama de flujo: intercalar 69">
          <a:extLst>
            <a:ext uri="{FF2B5EF4-FFF2-40B4-BE49-F238E27FC236}">
              <a16:creationId xmlns:a16="http://schemas.microsoft.com/office/drawing/2014/main" id="{00000000-0008-0000-0400-000046000000}"/>
            </a:ext>
          </a:extLst>
        </xdr:cNvPr>
        <xdr:cNvSpPr/>
      </xdr:nvSpPr>
      <xdr:spPr bwMode="auto">
        <a:xfrm>
          <a:off x="26776913" y="306199593"/>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1041</xdr:row>
      <xdr:rowOff>19843</xdr:rowOff>
    </xdr:from>
    <xdr:to>
      <xdr:col>3</xdr:col>
      <xdr:colOff>1629922</xdr:colOff>
      <xdr:row>1041</xdr:row>
      <xdr:rowOff>293443</xdr:rowOff>
    </xdr:to>
    <xdr:sp macro="[0]!COMBINAR" textlink="">
      <xdr:nvSpPr>
        <xdr:cNvPr id="71" name="Rectángulo 70">
          <a:extLst>
            <a:ext uri="{FF2B5EF4-FFF2-40B4-BE49-F238E27FC236}">
              <a16:creationId xmlns:a16="http://schemas.microsoft.com/office/drawing/2014/main" id="{00000000-0008-0000-0400-000047000000}"/>
            </a:ext>
          </a:extLst>
        </xdr:cNvPr>
        <xdr:cNvSpPr/>
      </xdr:nvSpPr>
      <xdr:spPr bwMode="auto">
        <a:xfrm>
          <a:off x="1681657" y="30982532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1058</xdr:row>
      <xdr:rowOff>9721</xdr:rowOff>
    </xdr:from>
    <xdr:to>
      <xdr:col>21</xdr:col>
      <xdr:colOff>1525944</xdr:colOff>
      <xdr:row>1060</xdr:row>
      <xdr:rowOff>622042</xdr:rowOff>
    </xdr:to>
    <xdr:sp macro="" textlink="">
      <xdr:nvSpPr>
        <xdr:cNvPr id="72" name="Diagrama de flujo: intercalar 71">
          <a:extLst>
            <a:ext uri="{FF2B5EF4-FFF2-40B4-BE49-F238E27FC236}">
              <a16:creationId xmlns:a16="http://schemas.microsoft.com/office/drawing/2014/main" id="{00000000-0008-0000-0400-000048000000}"/>
            </a:ext>
          </a:extLst>
        </xdr:cNvPr>
        <xdr:cNvSpPr/>
      </xdr:nvSpPr>
      <xdr:spPr bwMode="auto">
        <a:xfrm>
          <a:off x="26776913" y="315442731"/>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1071</xdr:row>
      <xdr:rowOff>19843</xdr:rowOff>
    </xdr:from>
    <xdr:to>
      <xdr:col>3</xdr:col>
      <xdr:colOff>1629922</xdr:colOff>
      <xdr:row>1071</xdr:row>
      <xdr:rowOff>293443</xdr:rowOff>
    </xdr:to>
    <xdr:sp macro="[0]!COMBINAR" textlink="">
      <xdr:nvSpPr>
        <xdr:cNvPr id="73" name="Rectángulo 72">
          <a:extLst>
            <a:ext uri="{FF2B5EF4-FFF2-40B4-BE49-F238E27FC236}">
              <a16:creationId xmlns:a16="http://schemas.microsoft.com/office/drawing/2014/main" id="{00000000-0008-0000-0400-000049000000}"/>
            </a:ext>
          </a:extLst>
        </xdr:cNvPr>
        <xdr:cNvSpPr/>
      </xdr:nvSpPr>
      <xdr:spPr bwMode="auto">
        <a:xfrm>
          <a:off x="1681657" y="31906846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1088</xdr:row>
      <xdr:rowOff>9721</xdr:rowOff>
    </xdr:from>
    <xdr:to>
      <xdr:col>21</xdr:col>
      <xdr:colOff>1525944</xdr:colOff>
      <xdr:row>1090</xdr:row>
      <xdr:rowOff>622042</xdr:rowOff>
    </xdr:to>
    <xdr:sp macro="" textlink="">
      <xdr:nvSpPr>
        <xdr:cNvPr id="74" name="Diagrama de flujo: intercalar 73">
          <a:extLst>
            <a:ext uri="{FF2B5EF4-FFF2-40B4-BE49-F238E27FC236}">
              <a16:creationId xmlns:a16="http://schemas.microsoft.com/office/drawing/2014/main" id="{00000000-0008-0000-0400-00004A000000}"/>
            </a:ext>
          </a:extLst>
        </xdr:cNvPr>
        <xdr:cNvSpPr/>
      </xdr:nvSpPr>
      <xdr:spPr bwMode="auto">
        <a:xfrm>
          <a:off x="26776913" y="324685869"/>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1101</xdr:row>
      <xdr:rowOff>19843</xdr:rowOff>
    </xdr:from>
    <xdr:to>
      <xdr:col>3</xdr:col>
      <xdr:colOff>1629922</xdr:colOff>
      <xdr:row>1101</xdr:row>
      <xdr:rowOff>293443</xdr:rowOff>
    </xdr:to>
    <xdr:sp macro="[0]!COMBINAR" textlink="">
      <xdr:nvSpPr>
        <xdr:cNvPr id="75" name="Rectángulo 74">
          <a:extLst>
            <a:ext uri="{FF2B5EF4-FFF2-40B4-BE49-F238E27FC236}">
              <a16:creationId xmlns:a16="http://schemas.microsoft.com/office/drawing/2014/main" id="{00000000-0008-0000-0400-00004B000000}"/>
            </a:ext>
          </a:extLst>
        </xdr:cNvPr>
        <xdr:cNvSpPr/>
      </xdr:nvSpPr>
      <xdr:spPr bwMode="auto">
        <a:xfrm>
          <a:off x="1681657" y="328311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1118</xdr:row>
      <xdr:rowOff>9721</xdr:rowOff>
    </xdr:from>
    <xdr:to>
      <xdr:col>21</xdr:col>
      <xdr:colOff>1525944</xdr:colOff>
      <xdr:row>1120</xdr:row>
      <xdr:rowOff>622042</xdr:rowOff>
    </xdr:to>
    <xdr:sp macro="" textlink="">
      <xdr:nvSpPr>
        <xdr:cNvPr id="76" name="Diagrama de flujo: intercalar 75">
          <a:extLst>
            <a:ext uri="{FF2B5EF4-FFF2-40B4-BE49-F238E27FC236}">
              <a16:creationId xmlns:a16="http://schemas.microsoft.com/office/drawing/2014/main" id="{00000000-0008-0000-0400-00004C000000}"/>
            </a:ext>
          </a:extLst>
        </xdr:cNvPr>
        <xdr:cNvSpPr/>
      </xdr:nvSpPr>
      <xdr:spPr bwMode="auto">
        <a:xfrm>
          <a:off x="26776913" y="333929007"/>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1131</xdr:row>
      <xdr:rowOff>19843</xdr:rowOff>
    </xdr:from>
    <xdr:to>
      <xdr:col>3</xdr:col>
      <xdr:colOff>1629922</xdr:colOff>
      <xdr:row>1131</xdr:row>
      <xdr:rowOff>293443</xdr:rowOff>
    </xdr:to>
    <xdr:sp macro="[0]!COMBINAR" textlink="">
      <xdr:nvSpPr>
        <xdr:cNvPr id="77" name="Rectángulo 76">
          <a:extLst>
            <a:ext uri="{FF2B5EF4-FFF2-40B4-BE49-F238E27FC236}">
              <a16:creationId xmlns:a16="http://schemas.microsoft.com/office/drawing/2014/main" id="{00000000-0008-0000-0400-00004D000000}"/>
            </a:ext>
          </a:extLst>
        </xdr:cNvPr>
        <xdr:cNvSpPr/>
      </xdr:nvSpPr>
      <xdr:spPr bwMode="auto">
        <a:xfrm>
          <a:off x="1681657" y="33755474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1148</xdr:row>
      <xdr:rowOff>9721</xdr:rowOff>
    </xdr:from>
    <xdr:to>
      <xdr:col>21</xdr:col>
      <xdr:colOff>1525944</xdr:colOff>
      <xdr:row>1150</xdr:row>
      <xdr:rowOff>622042</xdr:rowOff>
    </xdr:to>
    <xdr:sp macro="" textlink="">
      <xdr:nvSpPr>
        <xdr:cNvPr id="78" name="Diagrama de flujo: intercalar 77">
          <a:extLst>
            <a:ext uri="{FF2B5EF4-FFF2-40B4-BE49-F238E27FC236}">
              <a16:creationId xmlns:a16="http://schemas.microsoft.com/office/drawing/2014/main" id="{00000000-0008-0000-0400-00004E000000}"/>
            </a:ext>
          </a:extLst>
        </xdr:cNvPr>
        <xdr:cNvSpPr/>
      </xdr:nvSpPr>
      <xdr:spPr bwMode="auto">
        <a:xfrm>
          <a:off x="26776913" y="343172144"/>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1161</xdr:row>
      <xdr:rowOff>19843</xdr:rowOff>
    </xdr:from>
    <xdr:to>
      <xdr:col>3</xdr:col>
      <xdr:colOff>1629922</xdr:colOff>
      <xdr:row>1161</xdr:row>
      <xdr:rowOff>293443</xdr:rowOff>
    </xdr:to>
    <xdr:sp macro="[0]!COMBINAR" textlink="">
      <xdr:nvSpPr>
        <xdr:cNvPr id="79" name="Rectángulo 78">
          <a:extLst>
            <a:ext uri="{FF2B5EF4-FFF2-40B4-BE49-F238E27FC236}">
              <a16:creationId xmlns:a16="http://schemas.microsoft.com/office/drawing/2014/main" id="{00000000-0008-0000-0400-00004F000000}"/>
            </a:ext>
          </a:extLst>
        </xdr:cNvPr>
        <xdr:cNvSpPr/>
      </xdr:nvSpPr>
      <xdr:spPr bwMode="auto">
        <a:xfrm>
          <a:off x="1681657" y="34679787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1178</xdr:row>
      <xdr:rowOff>9721</xdr:rowOff>
    </xdr:from>
    <xdr:to>
      <xdr:col>21</xdr:col>
      <xdr:colOff>1525944</xdr:colOff>
      <xdr:row>1180</xdr:row>
      <xdr:rowOff>622042</xdr:rowOff>
    </xdr:to>
    <xdr:sp macro="" textlink="">
      <xdr:nvSpPr>
        <xdr:cNvPr id="80" name="Diagrama de flujo: intercalar 79">
          <a:extLst>
            <a:ext uri="{FF2B5EF4-FFF2-40B4-BE49-F238E27FC236}">
              <a16:creationId xmlns:a16="http://schemas.microsoft.com/office/drawing/2014/main" id="{00000000-0008-0000-0400-000050000000}"/>
            </a:ext>
          </a:extLst>
        </xdr:cNvPr>
        <xdr:cNvSpPr/>
      </xdr:nvSpPr>
      <xdr:spPr bwMode="auto">
        <a:xfrm>
          <a:off x="26776913" y="352415282"/>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1191</xdr:row>
      <xdr:rowOff>19843</xdr:rowOff>
    </xdr:from>
    <xdr:to>
      <xdr:col>3</xdr:col>
      <xdr:colOff>1629922</xdr:colOff>
      <xdr:row>1191</xdr:row>
      <xdr:rowOff>293443</xdr:rowOff>
    </xdr:to>
    <xdr:sp macro="[0]!COMBINAR" textlink="">
      <xdr:nvSpPr>
        <xdr:cNvPr id="81" name="Rectángulo 80">
          <a:extLst>
            <a:ext uri="{FF2B5EF4-FFF2-40B4-BE49-F238E27FC236}">
              <a16:creationId xmlns:a16="http://schemas.microsoft.com/office/drawing/2014/main" id="{00000000-0008-0000-0400-000051000000}"/>
            </a:ext>
          </a:extLst>
        </xdr:cNvPr>
        <xdr:cNvSpPr/>
      </xdr:nvSpPr>
      <xdr:spPr bwMode="auto">
        <a:xfrm>
          <a:off x="1681657" y="35604101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1208</xdr:row>
      <xdr:rowOff>9721</xdr:rowOff>
    </xdr:from>
    <xdr:to>
      <xdr:col>21</xdr:col>
      <xdr:colOff>1525944</xdr:colOff>
      <xdr:row>1210</xdr:row>
      <xdr:rowOff>622042</xdr:rowOff>
    </xdr:to>
    <xdr:sp macro="" textlink="">
      <xdr:nvSpPr>
        <xdr:cNvPr id="82" name="Diagrama de flujo: intercalar 81">
          <a:extLst>
            <a:ext uri="{FF2B5EF4-FFF2-40B4-BE49-F238E27FC236}">
              <a16:creationId xmlns:a16="http://schemas.microsoft.com/office/drawing/2014/main" id="{00000000-0008-0000-0400-000052000000}"/>
            </a:ext>
          </a:extLst>
        </xdr:cNvPr>
        <xdr:cNvSpPr/>
      </xdr:nvSpPr>
      <xdr:spPr bwMode="auto">
        <a:xfrm>
          <a:off x="26776913" y="361658420"/>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1221</xdr:row>
      <xdr:rowOff>19843</xdr:rowOff>
    </xdr:from>
    <xdr:to>
      <xdr:col>3</xdr:col>
      <xdr:colOff>1629922</xdr:colOff>
      <xdr:row>1221</xdr:row>
      <xdr:rowOff>293443</xdr:rowOff>
    </xdr:to>
    <xdr:sp macro="[0]!COMBINAR" textlink="">
      <xdr:nvSpPr>
        <xdr:cNvPr id="83" name="Rectángulo 82">
          <a:extLst>
            <a:ext uri="{FF2B5EF4-FFF2-40B4-BE49-F238E27FC236}">
              <a16:creationId xmlns:a16="http://schemas.microsoft.com/office/drawing/2014/main" id="{00000000-0008-0000-0400-000053000000}"/>
            </a:ext>
          </a:extLst>
        </xdr:cNvPr>
        <xdr:cNvSpPr/>
      </xdr:nvSpPr>
      <xdr:spPr bwMode="auto">
        <a:xfrm>
          <a:off x="1681657" y="36528415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1238</xdr:row>
      <xdr:rowOff>9721</xdr:rowOff>
    </xdr:from>
    <xdr:to>
      <xdr:col>21</xdr:col>
      <xdr:colOff>1525944</xdr:colOff>
      <xdr:row>1240</xdr:row>
      <xdr:rowOff>622042</xdr:rowOff>
    </xdr:to>
    <xdr:sp macro="" textlink="">
      <xdr:nvSpPr>
        <xdr:cNvPr id="84" name="Diagrama de flujo: intercalar 83">
          <a:extLst>
            <a:ext uri="{FF2B5EF4-FFF2-40B4-BE49-F238E27FC236}">
              <a16:creationId xmlns:a16="http://schemas.microsoft.com/office/drawing/2014/main" id="{00000000-0008-0000-0400-000054000000}"/>
            </a:ext>
          </a:extLst>
        </xdr:cNvPr>
        <xdr:cNvSpPr/>
      </xdr:nvSpPr>
      <xdr:spPr bwMode="auto">
        <a:xfrm>
          <a:off x="26776913" y="370901558"/>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1251</xdr:row>
      <xdr:rowOff>19843</xdr:rowOff>
    </xdr:from>
    <xdr:to>
      <xdr:col>3</xdr:col>
      <xdr:colOff>1629922</xdr:colOff>
      <xdr:row>1251</xdr:row>
      <xdr:rowOff>293443</xdr:rowOff>
    </xdr:to>
    <xdr:sp macro="[0]!COMBINAR" textlink="">
      <xdr:nvSpPr>
        <xdr:cNvPr id="85" name="Rectángulo 84">
          <a:extLst>
            <a:ext uri="{FF2B5EF4-FFF2-40B4-BE49-F238E27FC236}">
              <a16:creationId xmlns:a16="http://schemas.microsoft.com/office/drawing/2014/main" id="{00000000-0008-0000-0400-000055000000}"/>
            </a:ext>
          </a:extLst>
        </xdr:cNvPr>
        <xdr:cNvSpPr/>
      </xdr:nvSpPr>
      <xdr:spPr bwMode="auto">
        <a:xfrm>
          <a:off x="1681657" y="37452729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1268</xdr:row>
      <xdr:rowOff>9721</xdr:rowOff>
    </xdr:from>
    <xdr:to>
      <xdr:col>21</xdr:col>
      <xdr:colOff>1525944</xdr:colOff>
      <xdr:row>1270</xdr:row>
      <xdr:rowOff>622042</xdr:rowOff>
    </xdr:to>
    <xdr:sp macro="" textlink="">
      <xdr:nvSpPr>
        <xdr:cNvPr id="86" name="Diagrama de flujo: intercalar 85">
          <a:extLst>
            <a:ext uri="{FF2B5EF4-FFF2-40B4-BE49-F238E27FC236}">
              <a16:creationId xmlns:a16="http://schemas.microsoft.com/office/drawing/2014/main" id="{00000000-0008-0000-0400-000056000000}"/>
            </a:ext>
          </a:extLst>
        </xdr:cNvPr>
        <xdr:cNvSpPr/>
      </xdr:nvSpPr>
      <xdr:spPr bwMode="auto">
        <a:xfrm>
          <a:off x="26776913" y="38014469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1281</xdr:row>
      <xdr:rowOff>19843</xdr:rowOff>
    </xdr:from>
    <xdr:to>
      <xdr:col>3</xdr:col>
      <xdr:colOff>1629922</xdr:colOff>
      <xdr:row>1281</xdr:row>
      <xdr:rowOff>293443</xdr:rowOff>
    </xdr:to>
    <xdr:sp macro="[0]!COMBINAR" textlink="">
      <xdr:nvSpPr>
        <xdr:cNvPr id="87" name="Rectángulo 86">
          <a:extLst>
            <a:ext uri="{FF2B5EF4-FFF2-40B4-BE49-F238E27FC236}">
              <a16:creationId xmlns:a16="http://schemas.microsoft.com/office/drawing/2014/main" id="{00000000-0008-0000-0400-000057000000}"/>
            </a:ext>
          </a:extLst>
        </xdr:cNvPr>
        <xdr:cNvSpPr/>
      </xdr:nvSpPr>
      <xdr:spPr bwMode="auto">
        <a:xfrm>
          <a:off x="1681657" y="38377043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1298</xdr:row>
      <xdr:rowOff>9721</xdr:rowOff>
    </xdr:from>
    <xdr:to>
      <xdr:col>21</xdr:col>
      <xdr:colOff>1525944</xdr:colOff>
      <xdr:row>1300</xdr:row>
      <xdr:rowOff>622042</xdr:rowOff>
    </xdr:to>
    <xdr:sp macro="" textlink="">
      <xdr:nvSpPr>
        <xdr:cNvPr id="88" name="Diagrama de flujo: intercalar 87">
          <a:extLst>
            <a:ext uri="{FF2B5EF4-FFF2-40B4-BE49-F238E27FC236}">
              <a16:creationId xmlns:a16="http://schemas.microsoft.com/office/drawing/2014/main" id="{00000000-0008-0000-0400-000058000000}"/>
            </a:ext>
          </a:extLst>
        </xdr:cNvPr>
        <xdr:cNvSpPr/>
      </xdr:nvSpPr>
      <xdr:spPr bwMode="auto">
        <a:xfrm>
          <a:off x="26776913" y="389387833"/>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1311</xdr:row>
      <xdr:rowOff>19843</xdr:rowOff>
    </xdr:from>
    <xdr:to>
      <xdr:col>3</xdr:col>
      <xdr:colOff>1629922</xdr:colOff>
      <xdr:row>1311</xdr:row>
      <xdr:rowOff>293443</xdr:rowOff>
    </xdr:to>
    <xdr:sp macro="[0]!COMBINAR" textlink="">
      <xdr:nvSpPr>
        <xdr:cNvPr id="89" name="Rectángulo 88">
          <a:extLst>
            <a:ext uri="{FF2B5EF4-FFF2-40B4-BE49-F238E27FC236}">
              <a16:creationId xmlns:a16="http://schemas.microsoft.com/office/drawing/2014/main" id="{00000000-0008-0000-0400-000059000000}"/>
            </a:ext>
          </a:extLst>
        </xdr:cNvPr>
        <xdr:cNvSpPr/>
      </xdr:nvSpPr>
      <xdr:spPr bwMode="auto">
        <a:xfrm>
          <a:off x="1681657" y="39301356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1328</xdr:row>
      <xdr:rowOff>9721</xdr:rowOff>
    </xdr:from>
    <xdr:to>
      <xdr:col>21</xdr:col>
      <xdr:colOff>1525944</xdr:colOff>
      <xdr:row>1330</xdr:row>
      <xdr:rowOff>622042</xdr:rowOff>
    </xdr:to>
    <xdr:sp macro="" textlink="">
      <xdr:nvSpPr>
        <xdr:cNvPr id="90" name="Diagrama de flujo: intercalar 89">
          <a:extLst>
            <a:ext uri="{FF2B5EF4-FFF2-40B4-BE49-F238E27FC236}">
              <a16:creationId xmlns:a16="http://schemas.microsoft.com/office/drawing/2014/main" id="{00000000-0008-0000-0400-00005A000000}"/>
            </a:ext>
          </a:extLst>
        </xdr:cNvPr>
        <xdr:cNvSpPr/>
      </xdr:nvSpPr>
      <xdr:spPr bwMode="auto">
        <a:xfrm>
          <a:off x="26776913" y="398630971"/>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1341</xdr:row>
      <xdr:rowOff>19843</xdr:rowOff>
    </xdr:from>
    <xdr:to>
      <xdr:col>3</xdr:col>
      <xdr:colOff>1629922</xdr:colOff>
      <xdr:row>1341</xdr:row>
      <xdr:rowOff>293443</xdr:rowOff>
    </xdr:to>
    <xdr:sp macro="[0]!COMBINAR" textlink="">
      <xdr:nvSpPr>
        <xdr:cNvPr id="91" name="Rectángulo 90">
          <a:extLst>
            <a:ext uri="{FF2B5EF4-FFF2-40B4-BE49-F238E27FC236}">
              <a16:creationId xmlns:a16="http://schemas.microsoft.com/office/drawing/2014/main" id="{00000000-0008-0000-0400-00005B000000}"/>
            </a:ext>
          </a:extLst>
        </xdr:cNvPr>
        <xdr:cNvSpPr/>
      </xdr:nvSpPr>
      <xdr:spPr bwMode="auto">
        <a:xfrm>
          <a:off x="1681657" y="40225670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1358</xdr:row>
      <xdr:rowOff>9721</xdr:rowOff>
    </xdr:from>
    <xdr:to>
      <xdr:col>21</xdr:col>
      <xdr:colOff>1525944</xdr:colOff>
      <xdr:row>1360</xdr:row>
      <xdr:rowOff>622042</xdr:rowOff>
    </xdr:to>
    <xdr:sp macro="" textlink="">
      <xdr:nvSpPr>
        <xdr:cNvPr id="92" name="Diagrama de flujo: intercalar 91">
          <a:extLst>
            <a:ext uri="{FF2B5EF4-FFF2-40B4-BE49-F238E27FC236}">
              <a16:creationId xmlns:a16="http://schemas.microsoft.com/office/drawing/2014/main" id="{00000000-0008-0000-0400-00005C000000}"/>
            </a:ext>
          </a:extLst>
        </xdr:cNvPr>
        <xdr:cNvSpPr/>
      </xdr:nvSpPr>
      <xdr:spPr bwMode="auto">
        <a:xfrm>
          <a:off x="26776913" y="407874109"/>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1371</xdr:row>
      <xdr:rowOff>19843</xdr:rowOff>
    </xdr:from>
    <xdr:to>
      <xdr:col>3</xdr:col>
      <xdr:colOff>1629922</xdr:colOff>
      <xdr:row>1371</xdr:row>
      <xdr:rowOff>293443</xdr:rowOff>
    </xdr:to>
    <xdr:sp macro="[0]!COMBINAR" textlink="">
      <xdr:nvSpPr>
        <xdr:cNvPr id="93" name="Rectángulo 92">
          <a:extLst>
            <a:ext uri="{FF2B5EF4-FFF2-40B4-BE49-F238E27FC236}">
              <a16:creationId xmlns:a16="http://schemas.microsoft.com/office/drawing/2014/main" id="{00000000-0008-0000-0400-00005D000000}"/>
            </a:ext>
          </a:extLst>
        </xdr:cNvPr>
        <xdr:cNvSpPr/>
      </xdr:nvSpPr>
      <xdr:spPr bwMode="auto">
        <a:xfrm>
          <a:off x="1681657" y="41149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1388</xdr:row>
      <xdr:rowOff>9721</xdr:rowOff>
    </xdr:from>
    <xdr:to>
      <xdr:col>21</xdr:col>
      <xdr:colOff>1525944</xdr:colOff>
      <xdr:row>1390</xdr:row>
      <xdr:rowOff>622042</xdr:rowOff>
    </xdr:to>
    <xdr:sp macro="" textlink="">
      <xdr:nvSpPr>
        <xdr:cNvPr id="94" name="Diagrama de flujo: intercalar 93">
          <a:extLst>
            <a:ext uri="{FF2B5EF4-FFF2-40B4-BE49-F238E27FC236}">
              <a16:creationId xmlns:a16="http://schemas.microsoft.com/office/drawing/2014/main" id="{00000000-0008-0000-0400-00005E000000}"/>
            </a:ext>
          </a:extLst>
        </xdr:cNvPr>
        <xdr:cNvSpPr/>
      </xdr:nvSpPr>
      <xdr:spPr bwMode="auto">
        <a:xfrm>
          <a:off x="26776913" y="417117247"/>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1401</xdr:row>
      <xdr:rowOff>19843</xdr:rowOff>
    </xdr:from>
    <xdr:to>
      <xdr:col>3</xdr:col>
      <xdr:colOff>1629922</xdr:colOff>
      <xdr:row>1401</xdr:row>
      <xdr:rowOff>293443</xdr:rowOff>
    </xdr:to>
    <xdr:sp macro="[0]!COMBINAR" textlink="">
      <xdr:nvSpPr>
        <xdr:cNvPr id="95" name="Rectángulo 94">
          <a:extLst>
            <a:ext uri="{FF2B5EF4-FFF2-40B4-BE49-F238E27FC236}">
              <a16:creationId xmlns:a16="http://schemas.microsoft.com/office/drawing/2014/main" id="{00000000-0008-0000-0400-00005F000000}"/>
            </a:ext>
          </a:extLst>
        </xdr:cNvPr>
        <xdr:cNvSpPr/>
      </xdr:nvSpPr>
      <xdr:spPr bwMode="auto">
        <a:xfrm>
          <a:off x="1681657" y="42074298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1418</xdr:row>
      <xdr:rowOff>9721</xdr:rowOff>
    </xdr:from>
    <xdr:to>
      <xdr:col>21</xdr:col>
      <xdr:colOff>1525944</xdr:colOff>
      <xdr:row>1420</xdr:row>
      <xdr:rowOff>622042</xdr:rowOff>
    </xdr:to>
    <xdr:sp macro="" textlink="">
      <xdr:nvSpPr>
        <xdr:cNvPr id="96" name="Diagrama de flujo: intercalar 95">
          <a:extLst>
            <a:ext uri="{FF2B5EF4-FFF2-40B4-BE49-F238E27FC236}">
              <a16:creationId xmlns:a16="http://schemas.microsoft.com/office/drawing/2014/main" id="{00000000-0008-0000-0400-000060000000}"/>
            </a:ext>
          </a:extLst>
        </xdr:cNvPr>
        <xdr:cNvSpPr/>
      </xdr:nvSpPr>
      <xdr:spPr bwMode="auto">
        <a:xfrm>
          <a:off x="26776913" y="426360384"/>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1431</xdr:row>
      <xdr:rowOff>19843</xdr:rowOff>
    </xdr:from>
    <xdr:to>
      <xdr:col>3</xdr:col>
      <xdr:colOff>1629922</xdr:colOff>
      <xdr:row>1431</xdr:row>
      <xdr:rowOff>293443</xdr:rowOff>
    </xdr:to>
    <xdr:sp macro="[0]!COMBINAR" textlink="">
      <xdr:nvSpPr>
        <xdr:cNvPr id="97" name="Rectángulo 96">
          <a:extLst>
            <a:ext uri="{FF2B5EF4-FFF2-40B4-BE49-F238E27FC236}">
              <a16:creationId xmlns:a16="http://schemas.microsoft.com/office/drawing/2014/main" id="{00000000-0008-0000-0400-000061000000}"/>
            </a:ext>
          </a:extLst>
        </xdr:cNvPr>
        <xdr:cNvSpPr/>
      </xdr:nvSpPr>
      <xdr:spPr bwMode="auto">
        <a:xfrm>
          <a:off x="1681657" y="42998611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1448</xdr:row>
      <xdr:rowOff>9721</xdr:rowOff>
    </xdr:from>
    <xdr:to>
      <xdr:col>21</xdr:col>
      <xdr:colOff>1525944</xdr:colOff>
      <xdr:row>1450</xdr:row>
      <xdr:rowOff>622042</xdr:rowOff>
    </xdr:to>
    <xdr:sp macro="" textlink="">
      <xdr:nvSpPr>
        <xdr:cNvPr id="98" name="Diagrama de flujo: intercalar 97">
          <a:extLst>
            <a:ext uri="{FF2B5EF4-FFF2-40B4-BE49-F238E27FC236}">
              <a16:creationId xmlns:a16="http://schemas.microsoft.com/office/drawing/2014/main" id="{00000000-0008-0000-0400-000062000000}"/>
            </a:ext>
          </a:extLst>
        </xdr:cNvPr>
        <xdr:cNvSpPr/>
      </xdr:nvSpPr>
      <xdr:spPr bwMode="auto">
        <a:xfrm>
          <a:off x="26776913" y="435603522"/>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1461</xdr:row>
      <xdr:rowOff>19843</xdr:rowOff>
    </xdr:from>
    <xdr:to>
      <xdr:col>3</xdr:col>
      <xdr:colOff>1629922</xdr:colOff>
      <xdr:row>1461</xdr:row>
      <xdr:rowOff>293443</xdr:rowOff>
    </xdr:to>
    <xdr:sp macro="[0]!COMBINAR" textlink="">
      <xdr:nvSpPr>
        <xdr:cNvPr id="99" name="Rectángulo 98">
          <a:extLst>
            <a:ext uri="{FF2B5EF4-FFF2-40B4-BE49-F238E27FC236}">
              <a16:creationId xmlns:a16="http://schemas.microsoft.com/office/drawing/2014/main" id="{00000000-0008-0000-0400-000063000000}"/>
            </a:ext>
          </a:extLst>
        </xdr:cNvPr>
        <xdr:cNvSpPr/>
      </xdr:nvSpPr>
      <xdr:spPr bwMode="auto">
        <a:xfrm>
          <a:off x="1681657" y="43922925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1478</xdr:row>
      <xdr:rowOff>9721</xdr:rowOff>
    </xdr:from>
    <xdr:to>
      <xdr:col>21</xdr:col>
      <xdr:colOff>1525944</xdr:colOff>
      <xdr:row>1480</xdr:row>
      <xdr:rowOff>622042</xdr:rowOff>
    </xdr:to>
    <xdr:sp macro="" textlink="">
      <xdr:nvSpPr>
        <xdr:cNvPr id="100" name="Diagrama de flujo: intercalar 99">
          <a:extLst>
            <a:ext uri="{FF2B5EF4-FFF2-40B4-BE49-F238E27FC236}">
              <a16:creationId xmlns:a16="http://schemas.microsoft.com/office/drawing/2014/main" id="{00000000-0008-0000-0400-000064000000}"/>
            </a:ext>
          </a:extLst>
        </xdr:cNvPr>
        <xdr:cNvSpPr/>
      </xdr:nvSpPr>
      <xdr:spPr bwMode="auto">
        <a:xfrm>
          <a:off x="26776913" y="444846660"/>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1491</xdr:row>
      <xdr:rowOff>19843</xdr:rowOff>
    </xdr:from>
    <xdr:to>
      <xdr:col>3</xdr:col>
      <xdr:colOff>1629922</xdr:colOff>
      <xdr:row>1491</xdr:row>
      <xdr:rowOff>293443</xdr:rowOff>
    </xdr:to>
    <xdr:sp macro="[0]!COMBINAR" textlink="">
      <xdr:nvSpPr>
        <xdr:cNvPr id="101" name="Rectángulo 100">
          <a:extLst>
            <a:ext uri="{FF2B5EF4-FFF2-40B4-BE49-F238E27FC236}">
              <a16:creationId xmlns:a16="http://schemas.microsoft.com/office/drawing/2014/main" id="{00000000-0008-0000-0400-000065000000}"/>
            </a:ext>
          </a:extLst>
        </xdr:cNvPr>
        <xdr:cNvSpPr/>
      </xdr:nvSpPr>
      <xdr:spPr bwMode="auto">
        <a:xfrm>
          <a:off x="1681657" y="44847239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1508</xdr:row>
      <xdr:rowOff>9721</xdr:rowOff>
    </xdr:from>
    <xdr:to>
      <xdr:col>21</xdr:col>
      <xdr:colOff>1525944</xdr:colOff>
      <xdr:row>1510</xdr:row>
      <xdr:rowOff>622042</xdr:rowOff>
    </xdr:to>
    <xdr:sp macro="" textlink="">
      <xdr:nvSpPr>
        <xdr:cNvPr id="102" name="Diagrama de flujo: intercalar 101">
          <a:extLst>
            <a:ext uri="{FF2B5EF4-FFF2-40B4-BE49-F238E27FC236}">
              <a16:creationId xmlns:a16="http://schemas.microsoft.com/office/drawing/2014/main" id="{00000000-0008-0000-0400-000066000000}"/>
            </a:ext>
          </a:extLst>
        </xdr:cNvPr>
        <xdr:cNvSpPr/>
      </xdr:nvSpPr>
      <xdr:spPr bwMode="auto">
        <a:xfrm>
          <a:off x="26776913" y="454089798"/>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1521</xdr:row>
      <xdr:rowOff>19843</xdr:rowOff>
    </xdr:from>
    <xdr:to>
      <xdr:col>3</xdr:col>
      <xdr:colOff>1629922</xdr:colOff>
      <xdr:row>1521</xdr:row>
      <xdr:rowOff>293443</xdr:rowOff>
    </xdr:to>
    <xdr:sp macro="[0]!COMBINAR" textlink="">
      <xdr:nvSpPr>
        <xdr:cNvPr id="103" name="Rectángulo 102">
          <a:extLst>
            <a:ext uri="{FF2B5EF4-FFF2-40B4-BE49-F238E27FC236}">
              <a16:creationId xmlns:a16="http://schemas.microsoft.com/office/drawing/2014/main" id="{00000000-0008-0000-0400-000067000000}"/>
            </a:ext>
          </a:extLst>
        </xdr:cNvPr>
        <xdr:cNvSpPr/>
      </xdr:nvSpPr>
      <xdr:spPr bwMode="auto">
        <a:xfrm>
          <a:off x="1681657" y="45771553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1538</xdr:row>
      <xdr:rowOff>9721</xdr:rowOff>
    </xdr:from>
    <xdr:to>
      <xdr:col>21</xdr:col>
      <xdr:colOff>1525944</xdr:colOff>
      <xdr:row>1540</xdr:row>
      <xdr:rowOff>622042</xdr:rowOff>
    </xdr:to>
    <xdr:sp macro="" textlink="">
      <xdr:nvSpPr>
        <xdr:cNvPr id="104" name="Diagrama de flujo: intercalar 103">
          <a:extLst>
            <a:ext uri="{FF2B5EF4-FFF2-40B4-BE49-F238E27FC236}">
              <a16:creationId xmlns:a16="http://schemas.microsoft.com/office/drawing/2014/main" id="{00000000-0008-0000-0400-000068000000}"/>
            </a:ext>
          </a:extLst>
        </xdr:cNvPr>
        <xdr:cNvSpPr/>
      </xdr:nvSpPr>
      <xdr:spPr bwMode="auto">
        <a:xfrm>
          <a:off x="26776913" y="46333293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1551</xdr:row>
      <xdr:rowOff>19843</xdr:rowOff>
    </xdr:from>
    <xdr:to>
      <xdr:col>3</xdr:col>
      <xdr:colOff>1629922</xdr:colOff>
      <xdr:row>1551</xdr:row>
      <xdr:rowOff>293443</xdr:rowOff>
    </xdr:to>
    <xdr:sp macro="[0]!COMBINAR" textlink="">
      <xdr:nvSpPr>
        <xdr:cNvPr id="105" name="Rectángulo 104">
          <a:extLst>
            <a:ext uri="{FF2B5EF4-FFF2-40B4-BE49-F238E27FC236}">
              <a16:creationId xmlns:a16="http://schemas.microsoft.com/office/drawing/2014/main" id="{00000000-0008-0000-0400-000069000000}"/>
            </a:ext>
          </a:extLst>
        </xdr:cNvPr>
        <xdr:cNvSpPr/>
      </xdr:nvSpPr>
      <xdr:spPr bwMode="auto">
        <a:xfrm>
          <a:off x="1681657" y="46695867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1568</xdr:row>
      <xdr:rowOff>9721</xdr:rowOff>
    </xdr:from>
    <xdr:to>
      <xdr:col>21</xdr:col>
      <xdr:colOff>1525944</xdr:colOff>
      <xdr:row>1570</xdr:row>
      <xdr:rowOff>622042</xdr:rowOff>
    </xdr:to>
    <xdr:sp macro="" textlink="">
      <xdr:nvSpPr>
        <xdr:cNvPr id="106" name="Diagrama de flujo: intercalar 105">
          <a:extLst>
            <a:ext uri="{FF2B5EF4-FFF2-40B4-BE49-F238E27FC236}">
              <a16:creationId xmlns:a16="http://schemas.microsoft.com/office/drawing/2014/main" id="{00000000-0008-0000-0400-00006A000000}"/>
            </a:ext>
          </a:extLst>
        </xdr:cNvPr>
        <xdr:cNvSpPr/>
      </xdr:nvSpPr>
      <xdr:spPr bwMode="auto">
        <a:xfrm>
          <a:off x="26776913" y="472576073"/>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1581</xdr:row>
      <xdr:rowOff>19843</xdr:rowOff>
    </xdr:from>
    <xdr:to>
      <xdr:col>3</xdr:col>
      <xdr:colOff>1629922</xdr:colOff>
      <xdr:row>1581</xdr:row>
      <xdr:rowOff>293443</xdr:rowOff>
    </xdr:to>
    <xdr:sp macro="[0]!COMBINAR" textlink="">
      <xdr:nvSpPr>
        <xdr:cNvPr id="107" name="Rectángulo 106">
          <a:extLst>
            <a:ext uri="{FF2B5EF4-FFF2-40B4-BE49-F238E27FC236}">
              <a16:creationId xmlns:a16="http://schemas.microsoft.com/office/drawing/2014/main" id="{00000000-0008-0000-0400-00006B000000}"/>
            </a:ext>
          </a:extLst>
        </xdr:cNvPr>
        <xdr:cNvSpPr/>
      </xdr:nvSpPr>
      <xdr:spPr bwMode="auto">
        <a:xfrm>
          <a:off x="1681657" y="47620180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1598</xdr:row>
      <xdr:rowOff>9721</xdr:rowOff>
    </xdr:from>
    <xdr:to>
      <xdr:col>21</xdr:col>
      <xdr:colOff>1525944</xdr:colOff>
      <xdr:row>1600</xdr:row>
      <xdr:rowOff>622042</xdr:rowOff>
    </xdr:to>
    <xdr:sp macro="" textlink="">
      <xdr:nvSpPr>
        <xdr:cNvPr id="108" name="Diagrama de flujo: intercalar 107">
          <a:extLst>
            <a:ext uri="{FF2B5EF4-FFF2-40B4-BE49-F238E27FC236}">
              <a16:creationId xmlns:a16="http://schemas.microsoft.com/office/drawing/2014/main" id="{00000000-0008-0000-0400-00006C000000}"/>
            </a:ext>
          </a:extLst>
        </xdr:cNvPr>
        <xdr:cNvSpPr/>
      </xdr:nvSpPr>
      <xdr:spPr bwMode="auto">
        <a:xfrm>
          <a:off x="26776913" y="481819211"/>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1611</xdr:row>
      <xdr:rowOff>19843</xdr:rowOff>
    </xdr:from>
    <xdr:to>
      <xdr:col>3</xdr:col>
      <xdr:colOff>1629922</xdr:colOff>
      <xdr:row>1611</xdr:row>
      <xdr:rowOff>293443</xdr:rowOff>
    </xdr:to>
    <xdr:sp macro="[0]!COMBINAR" textlink="">
      <xdr:nvSpPr>
        <xdr:cNvPr id="109" name="Rectángulo 108">
          <a:extLst>
            <a:ext uri="{FF2B5EF4-FFF2-40B4-BE49-F238E27FC236}">
              <a16:creationId xmlns:a16="http://schemas.microsoft.com/office/drawing/2014/main" id="{00000000-0008-0000-0400-00006D000000}"/>
            </a:ext>
          </a:extLst>
        </xdr:cNvPr>
        <xdr:cNvSpPr/>
      </xdr:nvSpPr>
      <xdr:spPr bwMode="auto">
        <a:xfrm>
          <a:off x="1681657" y="48544494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1628</xdr:row>
      <xdr:rowOff>9721</xdr:rowOff>
    </xdr:from>
    <xdr:to>
      <xdr:col>21</xdr:col>
      <xdr:colOff>1525944</xdr:colOff>
      <xdr:row>1630</xdr:row>
      <xdr:rowOff>622042</xdr:rowOff>
    </xdr:to>
    <xdr:sp macro="" textlink="">
      <xdr:nvSpPr>
        <xdr:cNvPr id="110" name="Diagrama de flujo: intercalar 109">
          <a:extLst>
            <a:ext uri="{FF2B5EF4-FFF2-40B4-BE49-F238E27FC236}">
              <a16:creationId xmlns:a16="http://schemas.microsoft.com/office/drawing/2014/main" id="{00000000-0008-0000-0400-00006E000000}"/>
            </a:ext>
          </a:extLst>
        </xdr:cNvPr>
        <xdr:cNvSpPr/>
      </xdr:nvSpPr>
      <xdr:spPr bwMode="auto">
        <a:xfrm>
          <a:off x="26776913" y="491062349"/>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1641</xdr:row>
      <xdr:rowOff>19843</xdr:rowOff>
    </xdr:from>
    <xdr:to>
      <xdr:col>3</xdr:col>
      <xdr:colOff>1629922</xdr:colOff>
      <xdr:row>1641</xdr:row>
      <xdr:rowOff>293443</xdr:rowOff>
    </xdr:to>
    <xdr:sp macro="[0]!COMBINAR" textlink="">
      <xdr:nvSpPr>
        <xdr:cNvPr id="111" name="Rectángulo 110">
          <a:extLst>
            <a:ext uri="{FF2B5EF4-FFF2-40B4-BE49-F238E27FC236}">
              <a16:creationId xmlns:a16="http://schemas.microsoft.com/office/drawing/2014/main" id="{00000000-0008-0000-0400-00006F000000}"/>
            </a:ext>
          </a:extLst>
        </xdr:cNvPr>
        <xdr:cNvSpPr/>
      </xdr:nvSpPr>
      <xdr:spPr bwMode="auto">
        <a:xfrm>
          <a:off x="1681657" y="4946880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1658</xdr:row>
      <xdr:rowOff>9721</xdr:rowOff>
    </xdr:from>
    <xdr:to>
      <xdr:col>21</xdr:col>
      <xdr:colOff>1525944</xdr:colOff>
      <xdr:row>1660</xdr:row>
      <xdr:rowOff>622042</xdr:rowOff>
    </xdr:to>
    <xdr:sp macro="" textlink="">
      <xdr:nvSpPr>
        <xdr:cNvPr id="112" name="Diagrama de flujo: intercalar 111">
          <a:extLst>
            <a:ext uri="{FF2B5EF4-FFF2-40B4-BE49-F238E27FC236}">
              <a16:creationId xmlns:a16="http://schemas.microsoft.com/office/drawing/2014/main" id="{00000000-0008-0000-0400-000070000000}"/>
            </a:ext>
          </a:extLst>
        </xdr:cNvPr>
        <xdr:cNvSpPr/>
      </xdr:nvSpPr>
      <xdr:spPr bwMode="auto">
        <a:xfrm>
          <a:off x="26776913" y="500305486"/>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1671</xdr:row>
      <xdr:rowOff>19843</xdr:rowOff>
    </xdr:from>
    <xdr:to>
      <xdr:col>3</xdr:col>
      <xdr:colOff>1629922</xdr:colOff>
      <xdr:row>1671</xdr:row>
      <xdr:rowOff>293443</xdr:rowOff>
    </xdr:to>
    <xdr:sp macro="[0]!COMBINAR" textlink="">
      <xdr:nvSpPr>
        <xdr:cNvPr id="113" name="Rectángulo 112">
          <a:extLst>
            <a:ext uri="{FF2B5EF4-FFF2-40B4-BE49-F238E27FC236}">
              <a16:creationId xmlns:a16="http://schemas.microsoft.com/office/drawing/2014/main" id="{00000000-0008-0000-0400-000071000000}"/>
            </a:ext>
          </a:extLst>
        </xdr:cNvPr>
        <xdr:cNvSpPr/>
      </xdr:nvSpPr>
      <xdr:spPr bwMode="auto">
        <a:xfrm>
          <a:off x="1681657" y="50393122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1688</xdr:row>
      <xdr:rowOff>9721</xdr:rowOff>
    </xdr:from>
    <xdr:to>
      <xdr:col>21</xdr:col>
      <xdr:colOff>1525944</xdr:colOff>
      <xdr:row>1690</xdr:row>
      <xdr:rowOff>622042</xdr:rowOff>
    </xdr:to>
    <xdr:sp macro="" textlink="">
      <xdr:nvSpPr>
        <xdr:cNvPr id="114" name="Diagrama de flujo: intercalar 113">
          <a:extLst>
            <a:ext uri="{FF2B5EF4-FFF2-40B4-BE49-F238E27FC236}">
              <a16:creationId xmlns:a16="http://schemas.microsoft.com/office/drawing/2014/main" id="{00000000-0008-0000-0400-000072000000}"/>
            </a:ext>
          </a:extLst>
        </xdr:cNvPr>
        <xdr:cNvSpPr/>
      </xdr:nvSpPr>
      <xdr:spPr bwMode="auto">
        <a:xfrm>
          <a:off x="26776913" y="509548624"/>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1701</xdr:row>
      <xdr:rowOff>19843</xdr:rowOff>
    </xdr:from>
    <xdr:to>
      <xdr:col>3</xdr:col>
      <xdr:colOff>1629922</xdr:colOff>
      <xdr:row>1701</xdr:row>
      <xdr:rowOff>293443</xdr:rowOff>
    </xdr:to>
    <xdr:sp macro="[0]!COMBINAR" textlink="">
      <xdr:nvSpPr>
        <xdr:cNvPr id="115" name="Rectángulo 114">
          <a:extLst>
            <a:ext uri="{FF2B5EF4-FFF2-40B4-BE49-F238E27FC236}">
              <a16:creationId xmlns:a16="http://schemas.microsoft.com/office/drawing/2014/main" id="{00000000-0008-0000-0400-000073000000}"/>
            </a:ext>
          </a:extLst>
        </xdr:cNvPr>
        <xdr:cNvSpPr/>
      </xdr:nvSpPr>
      <xdr:spPr bwMode="auto">
        <a:xfrm>
          <a:off x="1681657" y="51317435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1718</xdr:row>
      <xdr:rowOff>9721</xdr:rowOff>
    </xdr:from>
    <xdr:to>
      <xdr:col>21</xdr:col>
      <xdr:colOff>1525944</xdr:colOff>
      <xdr:row>1720</xdr:row>
      <xdr:rowOff>622042</xdr:rowOff>
    </xdr:to>
    <xdr:sp macro="" textlink="">
      <xdr:nvSpPr>
        <xdr:cNvPr id="116" name="Diagrama de flujo: intercalar 115">
          <a:extLst>
            <a:ext uri="{FF2B5EF4-FFF2-40B4-BE49-F238E27FC236}">
              <a16:creationId xmlns:a16="http://schemas.microsoft.com/office/drawing/2014/main" id="{00000000-0008-0000-0400-000074000000}"/>
            </a:ext>
          </a:extLst>
        </xdr:cNvPr>
        <xdr:cNvSpPr/>
      </xdr:nvSpPr>
      <xdr:spPr bwMode="auto">
        <a:xfrm>
          <a:off x="26776913" y="518791762"/>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1731</xdr:row>
      <xdr:rowOff>19843</xdr:rowOff>
    </xdr:from>
    <xdr:to>
      <xdr:col>3</xdr:col>
      <xdr:colOff>1629922</xdr:colOff>
      <xdr:row>1731</xdr:row>
      <xdr:rowOff>293443</xdr:rowOff>
    </xdr:to>
    <xdr:sp macro="[0]!COMBINAR" textlink="">
      <xdr:nvSpPr>
        <xdr:cNvPr id="117" name="Rectángulo 116">
          <a:extLst>
            <a:ext uri="{FF2B5EF4-FFF2-40B4-BE49-F238E27FC236}">
              <a16:creationId xmlns:a16="http://schemas.microsoft.com/office/drawing/2014/main" id="{00000000-0008-0000-0400-000075000000}"/>
            </a:ext>
          </a:extLst>
        </xdr:cNvPr>
        <xdr:cNvSpPr/>
      </xdr:nvSpPr>
      <xdr:spPr bwMode="auto">
        <a:xfrm>
          <a:off x="1681657" y="52241749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1748</xdr:row>
      <xdr:rowOff>9721</xdr:rowOff>
    </xdr:from>
    <xdr:to>
      <xdr:col>21</xdr:col>
      <xdr:colOff>1525944</xdr:colOff>
      <xdr:row>1750</xdr:row>
      <xdr:rowOff>622042</xdr:rowOff>
    </xdr:to>
    <xdr:sp macro="" textlink="">
      <xdr:nvSpPr>
        <xdr:cNvPr id="118" name="Diagrama de flujo: intercalar 117">
          <a:extLst>
            <a:ext uri="{FF2B5EF4-FFF2-40B4-BE49-F238E27FC236}">
              <a16:creationId xmlns:a16="http://schemas.microsoft.com/office/drawing/2014/main" id="{00000000-0008-0000-0400-000076000000}"/>
            </a:ext>
          </a:extLst>
        </xdr:cNvPr>
        <xdr:cNvSpPr/>
      </xdr:nvSpPr>
      <xdr:spPr bwMode="auto">
        <a:xfrm>
          <a:off x="26776913" y="528034900"/>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1761</xdr:row>
      <xdr:rowOff>19843</xdr:rowOff>
    </xdr:from>
    <xdr:to>
      <xdr:col>3</xdr:col>
      <xdr:colOff>1629922</xdr:colOff>
      <xdr:row>1761</xdr:row>
      <xdr:rowOff>293443</xdr:rowOff>
    </xdr:to>
    <xdr:sp macro="[0]!COMBINAR" textlink="">
      <xdr:nvSpPr>
        <xdr:cNvPr id="119" name="Rectángulo 118">
          <a:extLst>
            <a:ext uri="{FF2B5EF4-FFF2-40B4-BE49-F238E27FC236}">
              <a16:creationId xmlns:a16="http://schemas.microsoft.com/office/drawing/2014/main" id="{00000000-0008-0000-0400-000077000000}"/>
            </a:ext>
          </a:extLst>
        </xdr:cNvPr>
        <xdr:cNvSpPr/>
      </xdr:nvSpPr>
      <xdr:spPr bwMode="auto">
        <a:xfrm>
          <a:off x="1681657" y="5316606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1778</xdr:row>
      <xdr:rowOff>9721</xdr:rowOff>
    </xdr:from>
    <xdr:to>
      <xdr:col>21</xdr:col>
      <xdr:colOff>1525944</xdr:colOff>
      <xdr:row>1780</xdr:row>
      <xdr:rowOff>622042</xdr:rowOff>
    </xdr:to>
    <xdr:sp macro="" textlink="">
      <xdr:nvSpPr>
        <xdr:cNvPr id="120" name="Diagrama de flujo: intercalar 119">
          <a:extLst>
            <a:ext uri="{FF2B5EF4-FFF2-40B4-BE49-F238E27FC236}">
              <a16:creationId xmlns:a16="http://schemas.microsoft.com/office/drawing/2014/main" id="{00000000-0008-0000-0400-000078000000}"/>
            </a:ext>
          </a:extLst>
        </xdr:cNvPr>
        <xdr:cNvSpPr/>
      </xdr:nvSpPr>
      <xdr:spPr bwMode="auto">
        <a:xfrm>
          <a:off x="26776913" y="537278037"/>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1791</xdr:row>
      <xdr:rowOff>19843</xdr:rowOff>
    </xdr:from>
    <xdr:to>
      <xdr:col>3</xdr:col>
      <xdr:colOff>1629922</xdr:colOff>
      <xdr:row>1791</xdr:row>
      <xdr:rowOff>293443</xdr:rowOff>
    </xdr:to>
    <xdr:sp macro="[0]!COMBINAR" textlink="">
      <xdr:nvSpPr>
        <xdr:cNvPr id="121" name="Rectángulo 120">
          <a:extLst>
            <a:ext uri="{FF2B5EF4-FFF2-40B4-BE49-F238E27FC236}">
              <a16:creationId xmlns:a16="http://schemas.microsoft.com/office/drawing/2014/main" id="{00000000-0008-0000-0400-000079000000}"/>
            </a:ext>
          </a:extLst>
        </xdr:cNvPr>
        <xdr:cNvSpPr/>
      </xdr:nvSpPr>
      <xdr:spPr bwMode="auto">
        <a:xfrm>
          <a:off x="1681657" y="54090377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1808</xdr:row>
      <xdr:rowOff>9721</xdr:rowOff>
    </xdr:from>
    <xdr:to>
      <xdr:col>21</xdr:col>
      <xdr:colOff>1525944</xdr:colOff>
      <xdr:row>1810</xdr:row>
      <xdr:rowOff>622042</xdr:rowOff>
    </xdr:to>
    <xdr:sp macro="" textlink="">
      <xdr:nvSpPr>
        <xdr:cNvPr id="122" name="Diagrama de flujo: intercalar 121">
          <a:extLst>
            <a:ext uri="{FF2B5EF4-FFF2-40B4-BE49-F238E27FC236}">
              <a16:creationId xmlns:a16="http://schemas.microsoft.com/office/drawing/2014/main" id="{00000000-0008-0000-0400-00007A000000}"/>
            </a:ext>
          </a:extLst>
        </xdr:cNvPr>
        <xdr:cNvSpPr/>
      </xdr:nvSpPr>
      <xdr:spPr bwMode="auto">
        <a:xfrm>
          <a:off x="26776913" y="546521175"/>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1821</xdr:row>
      <xdr:rowOff>19843</xdr:rowOff>
    </xdr:from>
    <xdr:to>
      <xdr:col>3</xdr:col>
      <xdr:colOff>1629922</xdr:colOff>
      <xdr:row>1821</xdr:row>
      <xdr:rowOff>293443</xdr:rowOff>
    </xdr:to>
    <xdr:sp macro="[0]!COMBINAR" textlink="">
      <xdr:nvSpPr>
        <xdr:cNvPr id="123" name="Rectángulo 122">
          <a:extLst>
            <a:ext uri="{FF2B5EF4-FFF2-40B4-BE49-F238E27FC236}">
              <a16:creationId xmlns:a16="http://schemas.microsoft.com/office/drawing/2014/main" id="{00000000-0008-0000-0400-00007B000000}"/>
            </a:ext>
          </a:extLst>
        </xdr:cNvPr>
        <xdr:cNvSpPr/>
      </xdr:nvSpPr>
      <xdr:spPr bwMode="auto">
        <a:xfrm>
          <a:off x="1681657" y="55014690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1838</xdr:row>
      <xdr:rowOff>9721</xdr:rowOff>
    </xdr:from>
    <xdr:to>
      <xdr:col>21</xdr:col>
      <xdr:colOff>1525944</xdr:colOff>
      <xdr:row>1840</xdr:row>
      <xdr:rowOff>622042</xdr:rowOff>
    </xdr:to>
    <xdr:sp macro="" textlink="">
      <xdr:nvSpPr>
        <xdr:cNvPr id="124" name="Diagrama de flujo: intercalar 123">
          <a:extLst>
            <a:ext uri="{FF2B5EF4-FFF2-40B4-BE49-F238E27FC236}">
              <a16:creationId xmlns:a16="http://schemas.microsoft.com/office/drawing/2014/main" id="{00000000-0008-0000-0400-00007C000000}"/>
            </a:ext>
          </a:extLst>
        </xdr:cNvPr>
        <xdr:cNvSpPr/>
      </xdr:nvSpPr>
      <xdr:spPr bwMode="auto">
        <a:xfrm>
          <a:off x="26776913" y="555764313"/>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1851</xdr:row>
      <xdr:rowOff>19843</xdr:rowOff>
    </xdr:from>
    <xdr:to>
      <xdr:col>3</xdr:col>
      <xdr:colOff>1629922</xdr:colOff>
      <xdr:row>1851</xdr:row>
      <xdr:rowOff>293443</xdr:rowOff>
    </xdr:to>
    <xdr:sp macro="[0]!COMBINAR" textlink="">
      <xdr:nvSpPr>
        <xdr:cNvPr id="125" name="Rectángulo 124">
          <a:extLst>
            <a:ext uri="{FF2B5EF4-FFF2-40B4-BE49-F238E27FC236}">
              <a16:creationId xmlns:a16="http://schemas.microsoft.com/office/drawing/2014/main" id="{00000000-0008-0000-0400-00007D000000}"/>
            </a:ext>
          </a:extLst>
        </xdr:cNvPr>
        <xdr:cNvSpPr/>
      </xdr:nvSpPr>
      <xdr:spPr bwMode="auto">
        <a:xfrm>
          <a:off x="1681657" y="55939004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1868</xdr:row>
      <xdr:rowOff>9721</xdr:rowOff>
    </xdr:from>
    <xdr:to>
      <xdr:col>21</xdr:col>
      <xdr:colOff>1525944</xdr:colOff>
      <xdr:row>1870</xdr:row>
      <xdr:rowOff>622042</xdr:rowOff>
    </xdr:to>
    <xdr:sp macro="" textlink="">
      <xdr:nvSpPr>
        <xdr:cNvPr id="126" name="Diagrama de flujo: intercalar 125">
          <a:extLst>
            <a:ext uri="{FF2B5EF4-FFF2-40B4-BE49-F238E27FC236}">
              <a16:creationId xmlns:a16="http://schemas.microsoft.com/office/drawing/2014/main" id="{00000000-0008-0000-0400-00007E000000}"/>
            </a:ext>
          </a:extLst>
        </xdr:cNvPr>
        <xdr:cNvSpPr/>
      </xdr:nvSpPr>
      <xdr:spPr bwMode="auto">
        <a:xfrm>
          <a:off x="26776913" y="565007451"/>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1881</xdr:row>
      <xdr:rowOff>19843</xdr:rowOff>
    </xdr:from>
    <xdr:to>
      <xdr:col>3</xdr:col>
      <xdr:colOff>1629922</xdr:colOff>
      <xdr:row>1881</xdr:row>
      <xdr:rowOff>293443</xdr:rowOff>
    </xdr:to>
    <xdr:sp macro="[0]!COMBINAR" textlink="">
      <xdr:nvSpPr>
        <xdr:cNvPr id="127" name="Rectángulo 126">
          <a:extLst>
            <a:ext uri="{FF2B5EF4-FFF2-40B4-BE49-F238E27FC236}">
              <a16:creationId xmlns:a16="http://schemas.microsoft.com/office/drawing/2014/main" id="{00000000-0008-0000-0400-00007F000000}"/>
            </a:ext>
          </a:extLst>
        </xdr:cNvPr>
        <xdr:cNvSpPr/>
      </xdr:nvSpPr>
      <xdr:spPr bwMode="auto">
        <a:xfrm>
          <a:off x="1681657" y="56863318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1898</xdr:row>
      <xdr:rowOff>9721</xdr:rowOff>
    </xdr:from>
    <xdr:to>
      <xdr:col>21</xdr:col>
      <xdr:colOff>1525944</xdr:colOff>
      <xdr:row>1900</xdr:row>
      <xdr:rowOff>622042</xdr:rowOff>
    </xdr:to>
    <xdr:sp macro="" textlink="">
      <xdr:nvSpPr>
        <xdr:cNvPr id="128" name="Diagrama de flujo: intercalar 127">
          <a:extLst>
            <a:ext uri="{FF2B5EF4-FFF2-40B4-BE49-F238E27FC236}">
              <a16:creationId xmlns:a16="http://schemas.microsoft.com/office/drawing/2014/main" id="{00000000-0008-0000-0400-000080000000}"/>
            </a:ext>
          </a:extLst>
        </xdr:cNvPr>
        <xdr:cNvSpPr/>
      </xdr:nvSpPr>
      <xdr:spPr bwMode="auto">
        <a:xfrm>
          <a:off x="26776913" y="574250588"/>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1911</xdr:row>
      <xdr:rowOff>19843</xdr:rowOff>
    </xdr:from>
    <xdr:to>
      <xdr:col>3</xdr:col>
      <xdr:colOff>1629922</xdr:colOff>
      <xdr:row>1911</xdr:row>
      <xdr:rowOff>293443</xdr:rowOff>
    </xdr:to>
    <xdr:sp macro="[0]!COMBINAR" textlink="">
      <xdr:nvSpPr>
        <xdr:cNvPr id="129" name="Rectángulo 128">
          <a:extLst>
            <a:ext uri="{FF2B5EF4-FFF2-40B4-BE49-F238E27FC236}">
              <a16:creationId xmlns:a16="http://schemas.microsoft.com/office/drawing/2014/main" id="{00000000-0008-0000-0400-000081000000}"/>
            </a:ext>
          </a:extLst>
        </xdr:cNvPr>
        <xdr:cNvSpPr/>
      </xdr:nvSpPr>
      <xdr:spPr bwMode="auto">
        <a:xfrm>
          <a:off x="1681657" y="577876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1928</xdr:row>
      <xdr:rowOff>9721</xdr:rowOff>
    </xdr:from>
    <xdr:to>
      <xdr:col>21</xdr:col>
      <xdr:colOff>1525944</xdr:colOff>
      <xdr:row>1930</xdr:row>
      <xdr:rowOff>622042</xdr:rowOff>
    </xdr:to>
    <xdr:sp macro="" textlink="">
      <xdr:nvSpPr>
        <xdr:cNvPr id="130" name="Diagrama de flujo: intercalar 129">
          <a:extLst>
            <a:ext uri="{FF2B5EF4-FFF2-40B4-BE49-F238E27FC236}">
              <a16:creationId xmlns:a16="http://schemas.microsoft.com/office/drawing/2014/main" id="{00000000-0008-0000-0400-000082000000}"/>
            </a:ext>
          </a:extLst>
        </xdr:cNvPr>
        <xdr:cNvSpPr/>
      </xdr:nvSpPr>
      <xdr:spPr bwMode="auto">
        <a:xfrm>
          <a:off x="26776913" y="583493726"/>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1941</xdr:row>
      <xdr:rowOff>19843</xdr:rowOff>
    </xdr:from>
    <xdr:to>
      <xdr:col>3</xdr:col>
      <xdr:colOff>1629922</xdr:colOff>
      <xdr:row>1941</xdr:row>
      <xdr:rowOff>293443</xdr:rowOff>
    </xdr:to>
    <xdr:sp macro="[0]!COMBINAR" textlink="">
      <xdr:nvSpPr>
        <xdr:cNvPr id="131" name="Rectángulo 130">
          <a:extLst>
            <a:ext uri="{FF2B5EF4-FFF2-40B4-BE49-F238E27FC236}">
              <a16:creationId xmlns:a16="http://schemas.microsoft.com/office/drawing/2014/main" id="{00000000-0008-0000-0400-000083000000}"/>
            </a:ext>
          </a:extLst>
        </xdr:cNvPr>
        <xdr:cNvSpPr/>
      </xdr:nvSpPr>
      <xdr:spPr bwMode="auto">
        <a:xfrm>
          <a:off x="1681657" y="58711946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1958</xdr:row>
      <xdr:rowOff>9721</xdr:rowOff>
    </xdr:from>
    <xdr:to>
      <xdr:col>21</xdr:col>
      <xdr:colOff>1525944</xdr:colOff>
      <xdr:row>1960</xdr:row>
      <xdr:rowOff>622042</xdr:rowOff>
    </xdr:to>
    <xdr:sp macro="" textlink="">
      <xdr:nvSpPr>
        <xdr:cNvPr id="132" name="Diagrama de flujo: intercalar 131">
          <a:extLst>
            <a:ext uri="{FF2B5EF4-FFF2-40B4-BE49-F238E27FC236}">
              <a16:creationId xmlns:a16="http://schemas.microsoft.com/office/drawing/2014/main" id="{00000000-0008-0000-0400-000084000000}"/>
            </a:ext>
          </a:extLst>
        </xdr:cNvPr>
        <xdr:cNvSpPr/>
      </xdr:nvSpPr>
      <xdr:spPr bwMode="auto">
        <a:xfrm>
          <a:off x="26776913" y="592736864"/>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1971</xdr:row>
      <xdr:rowOff>19843</xdr:rowOff>
    </xdr:from>
    <xdr:to>
      <xdr:col>3</xdr:col>
      <xdr:colOff>1629922</xdr:colOff>
      <xdr:row>1971</xdr:row>
      <xdr:rowOff>293443</xdr:rowOff>
    </xdr:to>
    <xdr:sp macro="[0]!COMBINAR" textlink="">
      <xdr:nvSpPr>
        <xdr:cNvPr id="133" name="Rectángulo 132">
          <a:extLst>
            <a:ext uri="{FF2B5EF4-FFF2-40B4-BE49-F238E27FC236}">
              <a16:creationId xmlns:a16="http://schemas.microsoft.com/office/drawing/2014/main" id="{00000000-0008-0000-0400-000085000000}"/>
            </a:ext>
          </a:extLst>
        </xdr:cNvPr>
        <xdr:cNvSpPr/>
      </xdr:nvSpPr>
      <xdr:spPr bwMode="auto">
        <a:xfrm>
          <a:off x="1681657" y="59636259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1988</xdr:row>
      <xdr:rowOff>9721</xdr:rowOff>
    </xdr:from>
    <xdr:to>
      <xdr:col>21</xdr:col>
      <xdr:colOff>1525944</xdr:colOff>
      <xdr:row>1990</xdr:row>
      <xdr:rowOff>622042</xdr:rowOff>
    </xdr:to>
    <xdr:sp macro="" textlink="">
      <xdr:nvSpPr>
        <xdr:cNvPr id="134" name="Diagrama de flujo: intercalar 133">
          <a:extLst>
            <a:ext uri="{FF2B5EF4-FFF2-40B4-BE49-F238E27FC236}">
              <a16:creationId xmlns:a16="http://schemas.microsoft.com/office/drawing/2014/main" id="{00000000-0008-0000-0400-000086000000}"/>
            </a:ext>
          </a:extLst>
        </xdr:cNvPr>
        <xdr:cNvSpPr/>
      </xdr:nvSpPr>
      <xdr:spPr bwMode="auto">
        <a:xfrm>
          <a:off x="26776913" y="601980002"/>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2001</xdr:row>
      <xdr:rowOff>19843</xdr:rowOff>
    </xdr:from>
    <xdr:to>
      <xdr:col>3</xdr:col>
      <xdr:colOff>1629922</xdr:colOff>
      <xdr:row>2001</xdr:row>
      <xdr:rowOff>293443</xdr:rowOff>
    </xdr:to>
    <xdr:sp macro="[0]!COMBINAR" textlink="">
      <xdr:nvSpPr>
        <xdr:cNvPr id="135" name="Rectángulo 134">
          <a:extLst>
            <a:ext uri="{FF2B5EF4-FFF2-40B4-BE49-F238E27FC236}">
              <a16:creationId xmlns:a16="http://schemas.microsoft.com/office/drawing/2014/main" id="{00000000-0008-0000-0400-000087000000}"/>
            </a:ext>
          </a:extLst>
        </xdr:cNvPr>
        <xdr:cNvSpPr/>
      </xdr:nvSpPr>
      <xdr:spPr bwMode="auto">
        <a:xfrm>
          <a:off x="1681657" y="60560573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2018</xdr:row>
      <xdr:rowOff>9721</xdr:rowOff>
    </xdr:from>
    <xdr:to>
      <xdr:col>21</xdr:col>
      <xdr:colOff>1525944</xdr:colOff>
      <xdr:row>2020</xdr:row>
      <xdr:rowOff>622042</xdr:rowOff>
    </xdr:to>
    <xdr:sp macro="" textlink="">
      <xdr:nvSpPr>
        <xdr:cNvPr id="136" name="Diagrama de flujo: intercalar 135">
          <a:extLst>
            <a:ext uri="{FF2B5EF4-FFF2-40B4-BE49-F238E27FC236}">
              <a16:creationId xmlns:a16="http://schemas.microsoft.com/office/drawing/2014/main" id="{00000000-0008-0000-0400-000088000000}"/>
            </a:ext>
          </a:extLst>
        </xdr:cNvPr>
        <xdr:cNvSpPr/>
      </xdr:nvSpPr>
      <xdr:spPr bwMode="auto">
        <a:xfrm>
          <a:off x="26776913" y="611223139"/>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2031</xdr:row>
      <xdr:rowOff>19843</xdr:rowOff>
    </xdr:from>
    <xdr:to>
      <xdr:col>3</xdr:col>
      <xdr:colOff>1629922</xdr:colOff>
      <xdr:row>2031</xdr:row>
      <xdr:rowOff>293443</xdr:rowOff>
    </xdr:to>
    <xdr:sp macro="[0]!COMBINAR" textlink="">
      <xdr:nvSpPr>
        <xdr:cNvPr id="137" name="Rectángulo 136">
          <a:extLst>
            <a:ext uri="{FF2B5EF4-FFF2-40B4-BE49-F238E27FC236}">
              <a16:creationId xmlns:a16="http://schemas.microsoft.com/office/drawing/2014/main" id="{00000000-0008-0000-0400-000089000000}"/>
            </a:ext>
          </a:extLst>
        </xdr:cNvPr>
        <xdr:cNvSpPr/>
      </xdr:nvSpPr>
      <xdr:spPr bwMode="auto">
        <a:xfrm>
          <a:off x="1681657" y="61484887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2048</xdr:row>
      <xdr:rowOff>9721</xdr:rowOff>
    </xdr:from>
    <xdr:to>
      <xdr:col>21</xdr:col>
      <xdr:colOff>1525944</xdr:colOff>
      <xdr:row>2050</xdr:row>
      <xdr:rowOff>622042</xdr:rowOff>
    </xdr:to>
    <xdr:sp macro="" textlink="">
      <xdr:nvSpPr>
        <xdr:cNvPr id="138" name="Diagrama de flujo: intercalar 137">
          <a:extLst>
            <a:ext uri="{FF2B5EF4-FFF2-40B4-BE49-F238E27FC236}">
              <a16:creationId xmlns:a16="http://schemas.microsoft.com/office/drawing/2014/main" id="{00000000-0008-0000-0400-00008A000000}"/>
            </a:ext>
          </a:extLst>
        </xdr:cNvPr>
        <xdr:cNvSpPr/>
      </xdr:nvSpPr>
      <xdr:spPr bwMode="auto">
        <a:xfrm>
          <a:off x="26776913" y="620466277"/>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2061</xdr:row>
      <xdr:rowOff>19843</xdr:rowOff>
    </xdr:from>
    <xdr:to>
      <xdr:col>3</xdr:col>
      <xdr:colOff>1629922</xdr:colOff>
      <xdr:row>2061</xdr:row>
      <xdr:rowOff>293443</xdr:rowOff>
    </xdr:to>
    <xdr:sp macro="[0]!COMBINAR" textlink="">
      <xdr:nvSpPr>
        <xdr:cNvPr id="139" name="Rectángulo 138">
          <a:extLst>
            <a:ext uri="{FF2B5EF4-FFF2-40B4-BE49-F238E27FC236}">
              <a16:creationId xmlns:a16="http://schemas.microsoft.com/office/drawing/2014/main" id="{00000000-0008-0000-0400-00008B000000}"/>
            </a:ext>
          </a:extLst>
        </xdr:cNvPr>
        <xdr:cNvSpPr/>
      </xdr:nvSpPr>
      <xdr:spPr bwMode="auto">
        <a:xfrm>
          <a:off x="1681657" y="62409201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2078</xdr:row>
      <xdr:rowOff>9721</xdr:rowOff>
    </xdr:from>
    <xdr:to>
      <xdr:col>21</xdr:col>
      <xdr:colOff>1525944</xdr:colOff>
      <xdr:row>2080</xdr:row>
      <xdr:rowOff>622042</xdr:rowOff>
    </xdr:to>
    <xdr:sp macro="" textlink="">
      <xdr:nvSpPr>
        <xdr:cNvPr id="140" name="Diagrama de flujo: intercalar 139">
          <a:extLst>
            <a:ext uri="{FF2B5EF4-FFF2-40B4-BE49-F238E27FC236}">
              <a16:creationId xmlns:a16="http://schemas.microsoft.com/office/drawing/2014/main" id="{00000000-0008-0000-0400-00008C000000}"/>
            </a:ext>
          </a:extLst>
        </xdr:cNvPr>
        <xdr:cNvSpPr/>
      </xdr:nvSpPr>
      <xdr:spPr bwMode="auto">
        <a:xfrm>
          <a:off x="26776913" y="629709415"/>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2091</xdr:row>
      <xdr:rowOff>19843</xdr:rowOff>
    </xdr:from>
    <xdr:to>
      <xdr:col>3</xdr:col>
      <xdr:colOff>1629922</xdr:colOff>
      <xdr:row>2091</xdr:row>
      <xdr:rowOff>293443</xdr:rowOff>
    </xdr:to>
    <xdr:sp macro="[0]!COMBINAR" textlink="">
      <xdr:nvSpPr>
        <xdr:cNvPr id="141" name="Rectángulo 140">
          <a:extLst>
            <a:ext uri="{FF2B5EF4-FFF2-40B4-BE49-F238E27FC236}">
              <a16:creationId xmlns:a16="http://schemas.microsoft.com/office/drawing/2014/main" id="{00000000-0008-0000-0400-00008D000000}"/>
            </a:ext>
          </a:extLst>
        </xdr:cNvPr>
        <xdr:cNvSpPr/>
      </xdr:nvSpPr>
      <xdr:spPr bwMode="auto">
        <a:xfrm>
          <a:off x="1681657" y="63333514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2108</xdr:row>
      <xdr:rowOff>9721</xdr:rowOff>
    </xdr:from>
    <xdr:to>
      <xdr:col>21</xdr:col>
      <xdr:colOff>1525944</xdr:colOff>
      <xdr:row>2110</xdr:row>
      <xdr:rowOff>622042</xdr:rowOff>
    </xdr:to>
    <xdr:sp macro="" textlink="">
      <xdr:nvSpPr>
        <xdr:cNvPr id="142" name="Diagrama de flujo: intercalar 141">
          <a:extLst>
            <a:ext uri="{FF2B5EF4-FFF2-40B4-BE49-F238E27FC236}">
              <a16:creationId xmlns:a16="http://schemas.microsoft.com/office/drawing/2014/main" id="{00000000-0008-0000-0400-00008E000000}"/>
            </a:ext>
          </a:extLst>
        </xdr:cNvPr>
        <xdr:cNvSpPr/>
      </xdr:nvSpPr>
      <xdr:spPr bwMode="auto">
        <a:xfrm>
          <a:off x="26776913" y="638952553"/>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2121</xdr:row>
      <xdr:rowOff>19843</xdr:rowOff>
    </xdr:from>
    <xdr:to>
      <xdr:col>3</xdr:col>
      <xdr:colOff>1629922</xdr:colOff>
      <xdr:row>2121</xdr:row>
      <xdr:rowOff>293443</xdr:rowOff>
    </xdr:to>
    <xdr:sp macro="[0]!COMBINAR" textlink="">
      <xdr:nvSpPr>
        <xdr:cNvPr id="143" name="Rectángulo 142">
          <a:extLst>
            <a:ext uri="{FF2B5EF4-FFF2-40B4-BE49-F238E27FC236}">
              <a16:creationId xmlns:a16="http://schemas.microsoft.com/office/drawing/2014/main" id="{00000000-0008-0000-0400-00008F000000}"/>
            </a:ext>
          </a:extLst>
        </xdr:cNvPr>
        <xdr:cNvSpPr/>
      </xdr:nvSpPr>
      <xdr:spPr bwMode="auto">
        <a:xfrm>
          <a:off x="1681657" y="64257828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2138</xdr:row>
      <xdr:rowOff>9721</xdr:rowOff>
    </xdr:from>
    <xdr:to>
      <xdr:col>21</xdr:col>
      <xdr:colOff>1525944</xdr:colOff>
      <xdr:row>2140</xdr:row>
      <xdr:rowOff>622042</xdr:rowOff>
    </xdr:to>
    <xdr:sp macro="" textlink="">
      <xdr:nvSpPr>
        <xdr:cNvPr id="144" name="Diagrama de flujo: intercalar 143">
          <a:extLst>
            <a:ext uri="{FF2B5EF4-FFF2-40B4-BE49-F238E27FC236}">
              <a16:creationId xmlns:a16="http://schemas.microsoft.com/office/drawing/2014/main" id="{00000000-0008-0000-0400-000090000000}"/>
            </a:ext>
          </a:extLst>
        </xdr:cNvPr>
        <xdr:cNvSpPr/>
      </xdr:nvSpPr>
      <xdr:spPr bwMode="auto">
        <a:xfrm>
          <a:off x="26776913" y="648195690"/>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2151</xdr:row>
      <xdr:rowOff>19843</xdr:rowOff>
    </xdr:from>
    <xdr:to>
      <xdr:col>3</xdr:col>
      <xdr:colOff>1629922</xdr:colOff>
      <xdr:row>2151</xdr:row>
      <xdr:rowOff>293443</xdr:rowOff>
    </xdr:to>
    <xdr:sp macro="[0]!COMBINAR" textlink="">
      <xdr:nvSpPr>
        <xdr:cNvPr id="145" name="Rectángulo 144">
          <a:extLst>
            <a:ext uri="{FF2B5EF4-FFF2-40B4-BE49-F238E27FC236}">
              <a16:creationId xmlns:a16="http://schemas.microsoft.com/office/drawing/2014/main" id="{00000000-0008-0000-0400-000091000000}"/>
            </a:ext>
          </a:extLst>
        </xdr:cNvPr>
        <xdr:cNvSpPr/>
      </xdr:nvSpPr>
      <xdr:spPr bwMode="auto">
        <a:xfrm>
          <a:off x="1681657" y="65182142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2168</xdr:row>
      <xdr:rowOff>9721</xdr:rowOff>
    </xdr:from>
    <xdr:to>
      <xdr:col>21</xdr:col>
      <xdr:colOff>1525944</xdr:colOff>
      <xdr:row>2170</xdr:row>
      <xdr:rowOff>622042</xdr:rowOff>
    </xdr:to>
    <xdr:sp macro="" textlink="">
      <xdr:nvSpPr>
        <xdr:cNvPr id="146" name="Diagrama de flujo: intercalar 145">
          <a:extLst>
            <a:ext uri="{FF2B5EF4-FFF2-40B4-BE49-F238E27FC236}">
              <a16:creationId xmlns:a16="http://schemas.microsoft.com/office/drawing/2014/main" id="{00000000-0008-0000-0400-000092000000}"/>
            </a:ext>
          </a:extLst>
        </xdr:cNvPr>
        <xdr:cNvSpPr/>
      </xdr:nvSpPr>
      <xdr:spPr bwMode="auto">
        <a:xfrm>
          <a:off x="26776913" y="657438828"/>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2181</xdr:row>
      <xdr:rowOff>19843</xdr:rowOff>
    </xdr:from>
    <xdr:to>
      <xdr:col>3</xdr:col>
      <xdr:colOff>1629922</xdr:colOff>
      <xdr:row>2181</xdr:row>
      <xdr:rowOff>293443</xdr:rowOff>
    </xdr:to>
    <xdr:sp macro="[0]!COMBINAR" textlink="">
      <xdr:nvSpPr>
        <xdr:cNvPr id="147" name="Rectángulo 146">
          <a:extLst>
            <a:ext uri="{FF2B5EF4-FFF2-40B4-BE49-F238E27FC236}">
              <a16:creationId xmlns:a16="http://schemas.microsoft.com/office/drawing/2014/main" id="{00000000-0008-0000-0400-000093000000}"/>
            </a:ext>
          </a:extLst>
        </xdr:cNvPr>
        <xdr:cNvSpPr/>
      </xdr:nvSpPr>
      <xdr:spPr bwMode="auto">
        <a:xfrm>
          <a:off x="1681657" y="66106456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2198</xdr:row>
      <xdr:rowOff>9721</xdr:rowOff>
    </xdr:from>
    <xdr:to>
      <xdr:col>21</xdr:col>
      <xdr:colOff>1525944</xdr:colOff>
      <xdr:row>2200</xdr:row>
      <xdr:rowOff>622042</xdr:rowOff>
    </xdr:to>
    <xdr:sp macro="" textlink="">
      <xdr:nvSpPr>
        <xdr:cNvPr id="148" name="Diagrama de flujo: intercalar 147">
          <a:extLst>
            <a:ext uri="{FF2B5EF4-FFF2-40B4-BE49-F238E27FC236}">
              <a16:creationId xmlns:a16="http://schemas.microsoft.com/office/drawing/2014/main" id="{00000000-0008-0000-0400-000094000000}"/>
            </a:ext>
          </a:extLst>
        </xdr:cNvPr>
        <xdr:cNvSpPr/>
      </xdr:nvSpPr>
      <xdr:spPr bwMode="auto">
        <a:xfrm>
          <a:off x="26776913" y="666681966"/>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2211</xdr:row>
      <xdr:rowOff>19843</xdr:rowOff>
    </xdr:from>
    <xdr:to>
      <xdr:col>3</xdr:col>
      <xdr:colOff>1629922</xdr:colOff>
      <xdr:row>2211</xdr:row>
      <xdr:rowOff>293443</xdr:rowOff>
    </xdr:to>
    <xdr:sp macro="[0]!COMBINAR" textlink="">
      <xdr:nvSpPr>
        <xdr:cNvPr id="149" name="Rectángulo 148">
          <a:extLst>
            <a:ext uri="{FF2B5EF4-FFF2-40B4-BE49-F238E27FC236}">
              <a16:creationId xmlns:a16="http://schemas.microsoft.com/office/drawing/2014/main" id="{00000000-0008-0000-0400-000095000000}"/>
            </a:ext>
          </a:extLst>
        </xdr:cNvPr>
        <xdr:cNvSpPr/>
      </xdr:nvSpPr>
      <xdr:spPr bwMode="auto">
        <a:xfrm>
          <a:off x="1681657" y="67030770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2228</xdr:row>
      <xdr:rowOff>9721</xdr:rowOff>
    </xdr:from>
    <xdr:to>
      <xdr:col>21</xdr:col>
      <xdr:colOff>1525944</xdr:colOff>
      <xdr:row>2230</xdr:row>
      <xdr:rowOff>622042</xdr:rowOff>
    </xdr:to>
    <xdr:sp macro="" textlink="">
      <xdr:nvSpPr>
        <xdr:cNvPr id="150" name="Diagrama de flujo: intercalar 149">
          <a:extLst>
            <a:ext uri="{FF2B5EF4-FFF2-40B4-BE49-F238E27FC236}">
              <a16:creationId xmlns:a16="http://schemas.microsoft.com/office/drawing/2014/main" id="{00000000-0008-0000-0400-000096000000}"/>
            </a:ext>
          </a:extLst>
        </xdr:cNvPr>
        <xdr:cNvSpPr/>
      </xdr:nvSpPr>
      <xdr:spPr bwMode="auto">
        <a:xfrm>
          <a:off x="26776913" y="675925104"/>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2241</xdr:row>
      <xdr:rowOff>19843</xdr:rowOff>
    </xdr:from>
    <xdr:to>
      <xdr:col>3</xdr:col>
      <xdr:colOff>1629922</xdr:colOff>
      <xdr:row>2241</xdr:row>
      <xdr:rowOff>293443</xdr:rowOff>
    </xdr:to>
    <xdr:sp macro="[0]!COMBINAR" textlink="">
      <xdr:nvSpPr>
        <xdr:cNvPr id="151" name="Rectángulo 150">
          <a:extLst>
            <a:ext uri="{FF2B5EF4-FFF2-40B4-BE49-F238E27FC236}">
              <a16:creationId xmlns:a16="http://schemas.microsoft.com/office/drawing/2014/main" id="{00000000-0008-0000-0400-000097000000}"/>
            </a:ext>
          </a:extLst>
        </xdr:cNvPr>
        <xdr:cNvSpPr/>
      </xdr:nvSpPr>
      <xdr:spPr bwMode="auto">
        <a:xfrm>
          <a:off x="1681657" y="67955083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2258</xdr:row>
      <xdr:rowOff>9721</xdr:rowOff>
    </xdr:from>
    <xdr:to>
      <xdr:col>21</xdr:col>
      <xdr:colOff>1525944</xdr:colOff>
      <xdr:row>2260</xdr:row>
      <xdr:rowOff>622042</xdr:rowOff>
    </xdr:to>
    <xdr:sp macro="" textlink="">
      <xdr:nvSpPr>
        <xdr:cNvPr id="152" name="Diagrama de flujo: intercalar 151">
          <a:extLst>
            <a:ext uri="{FF2B5EF4-FFF2-40B4-BE49-F238E27FC236}">
              <a16:creationId xmlns:a16="http://schemas.microsoft.com/office/drawing/2014/main" id="{00000000-0008-0000-0400-000098000000}"/>
            </a:ext>
          </a:extLst>
        </xdr:cNvPr>
        <xdr:cNvSpPr/>
      </xdr:nvSpPr>
      <xdr:spPr bwMode="auto">
        <a:xfrm>
          <a:off x="26776913" y="685168241"/>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2271</xdr:row>
      <xdr:rowOff>19843</xdr:rowOff>
    </xdr:from>
    <xdr:to>
      <xdr:col>3</xdr:col>
      <xdr:colOff>1629922</xdr:colOff>
      <xdr:row>2271</xdr:row>
      <xdr:rowOff>293443</xdr:rowOff>
    </xdr:to>
    <xdr:sp macro="[0]!COMBINAR" textlink="">
      <xdr:nvSpPr>
        <xdr:cNvPr id="153" name="Rectángulo 152">
          <a:extLst>
            <a:ext uri="{FF2B5EF4-FFF2-40B4-BE49-F238E27FC236}">
              <a16:creationId xmlns:a16="http://schemas.microsoft.com/office/drawing/2014/main" id="{00000000-0008-0000-0400-000099000000}"/>
            </a:ext>
          </a:extLst>
        </xdr:cNvPr>
        <xdr:cNvSpPr/>
      </xdr:nvSpPr>
      <xdr:spPr bwMode="auto">
        <a:xfrm>
          <a:off x="1681657" y="68879397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2288</xdr:row>
      <xdr:rowOff>9721</xdr:rowOff>
    </xdr:from>
    <xdr:to>
      <xdr:col>21</xdr:col>
      <xdr:colOff>1525944</xdr:colOff>
      <xdr:row>2290</xdr:row>
      <xdr:rowOff>622042</xdr:rowOff>
    </xdr:to>
    <xdr:sp macro="" textlink="">
      <xdr:nvSpPr>
        <xdr:cNvPr id="154" name="Diagrama de flujo: intercalar 153">
          <a:extLst>
            <a:ext uri="{FF2B5EF4-FFF2-40B4-BE49-F238E27FC236}">
              <a16:creationId xmlns:a16="http://schemas.microsoft.com/office/drawing/2014/main" id="{00000000-0008-0000-0400-00009A000000}"/>
            </a:ext>
          </a:extLst>
        </xdr:cNvPr>
        <xdr:cNvSpPr/>
      </xdr:nvSpPr>
      <xdr:spPr bwMode="auto">
        <a:xfrm>
          <a:off x="26776913" y="694411379"/>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2301</xdr:row>
      <xdr:rowOff>19843</xdr:rowOff>
    </xdr:from>
    <xdr:to>
      <xdr:col>3</xdr:col>
      <xdr:colOff>1629922</xdr:colOff>
      <xdr:row>2301</xdr:row>
      <xdr:rowOff>293443</xdr:rowOff>
    </xdr:to>
    <xdr:sp macro="[0]!COMBINAR" textlink="">
      <xdr:nvSpPr>
        <xdr:cNvPr id="155" name="Rectángulo 154">
          <a:extLst>
            <a:ext uri="{FF2B5EF4-FFF2-40B4-BE49-F238E27FC236}">
              <a16:creationId xmlns:a16="http://schemas.microsoft.com/office/drawing/2014/main" id="{00000000-0008-0000-0400-00009B000000}"/>
            </a:ext>
          </a:extLst>
        </xdr:cNvPr>
        <xdr:cNvSpPr/>
      </xdr:nvSpPr>
      <xdr:spPr bwMode="auto">
        <a:xfrm>
          <a:off x="1681657" y="69803711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2318</xdr:row>
      <xdr:rowOff>9721</xdr:rowOff>
    </xdr:from>
    <xdr:to>
      <xdr:col>21</xdr:col>
      <xdr:colOff>1525944</xdr:colOff>
      <xdr:row>2320</xdr:row>
      <xdr:rowOff>622042</xdr:rowOff>
    </xdr:to>
    <xdr:sp macro="" textlink="">
      <xdr:nvSpPr>
        <xdr:cNvPr id="156" name="Diagrama de flujo: intercalar 155">
          <a:extLst>
            <a:ext uri="{FF2B5EF4-FFF2-40B4-BE49-F238E27FC236}">
              <a16:creationId xmlns:a16="http://schemas.microsoft.com/office/drawing/2014/main" id="{00000000-0008-0000-0400-00009C000000}"/>
            </a:ext>
          </a:extLst>
        </xdr:cNvPr>
        <xdr:cNvSpPr/>
      </xdr:nvSpPr>
      <xdr:spPr bwMode="auto">
        <a:xfrm>
          <a:off x="26776913" y="703654517"/>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2331</xdr:row>
      <xdr:rowOff>19843</xdr:rowOff>
    </xdr:from>
    <xdr:to>
      <xdr:col>3</xdr:col>
      <xdr:colOff>1629922</xdr:colOff>
      <xdr:row>2331</xdr:row>
      <xdr:rowOff>293443</xdr:rowOff>
    </xdr:to>
    <xdr:sp macro="[0]!COMBINAR" textlink="">
      <xdr:nvSpPr>
        <xdr:cNvPr id="157" name="Rectángulo 156">
          <a:extLst>
            <a:ext uri="{FF2B5EF4-FFF2-40B4-BE49-F238E27FC236}">
              <a16:creationId xmlns:a16="http://schemas.microsoft.com/office/drawing/2014/main" id="{00000000-0008-0000-0400-00009D000000}"/>
            </a:ext>
          </a:extLst>
        </xdr:cNvPr>
        <xdr:cNvSpPr/>
      </xdr:nvSpPr>
      <xdr:spPr bwMode="auto">
        <a:xfrm>
          <a:off x="1681657" y="70728025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2348</xdr:row>
      <xdr:rowOff>9721</xdr:rowOff>
    </xdr:from>
    <xdr:to>
      <xdr:col>21</xdr:col>
      <xdr:colOff>1525944</xdr:colOff>
      <xdr:row>2350</xdr:row>
      <xdr:rowOff>622042</xdr:rowOff>
    </xdr:to>
    <xdr:sp macro="" textlink="">
      <xdr:nvSpPr>
        <xdr:cNvPr id="158" name="Diagrama de flujo: intercalar 157">
          <a:extLst>
            <a:ext uri="{FF2B5EF4-FFF2-40B4-BE49-F238E27FC236}">
              <a16:creationId xmlns:a16="http://schemas.microsoft.com/office/drawing/2014/main" id="{00000000-0008-0000-0400-00009E000000}"/>
            </a:ext>
          </a:extLst>
        </xdr:cNvPr>
        <xdr:cNvSpPr/>
      </xdr:nvSpPr>
      <xdr:spPr bwMode="auto">
        <a:xfrm>
          <a:off x="26776913" y="712897655"/>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2361</xdr:row>
      <xdr:rowOff>19843</xdr:rowOff>
    </xdr:from>
    <xdr:to>
      <xdr:col>3</xdr:col>
      <xdr:colOff>1629922</xdr:colOff>
      <xdr:row>2361</xdr:row>
      <xdr:rowOff>293443</xdr:rowOff>
    </xdr:to>
    <xdr:sp macro="[0]!COMBINAR" textlink="">
      <xdr:nvSpPr>
        <xdr:cNvPr id="159" name="Rectángulo 158">
          <a:extLst>
            <a:ext uri="{FF2B5EF4-FFF2-40B4-BE49-F238E27FC236}">
              <a16:creationId xmlns:a16="http://schemas.microsoft.com/office/drawing/2014/main" id="{00000000-0008-0000-0400-00009F000000}"/>
            </a:ext>
          </a:extLst>
        </xdr:cNvPr>
        <xdr:cNvSpPr/>
      </xdr:nvSpPr>
      <xdr:spPr bwMode="auto">
        <a:xfrm>
          <a:off x="1681657" y="71652338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2378</xdr:row>
      <xdr:rowOff>9721</xdr:rowOff>
    </xdr:from>
    <xdr:to>
      <xdr:col>21</xdr:col>
      <xdr:colOff>1525944</xdr:colOff>
      <xdr:row>2380</xdr:row>
      <xdr:rowOff>622042</xdr:rowOff>
    </xdr:to>
    <xdr:sp macro="" textlink="">
      <xdr:nvSpPr>
        <xdr:cNvPr id="160" name="Diagrama de flujo: intercalar 159">
          <a:extLst>
            <a:ext uri="{FF2B5EF4-FFF2-40B4-BE49-F238E27FC236}">
              <a16:creationId xmlns:a16="http://schemas.microsoft.com/office/drawing/2014/main" id="{00000000-0008-0000-0400-0000A0000000}"/>
            </a:ext>
          </a:extLst>
        </xdr:cNvPr>
        <xdr:cNvSpPr/>
      </xdr:nvSpPr>
      <xdr:spPr bwMode="auto">
        <a:xfrm>
          <a:off x="26776913" y="722140792"/>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2391</xdr:row>
      <xdr:rowOff>19843</xdr:rowOff>
    </xdr:from>
    <xdr:to>
      <xdr:col>3</xdr:col>
      <xdr:colOff>1629922</xdr:colOff>
      <xdr:row>2391</xdr:row>
      <xdr:rowOff>293443</xdr:rowOff>
    </xdr:to>
    <xdr:sp macro="[0]!COMBINAR" textlink="">
      <xdr:nvSpPr>
        <xdr:cNvPr id="161" name="Rectángulo 160">
          <a:extLst>
            <a:ext uri="{FF2B5EF4-FFF2-40B4-BE49-F238E27FC236}">
              <a16:creationId xmlns:a16="http://schemas.microsoft.com/office/drawing/2014/main" id="{00000000-0008-0000-0400-0000A1000000}"/>
            </a:ext>
          </a:extLst>
        </xdr:cNvPr>
        <xdr:cNvSpPr/>
      </xdr:nvSpPr>
      <xdr:spPr bwMode="auto">
        <a:xfrm>
          <a:off x="1681657" y="72576652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2408</xdr:row>
      <xdr:rowOff>9721</xdr:rowOff>
    </xdr:from>
    <xdr:to>
      <xdr:col>21</xdr:col>
      <xdr:colOff>1525944</xdr:colOff>
      <xdr:row>2410</xdr:row>
      <xdr:rowOff>622042</xdr:rowOff>
    </xdr:to>
    <xdr:sp macro="" textlink="">
      <xdr:nvSpPr>
        <xdr:cNvPr id="162" name="Diagrama de flujo: intercalar 161">
          <a:extLst>
            <a:ext uri="{FF2B5EF4-FFF2-40B4-BE49-F238E27FC236}">
              <a16:creationId xmlns:a16="http://schemas.microsoft.com/office/drawing/2014/main" id="{00000000-0008-0000-0400-0000A2000000}"/>
            </a:ext>
          </a:extLst>
        </xdr:cNvPr>
        <xdr:cNvSpPr/>
      </xdr:nvSpPr>
      <xdr:spPr bwMode="auto">
        <a:xfrm>
          <a:off x="26776913" y="731383930"/>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2421</xdr:row>
      <xdr:rowOff>19843</xdr:rowOff>
    </xdr:from>
    <xdr:to>
      <xdr:col>3</xdr:col>
      <xdr:colOff>1629922</xdr:colOff>
      <xdr:row>2421</xdr:row>
      <xdr:rowOff>293443</xdr:rowOff>
    </xdr:to>
    <xdr:sp macro="[0]!COMBINAR" textlink="">
      <xdr:nvSpPr>
        <xdr:cNvPr id="163" name="Rectángulo 162">
          <a:extLst>
            <a:ext uri="{FF2B5EF4-FFF2-40B4-BE49-F238E27FC236}">
              <a16:creationId xmlns:a16="http://schemas.microsoft.com/office/drawing/2014/main" id="{00000000-0008-0000-0400-0000A3000000}"/>
            </a:ext>
          </a:extLst>
        </xdr:cNvPr>
        <xdr:cNvSpPr/>
      </xdr:nvSpPr>
      <xdr:spPr bwMode="auto">
        <a:xfrm>
          <a:off x="1681657" y="73500966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2438</xdr:row>
      <xdr:rowOff>9721</xdr:rowOff>
    </xdr:from>
    <xdr:to>
      <xdr:col>21</xdr:col>
      <xdr:colOff>1525944</xdr:colOff>
      <xdr:row>2440</xdr:row>
      <xdr:rowOff>622042</xdr:rowOff>
    </xdr:to>
    <xdr:sp macro="" textlink="">
      <xdr:nvSpPr>
        <xdr:cNvPr id="164" name="Diagrama de flujo: intercalar 163">
          <a:extLst>
            <a:ext uri="{FF2B5EF4-FFF2-40B4-BE49-F238E27FC236}">
              <a16:creationId xmlns:a16="http://schemas.microsoft.com/office/drawing/2014/main" id="{00000000-0008-0000-0400-0000A4000000}"/>
            </a:ext>
          </a:extLst>
        </xdr:cNvPr>
        <xdr:cNvSpPr/>
      </xdr:nvSpPr>
      <xdr:spPr bwMode="auto">
        <a:xfrm>
          <a:off x="26776913" y="740627068"/>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2451</xdr:row>
      <xdr:rowOff>19843</xdr:rowOff>
    </xdr:from>
    <xdr:to>
      <xdr:col>3</xdr:col>
      <xdr:colOff>1629922</xdr:colOff>
      <xdr:row>2451</xdr:row>
      <xdr:rowOff>293443</xdr:rowOff>
    </xdr:to>
    <xdr:sp macro="[0]!COMBINAR" textlink="">
      <xdr:nvSpPr>
        <xdr:cNvPr id="165" name="Rectángulo 164">
          <a:extLst>
            <a:ext uri="{FF2B5EF4-FFF2-40B4-BE49-F238E27FC236}">
              <a16:creationId xmlns:a16="http://schemas.microsoft.com/office/drawing/2014/main" id="{00000000-0008-0000-0400-0000A5000000}"/>
            </a:ext>
          </a:extLst>
        </xdr:cNvPr>
        <xdr:cNvSpPr/>
      </xdr:nvSpPr>
      <xdr:spPr bwMode="auto">
        <a:xfrm>
          <a:off x="1681657" y="74425280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2468</xdr:row>
      <xdr:rowOff>9721</xdr:rowOff>
    </xdr:from>
    <xdr:to>
      <xdr:col>21</xdr:col>
      <xdr:colOff>1525944</xdr:colOff>
      <xdr:row>2470</xdr:row>
      <xdr:rowOff>622042</xdr:rowOff>
    </xdr:to>
    <xdr:sp macro="" textlink="">
      <xdr:nvSpPr>
        <xdr:cNvPr id="166" name="Diagrama de flujo: intercalar 165">
          <a:extLst>
            <a:ext uri="{FF2B5EF4-FFF2-40B4-BE49-F238E27FC236}">
              <a16:creationId xmlns:a16="http://schemas.microsoft.com/office/drawing/2014/main" id="{00000000-0008-0000-0400-0000A6000000}"/>
            </a:ext>
          </a:extLst>
        </xdr:cNvPr>
        <xdr:cNvSpPr/>
      </xdr:nvSpPr>
      <xdr:spPr bwMode="auto">
        <a:xfrm>
          <a:off x="26776913" y="749870206"/>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2481</xdr:row>
      <xdr:rowOff>19843</xdr:rowOff>
    </xdr:from>
    <xdr:to>
      <xdr:col>3</xdr:col>
      <xdr:colOff>1629922</xdr:colOff>
      <xdr:row>2481</xdr:row>
      <xdr:rowOff>293443</xdr:rowOff>
    </xdr:to>
    <xdr:sp macro="[0]!COMBINAR" textlink="">
      <xdr:nvSpPr>
        <xdr:cNvPr id="167" name="Rectángulo 166">
          <a:extLst>
            <a:ext uri="{FF2B5EF4-FFF2-40B4-BE49-F238E27FC236}">
              <a16:creationId xmlns:a16="http://schemas.microsoft.com/office/drawing/2014/main" id="{00000000-0008-0000-0400-0000A7000000}"/>
            </a:ext>
          </a:extLst>
        </xdr:cNvPr>
        <xdr:cNvSpPr/>
      </xdr:nvSpPr>
      <xdr:spPr bwMode="auto">
        <a:xfrm>
          <a:off x="1681657" y="75349594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2498</xdr:row>
      <xdr:rowOff>9721</xdr:rowOff>
    </xdr:from>
    <xdr:to>
      <xdr:col>21</xdr:col>
      <xdr:colOff>1525944</xdr:colOff>
      <xdr:row>2500</xdr:row>
      <xdr:rowOff>622042</xdr:rowOff>
    </xdr:to>
    <xdr:sp macro="" textlink="">
      <xdr:nvSpPr>
        <xdr:cNvPr id="168" name="Diagrama de flujo: intercalar 167">
          <a:extLst>
            <a:ext uri="{FF2B5EF4-FFF2-40B4-BE49-F238E27FC236}">
              <a16:creationId xmlns:a16="http://schemas.microsoft.com/office/drawing/2014/main" id="{00000000-0008-0000-0400-0000A8000000}"/>
            </a:ext>
          </a:extLst>
        </xdr:cNvPr>
        <xdr:cNvSpPr/>
      </xdr:nvSpPr>
      <xdr:spPr bwMode="auto">
        <a:xfrm>
          <a:off x="26776913" y="759113343"/>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2511</xdr:row>
      <xdr:rowOff>19843</xdr:rowOff>
    </xdr:from>
    <xdr:to>
      <xdr:col>3</xdr:col>
      <xdr:colOff>1629922</xdr:colOff>
      <xdr:row>2511</xdr:row>
      <xdr:rowOff>293443</xdr:rowOff>
    </xdr:to>
    <xdr:sp macro="[0]!COMBINAR" textlink="">
      <xdr:nvSpPr>
        <xdr:cNvPr id="169" name="Rectángulo 168">
          <a:extLst>
            <a:ext uri="{FF2B5EF4-FFF2-40B4-BE49-F238E27FC236}">
              <a16:creationId xmlns:a16="http://schemas.microsoft.com/office/drawing/2014/main" id="{00000000-0008-0000-0400-0000A9000000}"/>
            </a:ext>
          </a:extLst>
        </xdr:cNvPr>
        <xdr:cNvSpPr/>
      </xdr:nvSpPr>
      <xdr:spPr bwMode="auto">
        <a:xfrm>
          <a:off x="1681657" y="76273907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2528</xdr:row>
      <xdr:rowOff>9721</xdr:rowOff>
    </xdr:from>
    <xdr:to>
      <xdr:col>21</xdr:col>
      <xdr:colOff>1525944</xdr:colOff>
      <xdr:row>2530</xdr:row>
      <xdr:rowOff>622042</xdr:rowOff>
    </xdr:to>
    <xdr:sp macro="" textlink="">
      <xdr:nvSpPr>
        <xdr:cNvPr id="170" name="Diagrama de flujo: intercalar 169">
          <a:extLst>
            <a:ext uri="{FF2B5EF4-FFF2-40B4-BE49-F238E27FC236}">
              <a16:creationId xmlns:a16="http://schemas.microsoft.com/office/drawing/2014/main" id="{00000000-0008-0000-0400-0000AA000000}"/>
            </a:ext>
          </a:extLst>
        </xdr:cNvPr>
        <xdr:cNvSpPr/>
      </xdr:nvSpPr>
      <xdr:spPr bwMode="auto">
        <a:xfrm>
          <a:off x="26776913" y="768356481"/>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2541</xdr:row>
      <xdr:rowOff>19843</xdr:rowOff>
    </xdr:from>
    <xdr:to>
      <xdr:col>3</xdr:col>
      <xdr:colOff>1629922</xdr:colOff>
      <xdr:row>2541</xdr:row>
      <xdr:rowOff>293443</xdr:rowOff>
    </xdr:to>
    <xdr:sp macro="[0]!COMBINAR" textlink="">
      <xdr:nvSpPr>
        <xdr:cNvPr id="171" name="Rectángulo 170">
          <a:extLst>
            <a:ext uri="{FF2B5EF4-FFF2-40B4-BE49-F238E27FC236}">
              <a16:creationId xmlns:a16="http://schemas.microsoft.com/office/drawing/2014/main" id="{00000000-0008-0000-0400-0000AB000000}"/>
            </a:ext>
          </a:extLst>
        </xdr:cNvPr>
        <xdr:cNvSpPr/>
      </xdr:nvSpPr>
      <xdr:spPr bwMode="auto">
        <a:xfrm>
          <a:off x="1681657" y="77198221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2558</xdr:row>
      <xdr:rowOff>9721</xdr:rowOff>
    </xdr:from>
    <xdr:to>
      <xdr:col>21</xdr:col>
      <xdr:colOff>1525944</xdr:colOff>
      <xdr:row>2560</xdr:row>
      <xdr:rowOff>622042</xdr:rowOff>
    </xdr:to>
    <xdr:sp macro="" textlink="">
      <xdr:nvSpPr>
        <xdr:cNvPr id="172" name="Diagrama de flujo: intercalar 171">
          <a:extLst>
            <a:ext uri="{FF2B5EF4-FFF2-40B4-BE49-F238E27FC236}">
              <a16:creationId xmlns:a16="http://schemas.microsoft.com/office/drawing/2014/main" id="{00000000-0008-0000-0400-0000AC000000}"/>
            </a:ext>
          </a:extLst>
        </xdr:cNvPr>
        <xdr:cNvSpPr/>
      </xdr:nvSpPr>
      <xdr:spPr bwMode="auto">
        <a:xfrm>
          <a:off x="26776913" y="777599619"/>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2571</xdr:row>
      <xdr:rowOff>19843</xdr:rowOff>
    </xdr:from>
    <xdr:to>
      <xdr:col>3</xdr:col>
      <xdr:colOff>1629922</xdr:colOff>
      <xdr:row>2571</xdr:row>
      <xdr:rowOff>293443</xdr:rowOff>
    </xdr:to>
    <xdr:sp macro="[0]!COMBINAR" textlink="">
      <xdr:nvSpPr>
        <xdr:cNvPr id="173" name="Rectángulo 172">
          <a:extLst>
            <a:ext uri="{FF2B5EF4-FFF2-40B4-BE49-F238E27FC236}">
              <a16:creationId xmlns:a16="http://schemas.microsoft.com/office/drawing/2014/main" id="{00000000-0008-0000-0400-0000AD000000}"/>
            </a:ext>
          </a:extLst>
        </xdr:cNvPr>
        <xdr:cNvSpPr/>
      </xdr:nvSpPr>
      <xdr:spPr bwMode="auto">
        <a:xfrm>
          <a:off x="1681657" y="78122535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2588</xdr:row>
      <xdr:rowOff>9721</xdr:rowOff>
    </xdr:from>
    <xdr:to>
      <xdr:col>21</xdr:col>
      <xdr:colOff>1525944</xdr:colOff>
      <xdr:row>2590</xdr:row>
      <xdr:rowOff>622042</xdr:rowOff>
    </xdr:to>
    <xdr:sp macro="" textlink="">
      <xdr:nvSpPr>
        <xdr:cNvPr id="174" name="Diagrama de flujo: intercalar 173">
          <a:extLst>
            <a:ext uri="{FF2B5EF4-FFF2-40B4-BE49-F238E27FC236}">
              <a16:creationId xmlns:a16="http://schemas.microsoft.com/office/drawing/2014/main" id="{00000000-0008-0000-0400-0000AE000000}"/>
            </a:ext>
          </a:extLst>
        </xdr:cNvPr>
        <xdr:cNvSpPr/>
      </xdr:nvSpPr>
      <xdr:spPr bwMode="auto">
        <a:xfrm>
          <a:off x="26776913" y="786842757"/>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2601</xdr:row>
      <xdr:rowOff>19843</xdr:rowOff>
    </xdr:from>
    <xdr:to>
      <xdr:col>3</xdr:col>
      <xdr:colOff>1629922</xdr:colOff>
      <xdr:row>2601</xdr:row>
      <xdr:rowOff>293443</xdr:rowOff>
    </xdr:to>
    <xdr:sp macro="[0]!COMBINAR" textlink="">
      <xdr:nvSpPr>
        <xdr:cNvPr id="175" name="Rectángulo 174">
          <a:extLst>
            <a:ext uri="{FF2B5EF4-FFF2-40B4-BE49-F238E27FC236}">
              <a16:creationId xmlns:a16="http://schemas.microsoft.com/office/drawing/2014/main" id="{00000000-0008-0000-0400-0000AF000000}"/>
            </a:ext>
          </a:extLst>
        </xdr:cNvPr>
        <xdr:cNvSpPr/>
      </xdr:nvSpPr>
      <xdr:spPr bwMode="auto">
        <a:xfrm>
          <a:off x="1681657" y="79046849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2618</xdr:row>
      <xdr:rowOff>9721</xdr:rowOff>
    </xdr:from>
    <xdr:to>
      <xdr:col>21</xdr:col>
      <xdr:colOff>1525944</xdr:colOff>
      <xdr:row>2620</xdr:row>
      <xdr:rowOff>622042</xdr:rowOff>
    </xdr:to>
    <xdr:sp macro="" textlink="">
      <xdr:nvSpPr>
        <xdr:cNvPr id="176" name="Diagrama de flujo: intercalar 175">
          <a:extLst>
            <a:ext uri="{FF2B5EF4-FFF2-40B4-BE49-F238E27FC236}">
              <a16:creationId xmlns:a16="http://schemas.microsoft.com/office/drawing/2014/main" id="{00000000-0008-0000-0400-0000B0000000}"/>
            </a:ext>
          </a:extLst>
        </xdr:cNvPr>
        <xdr:cNvSpPr/>
      </xdr:nvSpPr>
      <xdr:spPr bwMode="auto">
        <a:xfrm>
          <a:off x="26776913" y="796085894"/>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2631</xdr:row>
      <xdr:rowOff>19843</xdr:rowOff>
    </xdr:from>
    <xdr:to>
      <xdr:col>3</xdr:col>
      <xdr:colOff>1629922</xdr:colOff>
      <xdr:row>2631</xdr:row>
      <xdr:rowOff>293443</xdr:rowOff>
    </xdr:to>
    <xdr:sp macro="[0]!COMBINAR" textlink="">
      <xdr:nvSpPr>
        <xdr:cNvPr id="177" name="Rectángulo 176">
          <a:extLst>
            <a:ext uri="{FF2B5EF4-FFF2-40B4-BE49-F238E27FC236}">
              <a16:creationId xmlns:a16="http://schemas.microsoft.com/office/drawing/2014/main" id="{00000000-0008-0000-0400-0000B1000000}"/>
            </a:ext>
          </a:extLst>
        </xdr:cNvPr>
        <xdr:cNvSpPr/>
      </xdr:nvSpPr>
      <xdr:spPr bwMode="auto">
        <a:xfrm>
          <a:off x="1681657" y="79971162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2648</xdr:row>
      <xdr:rowOff>9721</xdr:rowOff>
    </xdr:from>
    <xdr:to>
      <xdr:col>21</xdr:col>
      <xdr:colOff>1525944</xdr:colOff>
      <xdr:row>2650</xdr:row>
      <xdr:rowOff>622042</xdr:rowOff>
    </xdr:to>
    <xdr:sp macro="" textlink="">
      <xdr:nvSpPr>
        <xdr:cNvPr id="178" name="Diagrama de flujo: intercalar 177">
          <a:extLst>
            <a:ext uri="{FF2B5EF4-FFF2-40B4-BE49-F238E27FC236}">
              <a16:creationId xmlns:a16="http://schemas.microsoft.com/office/drawing/2014/main" id="{00000000-0008-0000-0400-0000B2000000}"/>
            </a:ext>
          </a:extLst>
        </xdr:cNvPr>
        <xdr:cNvSpPr/>
      </xdr:nvSpPr>
      <xdr:spPr bwMode="auto">
        <a:xfrm>
          <a:off x="26776913" y="805329032"/>
          <a:ext cx="1496786" cy="1176046"/>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2661</xdr:row>
      <xdr:rowOff>19843</xdr:rowOff>
    </xdr:from>
    <xdr:to>
      <xdr:col>3</xdr:col>
      <xdr:colOff>1629922</xdr:colOff>
      <xdr:row>2661</xdr:row>
      <xdr:rowOff>293443</xdr:rowOff>
    </xdr:to>
    <xdr:sp macro="[0]!COMBINAR" textlink="">
      <xdr:nvSpPr>
        <xdr:cNvPr id="179" name="Rectángulo 178">
          <a:extLst>
            <a:ext uri="{FF2B5EF4-FFF2-40B4-BE49-F238E27FC236}">
              <a16:creationId xmlns:a16="http://schemas.microsoft.com/office/drawing/2014/main" id="{00000000-0008-0000-0400-0000B3000000}"/>
            </a:ext>
          </a:extLst>
        </xdr:cNvPr>
        <xdr:cNvSpPr/>
      </xdr:nvSpPr>
      <xdr:spPr bwMode="auto">
        <a:xfrm>
          <a:off x="1681657" y="80895476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2678</xdr:row>
      <xdr:rowOff>9721</xdr:rowOff>
    </xdr:from>
    <xdr:to>
      <xdr:col>21</xdr:col>
      <xdr:colOff>1525944</xdr:colOff>
      <xdr:row>2680</xdr:row>
      <xdr:rowOff>622042</xdr:rowOff>
    </xdr:to>
    <xdr:sp macro="" textlink="">
      <xdr:nvSpPr>
        <xdr:cNvPr id="180" name="Diagrama de flujo: intercalar 179">
          <a:extLst>
            <a:ext uri="{FF2B5EF4-FFF2-40B4-BE49-F238E27FC236}">
              <a16:creationId xmlns:a16="http://schemas.microsoft.com/office/drawing/2014/main" id="{00000000-0008-0000-0400-0000B4000000}"/>
            </a:ext>
          </a:extLst>
        </xdr:cNvPr>
        <xdr:cNvSpPr/>
      </xdr:nvSpPr>
      <xdr:spPr bwMode="auto">
        <a:xfrm>
          <a:off x="26776913" y="814572170"/>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2691</xdr:row>
      <xdr:rowOff>19843</xdr:rowOff>
    </xdr:from>
    <xdr:to>
      <xdr:col>3</xdr:col>
      <xdr:colOff>1629922</xdr:colOff>
      <xdr:row>2691</xdr:row>
      <xdr:rowOff>293443</xdr:rowOff>
    </xdr:to>
    <xdr:sp macro="[0]!COMBINAR" textlink="">
      <xdr:nvSpPr>
        <xdr:cNvPr id="181" name="Rectángulo 180">
          <a:extLst>
            <a:ext uri="{FF2B5EF4-FFF2-40B4-BE49-F238E27FC236}">
              <a16:creationId xmlns:a16="http://schemas.microsoft.com/office/drawing/2014/main" id="{00000000-0008-0000-0400-0000B5000000}"/>
            </a:ext>
          </a:extLst>
        </xdr:cNvPr>
        <xdr:cNvSpPr/>
      </xdr:nvSpPr>
      <xdr:spPr bwMode="auto">
        <a:xfrm>
          <a:off x="1681657" y="81819790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21</xdr:col>
      <xdr:colOff>29158</xdr:colOff>
      <xdr:row>2708</xdr:row>
      <xdr:rowOff>9721</xdr:rowOff>
    </xdr:from>
    <xdr:to>
      <xdr:col>21</xdr:col>
      <xdr:colOff>1525944</xdr:colOff>
      <xdr:row>2710</xdr:row>
      <xdr:rowOff>622042</xdr:rowOff>
    </xdr:to>
    <xdr:sp macro="" textlink="">
      <xdr:nvSpPr>
        <xdr:cNvPr id="182" name="Diagrama de flujo: intercalar 181">
          <a:extLst>
            <a:ext uri="{FF2B5EF4-FFF2-40B4-BE49-F238E27FC236}">
              <a16:creationId xmlns:a16="http://schemas.microsoft.com/office/drawing/2014/main" id="{00000000-0008-0000-0400-0000B6000000}"/>
            </a:ext>
          </a:extLst>
        </xdr:cNvPr>
        <xdr:cNvSpPr/>
      </xdr:nvSpPr>
      <xdr:spPr bwMode="auto">
        <a:xfrm>
          <a:off x="26776913" y="823815308"/>
          <a:ext cx="1496786" cy="1176045"/>
        </a:xfrm>
        <a:prstGeom prst="flowChartCollate">
          <a:avLst/>
        </a:prstGeom>
        <a:ln>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ramirez/Desktop/Matriz%20CMA/Correcciones%20Matriz%20Nuevas%20Formulas/Matriz%20CMA%20V1-3%20Mayor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23.bin"/><Relationship Id="rId4" Type="http://schemas.openxmlformats.org/officeDocument/2006/relationships/comments" Target="../comments4.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49"/>
  <sheetViews>
    <sheetView showGridLines="0" zoomScale="80" zoomScaleNormal="80" zoomScaleSheetLayoutView="80" workbookViewId="0">
      <selection activeCell="N16" sqref="N16"/>
    </sheetView>
  </sheetViews>
  <sheetFormatPr baseColWidth="10" defaultColWidth="0" defaultRowHeight="15" zeroHeight="1"/>
  <cols>
    <col min="1" max="1" width="1.85546875" customWidth="1"/>
    <col min="2" max="2" width="8" customWidth="1"/>
    <col min="3" max="3" width="3.7109375" customWidth="1"/>
    <col min="4" max="8" width="6.7109375" customWidth="1"/>
    <col min="9" max="9" width="23.28515625" customWidth="1"/>
    <col min="10" max="10" width="10.28515625" customWidth="1"/>
    <col min="11" max="12" width="16.7109375" customWidth="1"/>
    <col min="13" max="13" width="14.7109375" customWidth="1"/>
    <col min="14" max="14" width="18.85546875" customWidth="1"/>
    <col min="15" max="17" width="14.7109375" customWidth="1"/>
    <col min="18" max="19" width="11.42578125" customWidth="1"/>
    <col min="20" max="21" width="0" hidden="1" customWidth="1"/>
    <col min="22" max="16384" width="11.42578125" hidden="1"/>
  </cols>
  <sheetData>
    <row r="1" spans="2:15" s="2" customFormat="1" ht="26.25" customHeight="1">
      <c r="B1" s="692" t="s">
        <v>0</v>
      </c>
      <c r="C1" s="692"/>
      <c r="D1" s="692"/>
      <c r="E1" s="692"/>
      <c r="F1" s="692"/>
      <c r="G1" s="692"/>
      <c r="H1" s="692"/>
      <c r="I1" s="692"/>
      <c r="J1" s="692"/>
      <c r="K1" s="692"/>
      <c r="L1" s="692"/>
      <c r="M1" s="692"/>
    </row>
    <row r="2" spans="2:15" s="2" customFormat="1" ht="39.75" customHeight="1">
      <c r="B2" s="692" t="s">
        <v>1</v>
      </c>
      <c r="C2" s="692"/>
      <c r="D2" s="692"/>
      <c r="E2" s="692"/>
      <c r="F2" s="692"/>
      <c r="G2" s="692"/>
      <c r="H2" s="692"/>
      <c r="I2" s="692"/>
      <c r="J2" s="692"/>
      <c r="K2" s="692"/>
      <c r="L2" s="692"/>
      <c r="M2" s="692"/>
    </row>
    <row r="3" spans="2:15" s="2" customFormat="1" ht="18" customHeight="1">
      <c r="B3" s="693" t="s">
        <v>2</v>
      </c>
      <c r="C3" s="693"/>
      <c r="D3" s="693"/>
      <c r="E3" s="693"/>
      <c r="F3" s="693"/>
      <c r="G3" s="693"/>
      <c r="H3" s="693"/>
      <c r="I3" s="693"/>
      <c r="J3" s="693"/>
      <c r="K3" s="693"/>
      <c r="L3" s="693"/>
      <c r="M3" s="693"/>
    </row>
    <row r="4" spans="2:15" s="4" customFormat="1" ht="18" customHeight="1">
      <c r="B4" s="695" t="s">
        <v>3</v>
      </c>
      <c r="C4" s="695"/>
      <c r="D4" s="695"/>
      <c r="E4" s="695"/>
      <c r="F4" s="695"/>
      <c r="G4" s="695"/>
      <c r="H4" s="695"/>
      <c r="I4" s="695"/>
      <c r="J4" s="695"/>
      <c r="K4" s="695"/>
      <c r="L4" s="695"/>
      <c r="M4" s="695"/>
    </row>
    <row r="5" spans="2:15" s="2" customFormat="1" ht="10.5" customHeight="1">
      <c r="B5" s="3"/>
      <c r="C5" s="3"/>
      <c r="D5" s="3"/>
      <c r="E5" s="3"/>
      <c r="F5" s="3"/>
      <c r="G5" s="3"/>
      <c r="H5" s="3"/>
      <c r="I5" s="3"/>
      <c r="J5" s="3"/>
      <c r="K5" s="3"/>
      <c r="L5" s="3"/>
      <c r="M5" s="1"/>
    </row>
    <row r="6" spans="2:15" s="2" customFormat="1" ht="14.25" customHeight="1">
      <c r="B6" s="693" t="s">
        <v>4</v>
      </c>
      <c r="C6" s="693"/>
      <c r="D6" s="693"/>
      <c r="E6" s="693"/>
      <c r="F6" s="693"/>
      <c r="G6" s="693"/>
      <c r="H6" s="693"/>
      <c r="I6" s="693"/>
      <c r="J6" s="693"/>
      <c r="K6" s="693"/>
      <c r="L6" s="693"/>
      <c r="M6" s="693"/>
    </row>
    <row r="7" spans="2:15" s="2" customFormat="1" ht="11.25" customHeight="1">
      <c r="B7" s="694" t="s">
        <v>5</v>
      </c>
      <c r="C7" s="694"/>
      <c r="D7" s="694"/>
      <c r="E7" s="694"/>
      <c r="F7" s="694"/>
      <c r="G7" s="694"/>
      <c r="H7" s="694"/>
      <c r="I7" s="694"/>
      <c r="J7" s="694"/>
      <c r="K7" s="694"/>
      <c r="L7" s="694"/>
      <c r="M7" s="694"/>
    </row>
    <row r="8" spans="2:15" s="2" customFormat="1" ht="12.75" customHeight="1">
      <c r="B8" s="3"/>
      <c r="C8" s="3"/>
      <c r="D8" s="3"/>
      <c r="E8" s="3"/>
      <c r="F8" s="3"/>
      <c r="G8" s="3"/>
      <c r="H8" s="3"/>
      <c r="I8" s="3"/>
      <c r="J8" s="3"/>
      <c r="K8" s="3"/>
      <c r="L8" s="3"/>
      <c r="M8" s="1"/>
    </row>
    <row r="9" spans="2:15" s="2" customFormat="1" ht="65.25" customHeight="1" thickBot="1">
      <c r="B9" s="694" t="str">
        <f>"OBJETO: "&amp;C16</f>
        <v>OBJETO: INTERVENTORÍA TECNICA, ADMINISTRATIVA, FINANCIERA Y AMBIENTAL PARA EL MANTENIMIENTO Y MEJORAMIENTO DE VIAS TERCIARIAS DEL PROGRAMA "COLOMBIA RURAL" EN LOS MUNICIPIOS DEL DEPARTAMENTO DEL TOLIMA - GRUPO II.</v>
      </c>
      <c r="C9" s="694"/>
      <c r="D9" s="694"/>
      <c r="E9" s="694"/>
      <c r="F9" s="694"/>
      <c r="G9" s="694"/>
      <c r="H9" s="694"/>
      <c r="I9" s="694"/>
      <c r="J9" s="694"/>
      <c r="K9" s="694"/>
      <c r="L9" s="694"/>
      <c r="M9" s="465"/>
    </row>
    <row r="10" spans="2:15" s="2" customFormat="1" ht="13.5" hidden="1" thickBot="1">
      <c r="B10" s="3"/>
      <c r="C10" s="3"/>
      <c r="D10" s="3"/>
      <c r="E10" s="3"/>
      <c r="F10" s="3"/>
      <c r="G10" s="3"/>
      <c r="H10" s="3"/>
      <c r="I10" s="3"/>
      <c r="J10" s="3"/>
      <c r="K10" s="3"/>
      <c r="L10" s="3"/>
      <c r="M10" s="1"/>
    </row>
    <row r="11" spans="2:15" s="2" customFormat="1" ht="21" hidden="1" thickBot="1">
      <c r="B11" s="669" t="s">
        <v>6</v>
      </c>
      <c r="C11" s="669"/>
      <c r="D11" s="669"/>
      <c r="E11" s="669"/>
      <c r="F11" s="669"/>
      <c r="G11" s="669"/>
      <c r="H11" s="669"/>
      <c r="I11" s="669"/>
      <c r="J11" s="669"/>
      <c r="K11" s="669"/>
      <c r="L11" s="669"/>
      <c r="M11" s="669"/>
    </row>
    <row r="12" spans="2:15" ht="15.75" hidden="1" customHeight="1" thickBot="1"/>
    <row r="13" spans="2:15" s="21" customFormat="1" ht="36.75" customHeight="1">
      <c r="B13" s="670" t="s">
        <v>7</v>
      </c>
      <c r="C13" s="676" t="s">
        <v>8</v>
      </c>
      <c r="D13" s="702"/>
      <c r="E13" s="702"/>
      <c r="F13" s="702"/>
      <c r="G13" s="702"/>
      <c r="H13" s="703"/>
      <c r="I13" s="676" t="s">
        <v>9</v>
      </c>
      <c r="J13" s="677"/>
      <c r="K13" s="707"/>
      <c r="L13" s="392"/>
      <c r="M13" s="700" t="s">
        <v>10</v>
      </c>
      <c r="N13" s="666" t="s">
        <v>11</v>
      </c>
      <c r="O13" s="666" t="s">
        <v>12</v>
      </c>
    </row>
    <row r="14" spans="2:15" s="21" customFormat="1" ht="40.5" customHeight="1" thickBot="1">
      <c r="B14" s="671"/>
      <c r="C14" s="704"/>
      <c r="D14" s="705"/>
      <c r="E14" s="705"/>
      <c r="F14" s="705"/>
      <c r="G14" s="705"/>
      <c r="H14" s="706"/>
      <c r="I14" s="486" t="s">
        <v>13</v>
      </c>
      <c r="J14" s="487" t="s">
        <v>14</v>
      </c>
      <c r="K14" s="708"/>
      <c r="L14" s="392"/>
      <c r="M14" s="701"/>
      <c r="N14" s="667"/>
      <c r="O14" s="667"/>
    </row>
    <row r="15" spans="2:15" s="5" customFormat="1" ht="2.25" customHeight="1">
      <c r="B15" s="16"/>
      <c r="C15" s="14"/>
      <c r="D15" s="14"/>
      <c r="E15" s="14"/>
      <c r="F15" s="14"/>
      <c r="G15" s="14"/>
      <c r="H15" s="14"/>
      <c r="I15" s="14"/>
      <c r="J15" s="454"/>
      <c r="K15" s="393"/>
      <c r="L15" s="393"/>
      <c r="M15" s="188"/>
      <c r="N15" s="188"/>
      <c r="O15" s="188"/>
    </row>
    <row r="16" spans="2:15" s="21" customFormat="1" ht="86.25" customHeight="1">
      <c r="B16" s="455">
        <v>1</v>
      </c>
      <c r="C16" s="678" t="s">
        <v>15</v>
      </c>
      <c r="D16" s="679"/>
      <c r="E16" s="679"/>
      <c r="F16" s="679"/>
      <c r="G16" s="679"/>
      <c r="H16" s="680"/>
      <c r="I16" s="456">
        <v>300000000</v>
      </c>
      <c r="J16" s="488">
        <f ca="1">IF(I16="","",I16/SALACTUAL)</f>
        <v>300</v>
      </c>
      <c r="K16" s="452"/>
      <c r="L16" s="453"/>
      <c r="M16" s="395">
        <v>90</v>
      </c>
      <c r="N16" s="379">
        <v>4975.58</v>
      </c>
      <c r="O16" s="394">
        <f>(N16-INT(N16))*100</f>
        <v>57.999999999992724</v>
      </c>
    </row>
    <row r="17" spans="2:15" s="2" customFormat="1" ht="15.75" customHeight="1" thickBot="1">
      <c r="B17" s="390"/>
      <c r="C17" s="390"/>
      <c r="D17" s="390"/>
      <c r="E17" s="391"/>
      <c r="F17" s="712"/>
      <c r="G17" s="712"/>
      <c r="H17" s="712"/>
      <c r="I17" s="712"/>
      <c r="J17"/>
      <c r="K17"/>
      <c r="L17"/>
      <c r="M17" s="604" t="s">
        <v>16</v>
      </c>
      <c r="N17" s="696" t="s">
        <v>17</v>
      </c>
      <c r="O17" s="696"/>
    </row>
    <row r="18" spans="2:15" s="2" customFormat="1" ht="33.75" customHeight="1">
      <c r="B18"/>
      <c r="C18"/>
      <c r="D18"/>
      <c r="E18"/>
      <c r="F18"/>
      <c r="G18"/>
      <c r="H18"/>
      <c r="I18"/>
      <c r="J18"/>
      <c r="K18"/>
      <c r="L18"/>
    </row>
    <row r="19" spans="2:15" s="2" customFormat="1" ht="27.75" customHeight="1" thickBot="1">
      <c r="B19" s="668" t="s">
        <v>18</v>
      </c>
      <c r="C19" s="668"/>
      <c r="D19" s="668"/>
      <c r="E19" s="668"/>
      <c r="F19" s="668"/>
      <c r="G19" s="668"/>
      <c r="H19" s="668"/>
      <c r="I19" s="668"/>
      <c r="J19" s="668"/>
      <c r="K19" s="668"/>
      <c r="L19" s="668"/>
      <c r="M19" s="669"/>
    </row>
    <row r="20" spans="2:15" s="2" customFormat="1" ht="15.6" customHeight="1" thickTop="1" thickBot="1">
      <c r="B20" s="689" t="s">
        <v>19</v>
      </c>
      <c r="C20" s="690"/>
      <c r="D20" s="690"/>
      <c r="E20" s="690"/>
      <c r="F20" s="690"/>
      <c r="G20" s="690"/>
      <c r="H20" s="690"/>
      <c r="I20" s="690"/>
      <c r="J20" s="690"/>
      <c r="K20" s="691"/>
      <c r="L20" s="53">
        <v>29221</v>
      </c>
      <c r="M20" s="152"/>
    </row>
    <row r="21" spans="2:15" s="2" customFormat="1" ht="15.6" customHeight="1" thickTop="1" thickBot="1">
      <c r="B21" s="689" t="s">
        <v>20</v>
      </c>
      <c r="C21" s="690"/>
      <c r="D21" s="690"/>
      <c r="E21" s="690"/>
      <c r="F21" s="690"/>
      <c r="G21" s="690"/>
      <c r="H21" s="690"/>
      <c r="I21" s="690"/>
      <c r="J21" s="690"/>
      <c r="K21" s="691"/>
      <c r="L21" s="256">
        <v>44865</v>
      </c>
    </row>
    <row r="22" spans="2:15" s="2" customFormat="1" ht="15.6" customHeight="1" thickTop="1" thickBot="1">
      <c r="B22" s="722"/>
      <c r="C22" s="722"/>
      <c r="D22" s="722"/>
      <c r="E22" s="722"/>
      <c r="F22" s="722"/>
      <c r="G22" s="722"/>
      <c r="H22" s="722"/>
      <c r="I22" s="722"/>
      <c r="J22" s="722"/>
      <c r="K22" s="722"/>
      <c r="L22" s="15"/>
    </row>
    <row r="23" spans="2:15" s="2" customFormat="1" ht="17.25" customHeight="1" thickBot="1">
      <c r="B23" s="681">
        <v>1</v>
      </c>
      <c r="C23" s="682"/>
      <c r="D23" s="682"/>
      <c r="E23" s="682"/>
      <c r="F23" s="682"/>
      <c r="G23" s="683"/>
      <c r="H23" s="723" t="s">
        <v>21</v>
      </c>
      <c r="I23" s="724"/>
      <c r="J23" s="724"/>
      <c r="K23" s="724"/>
      <c r="L23" s="489"/>
    </row>
    <row r="24" spans="2:15" ht="15.75" customHeight="1" thickBot="1"/>
    <row r="25" spans="2:15" s="2" customFormat="1" ht="42.75" customHeight="1" thickBot="1">
      <c r="B25" s="684" t="s">
        <v>22</v>
      </c>
      <c r="C25" s="685"/>
      <c r="D25" s="685"/>
      <c r="E25" s="685"/>
      <c r="F25" s="685"/>
      <c r="G25" s="673"/>
      <c r="H25" s="672" t="s">
        <v>23</v>
      </c>
      <c r="I25" s="673"/>
      <c r="J25" s="490" t="s">
        <v>24</v>
      </c>
      <c r="K25" s="491" t="s">
        <v>25</v>
      </c>
      <c r="L25" s="492" t="s">
        <v>26</v>
      </c>
    </row>
    <row r="26" spans="2:15" s="2" customFormat="1" ht="129" customHeight="1" thickBot="1">
      <c r="B26" s="686">
        <f>NUMMOD</f>
        <v>1</v>
      </c>
      <c r="C26" s="687"/>
      <c r="D26" s="687"/>
      <c r="E26" s="687"/>
      <c r="F26" s="687"/>
      <c r="G26" s="688"/>
      <c r="H26" s="674" t="str">
        <f>C16</f>
        <v>INTERVENTORÍA TECNICA, ADMINISTRATIVA, FINANCIERA Y AMBIENTAL PARA EL MANTENIMIENTO Y MEJORAMIENTO DE VIAS TERCIARIAS DEL PROGRAMA "COLOMBIA RURAL" EN LOS MUNICIPIOS DEL DEPARTAMENTO DEL TOLIMA - GRUPO II.</v>
      </c>
      <c r="I26" s="675"/>
      <c r="J26" s="92">
        <v>69</v>
      </c>
      <c r="K26" s="92">
        <v>1</v>
      </c>
      <c r="L26" s="92">
        <v>6</v>
      </c>
      <c r="M26" s="106"/>
    </row>
    <row r="27" spans="2:15" s="2" customFormat="1" ht="15" customHeight="1" thickBot="1">
      <c r="B27"/>
      <c r="C27"/>
      <c r="D27"/>
      <c r="E27"/>
      <c r="F27"/>
      <c r="G27"/>
      <c r="H27"/>
      <c r="I27"/>
      <c r="K27"/>
      <c r="L27"/>
      <c r="M27"/>
    </row>
    <row r="28" spans="2:15" s="2" customFormat="1" ht="20.25" customHeight="1" thickBot="1">
      <c r="B28" s="681">
        <v>2</v>
      </c>
      <c r="C28" s="682"/>
      <c r="D28" s="682"/>
      <c r="E28" s="682"/>
      <c r="F28" s="682"/>
      <c r="G28" s="683"/>
      <c r="H28" s="723" t="s">
        <v>27</v>
      </c>
      <c r="I28" s="724"/>
      <c r="J28" s="724"/>
      <c r="K28" s="724"/>
      <c r="L28" s="725"/>
    </row>
    <row r="29" spans="2:15" s="2" customFormat="1" ht="24.75" customHeight="1" thickBot="1">
      <c r="B29"/>
      <c r="C29"/>
      <c r="D29"/>
      <c r="E29"/>
      <c r="F29"/>
      <c r="G29"/>
      <c r="I29"/>
      <c r="J29"/>
      <c r="K29"/>
      <c r="L29"/>
    </row>
    <row r="30" spans="2:15" s="2" customFormat="1" ht="15" customHeight="1" thickBot="1">
      <c r="B30" s="697" t="s">
        <v>28</v>
      </c>
      <c r="C30" s="698"/>
      <c r="D30" s="698"/>
      <c r="E30" s="698"/>
      <c r="F30" s="698"/>
      <c r="G30" s="699"/>
      <c r="H30" s="713" t="s">
        <v>27</v>
      </c>
      <c r="I30" s="714"/>
      <c r="J30" s="714"/>
      <c r="K30" s="715"/>
      <c r="L30" s="493" t="s">
        <v>29</v>
      </c>
    </row>
    <row r="31" spans="2:15" s="2" customFormat="1" ht="15" customHeight="1">
      <c r="B31" s="709">
        <v>1</v>
      </c>
      <c r="C31" s="710"/>
      <c r="D31" s="710"/>
      <c r="E31" s="710"/>
      <c r="F31" s="710"/>
      <c r="G31" s="711"/>
      <c r="H31" s="716" t="str">
        <f>UPPER("Vinculación trabajadores con discapacidad en planta de personal")</f>
        <v>VINCULACIÓN TRABAJADORES CON DISCAPACIDAD EN PLANTA DE PERSONAL</v>
      </c>
      <c r="I31" s="717"/>
      <c r="J31" s="717"/>
      <c r="K31" s="718"/>
      <c r="L31" s="257" t="s">
        <v>30</v>
      </c>
    </row>
    <row r="32" spans="2:15" s="2" customFormat="1" ht="15" customHeight="1" thickBot="1">
      <c r="B32" s="663">
        <v>2</v>
      </c>
      <c r="C32" s="664"/>
      <c r="D32" s="664"/>
      <c r="E32" s="664"/>
      <c r="F32" s="664"/>
      <c r="G32" s="665"/>
      <c r="H32" s="719" t="s">
        <v>31</v>
      </c>
      <c r="I32" s="720"/>
      <c r="J32" s="720"/>
      <c r="K32" s="721"/>
      <c r="L32" s="240" t="s">
        <v>32</v>
      </c>
    </row>
    <row r="33" spans="2:13" s="2" customFormat="1" ht="15" customHeight="1" thickBot="1">
      <c r="B33" s="663">
        <v>3</v>
      </c>
      <c r="C33" s="664"/>
      <c r="D33" s="664"/>
      <c r="E33" s="664"/>
      <c r="F33" s="664"/>
      <c r="G33" s="665"/>
      <c r="H33" s="660" t="s">
        <v>33</v>
      </c>
      <c r="I33" s="661"/>
      <c r="J33" s="661"/>
      <c r="K33" s="662"/>
      <c r="L33" s="240" t="s">
        <v>34</v>
      </c>
    </row>
    <row r="34" spans="2:13" s="2" customFormat="1" ht="24.75" customHeight="1">
      <c r="B34"/>
      <c r="C34"/>
      <c r="D34"/>
      <c r="E34"/>
      <c r="F34"/>
      <c r="G34"/>
      <c r="H34"/>
      <c r="I34"/>
      <c r="J34" s="17"/>
      <c r="K34"/>
      <c r="L34"/>
      <c r="M34"/>
    </row>
    <row r="35" spans="2:13" s="2" customFormat="1" ht="22.5" customHeight="1">
      <c r="B35"/>
      <c r="C35"/>
      <c r="D35"/>
      <c r="E35"/>
      <c r="F35"/>
      <c r="G35"/>
      <c r="H35"/>
      <c r="I35"/>
      <c r="J35"/>
      <c r="K35"/>
      <c r="L35"/>
      <c r="M35"/>
    </row>
    <row r="36" spans="2:13" s="2" customFormat="1" ht="21" customHeight="1">
      <c r="B36"/>
      <c r="C36"/>
      <c r="D36"/>
      <c r="E36"/>
      <c r="F36"/>
      <c r="G36"/>
      <c r="H36"/>
      <c r="I36"/>
      <c r="J36"/>
      <c r="K36"/>
      <c r="L36"/>
      <c r="M36"/>
    </row>
    <row r="37" spans="2:13" s="2" customFormat="1" ht="16.5" customHeight="1">
      <c r="B37"/>
      <c r="C37"/>
      <c r="D37"/>
      <c r="E37"/>
      <c r="F37"/>
      <c r="G37"/>
      <c r="H37"/>
      <c r="I37"/>
      <c r="J37"/>
      <c r="K37"/>
      <c r="L37"/>
      <c r="M37"/>
    </row>
    <row r="38" spans="2:13" s="2" customFormat="1" ht="14.25" customHeight="1">
      <c r="B38"/>
      <c r="C38"/>
      <c r="D38"/>
      <c r="E38"/>
      <c r="F38"/>
      <c r="G38"/>
      <c r="H38"/>
      <c r="I38"/>
      <c r="J38"/>
      <c r="K38"/>
      <c r="L38"/>
      <c r="M38"/>
    </row>
    <row r="39" spans="2:13" s="2" customFormat="1" ht="15.75" customHeight="1">
      <c r="B39"/>
      <c r="C39"/>
      <c r="D39"/>
      <c r="E39"/>
      <c r="F39"/>
      <c r="G39"/>
      <c r="H39"/>
      <c r="I39"/>
      <c r="J39"/>
      <c r="K39"/>
      <c r="L39"/>
      <c r="M39"/>
    </row>
    <row r="40" spans="2:13" s="2" customFormat="1" ht="34.5" customHeight="1">
      <c r="B40"/>
      <c r="C40"/>
      <c r="D40"/>
      <c r="E40"/>
      <c r="F40"/>
      <c r="G40"/>
      <c r="H40"/>
      <c r="I40"/>
      <c r="J40"/>
      <c r="K40"/>
      <c r="L40"/>
      <c r="M40"/>
    </row>
    <row r="41" spans="2:13" ht="30" customHeight="1"/>
    <row r="42" spans="2:13" ht="16.5" customHeight="1"/>
    <row r="43" spans="2:13" ht="34.5" customHeight="1"/>
    <row r="44" spans="2:13"/>
    <row r="45" spans="2:13"/>
    <row r="46" spans="2:13"/>
    <row r="47" spans="2:13"/>
    <row r="48" spans="2:13"/>
    <row r="49"/>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 right="0" top="0" bottom="0" header="0" footer="0"/>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 right="0" top="0" bottom="0" header="0" footer="0"/>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8">
    <mergeCell ref="B9:L9"/>
    <mergeCell ref="B31:G31"/>
    <mergeCell ref="B32:G32"/>
    <mergeCell ref="F17:I17"/>
    <mergeCell ref="H30:K30"/>
    <mergeCell ref="H31:K31"/>
    <mergeCell ref="H32:K32"/>
    <mergeCell ref="B22:K22"/>
    <mergeCell ref="H23:K23"/>
    <mergeCell ref="H28:L28"/>
    <mergeCell ref="N17:O17"/>
    <mergeCell ref="B30:G30"/>
    <mergeCell ref="B11:M11"/>
    <mergeCell ref="M13:M14"/>
    <mergeCell ref="C13:H14"/>
    <mergeCell ref="K13:K14"/>
    <mergeCell ref="B1:M1"/>
    <mergeCell ref="B2:M2"/>
    <mergeCell ref="B3:M3"/>
    <mergeCell ref="B6:M6"/>
    <mergeCell ref="B7:M7"/>
    <mergeCell ref="B4:M4"/>
    <mergeCell ref="H33:K33"/>
    <mergeCell ref="B33:G33"/>
    <mergeCell ref="N13:N14"/>
    <mergeCell ref="O13:O14"/>
    <mergeCell ref="B19:M19"/>
    <mergeCell ref="B13:B14"/>
    <mergeCell ref="H25:I25"/>
    <mergeCell ref="H26:I26"/>
    <mergeCell ref="I13:J13"/>
    <mergeCell ref="C16:H16"/>
    <mergeCell ref="B23:G23"/>
    <mergeCell ref="B25:G25"/>
    <mergeCell ref="B26:G26"/>
    <mergeCell ref="B28:G28"/>
    <mergeCell ref="B20:K20"/>
    <mergeCell ref="B21:K21"/>
  </mergeCells>
  <phoneticPr fontId="21" type="noConversion"/>
  <dataValidations disablePrompts="1"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3616BE54-9028-4D20-A93E-35E43630F0DE}">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5" r:id="rId6" name="PUBLICA">
              <controlPr locked="0" defaultSize="0" print="0" autoFill="0" autoPict="0" macro="[0]!MATRIZ_A_PUBLICAR">
                <anchor>
                  <from>
                    <xdr:col>10</xdr:col>
                    <xdr:colOff>38100</xdr:colOff>
                    <xdr:row>12</xdr:row>
                    <xdr:rowOff>47625</xdr:rowOff>
                  </from>
                  <to>
                    <xdr:col>10</xdr:col>
                    <xdr:colOff>1076325</xdr:colOff>
                    <xdr:row>13</xdr:row>
                    <xdr:rowOff>476250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110"/>
  <sheetViews>
    <sheetView showGridLines="0" topLeftCell="A68" zoomScale="115" zoomScaleNormal="115" workbookViewId="0">
      <selection activeCell="D88" sqref="D88"/>
    </sheetView>
  </sheetViews>
  <sheetFormatPr baseColWidth="10" defaultColWidth="0" defaultRowHeight="15"/>
  <cols>
    <col min="1" max="1" width="1.85546875" customWidth="1"/>
    <col min="2" max="2" width="7.140625" customWidth="1"/>
    <col min="3" max="3" width="12.85546875" bestFit="1" customWidth="1"/>
    <col min="4" max="4" width="63.7109375" customWidth="1"/>
    <col min="5" max="5" width="11.42578125" bestFit="1" customWidth="1"/>
    <col min="6" max="6" width="2.28515625" customWidth="1"/>
    <col min="7" max="7" width="17.5703125" customWidth="1"/>
    <col min="8" max="8" width="17.5703125" hidden="1" customWidth="1"/>
    <col min="9" max="9" width="0" hidden="1" customWidth="1"/>
    <col min="10" max="19" width="2.7109375" style="66" customWidth="1"/>
    <col min="20" max="20" width="11.42578125" customWidth="1"/>
    <col min="21" max="16384" width="11.42578125" hidden="1"/>
  </cols>
  <sheetData>
    <row r="1" spans="2:19" s="4" customFormat="1" ht="15" customHeight="1">
      <c r="B1" s="729" t="s">
        <v>0</v>
      </c>
      <c r="C1" s="729"/>
      <c r="D1" s="729"/>
      <c r="E1" s="729"/>
      <c r="J1" s="297"/>
      <c r="K1" s="297"/>
      <c r="L1" s="297"/>
      <c r="M1" s="297"/>
      <c r="N1" s="297"/>
      <c r="O1" s="297"/>
      <c r="P1" s="297"/>
      <c r="Q1" s="297"/>
      <c r="R1" s="297"/>
      <c r="S1" s="297"/>
    </row>
    <row r="2" spans="2:19" s="2" customFormat="1" ht="15" customHeight="1">
      <c r="B2" s="729" t="str">
        <f>+PRESUPUESTOS!B2</f>
        <v>DIRECCIÓN GENERAL</v>
      </c>
      <c r="C2" s="729"/>
      <c r="D2" s="729"/>
      <c r="E2" s="729"/>
      <c r="J2" s="298"/>
      <c r="K2" s="298"/>
      <c r="L2" s="298"/>
      <c r="M2" s="298"/>
      <c r="N2" s="298"/>
      <c r="O2" s="298"/>
      <c r="P2" s="298"/>
      <c r="Q2" s="298"/>
      <c r="R2" s="298"/>
      <c r="S2" s="298"/>
    </row>
    <row r="3" spans="2:19" s="2" customFormat="1" ht="15" customHeight="1">
      <c r="B3" s="729" t="str">
        <f>+PRESUPUESTOS!B3</f>
        <v>DIRECCION JURIDICA</v>
      </c>
      <c r="C3" s="729"/>
      <c r="D3" s="729"/>
      <c r="E3" s="729"/>
      <c r="J3" s="298"/>
      <c r="K3" s="298"/>
      <c r="L3" s="298"/>
      <c r="M3" s="298"/>
      <c r="N3" s="298"/>
      <c r="O3" s="298"/>
      <c r="P3" s="298"/>
      <c r="Q3" s="298"/>
      <c r="R3" s="298"/>
      <c r="S3" s="298"/>
    </row>
    <row r="4" spans="2:19" s="2" customFormat="1" ht="12.75" customHeight="1">
      <c r="B4" s="729" t="str">
        <f>+PRESUPUESTOS!B4</f>
        <v>TERRITORIAL TOLIMA</v>
      </c>
      <c r="C4" s="729"/>
      <c r="D4" s="729"/>
      <c r="E4" s="729"/>
      <c r="J4" s="298"/>
      <c r="K4" s="298"/>
      <c r="L4" s="298"/>
      <c r="M4" s="298"/>
      <c r="N4" s="298"/>
      <c r="O4" s="298"/>
      <c r="P4" s="298"/>
      <c r="Q4" s="298"/>
      <c r="R4" s="298"/>
      <c r="S4" s="298"/>
    </row>
    <row r="5" spans="2:19" s="2" customFormat="1" ht="12.75">
      <c r="B5" s="29"/>
      <c r="C5" s="29"/>
      <c r="D5" s="29"/>
      <c r="E5" s="29"/>
      <c r="J5" s="298"/>
      <c r="K5" s="298"/>
      <c r="L5" s="298"/>
      <c r="M5" s="298"/>
      <c r="N5" s="298"/>
      <c r="O5" s="298"/>
      <c r="P5" s="298"/>
      <c r="Q5" s="298"/>
      <c r="R5" s="298"/>
      <c r="S5" s="298"/>
    </row>
    <row r="6" spans="2:19" s="2" customFormat="1" ht="12.75">
      <c r="B6" s="729" t="str">
        <f>+PRESUPUESTOS!B6</f>
        <v>CONCURSO DE MÉRITOS ABIERTO</v>
      </c>
      <c r="C6" s="729"/>
      <c r="D6" s="729"/>
      <c r="E6" s="729"/>
      <c r="J6" s="298"/>
      <c r="K6" s="298"/>
      <c r="L6" s="298"/>
      <c r="M6" s="298"/>
      <c r="N6" s="298"/>
      <c r="O6" s="298"/>
      <c r="P6" s="298"/>
      <c r="Q6" s="298"/>
      <c r="R6" s="298"/>
      <c r="S6" s="298"/>
    </row>
    <row r="7" spans="2:19" s="2" customFormat="1" ht="12.75" customHeight="1">
      <c r="B7" s="729" t="str">
        <f>+PRESUPUESTOS!B7</f>
        <v>CMA-DT-TOL-001-2022</v>
      </c>
      <c r="C7" s="729"/>
      <c r="D7" s="729"/>
      <c r="E7" s="729"/>
      <c r="J7" s="298"/>
      <c r="K7" s="298"/>
      <c r="L7" s="298"/>
      <c r="M7" s="298"/>
      <c r="N7" s="298"/>
      <c r="O7" s="298"/>
      <c r="P7" s="298"/>
      <c r="Q7" s="298"/>
      <c r="R7" s="298"/>
      <c r="S7" s="298"/>
    </row>
    <row r="8" spans="2:19" s="2" customFormat="1" ht="16.5" customHeight="1">
      <c r="B8" s="29"/>
      <c r="C8" s="29"/>
      <c r="D8" s="29"/>
      <c r="E8" s="29"/>
      <c r="J8" s="298"/>
      <c r="K8" s="298"/>
      <c r="L8" s="298"/>
      <c r="M8" s="298"/>
      <c r="N8" s="298"/>
      <c r="O8" s="298"/>
      <c r="P8" s="298"/>
      <c r="Q8" s="298"/>
      <c r="R8" s="298"/>
      <c r="S8" s="298"/>
    </row>
    <row r="9" spans="2:19" s="2" customFormat="1" ht="42" customHeight="1">
      <c r="B9" s="729" t="str">
        <f>PRESUPUESTOS!B9</f>
        <v>OBJETO: INTERVENTORÍA TECNICA, ADMINISTRATIVA, FINANCIERA Y AMBIENTAL PARA EL MANTENIMIENTO Y MEJORAMIENTO DE VIAS TERCIARIAS DEL PROGRAMA "COLOMBIA RURAL" EN LOS MUNICIPIOS DEL DEPARTAMENTO DEL TOLIMA - GRUPO II.</v>
      </c>
      <c r="C9" s="729"/>
      <c r="D9" s="729"/>
      <c r="E9" s="729"/>
      <c r="J9" s="298"/>
      <c r="K9" s="298"/>
      <c r="L9" s="298"/>
      <c r="M9" s="298"/>
      <c r="N9" s="298"/>
      <c r="O9" s="298"/>
      <c r="P9" s="298"/>
      <c r="Q9" s="298"/>
      <c r="R9" s="298"/>
      <c r="S9" s="298"/>
    </row>
    <row r="10" spans="2:19" s="2" customFormat="1" ht="12.75" customHeight="1">
      <c r="B10" s="29"/>
      <c r="C10" s="29"/>
      <c r="D10" s="29"/>
      <c r="E10" s="29"/>
      <c r="J10" s="298"/>
      <c r="K10" s="298"/>
      <c r="L10" s="298"/>
      <c r="M10" s="298"/>
      <c r="N10" s="298"/>
      <c r="O10" s="298"/>
      <c r="P10" s="298"/>
      <c r="Q10" s="298"/>
      <c r="R10" s="298"/>
      <c r="S10" s="298"/>
    </row>
    <row r="11" spans="2:19" s="2" customFormat="1" ht="12.75" customHeight="1">
      <c r="B11" s="729"/>
      <c r="C11" s="729"/>
      <c r="D11" s="729"/>
      <c r="E11" s="729"/>
      <c r="J11" s="298"/>
      <c r="K11" s="298"/>
      <c r="L11" s="298"/>
      <c r="M11" s="298"/>
      <c r="N11" s="298"/>
      <c r="O11" s="298"/>
      <c r="P11" s="298"/>
      <c r="Q11" s="298"/>
      <c r="R11" s="298"/>
      <c r="S11" s="298"/>
    </row>
    <row r="12" spans="2:19" s="2" customFormat="1" ht="12.75">
      <c r="B12" s="29"/>
      <c r="C12" s="29"/>
      <c r="D12" s="29"/>
      <c r="E12" s="29"/>
      <c r="J12" s="298"/>
      <c r="K12" s="298"/>
      <c r="L12" s="298"/>
      <c r="M12" s="298"/>
      <c r="N12" s="298"/>
      <c r="O12" s="298"/>
      <c r="P12" s="298"/>
      <c r="Q12" s="298"/>
      <c r="R12" s="298"/>
      <c r="S12" s="298"/>
    </row>
    <row r="13" spans="2:19" s="2" customFormat="1" ht="12.75" customHeight="1">
      <c r="B13" s="729" t="s">
        <v>35</v>
      </c>
      <c r="C13" s="729"/>
      <c r="D13" s="729"/>
      <c r="E13" s="729"/>
      <c r="J13" s="298"/>
      <c r="K13" s="298"/>
      <c r="L13" s="298"/>
      <c r="M13" s="298"/>
      <c r="N13" s="298"/>
      <c r="O13" s="298"/>
      <c r="P13" s="298"/>
      <c r="Q13" s="298"/>
      <c r="R13" s="298"/>
      <c r="S13" s="298"/>
    </row>
    <row r="14" spans="2:19" s="2" customFormat="1" ht="12.75" customHeight="1">
      <c r="B14" s="729" t="s">
        <v>36</v>
      </c>
      <c r="C14" s="729"/>
      <c r="D14" s="729"/>
      <c r="E14" s="729"/>
      <c r="J14" s="298"/>
      <c r="K14" s="298"/>
      <c r="L14" s="298"/>
      <c r="M14" s="298"/>
      <c r="N14" s="298"/>
      <c r="O14" s="298"/>
      <c r="P14" s="298"/>
      <c r="Q14" s="298"/>
      <c r="R14" s="298"/>
      <c r="S14" s="298"/>
    </row>
    <row r="15" spans="2:19" s="2" customFormat="1" ht="14.25" customHeight="1" thickBot="1">
      <c r="B15" s="3"/>
      <c r="C15" s="3"/>
      <c r="D15" s="3"/>
      <c r="E15" s="3"/>
      <c r="J15" s="298"/>
      <c r="K15" s="298"/>
      <c r="L15" s="298"/>
      <c r="M15" s="298"/>
      <c r="N15" s="298"/>
      <c r="O15" s="298"/>
      <c r="P15" s="298"/>
      <c r="Q15" s="298"/>
      <c r="R15" s="298"/>
      <c r="S15" s="298"/>
    </row>
    <row r="16" spans="2:19" s="2" customFormat="1" ht="18.75" customHeight="1" thickTop="1">
      <c r="B16" s="731" t="s">
        <v>37</v>
      </c>
      <c r="C16" s="494" t="s">
        <v>38</v>
      </c>
      <c r="D16" s="733" t="s">
        <v>39</v>
      </c>
      <c r="E16" s="734"/>
      <c r="F16" s="152"/>
      <c r="G16" s="730"/>
      <c r="H16" s="730"/>
      <c r="J16" s="726" t="s">
        <v>40</v>
      </c>
      <c r="K16" s="727"/>
      <c r="L16" s="727"/>
      <c r="M16" s="727"/>
      <c r="N16" s="727"/>
      <c r="O16" s="727"/>
      <c r="P16" s="727"/>
      <c r="Q16" s="727"/>
      <c r="R16" s="727"/>
      <c r="S16" s="728"/>
    </row>
    <row r="17" spans="2:19" s="2" customFormat="1" ht="26.25" thickBot="1">
      <c r="B17" s="732"/>
      <c r="C17" s="495" t="s">
        <v>41</v>
      </c>
      <c r="D17" s="496" t="s">
        <v>42</v>
      </c>
      <c r="E17" s="497" t="s">
        <v>43</v>
      </c>
      <c r="F17" s="152"/>
      <c r="G17" s="730"/>
      <c r="H17" s="730"/>
      <c r="J17" s="498">
        <v>1</v>
      </c>
      <c r="K17" s="499">
        <v>2</v>
      </c>
      <c r="L17" s="499">
        <v>3</v>
      </c>
      <c r="M17" s="499">
        <v>4</v>
      </c>
      <c r="N17" s="499">
        <v>5</v>
      </c>
      <c r="O17" s="499">
        <v>6</v>
      </c>
      <c r="P17" s="499">
        <v>7</v>
      </c>
      <c r="Q17" s="499">
        <v>8</v>
      </c>
      <c r="R17" s="499">
        <v>9</v>
      </c>
      <c r="S17" s="500">
        <v>10</v>
      </c>
    </row>
    <row r="18" spans="2:19" s="5" customFormat="1" ht="2.25" customHeight="1">
      <c r="B18" s="441"/>
      <c r="C18" s="18"/>
      <c r="D18" s="14"/>
      <c r="E18" s="14"/>
      <c r="F18" s="153"/>
      <c r="J18" s="299"/>
      <c r="K18" s="300"/>
      <c r="L18" s="300"/>
      <c r="M18" s="300"/>
      <c r="N18" s="300"/>
      <c r="O18" s="300"/>
      <c r="P18" s="300"/>
      <c r="Q18" s="300"/>
      <c r="R18" s="300"/>
      <c r="S18" s="301"/>
    </row>
    <row r="19" spans="2:19" s="2" customFormat="1" ht="15" customHeight="1">
      <c r="B19" s="442">
        <v>1</v>
      </c>
      <c r="C19" s="94">
        <v>1</v>
      </c>
      <c r="D19" s="154" t="s">
        <v>44</v>
      </c>
      <c r="E19" s="93">
        <v>1</v>
      </c>
      <c r="F19" s="152"/>
      <c r="H19" s="274" t="str">
        <f t="shared" ref="H19:H50" si="0">IF(COUNTIF($D$19:$D$108,D19)&gt;1,"REPETIDO "&amp;COUNTIF($D$19:$D$108,D19)&amp;" VECES","CORRECTO")</f>
        <v>CORRECTO</v>
      </c>
      <c r="J19" s="302"/>
      <c r="K19" s="303"/>
      <c r="L19" s="303"/>
      <c r="M19" s="303"/>
      <c r="N19" s="303"/>
      <c r="O19" s="303"/>
      <c r="P19" s="303"/>
      <c r="Q19" s="303"/>
      <c r="R19" s="303"/>
      <c r="S19" s="304"/>
    </row>
    <row r="20" spans="2:19" s="2" customFormat="1" ht="15" customHeight="1">
      <c r="B20" s="442">
        <v>2</v>
      </c>
      <c r="C20" s="94">
        <v>2</v>
      </c>
      <c r="D20" s="154" t="s">
        <v>45</v>
      </c>
      <c r="E20" s="93">
        <v>1</v>
      </c>
      <c r="F20" s="152"/>
      <c r="H20" s="274" t="str">
        <f t="shared" si="0"/>
        <v>CORRECTO</v>
      </c>
      <c r="J20" s="302"/>
      <c r="K20" s="303"/>
      <c r="L20" s="303"/>
      <c r="M20" s="303"/>
      <c r="N20" s="303"/>
      <c r="O20" s="303"/>
      <c r="P20" s="303"/>
      <c r="Q20" s="303"/>
      <c r="R20" s="303"/>
      <c r="S20" s="304"/>
    </row>
    <row r="21" spans="2:19" s="2" customFormat="1" ht="15" customHeight="1">
      <c r="B21" s="442">
        <v>3</v>
      </c>
      <c r="C21" s="94">
        <v>3</v>
      </c>
      <c r="D21" s="154" t="s">
        <v>46</v>
      </c>
      <c r="E21" s="93">
        <v>1</v>
      </c>
      <c r="F21" s="152"/>
      <c r="H21" s="274" t="str">
        <f t="shared" si="0"/>
        <v>CORRECTO</v>
      </c>
      <c r="J21" s="302"/>
      <c r="K21" s="303"/>
      <c r="L21" s="303"/>
      <c r="M21" s="303"/>
      <c r="N21" s="303"/>
      <c r="O21" s="303"/>
      <c r="P21" s="303"/>
      <c r="Q21" s="303"/>
      <c r="R21" s="303"/>
      <c r="S21" s="304"/>
    </row>
    <row r="22" spans="2:19" s="2" customFormat="1" ht="12.75">
      <c r="B22" s="442">
        <v>4</v>
      </c>
      <c r="C22" s="94">
        <v>4</v>
      </c>
      <c r="D22" s="154" t="s">
        <v>47</v>
      </c>
      <c r="E22" s="93">
        <v>1</v>
      </c>
      <c r="F22" s="152"/>
      <c r="H22" s="274" t="str">
        <f t="shared" si="0"/>
        <v>CORRECTO</v>
      </c>
      <c r="J22" s="302"/>
      <c r="K22" s="303"/>
      <c r="L22" s="303"/>
      <c r="M22" s="303"/>
      <c r="N22" s="303"/>
      <c r="O22" s="303"/>
      <c r="P22" s="303"/>
      <c r="Q22" s="303"/>
      <c r="R22" s="303"/>
      <c r="S22" s="304"/>
    </row>
    <row r="23" spans="2:19" s="2" customFormat="1" ht="12.75">
      <c r="B23" s="442">
        <v>5</v>
      </c>
      <c r="C23" s="94">
        <v>5</v>
      </c>
      <c r="D23" s="154" t="s">
        <v>48</v>
      </c>
      <c r="E23" s="93">
        <v>1</v>
      </c>
      <c r="F23" s="152"/>
      <c r="H23" s="274" t="str">
        <f t="shared" si="0"/>
        <v>CORRECTO</v>
      </c>
      <c r="J23" s="302"/>
      <c r="K23" s="303"/>
      <c r="L23" s="303"/>
      <c r="M23" s="303"/>
      <c r="N23" s="303"/>
      <c r="O23" s="303"/>
      <c r="P23" s="303"/>
      <c r="Q23" s="303"/>
      <c r="R23" s="303"/>
      <c r="S23" s="304"/>
    </row>
    <row r="24" spans="2:19" s="2" customFormat="1" ht="12.75">
      <c r="B24" s="442">
        <v>6</v>
      </c>
      <c r="C24" s="94">
        <v>6</v>
      </c>
      <c r="D24" s="154" t="s">
        <v>49</v>
      </c>
      <c r="E24" s="93">
        <v>1</v>
      </c>
      <c r="F24" s="152"/>
      <c r="H24" s="274" t="str">
        <f t="shared" si="0"/>
        <v>CORRECTO</v>
      </c>
      <c r="J24" s="302"/>
      <c r="K24" s="303"/>
      <c r="L24" s="303"/>
      <c r="M24" s="303"/>
      <c r="N24" s="303"/>
      <c r="O24" s="303"/>
      <c r="P24" s="303"/>
      <c r="Q24" s="303"/>
      <c r="R24" s="303"/>
      <c r="S24" s="304"/>
    </row>
    <row r="25" spans="2:19" s="2" customFormat="1" ht="12.75">
      <c r="B25" s="442">
        <v>7</v>
      </c>
      <c r="C25" s="94">
        <v>7</v>
      </c>
      <c r="D25" s="154" t="s">
        <v>50</v>
      </c>
      <c r="E25" s="93">
        <v>4</v>
      </c>
      <c r="F25" s="152"/>
      <c r="H25" s="274" t="str">
        <f t="shared" si="0"/>
        <v>CORRECTO</v>
      </c>
      <c r="J25" s="302"/>
      <c r="K25" s="303"/>
      <c r="L25" s="303"/>
      <c r="M25" s="303"/>
      <c r="N25" s="303"/>
      <c r="O25" s="303"/>
      <c r="P25" s="303"/>
      <c r="Q25" s="303"/>
      <c r="R25" s="303"/>
      <c r="S25" s="304"/>
    </row>
    <row r="26" spans="2:19" s="2" customFormat="1" ht="12.75">
      <c r="B26" s="442">
        <v>8</v>
      </c>
      <c r="C26" s="94">
        <v>8</v>
      </c>
      <c r="D26" s="154" t="s">
        <v>51</v>
      </c>
      <c r="E26" s="93">
        <v>1</v>
      </c>
      <c r="F26" s="152"/>
      <c r="H26" s="274" t="str">
        <f t="shared" si="0"/>
        <v>CORRECTO</v>
      </c>
      <c r="J26" s="302"/>
      <c r="K26" s="303"/>
      <c r="L26" s="303"/>
      <c r="M26" s="303"/>
      <c r="N26" s="303"/>
      <c r="O26" s="303"/>
      <c r="P26" s="303"/>
      <c r="Q26" s="303"/>
      <c r="R26" s="303"/>
      <c r="S26" s="304"/>
    </row>
    <row r="27" spans="2:19" s="2" customFormat="1" ht="12.75">
      <c r="B27" s="442">
        <v>9</v>
      </c>
      <c r="C27" s="94">
        <v>9</v>
      </c>
      <c r="D27" s="154" t="s">
        <v>52</v>
      </c>
      <c r="E27" s="93">
        <v>2</v>
      </c>
      <c r="F27" s="152"/>
      <c r="H27" s="274" t="str">
        <f t="shared" si="0"/>
        <v>CORRECTO</v>
      </c>
      <c r="J27" s="302"/>
      <c r="K27" s="303"/>
      <c r="L27" s="303"/>
      <c r="M27" s="303"/>
      <c r="N27" s="303"/>
      <c r="O27" s="303"/>
      <c r="P27" s="303"/>
      <c r="Q27" s="303"/>
      <c r="R27" s="303"/>
      <c r="S27" s="304"/>
    </row>
    <row r="28" spans="2:19" s="2" customFormat="1" ht="12.75">
      <c r="B28" s="442">
        <v>10</v>
      </c>
      <c r="C28" s="94">
        <v>10</v>
      </c>
      <c r="D28" s="154" t="s">
        <v>53</v>
      </c>
      <c r="E28" s="93">
        <v>1</v>
      </c>
      <c r="F28" s="152"/>
      <c r="H28" s="274" t="str">
        <f t="shared" si="0"/>
        <v>CORRECTO</v>
      </c>
      <c r="J28" s="302"/>
      <c r="K28" s="303"/>
      <c r="L28" s="303"/>
      <c r="M28" s="303"/>
      <c r="N28" s="303"/>
      <c r="O28" s="303"/>
      <c r="P28" s="303"/>
      <c r="Q28" s="303"/>
      <c r="R28" s="303"/>
      <c r="S28" s="304"/>
    </row>
    <row r="29" spans="2:19" s="2" customFormat="1" ht="12.75">
      <c r="B29" s="442">
        <v>11</v>
      </c>
      <c r="C29" s="94">
        <v>11</v>
      </c>
      <c r="D29" s="154" t="s">
        <v>54</v>
      </c>
      <c r="E29" s="93">
        <v>1</v>
      </c>
      <c r="F29" s="152"/>
      <c r="H29" s="274" t="str">
        <f t="shared" si="0"/>
        <v>CORRECTO</v>
      </c>
      <c r="J29" s="302"/>
      <c r="K29" s="303"/>
      <c r="L29" s="303"/>
      <c r="M29" s="303"/>
      <c r="N29" s="303"/>
      <c r="O29" s="303"/>
      <c r="P29" s="303"/>
      <c r="Q29" s="303"/>
      <c r="R29" s="303"/>
      <c r="S29" s="304"/>
    </row>
    <row r="30" spans="2:19" s="2" customFormat="1" ht="21" customHeight="1">
      <c r="B30" s="442">
        <v>12</v>
      </c>
      <c r="C30" s="94">
        <v>12</v>
      </c>
      <c r="D30" s="154" t="s">
        <v>55</v>
      </c>
      <c r="E30" s="93">
        <v>1</v>
      </c>
      <c r="F30" s="152"/>
      <c r="H30" s="274" t="str">
        <f t="shared" si="0"/>
        <v>CORRECTO</v>
      </c>
      <c r="J30" s="302"/>
      <c r="K30" s="303"/>
      <c r="L30" s="303"/>
      <c r="M30" s="303"/>
      <c r="N30" s="303"/>
      <c r="O30" s="303"/>
      <c r="P30" s="303"/>
      <c r="Q30" s="303"/>
      <c r="R30" s="303"/>
      <c r="S30" s="304"/>
    </row>
    <row r="31" spans="2:19" s="2" customFormat="1" ht="12.75">
      <c r="B31" s="442">
        <v>13</v>
      </c>
      <c r="C31" s="94">
        <v>13</v>
      </c>
      <c r="D31" s="154" t="s">
        <v>56</v>
      </c>
      <c r="E31" s="93">
        <v>1</v>
      </c>
      <c r="F31" s="152"/>
      <c r="H31" s="274" t="str">
        <f t="shared" si="0"/>
        <v>CORRECTO</v>
      </c>
      <c r="J31" s="302"/>
      <c r="K31" s="303"/>
      <c r="L31" s="303"/>
      <c r="M31" s="303"/>
      <c r="N31" s="303"/>
      <c r="O31" s="303"/>
      <c r="P31" s="303"/>
      <c r="Q31" s="303"/>
      <c r="R31" s="303"/>
      <c r="S31" s="304"/>
    </row>
    <row r="32" spans="2:19" s="2" customFormat="1" ht="12.75">
      <c r="B32" s="442">
        <v>14</v>
      </c>
      <c r="C32" s="94">
        <v>14</v>
      </c>
      <c r="D32" s="154" t="s">
        <v>57</v>
      </c>
      <c r="E32" s="93">
        <v>2</v>
      </c>
      <c r="F32" s="152"/>
      <c r="H32" s="274" t="str">
        <f t="shared" si="0"/>
        <v>CORRECTO</v>
      </c>
      <c r="J32" s="302"/>
      <c r="K32" s="303"/>
      <c r="L32" s="303"/>
      <c r="M32" s="303"/>
      <c r="N32" s="303"/>
      <c r="O32" s="303"/>
      <c r="P32" s="303"/>
      <c r="Q32" s="303"/>
      <c r="R32" s="303"/>
      <c r="S32" s="304"/>
    </row>
    <row r="33" spans="2:19" s="2" customFormat="1" ht="12.75">
      <c r="B33" s="442">
        <v>15</v>
      </c>
      <c r="C33" s="94">
        <v>15</v>
      </c>
      <c r="D33" s="154" t="s">
        <v>58</v>
      </c>
      <c r="E33" s="93">
        <v>1</v>
      </c>
      <c r="F33" s="152"/>
      <c r="H33" s="274" t="str">
        <f t="shared" si="0"/>
        <v>CORRECTO</v>
      </c>
      <c r="J33" s="302"/>
      <c r="K33" s="303"/>
      <c r="L33" s="303"/>
      <c r="M33" s="303"/>
      <c r="N33" s="303"/>
      <c r="O33" s="303"/>
      <c r="P33" s="303"/>
      <c r="Q33" s="303"/>
      <c r="R33" s="303"/>
      <c r="S33" s="304"/>
    </row>
    <row r="34" spans="2:19" s="2" customFormat="1" ht="12.75">
      <c r="B34" s="442">
        <v>16</v>
      </c>
      <c r="C34" s="94">
        <v>16</v>
      </c>
      <c r="D34" s="154" t="s">
        <v>59</v>
      </c>
      <c r="E34" s="93">
        <v>2</v>
      </c>
      <c r="F34" s="152"/>
      <c r="H34" s="274" t="str">
        <f t="shared" si="0"/>
        <v>CORRECTO</v>
      </c>
      <c r="J34" s="302"/>
      <c r="K34" s="303"/>
      <c r="L34" s="303"/>
      <c r="M34" s="303"/>
      <c r="N34" s="303"/>
      <c r="O34" s="303"/>
      <c r="P34" s="303"/>
      <c r="Q34" s="303"/>
      <c r="R34" s="303"/>
      <c r="S34" s="304"/>
    </row>
    <row r="35" spans="2:19" s="2" customFormat="1" ht="12.75">
      <c r="B35" s="442">
        <v>17</v>
      </c>
      <c r="C35" s="94">
        <v>17</v>
      </c>
      <c r="D35" s="154" t="s">
        <v>60</v>
      </c>
      <c r="E35" s="93">
        <v>1</v>
      </c>
      <c r="F35" s="152"/>
      <c r="H35" s="274" t="str">
        <f t="shared" si="0"/>
        <v>CORRECTO</v>
      </c>
      <c r="J35" s="302"/>
      <c r="K35" s="303"/>
      <c r="L35" s="303"/>
      <c r="M35" s="303"/>
      <c r="N35" s="303"/>
      <c r="O35" s="303"/>
      <c r="P35" s="303"/>
      <c r="Q35" s="303"/>
      <c r="R35" s="303"/>
      <c r="S35" s="304"/>
    </row>
    <row r="36" spans="2:19" s="2" customFormat="1" ht="12.75">
      <c r="B36" s="442">
        <v>18</v>
      </c>
      <c r="C36" s="94">
        <v>18</v>
      </c>
      <c r="D36" s="154" t="s">
        <v>61</v>
      </c>
      <c r="E36" s="93">
        <v>1</v>
      </c>
      <c r="F36" s="152"/>
      <c r="H36" s="274" t="str">
        <f t="shared" si="0"/>
        <v>CORRECTO</v>
      </c>
      <c r="J36" s="302"/>
      <c r="K36" s="303"/>
      <c r="L36" s="303"/>
      <c r="M36" s="303"/>
      <c r="N36" s="303"/>
      <c r="O36" s="303"/>
      <c r="P36" s="303"/>
      <c r="Q36" s="303"/>
      <c r="R36" s="303"/>
      <c r="S36" s="304"/>
    </row>
    <row r="37" spans="2:19" s="2" customFormat="1" ht="12.75">
      <c r="B37" s="442">
        <v>19</v>
      </c>
      <c r="C37" s="94">
        <v>19</v>
      </c>
      <c r="D37" s="154" t="s">
        <v>62</v>
      </c>
      <c r="E37" s="93">
        <v>1</v>
      </c>
      <c r="F37" s="152"/>
      <c r="H37" s="274" t="str">
        <f t="shared" si="0"/>
        <v>CORRECTO</v>
      </c>
      <c r="J37" s="302"/>
      <c r="K37" s="303"/>
      <c r="L37" s="303"/>
      <c r="M37" s="303"/>
      <c r="N37" s="303"/>
      <c r="O37" s="303"/>
      <c r="P37" s="303"/>
      <c r="Q37" s="303"/>
      <c r="R37" s="303"/>
      <c r="S37" s="304"/>
    </row>
    <row r="38" spans="2:19" s="2" customFormat="1" ht="12.75">
      <c r="B38" s="442">
        <v>20</v>
      </c>
      <c r="C38" s="94">
        <v>20</v>
      </c>
      <c r="D38" s="154" t="s">
        <v>63</v>
      </c>
      <c r="E38" s="93">
        <v>1</v>
      </c>
      <c r="F38" s="152"/>
      <c r="H38" s="274" t="str">
        <f t="shared" si="0"/>
        <v>CORRECTO</v>
      </c>
      <c r="J38" s="302"/>
      <c r="K38" s="303"/>
      <c r="L38" s="303"/>
      <c r="M38" s="303"/>
      <c r="N38" s="303"/>
      <c r="O38" s="303"/>
      <c r="P38" s="303"/>
      <c r="Q38" s="303"/>
      <c r="R38" s="303"/>
      <c r="S38" s="304"/>
    </row>
    <row r="39" spans="2:19" s="2" customFormat="1" ht="12.75">
      <c r="B39" s="442">
        <v>21</v>
      </c>
      <c r="C39" s="94">
        <v>21</v>
      </c>
      <c r="D39" s="154" t="s">
        <v>64</v>
      </c>
      <c r="E39" s="93">
        <v>1</v>
      </c>
      <c r="F39" s="152"/>
      <c r="H39" s="274" t="str">
        <f t="shared" si="0"/>
        <v>CORRECTO</v>
      </c>
      <c r="J39" s="302"/>
      <c r="K39" s="303"/>
      <c r="L39" s="303"/>
      <c r="M39" s="303"/>
      <c r="N39" s="303"/>
      <c r="O39" s="303"/>
      <c r="P39" s="303"/>
      <c r="Q39" s="303"/>
      <c r="R39" s="303"/>
      <c r="S39" s="304"/>
    </row>
    <row r="40" spans="2:19" s="2" customFormat="1" ht="12.75">
      <c r="B40" s="442">
        <v>22</v>
      </c>
      <c r="C40" s="94">
        <v>22</v>
      </c>
      <c r="D40" s="154" t="s">
        <v>65</v>
      </c>
      <c r="E40" s="93">
        <v>2</v>
      </c>
      <c r="F40" s="152"/>
      <c r="H40" s="274" t="str">
        <f t="shared" si="0"/>
        <v>CORRECTO</v>
      </c>
      <c r="J40" s="302"/>
      <c r="K40" s="303"/>
      <c r="L40" s="303"/>
      <c r="M40" s="303"/>
      <c r="N40" s="303"/>
      <c r="O40" s="303"/>
      <c r="P40" s="303"/>
      <c r="Q40" s="303"/>
      <c r="R40" s="303"/>
      <c r="S40" s="304"/>
    </row>
    <row r="41" spans="2:19" s="2" customFormat="1" ht="12.75">
      <c r="B41" s="442">
        <v>23</v>
      </c>
      <c r="C41" s="94">
        <v>23</v>
      </c>
      <c r="D41" s="154" t="s">
        <v>66</v>
      </c>
      <c r="E41" s="93">
        <v>1</v>
      </c>
      <c r="F41" s="152"/>
      <c r="H41" s="274" t="str">
        <f t="shared" si="0"/>
        <v>CORRECTO</v>
      </c>
      <c r="J41" s="302"/>
      <c r="K41" s="303"/>
      <c r="L41" s="303"/>
      <c r="M41" s="303"/>
      <c r="N41" s="303"/>
      <c r="O41" s="303"/>
      <c r="P41" s="303"/>
      <c r="Q41" s="303"/>
      <c r="R41" s="303"/>
      <c r="S41" s="304"/>
    </row>
    <row r="42" spans="2:19" s="2" customFormat="1" ht="12.75">
      <c r="B42" s="442">
        <v>24</v>
      </c>
      <c r="C42" s="94">
        <v>24</v>
      </c>
      <c r="D42" s="154" t="s">
        <v>67</v>
      </c>
      <c r="E42" s="93">
        <v>1</v>
      </c>
      <c r="F42" s="152"/>
      <c r="H42" s="274" t="str">
        <f t="shared" si="0"/>
        <v>CORRECTO</v>
      </c>
      <c r="J42" s="302"/>
      <c r="K42" s="303"/>
      <c r="L42" s="303"/>
      <c r="M42" s="303"/>
      <c r="N42" s="303"/>
      <c r="O42" s="303"/>
      <c r="P42" s="303"/>
      <c r="Q42" s="303"/>
      <c r="R42" s="303"/>
      <c r="S42" s="304"/>
    </row>
    <row r="43" spans="2:19" s="2" customFormat="1" ht="12.75">
      <c r="B43" s="442">
        <v>25</v>
      </c>
      <c r="C43" s="94">
        <v>25</v>
      </c>
      <c r="D43" s="154" t="s">
        <v>68</v>
      </c>
      <c r="E43" s="93">
        <v>3</v>
      </c>
      <c r="F43" s="152"/>
      <c r="H43" s="274" t="str">
        <f t="shared" si="0"/>
        <v>CORRECTO</v>
      </c>
      <c r="J43" s="302"/>
      <c r="K43" s="303"/>
      <c r="L43" s="303"/>
      <c r="M43" s="303"/>
      <c r="N43" s="303"/>
      <c r="O43" s="303"/>
      <c r="P43" s="303"/>
      <c r="Q43" s="303"/>
      <c r="R43" s="303"/>
      <c r="S43" s="304"/>
    </row>
    <row r="44" spans="2:19" s="2" customFormat="1" ht="12.75">
      <c r="B44" s="442">
        <v>26</v>
      </c>
      <c r="C44" s="94">
        <v>26</v>
      </c>
      <c r="D44" s="154" t="s">
        <v>69</v>
      </c>
      <c r="E44" s="93">
        <v>1</v>
      </c>
      <c r="F44" s="152"/>
      <c r="H44" s="274" t="str">
        <f t="shared" si="0"/>
        <v>CORRECTO</v>
      </c>
      <c r="J44" s="302"/>
      <c r="K44" s="303"/>
      <c r="L44" s="303"/>
      <c r="M44" s="303"/>
      <c r="N44" s="303"/>
      <c r="O44" s="303"/>
      <c r="P44" s="303"/>
      <c r="Q44" s="303"/>
      <c r="R44" s="303"/>
      <c r="S44" s="304"/>
    </row>
    <row r="45" spans="2:19" s="2" customFormat="1" ht="12.75">
      <c r="B45" s="442">
        <v>27</v>
      </c>
      <c r="C45" s="94">
        <v>27</v>
      </c>
      <c r="D45" s="154" t="s">
        <v>70</v>
      </c>
      <c r="E45" s="93">
        <v>1</v>
      </c>
      <c r="F45" s="152"/>
      <c r="H45" s="274" t="str">
        <f t="shared" si="0"/>
        <v>CORRECTO</v>
      </c>
      <c r="J45" s="302"/>
      <c r="K45" s="303"/>
      <c r="L45" s="303"/>
      <c r="M45" s="303"/>
      <c r="N45" s="303"/>
      <c r="O45" s="303"/>
      <c r="P45" s="303"/>
      <c r="Q45" s="303"/>
      <c r="R45" s="303"/>
      <c r="S45" s="304"/>
    </row>
    <row r="46" spans="2:19" s="2" customFormat="1" ht="12.75">
      <c r="B46" s="442">
        <v>28</v>
      </c>
      <c r="C46" s="94">
        <v>28</v>
      </c>
      <c r="D46" s="154" t="s">
        <v>71</v>
      </c>
      <c r="E46" s="93">
        <v>2</v>
      </c>
      <c r="F46" s="152"/>
      <c r="H46" s="274" t="str">
        <f t="shared" si="0"/>
        <v>CORRECTO</v>
      </c>
      <c r="J46" s="302"/>
      <c r="K46" s="303"/>
      <c r="L46" s="303"/>
      <c r="M46" s="303"/>
      <c r="N46" s="303"/>
      <c r="O46" s="303"/>
      <c r="P46" s="303"/>
      <c r="Q46" s="303"/>
      <c r="R46" s="303"/>
      <c r="S46" s="304"/>
    </row>
    <row r="47" spans="2:19" s="2" customFormat="1" ht="12.75">
      <c r="B47" s="442">
        <v>29</v>
      </c>
      <c r="C47" s="94">
        <v>29</v>
      </c>
      <c r="D47" s="154" t="s">
        <v>72</v>
      </c>
      <c r="E47" s="93">
        <v>2</v>
      </c>
      <c r="F47" s="152"/>
      <c r="H47" s="274" t="str">
        <f t="shared" si="0"/>
        <v>CORRECTO</v>
      </c>
      <c r="J47" s="302"/>
      <c r="K47" s="303"/>
      <c r="L47" s="303"/>
      <c r="M47" s="303"/>
      <c r="N47" s="303"/>
      <c r="O47" s="303"/>
      <c r="P47" s="303"/>
      <c r="Q47" s="303"/>
      <c r="R47" s="303"/>
      <c r="S47" s="304"/>
    </row>
    <row r="48" spans="2:19" s="2" customFormat="1" ht="12.75">
      <c r="B48" s="442">
        <v>30</v>
      </c>
      <c r="C48" s="94">
        <v>30</v>
      </c>
      <c r="D48" s="154" t="s">
        <v>73</v>
      </c>
      <c r="E48" s="93">
        <v>2</v>
      </c>
      <c r="F48" s="152"/>
      <c r="H48" s="274" t="str">
        <f t="shared" si="0"/>
        <v>CORRECTO</v>
      </c>
      <c r="J48" s="302"/>
      <c r="K48" s="303"/>
      <c r="L48" s="303"/>
      <c r="M48" s="303"/>
      <c r="N48" s="303"/>
      <c r="O48" s="303"/>
      <c r="P48" s="303"/>
      <c r="Q48" s="303"/>
      <c r="R48" s="303"/>
      <c r="S48" s="304"/>
    </row>
    <row r="49" spans="2:19" s="2" customFormat="1" ht="12.75">
      <c r="B49" s="442">
        <v>31</v>
      </c>
      <c r="C49" s="94">
        <v>31</v>
      </c>
      <c r="D49" s="154" t="s">
        <v>74</v>
      </c>
      <c r="E49" s="93">
        <v>1</v>
      </c>
      <c r="F49" s="152"/>
      <c r="H49" s="274" t="str">
        <f t="shared" si="0"/>
        <v>CORRECTO</v>
      </c>
      <c r="J49" s="302"/>
      <c r="K49" s="303"/>
      <c r="L49" s="303"/>
      <c r="M49" s="303"/>
      <c r="N49" s="303"/>
      <c r="O49" s="303"/>
      <c r="P49" s="303"/>
      <c r="Q49" s="303"/>
      <c r="R49" s="303"/>
      <c r="S49" s="304"/>
    </row>
    <row r="50" spans="2:19" s="2" customFormat="1" ht="12.75">
      <c r="B50" s="442">
        <v>32</v>
      </c>
      <c r="C50" s="94">
        <v>32</v>
      </c>
      <c r="D50" s="154" t="s">
        <v>75</v>
      </c>
      <c r="E50" s="93">
        <v>1</v>
      </c>
      <c r="F50" s="152"/>
      <c r="H50" s="274" t="str">
        <f t="shared" si="0"/>
        <v>CORRECTO</v>
      </c>
      <c r="J50" s="302"/>
      <c r="K50" s="303"/>
      <c r="L50" s="303"/>
      <c r="M50" s="303"/>
      <c r="N50" s="303"/>
      <c r="O50" s="303"/>
      <c r="P50" s="303"/>
      <c r="Q50" s="303"/>
      <c r="R50" s="303"/>
      <c r="S50" s="304"/>
    </row>
    <row r="51" spans="2:19" s="2" customFormat="1" ht="12.75">
      <c r="B51" s="442">
        <v>33</v>
      </c>
      <c r="C51" s="94">
        <v>33</v>
      </c>
      <c r="D51" s="154" t="s">
        <v>76</v>
      </c>
      <c r="E51" s="93">
        <v>3</v>
      </c>
      <c r="F51" s="152"/>
      <c r="H51" s="274" t="str">
        <f t="shared" ref="H51:H82" si="1">IF(COUNTIF($D$19:$D$108,D51)&gt;1,"REPETIDO "&amp;COUNTIF($D$19:$D$108,D51)&amp;" VECES","CORRECTO")</f>
        <v>CORRECTO</v>
      </c>
      <c r="J51" s="302"/>
      <c r="K51" s="303"/>
      <c r="L51" s="303"/>
      <c r="M51" s="303"/>
      <c r="N51" s="303"/>
      <c r="O51" s="303"/>
      <c r="P51" s="303"/>
      <c r="Q51" s="303"/>
      <c r="R51" s="303"/>
      <c r="S51" s="304"/>
    </row>
    <row r="52" spans="2:19" s="2" customFormat="1" ht="15" customHeight="1">
      <c r="B52" s="442">
        <v>34</v>
      </c>
      <c r="C52" s="94">
        <v>34</v>
      </c>
      <c r="D52" s="154" t="s">
        <v>77</v>
      </c>
      <c r="E52" s="93">
        <v>2</v>
      </c>
      <c r="F52" s="152"/>
      <c r="H52" s="274" t="str">
        <f t="shared" si="1"/>
        <v>CORRECTO</v>
      </c>
      <c r="J52" s="302"/>
      <c r="K52" s="303"/>
      <c r="L52" s="303"/>
      <c r="M52" s="303"/>
      <c r="N52" s="303"/>
      <c r="O52" s="303"/>
      <c r="P52" s="303"/>
      <c r="Q52" s="303"/>
      <c r="R52" s="303"/>
      <c r="S52" s="304"/>
    </row>
    <row r="53" spans="2:19" s="2" customFormat="1" ht="15" customHeight="1">
      <c r="B53" s="442">
        <v>35</v>
      </c>
      <c r="C53" s="94">
        <v>35</v>
      </c>
      <c r="D53" s="154" t="s">
        <v>78</v>
      </c>
      <c r="E53" s="93">
        <v>1</v>
      </c>
      <c r="F53" s="152"/>
      <c r="H53" s="274" t="str">
        <f t="shared" si="1"/>
        <v>CORRECTO</v>
      </c>
      <c r="J53" s="302"/>
      <c r="K53" s="303"/>
      <c r="L53" s="303"/>
      <c r="M53" s="303"/>
      <c r="N53" s="303"/>
      <c r="O53" s="303"/>
      <c r="P53" s="303"/>
      <c r="Q53" s="303"/>
      <c r="R53" s="303"/>
      <c r="S53" s="304"/>
    </row>
    <row r="54" spans="2:19" s="2" customFormat="1" ht="12.75">
      <c r="B54" s="442">
        <v>36</v>
      </c>
      <c r="C54" s="94">
        <v>36</v>
      </c>
      <c r="D54" s="154" t="s">
        <v>79</v>
      </c>
      <c r="E54" s="93">
        <v>1</v>
      </c>
      <c r="F54" s="152"/>
      <c r="H54" s="274" t="str">
        <f t="shared" si="1"/>
        <v>CORRECTO</v>
      </c>
      <c r="J54" s="302"/>
      <c r="K54" s="303"/>
      <c r="L54" s="303"/>
      <c r="M54" s="303"/>
      <c r="N54" s="303"/>
      <c r="O54" s="303"/>
      <c r="P54" s="303"/>
      <c r="Q54" s="303"/>
      <c r="R54" s="303"/>
      <c r="S54" s="304"/>
    </row>
    <row r="55" spans="2:19" s="2" customFormat="1" ht="12.75">
      <c r="B55" s="442">
        <v>37</v>
      </c>
      <c r="C55" s="94">
        <v>37</v>
      </c>
      <c r="D55" s="154" t="s">
        <v>80</v>
      </c>
      <c r="E55" s="93">
        <v>1</v>
      </c>
      <c r="F55" s="152"/>
      <c r="H55" s="274" t="str">
        <f t="shared" si="1"/>
        <v>CORRECTO</v>
      </c>
      <c r="J55" s="302"/>
      <c r="K55" s="303"/>
      <c r="L55" s="303"/>
      <c r="M55" s="303"/>
      <c r="N55" s="303"/>
      <c r="O55" s="303"/>
      <c r="P55" s="303"/>
      <c r="Q55" s="303"/>
      <c r="R55" s="303"/>
      <c r="S55" s="304"/>
    </row>
    <row r="56" spans="2:19" s="2" customFormat="1" ht="12.75">
      <c r="B56" s="442">
        <v>38</v>
      </c>
      <c r="C56" s="94">
        <v>38</v>
      </c>
      <c r="D56" s="154" t="s">
        <v>81</v>
      </c>
      <c r="E56" s="93">
        <v>2</v>
      </c>
      <c r="F56" s="152"/>
      <c r="H56" s="274" t="str">
        <f t="shared" si="1"/>
        <v>CORRECTO</v>
      </c>
      <c r="J56" s="302"/>
      <c r="K56" s="303"/>
      <c r="L56" s="303"/>
      <c r="M56" s="303"/>
      <c r="N56" s="303"/>
      <c r="O56" s="303"/>
      <c r="P56" s="303"/>
      <c r="Q56" s="303"/>
      <c r="R56" s="303"/>
      <c r="S56" s="304"/>
    </row>
    <row r="57" spans="2:19" s="2" customFormat="1" ht="12.75">
      <c r="B57" s="442">
        <v>39</v>
      </c>
      <c r="C57" s="94">
        <v>39</v>
      </c>
      <c r="D57" s="154" t="s">
        <v>82</v>
      </c>
      <c r="E57" s="93">
        <v>2</v>
      </c>
      <c r="F57" s="152"/>
      <c r="H57" s="274" t="str">
        <f t="shared" si="1"/>
        <v>CORRECTO</v>
      </c>
      <c r="J57" s="302"/>
      <c r="K57" s="303"/>
      <c r="L57" s="303"/>
      <c r="M57" s="303"/>
      <c r="N57" s="303"/>
      <c r="O57" s="303"/>
      <c r="P57" s="303"/>
      <c r="Q57" s="303"/>
      <c r="R57" s="303"/>
      <c r="S57" s="304"/>
    </row>
    <row r="58" spans="2:19" s="2" customFormat="1" ht="12.75">
      <c r="B58" s="442">
        <v>40</v>
      </c>
      <c r="C58" s="94">
        <v>40</v>
      </c>
      <c r="D58" s="154" t="s">
        <v>83</v>
      </c>
      <c r="E58" s="93">
        <v>2</v>
      </c>
      <c r="F58" s="152"/>
      <c r="H58" s="274" t="str">
        <f t="shared" si="1"/>
        <v>CORRECTO</v>
      </c>
      <c r="J58" s="302"/>
      <c r="K58" s="303"/>
      <c r="L58" s="303"/>
      <c r="M58" s="303"/>
      <c r="N58" s="303"/>
      <c r="O58" s="303"/>
      <c r="P58" s="303"/>
      <c r="Q58" s="303"/>
      <c r="R58" s="303"/>
      <c r="S58" s="304"/>
    </row>
    <row r="59" spans="2:19" s="2" customFormat="1" ht="12.75">
      <c r="B59" s="442">
        <v>41</v>
      </c>
      <c r="C59" s="94">
        <v>41</v>
      </c>
      <c r="D59" s="154" t="s">
        <v>84</v>
      </c>
      <c r="E59" s="93">
        <v>2</v>
      </c>
      <c r="F59" s="152"/>
      <c r="H59" s="274" t="str">
        <f t="shared" si="1"/>
        <v>CORRECTO</v>
      </c>
      <c r="J59" s="302"/>
      <c r="K59" s="303"/>
      <c r="L59" s="303"/>
      <c r="M59" s="303"/>
      <c r="N59" s="303"/>
      <c r="O59" s="303"/>
      <c r="P59" s="303"/>
      <c r="Q59" s="303"/>
      <c r="R59" s="303"/>
      <c r="S59" s="304"/>
    </row>
    <row r="60" spans="2:19" s="2" customFormat="1" ht="12.75">
      <c r="B60" s="442">
        <v>42</v>
      </c>
      <c r="C60" s="94">
        <v>42</v>
      </c>
      <c r="D60" s="154" t="s">
        <v>85</v>
      </c>
      <c r="E60" s="93">
        <v>2</v>
      </c>
      <c r="F60" s="152"/>
      <c r="H60" s="274" t="str">
        <f t="shared" si="1"/>
        <v>CORRECTO</v>
      </c>
      <c r="J60" s="302"/>
      <c r="K60" s="303"/>
      <c r="L60" s="303"/>
      <c r="M60" s="303"/>
      <c r="N60" s="303"/>
      <c r="O60" s="303"/>
      <c r="P60" s="303"/>
      <c r="Q60" s="303"/>
      <c r="R60" s="303"/>
      <c r="S60" s="304"/>
    </row>
    <row r="61" spans="2:19" s="2" customFormat="1" ht="12.75">
      <c r="B61" s="442">
        <v>43</v>
      </c>
      <c r="C61" s="94">
        <v>43</v>
      </c>
      <c r="D61" s="154" t="s">
        <v>86</v>
      </c>
      <c r="E61" s="93">
        <v>2</v>
      </c>
      <c r="F61" s="152"/>
      <c r="H61" s="274" t="str">
        <f t="shared" si="1"/>
        <v>CORRECTO</v>
      </c>
      <c r="J61" s="302"/>
      <c r="K61" s="303"/>
      <c r="L61" s="303"/>
      <c r="M61" s="303"/>
      <c r="N61" s="303"/>
      <c r="O61" s="303"/>
      <c r="P61" s="303"/>
      <c r="Q61" s="303"/>
      <c r="R61" s="303"/>
      <c r="S61" s="304"/>
    </row>
    <row r="62" spans="2:19" s="2" customFormat="1" ht="12.75">
      <c r="B62" s="442">
        <v>44</v>
      </c>
      <c r="C62" s="94">
        <v>44</v>
      </c>
      <c r="D62" s="154" t="s">
        <v>87</v>
      </c>
      <c r="E62" s="93">
        <v>2</v>
      </c>
      <c r="F62" s="152"/>
      <c r="H62" s="274" t="str">
        <f t="shared" si="1"/>
        <v>CORRECTO</v>
      </c>
      <c r="J62" s="302"/>
      <c r="K62" s="303"/>
      <c r="L62" s="303"/>
      <c r="M62" s="303"/>
      <c r="N62" s="303"/>
      <c r="O62" s="303"/>
      <c r="P62" s="303"/>
      <c r="Q62" s="303"/>
      <c r="R62" s="303"/>
      <c r="S62" s="304"/>
    </row>
    <row r="63" spans="2:19" s="2" customFormat="1" ht="12.75">
      <c r="B63" s="442">
        <v>45</v>
      </c>
      <c r="C63" s="94">
        <v>45</v>
      </c>
      <c r="D63" s="154" t="s">
        <v>88</v>
      </c>
      <c r="E63" s="93">
        <v>1</v>
      </c>
      <c r="F63" s="152"/>
      <c r="H63" s="274" t="str">
        <f t="shared" si="1"/>
        <v>CORRECTO</v>
      </c>
      <c r="J63" s="302"/>
      <c r="K63" s="303"/>
      <c r="L63" s="303"/>
      <c r="M63" s="303"/>
      <c r="N63" s="303"/>
      <c r="O63" s="303"/>
      <c r="P63" s="303"/>
      <c r="Q63" s="303"/>
      <c r="R63" s="303"/>
      <c r="S63" s="304"/>
    </row>
    <row r="64" spans="2:19" s="2" customFormat="1" ht="12.75">
      <c r="B64" s="442">
        <v>46</v>
      </c>
      <c r="C64" s="94">
        <v>46</v>
      </c>
      <c r="D64" s="154" t="s">
        <v>89</v>
      </c>
      <c r="E64" s="93">
        <v>1</v>
      </c>
      <c r="F64" s="152"/>
      <c r="H64" s="274" t="str">
        <f t="shared" si="1"/>
        <v>CORRECTO</v>
      </c>
      <c r="J64" s="302"/>
      <c r="K64" s="303"/>
      <c r="L64" s="303"/>
      <c r="M64" s="303"/>
      <c r="N64" s="303"/>
      <c r="O64" s="303"/>
      <c r="P64" s="303"/>
      <c r="Q64" s="303"/>
      <c r="R64" s="303"/>
      <c r="S64" s="304"/>
    </row>
    <row r="65" spans="2:19" s="2" customFormat="1" ht="12.75">
      <c r="B65" s="442">
        <v>47</v>
      </c>
      <c r="C65" s="94">
        <v>47</v>
      </c>
      <c r="D65" s="154" t="s">
        <v>90</v>
      </c>
      <c r="E65" s="93">
        <v>2</v>
      </c>
      <c r="F65" s="152"/>
      <c r="H65" s="274" t="str">
        <f t="shared" si="1"/>
        <v>CORRECTO</v>
      </c>
      <c r="J65" s="302"/>
      <c r="K65" s="303"/>
      <c r="L65" s="303"/>
      <c r="M65" s="303"/>
      <c r="N65" s="303"/>
      <c r="O65" s="303"/>
      <c r="P65" s="303"/>
      <c r="Q65" s="303"/>
      <c r="R65" s="303"/>
      <c r="S65" s="304"/>
    </row>
    <row r="66" spans="2:19" s="2" customFormat="1" ht="12.75">
      <c r="B66" s="442">
        <v>48</v>
      </c>
      <c r="C66" s="94">
        <v>48</v>
      </c>
      <c r="D66" s="154" t="s">
        <v>91</v>
      </c>
      <c r="E66" s="93">
        <v>1</v>
      </c>
      <c r="F66" s="152"/>
      <c r="H66" s="274" t="str">
        <f t="shared" si="1"/>
        <v>CORRECTO</v>
      </c>
      <c r="J66" s="302"/>
      <c r="K66" s="303"/>
      <c r="L66" s="303"/>
      <c r="M66" s="303"/>
      <c r="N66" s="303"/>
      <c r="O66" s="303"/>
      <c r="P66" s="303"/>
      <c r="Q66" s="303"/>
      <c r="R66" s="303"/>
      <c r="S66" s="304"/>
    </row>
    <row r="67" spans="2:19" s="2" customFormat="1" ht="12.75">
      <c r="B67" s="442">
        <v>49</v>
      </c>
      <c r="C67" s="94">
        <v>49</v>
      </c>
      <c r="D67" s="154" t="s">
        <v>92</v>
      </c>
      <c r="E67" s="93">
        <v>2</v>
      </c>
      <c r="F67" s="152"/>
      <c r="H67" s="274" t="str">
        <f t="shared" si="1"/>
        <v>CORRECTO</v>
      </c>
      <c r="J67" s="302"/>
      <c r="K67" s="303"/>
      <c r="L67" s="303"/>
      <c r="M67" s="303"/>
      <c r="N67" s="303"/>
      <c r="O67" s="303"/>
      <c r="P67" s="303"/>
      <c r="Q67" s="303"/>
      <c r="R67" s="303"/>
      <c r="S67" s="304"/>
    </row>
    <row r="68" spans="2:19" s="2" customFormat="1" ht="12.75">
      <c r="B68" s="442">
        <v>50</v>
      </c>
      <c r="C68" s="94">
        <v>50</v>
      </c>
      <c r="D68" s="154" t="s">
        <v>93</v>
      </c>
      <c r="E68" s="93">
        <v>1</v>
      </c>
      <c r="F68" s="152"/>
      <c r="H68" s="274" t="str">
        <f t="shared" si="1"/>
        <v>CORRECTO</v>
      </c>
      <c r="J68" s="302"/>
      <c r="K68" s="303"/>
      <c r="L68" s="303"/>
      <c r="M68" s="303"/>
      <c r="N68" s="303"/>
      <c r="O68" s="303"/>
      <c r="P68" s="303"/>
      <c r="Q68" s="303"/>
      <c r="R68" s="303"/>
      <c r="S68" s="304"/>
    </row>
    <row r="69" spans="2:19" s="2" customFormat="1" ht="12.75">
      <c r="B69" s="442">
        <v>51</v>
      </c>
      <c r="C69" s="94">
        <v>51</v>
      </c>
      <c r="D69" s="154" t="s">
        <v>94</v>
      </c>
      <c r="E69" s="93">
        <v>1</v>
      </c>
      <c r="F69" s="152"/>
      <c r="H69" s="274" t="str">
        <f t="shared" si="1"/>
        <v>CORRECTO</v>
      </c>
      <c r="J69" s="302"/>
      <c r="K69" s="303"/>
      <c r="L69" s="303"/>
      <c r="M69" s="303"/>
      <c r="N69" s="303"/>
      <c r="O69" s="303"/>
      <c r="P69" s="303"/>
      <c r="Q69" s="303"/>
      <c r="R69" s="303"/>
      <c r="S69" s="304"/>
    </row>
    <row r="70" spans="2:19" s="2" customFormat="1" ht="12.75">
      <c r="B70" s="442">
        <v>52</v>
      </c>
      <c r="C70" s="94">
        <v>52</v>
      </c>
      <c r="D70" s="154" t="s">
        <v>95</v>
      </c>
      <c r="E70" s="93">
        <v>1</v>
      </c>
      <c r="F70" s="152"/>
      <c r="H70" s="274" t="str">
        <f t="shared" si="1"/>
        <v>CORRECTO</v>
      </c>
      <c r="J70" s="302"/>
      <c r="K70" s="303"/>
      <c r="L70" s="303"/>
      <c r="M70" s="303"/>
      <c r="N70" s="303"/>
      <c r="O70" s="303"/>
      <c r="P70" s="303"/>
      <c r="Q70" s="303"/>
      <c r="R70" s="303"/>
      <c r="S70" s="304"/>
    </row>
    <row r="71" spans="2:19" s="2" customFormat="1" ht="12.75">
      <c r="B71" s="442">
        <v>53</v>
      </c>
      <c r="C71" s="94">
        <v>53</v>
      </c>
      <c r="D71" s="154" t="s">
        <v>96</v>
      </c>
      <c r="E71" s="93">
        <v>1</v>
      </c>
      <c r="F71" s="152"/>
      <c r="H71" s="274" t="str">
        <f t="shared" si="1"/>
        <v>CORRECTO</v>
      </c>
      <c r="J71" s="302"/>
      <c r="K71" s="303"/>
      <c r="L71" s="303"/>
      <c r="M71" s="303"/>
      <c r="N71" s="303"/>
      <c r="O71" s="303"/>
      <c r="P71" s="303"/>
      <c r="Q71" s="303"/>
      <c r="R71" s="303"/>
      <c r="S71" s="304"/>
    </row>
    <row r="72" spans="2:19" s="2" customFormat="1" ht="12.75">
      <c r="B72" s="442">
        <v>54</v>
      </c>
      <c r="C72" s="94">
        <v>54</v>
      </c>
      <c r="D72" s="154" t="s">
        <v>97</v>
      </c>
      <c r="E72" s="93">
        <v>2</v>
      </c>
      <c r="F72" s="152"/>
      <c r="H72" s="274" t="str">
        <f t="shared" si="1"/>
        <v>CORRECTO</v>
      </c>
      <c r="J72" s="302"/>
      <c r="K72" s="303"/>
      <c r="L72" s="303"/>
      <c r="M72" s="303"/>
      <c r="N72" s="303"/>
      <c r="O72" s="303"/>
      <c r="P72" s="303"/>
      <c r="Q72" s="303"/>
      <c r="R72" s="303"/>
      <c r="S72" s="304"/>
    </row>
    <row r="73" spans="2:19" s="2" customFormat="1" ht="12.75">
      <c r="B73" s="442">
        <v>55</v>
      </c>
      <c r="C73" s="94">
        <v>55</v>
      </c>
      <c r="D73" s="154" t="s">
        <v>98</v>
      </c>
      <c r="E73" s="93">
        <v>1</v>
      </c>
      <c r="F73" s="152"/>
      <c r="H73" s="274" t="str">
        <f t="shared" si="1"/>
        <v>CORRECTO</v>
      </c>
      <c r="J73" s="302"/>
      <c r="K73" s="303"/>
      <c r="L73" s="303"/>
      <c r="M73" s="303"/>
      <c r="N73" s="303"/>
      <c r="O73" s="303"/>
      <c r="P73" s="303"/>
      <c r="Q73" s="303"/>
      <c r="R73" s="303"/>
      <c r="S73" s="304"/>
    </row>
    <row r="74" spans="2:19" s="2" customFormat="1" ht="12.75">
      <c r="B74" s="442">
        <v>56</v>
      </c>
      <c r="C74" s="94">
        <v>56</v>
      </c>
      <c r="D74" s="154" t="s">
        <v>99</v>
      </c>
      <c r="E74" s="93">
        <v>2</v>
      </c>
      <c r="F74" s="152"/>
      <c r="H74" s="274" t="str">
        <f t="shared" si="1"/>
        <v>CORRECTO</v>
      </c>
      <c r="J74" s="302"/>
      <c r="K74" s="303"/>
      <c r="L74" s="303"/>
      <c r="M74" s="303"/>
      <c r="N74" s="303"/>
      <c r="O74" s="303"/>
      <c r="P74" s="303"/>
      <c r="Q74" s="303"/>
      <c r="R74" s="303"/>
      <c r="S74" s="304"/>
    </row>
    <row r="75" spans="2:19" s="2" customFormat="1" ht="12.75">
      <c r="B75" s="442">
        <v>57</v>
      </c>
      <c r="C75" s="94">
        <v>57</v>
      </c>
      <c r="D75" s="154" t="s">
        <v>100</v>
      </c>
      <c r="E75" s="93">
        <v>2</v>
      </c>
      <c r="F75" s="152"/>
      <c r="H75" s="274" t="str">
        <f t="shared" si="1"/>
        <v>CORRECTO</v>
      </c>
      <c r="J75" s="302"/>
      <c r="K75" s="303"/>
      <c r="L75" s="303"/>
      <c r="M75" s="303"/>
      <c r="N75" s="303"/>
      <c r="O75" s="303"/>
      <c r="P75" s="303"/>
      <c r="Q75" s="303"/>
      <c r="R75" s="303"/>
      <c r="S75" s="304"/>
    </row>
    <row r="76" spans="2:19" s="2" customFormat="1" ht="12.75">
      <c r="B76" s="442">
        <v>58</v>
      </c>
      <c r="C76" s="94">
        <v>58</v>
      </c>
      <c r="D76" s="154" t="s">
        <v>101</v>
      </c>
      <c r="E76" s="93">
        <v>1</v>
      </c>
      <c r="F76" s="152"/>
      <c r="H76" s="274" t="str">
        <f t="shared" si="1"/>
        <v>CORRECTO</v>
      </c>
      <c r="J76" s="302"/>
      <c r="K76" s="303"/>
      <c r="L76" s="303"/>
      <c r="M76" s="303"/>
      <c r="N76" s="303"/>
      <c r="O76" s="303"/>
      <c r="P76" s="303"/>
      <c r="Q76" s="303"/>
      <c r="R76" s="303"/>
      <c r="S76" s="304"/>
    </row>
    <row r="77" spans="2:19" s="2" customFormat="1" ht="12.75">
      <c r="B77" s="442">
        <v>59</v>
      </c>
      <c r="C77" s="94">
        <v>59</v>
      </c>
      <c r="D77" s="154" t="s">
        <v>102</v>
      </c>
      <c r="E77" s="93">
        <v>2</v>
      </c>
      <c r="F77" s="152"/>
      <c r="H77" s="274" t="str">
        <f t="shared" si="1"/>
        <v>CORRECTO</v>
      </c>
      <c r="J77" s="302"/>
      <c r="K77" s="303"/>
      <c r="L77" s="303"/>
      <c r="M77" s="303"/>
      <c r="N77" s="303"/>
      <c r="O77" s="303"/>
      <c r="P77" s="303"/>
      <c r="Q77" s="303"/>
      <c r="R77" s="303"/>
      <c r="S77" s="304"/>
    </row>
    <row r="78" spans="2:19" s="2" customFormat="1" ht="12.75">
      <c r="B78" s="442">
        <v>60</v>
      </c>
      <c r="C78" s="94">
        <v>60</v>
      </c>
      <c r="D78" s="154" t="s">
        <v>103</v>
      </c>
      <c r="E78" s="93">
        <v>1</v>
      </c>
      <c r="F78" s="152"/>
      <c r="H78" s="274" t="str">
        <f t="shared" si="1"/>
        <v>CORRECTO</v>
      </c>
      <c r="J78" s="302"/>
      <c r="K78" s="303"/>
      <c r="L78" s="303"/>
      <c r="M78" s="303"/>
      <c r="N78" s="303"/>
      <c r="O78" s="303"/>
      <c r="P78" s="303"/>
      <c r="Q78" s="303"/>
      <c r="R78" s="303"/>
      <c r="S78" s="304"/>
    </row>
    <row r="79" spans="2:19" s="2" customFormat="1" ht="12.75">
      <c r="B79" s="442">
        <v>61</v>
      </c>
      <c r="C79" s="94">
        <v>61</v>
      </c>
      <c r="D79" s="154" t="s">
        <v>104</v>
      </c>
      <c r="E79" s="93">
        <v>2</v>
      </c>
      <c r="F79" s="152"/>
      <c r="H79" s="274" t="str">
        <f t="shared" si="1"/>
        <v>CORRECTO</v>
      </c>
      <c r="J79" s="302"/>
      <c r="K79" s="303"/>
      <c r="L79" s="303"/>
      <c r="M79" s="303"/>
      <c r="N79" s="303"/>
      <c r="O79" s="303"/>
      <c r="P79" s="303"/>
      <c r="Q79" s="303"/>
      <c r="R79" s="303"/>
      <c r="S79" s="304"/>
    </row>
    <row r="80" spans="2:19" s="2" customFormat="1" ht="12.75">
      <c r="B80" s="442">
        <v>62</v>
      </c>
      <c r="C80" s="94">
        <v>62</v>
      </c>
      <c r="D80" s="154" t="s">
        <v>105</v>
      </c>
      <c r="E80" s="93">
        <v>2</v>
      </c>
      <c r="F80" s="152"/>
      <c r="H80" s="274" t="str">
        <f t="shared" si="1"/>
        <v>CORRECTO</v>
      </c>
      <c r="J80" s="302"/>
      <c r="K80" s="303"/>
      <c r="L80" s="303"/>
      <c r="M80" s="303"/>
      <c r="N80" s="303"/>
      <c r="O80" s="303"/>
      <c r="P80" s="303"/>
      <c r="Q80" s="303"/>
      <c r="R80" s="303"/>
      <c r="S80" s="304"/>
    </row>
    <row r="81" spans="2:19" s="2" customFormat="1" ht="12.75">
      <c r="B81" s="442">
        <v>63</v>
      </c>
      <c r="C81" s="94">
        <v>63</v>
      </c>
      <c r="D81" s="154" t="s">
        <v>106</v>
      </c>
      <c r="E81" s="93">
        <v>1</v>
      </c>
      <c r="F81" s="152"/>
      <c r="H81" s="274" t="str">
        <f t="shared" si="1"/>
        <v>CORRECTO</v>
      </c>
      <c r="J81" s="302"/>
      <c r="K81" s="303"/>
      <c r="L81" s="303"/>
      <c r="M81" s="303"/>
      <c r="N81" s="303"/>
      <c r="O81" s="303"/>
      <c r="P81" s="303"/>
      <c r="Q81" s="303"/>
      <c r="R81" s="303"/>
      <c r="S81" s="304"/>
    </row>
    <row r="82" spans="2:19" s="2" customFormat="1" ht="12.75">
      <c r="B82" s="442">
        <v>64</v>
      </c>
      <c r="C82" s="94">
        <v>64</v>
      </c>
      <c r="D82" s="154" t="s">
        <v>107</v>
      </c>
      <c r="E82" s="93">
        <v>3</v>
      </c>
      <c r="F82" s="152"/>
      <c r="H82" s="274" t="str">
        <f t="shared" si="1"/>
        <v>CORRECTO</v>
      </c>
      <c r="J82" s="302"/>
      <c r="K82" s="303"/>
      <c r="L82" s="303"/>
      <c r="M82" s="303"/>
      <c r="N82" s="303"/>
      <c r="O82" s="303"/>
      <c r="P82" s="303"/>
      <c r="Q82" s="303"/>
      <c r="R82" s="303"/>
      <c r="S82" s="304"/>
    </row>
    <row r="83" spans="2:19" s="2" customFormat="1" ht="12.75">
      <c r="B83" s="442">
        <v>65</v>
      </c>
      <c r="C83" s="94">
        <v>65</v>
      </c>
      <c r="D83" s="154" t="s">
        <v>108</v>
      </c>
      <c r="E83" s="93">
        <v>1</v>
      </c>
      <c r="F83" s="152"/>
      <c r="H83" s="274" t="str">
        <f t="shared" ref="H83:H108" si="2">IF(COUNTIF($D$19:$D$108,D83)&gt;1,"REPETIDO "&amp;COUNTIF($D$19:$D$108,D83)&amp;" VECES","CORRECTO")</f>
        <v>CORRECTO</v>
      </c>
      <c r="J83" s="302"/>
      <c r="K83" s="303"/>
      <c r="L83" s="303"/>
      <c r="M83" s="303"/>
      <c r="N83" s="303"/>
      <c r="O83" s="303"/>
      <c r="P83" s="303"/>
      <c r="Q83" s="303"/>
      <c r="R83" s="303"/>
      <c r="S83" s="304"/>
    </row>
    <row r="84" spans="2:19" s="2" customFormat="1" ht="15" customHeight="1">
      <c r="B84" s="442">
        <v>66</v>
      </c>
      <c r="C84" s="94">
        <v>66</v>
      </c>
      <c r="D84" s="154" t="s">
        <v>109</v>
      </c>
      <c r="E84" s="93">
        <v>2</v>
      </c>
      <c r="F84" s="152"/>
      <c r="H84" s="274" t="str">
        <f t="shared" si="2"/>
        <v>CORRECTO</v>
      </c>
      <c r="J84" s="302"/>
      <c r="K84" s="303"/>
      <c r="L84" s="303"/>
      <c r="M84" s="303"/>
      <c r="N84" s="303"/>
      <c r="O84" s="303"/>
      <c r="P84" s="303"/>
      <c r="Q84" s="303"/>
      <c r="R84" s="303"/>
      <c r="S84" s="304"/>
    </row>
    <row r="85" spans="2:19" s="2" customFormat="1" ht="15" customHeight="1">
      <c r="B85" s="442">
        <v>67</v>
      </c>
      <c r="C85" s="94">
        <v>67</v>
      </c>
      <c r="D85" s="154" t="s">
        <v>110</v>
      </c>
      <c r="E85" s="93">
        <v>2</v>
      </c>
      <c r="F85" s="152"/>
      <c r="H85" s="274" t="str">
        <f t="shared" si="2"/>
        <v>CORRECTO</v>
      </c>
      <c r="J85" s="302"/>
      <c r="K85" s="303"/>
      <c r="L85" s="303"/>
      <c r="M85" s="303"/>
      <c r="N85" s="303"/>
      <c r="O85" s="303"/>
      <c r="P85" s="303"/>
      <c r="Q85" s="303"/>
      <c r="R85" s="303"/>
      <c r="S85" s="304"/>
    </row>
    <row r="86" spans="2:19" s="2" customFormat="1" ht="12.75">
      <c r="B86" s="442">
        <v>68</v>
      </c>
      <c r="C86" s="94">
        <v>68</v>
      </c>
      <c r="D86" s="154" t="s">
        <v>111</v>
      </c>
      <c r="E86" s="93">
        <v>1</v>
      </c>
      <c r="F86" s="152"/>
      <c r="H86" s="274" t="str">
        <f t="shared" si="2"/>
        <v>CORRECTO</v>
      </c>
      <c r="J86" s="302"/>
      <c r="K86" s="303"/>
      <c r="L86" s="303"/>
      <c r="M86" s="303"/>
      <c r="N86" s="303"/>
      <c r="O86" s="303"/>
      <c r="P86" s="303"/>
      <c r="Q86" s="303"/>
      <c r="R86" s="303"/>
      <c r="S86" s="304"/>
    </row>
    <row r="87" spans="2:19" s="2" customFormat="1" ht="12.75">
      <c r="B87" s="442">
        <v>69</v>
      </c>
      <c r="C87" s="94">
        <v>69</v>
      </c>
      <c r="D87" s="154" t="s">
        <v>112</v>
      </c>
      <c r="E87" s="93">
        <v>2</v>
      </c>
      <c r="F87" s="152"/>
      <c r="H87" s="274" t="str">
        <f t="shared" si="2"/>
        <v>CORRECTO</v>
      </c>
      <c r="J87" s="302"/>
      <c r="K87" s="303"/>
      <c r="L87" s="303"/>
      <c r="M87" s="303"/>
      <c r="N87" s="303"/>
      <c r="O87" s="303"/>
      <c r="P87" s="303"/>
      <c r="Q87" s="303"/>
      <c r="R87" s="303"/>
      <c r="S87" s="304"/>
    </row>
    <row r="88" spans="2:19" s="2" customFormat="1" ht="12.75">
      <c r="B88" s="442">
        <v>70</v>
      </c>
      <c r="C88" s="94">
        <v>70</v>
      </c>
      <c r="D88" s="154" t="s">
        <v>113</v>
      </c>
      <c r="E88" s="93">
        <v>2</v>
      </c>
      <c r="F88" s="152"/>
      <c r="H88" s="274" t="str">
        <f t="shared" si="2"/>
        <v>CORRECTO</v>
      </c>
      <c r="J88" s="302"/>
      <c r="K88" s="303"/>
      <c r="L88" s="303"/>
      <c r="M88" s="303"/>
      <c r="N88" s="303"/>
      <c r="O88" s="303"/>
      <c r="P88" s="303"/>
      <c r="Q88" s="303"/>
      <c r="R88" s="303"/>
      <c r="S88" s="304"/>
    </row>
    <row r="89" spans="2:19" s="2" customFormat="1" ht="12.75">
      <c r="B89" s="442">
        <v>71</v>
      </c>
      <c r="C89" s="94">
        <v>71</v>
      </c>
      <c r="D89" s="154" t="s">
        <v>114</v>
      </c>
      <c r="E89" s="93">
        <v>1</v>
      </c>
      <c r="F89" s="152"/>
      <c r="H89" s="274" t="str">
        <f t="shared" si="2"/>
        <v>CORRECTO</v>
      </c>
      <c r="J89" s="302"/>
      <c r="K89" s="303"/>
      <c r="L89" s="303"/>
      <c r="M89" s="303"/>
      <c r="N89" s="303"/>
      <c r="O89" s="303"/>
      <c r="P89" s="303"/>
      <c r="Q89" s="303"/>
      <c r="R89" s="303"/>
      <c r="S89" s="304"/>
    </row>
    <row r="90" spans="2:19" s="2" customFormat="1" ht="12.75">
      <c r="B90" s="442">
        <v>72</v>
      </c>
      <c r="C90" s="94">
        <v>72</v>
      </c>
      <c r="D90" s="154" t="s">
        <v>115</v>
      </c>
      <c r="E90" s="93">
        <v>1</v>
      </c>
      <c r="F90" s="152"/>
      <c r="H90" s="274" t="str">
        <f t="shared" si="2"/>
        <v>CORRECTO</v>
      </c>
      <c r="J90" s="302"/>
      <c r="K90" s="303"/>
      <c r="L90" s="303"/>
      <c r="M90" s="303"/>
      <c r="N90" s="303"/>
      <c r="O90" s="303"/>
      <c r="P90" s="303"/>
      <c r="Q90" s="303"/>
      <c r="R90" s="303"/>
      <c r="S90" s="304"/>
    </row>
    <row r="91" spans="2:19" s="2" customFormat="1" ht="12.75">
      <c r="B91" s="442">
        <v>73</v>
      </c>
      <c r="C91" s="94">
        <v>73</v>
      </c>
      <c r="D91" s="154" t="s">
        <v>116</v>
      </c>
      <c r="E91" s="93">
        <v>2</v>
      </c>
      <c r="F91" s="152"/>
      <c r="H91" s="274" t="str">
        <f t="shared" si="2"/>
        <v>CORRECTO</v>
      </c>
      <c r="J91" s="302"/>
      <c r="K91" s="303"/>
      <c r="L91" s="303"/>
      <c r="M91" s="303"/>
      <c r="N91" s="303"/>
      <c r="O91" s="303"/>
      <c r="P91" s="303"/>
      <c r="Q91" s="303"/>
      <c r="R91" s="303"/>
      <c r="S91" s="304"/>
    </row>
    <row r="92" spans="2:19" s="2" customFormat="1" ht="12.75">
      <c r="B92" s="442">
        <v>74</v>
      </c>
      <c r="C92" s="94">
        <v>74</v>
      </c>
      <c r="D92" s="154" t="s">
        <v>117</v>
      </c>
      <c r="E92" s="93">
        <v>1</v>
      </c>
      <c r="F92" s="152"/>
      <c r="H92" s="274" t="str">
        <f t="shared" si="2"/>
        <v>CORRECTO</v>
      </c>
      <c r="J92" s="302"/>
      <c r="K92" s="303"/>
      <c r="L92" s="303"/>
      <c r="M92" s="303"/>
      <c r="N92" s="303"/>
      <c r="O92" s="303"/>
      <c r="P92" s="303"/>
      <c r="Q92" s="303"/>
      <c r="R92" s="303"/>
      <c r="S92" s="304"/>
    </row>
    <row r="93" spans="2:19" s="2" customFormat="1" ht="12.75">
      <c r="B93" s="442">
        <v>75</v>
      </c>
      <c r="C93" s="94">
        <v>75</v>
      </c>
      <c r="D93" s="154" t="s">
        <v>118</v>
      </c>
      <c r="E93" s="93">
        <v>1</v>
      </c>
      <c r="F93" s="152"/>
      <c r="H93" s="274" t="str">
        <f t="shared" si="2"/>
        <v>CORRECTO</v>
      </c>
      <c r="J93" s="302"/>
      <c r="K93" s="303"/>
      <c r="L93" s="303"/>
      <c r="M93" s="303"/>
      <c r="N93" s="303"/>
      <c r="O93" s="303"/>
      <c r="P93" s="303"/>
      <c r="Q93" s="303"/>
      <c r="R93" s="303"/>
      <c r="S93" s="304"/>
    </row>
    <row r="94" spans="2:19" s="2" customFormat="1" ht="12.75">
      <c r="B94" s="442">
        <v>76</v>
      </c>
      <c r="C94" s="94">
        <v>76</v>
      </c>
      <c r="D94" s="154" t="s">
        <v>119</v>
      </c>
      <c r="E94" s="93">
        <v>2</v>
      </c>
      <c r="F94" s="152"/>
      <c r="H94" s="274" t="str">
        <f t="shared" si="2"/>
        <v>CORRECTO</v>
      </c>
      <c r="J94" s="302"/>
      <c r="K94" s="303"/>
      <c r="L94" s="303"/>
      <c r="M94" s="303"/>
      <c r="N94" s="303"/>
      <c r="O94" s="303"/>
      <c r="P94" s="303"/>
      <c r="Q94" s="303"/>
      <c r="R94" s="303"/>
      <c r="S94" s="304"/>
    </row>
    <row r="95" spans="2:19" s="2" customFormat="1" ht="12.75">
      <c r="B95" s="442">
        <v>77</v>
      </c>
      <c r="C95" s="94">
        <v>77</v>
      </c>
      <c r="D95" s="154" t="s">
        <v>120</v>
      </c>
      <c r="E95" s="93">
        <v>2</v>
      </c>
      <c r="F95" s="152"/>
      <c r="H95" s="274" t="str">
        <f t="shared" si="2"/>
        <v>CORRECTO</v>
      </c>
      <c r="J95" s="302"/>
      <c r="K95" s="303"/>
      <c r="L95" s="303"/>
      <c r="M95" s="303"/>
      <c r="N95" s="303"/>
      <c r="O95" s="303"/>
      <c r="P95" s="303"/>
      <c r="Q95" s="303"/>
      <c r="R95" s="303"/>
      <c r="S95" s="304"/>
    </row>
    <row r="96" spans="2:19" s="2" customFormat="1" ht="12.75">
      <c r="B96" s="442">
        <v>78</v>
      </c>
      <c r="C96" s="94">
        <v>78</v>
      </c>
      <c r="D96" s="154" t="s">
        <v>121</v>
      </c>
      <c r="E96" s="93">
        <v>1</v>
      </c>
      <c r="F96" s="152"/>
      <c r="H96" s="274" t="str">
        <f t="shared" si="2"/>
        <v>CORRECTO</v>
      </c>
      <c r="J96" s="302"/>
      <c r="K96" s="303"/>
      <c r="L96" s="303"/>
      <c r="M96" s="303"/>
      <c r="N96" s="303"/>
      <c r="O96" s="303"/>
      <c r="P96" s="303"/>
      <c r="Q96" s="303"/>
      <c r="R96" s="303"/>
      <c r="S96" s="304"/>
    </row>
    <row r="97" spans="2:19" s="2" customFormat="1" ht="12.75">
      <c r="B97" s="442">
        <v>79</v>
      </c>
      <c r="C97" s="94">
        <v>79</v>
      </c>
      <c r="D97" s="154" t="s">
        <v>122</v>
      </c>
      <c r="E97" s="93">
        <v>2</v>
      </c>
      <c r="F97" s="152"/>
      <c r="H97" s="274" t="str">
        <f t="shared" si="2"/>
        <v>CORRECTO</v>
      </c>
      <c r="J97" s="302"/>
      <c r="K97" s="303"/>
      <c r="L97" s="303"/>
      <c r="M97" s="303"/>
      <c r="N97" s="303"/>
      <c r="O97" s="303"/>
      <c r="P97" s="303"/>
      <c r="Q97" s="303"/>
      <c r="R97" s="303"/>
      <c r="S97" s="304"/>
    </row>
    <row r="98" spans="2:19" s="2" customFormat="1" ht="12.75">
      <c r="B98" s="442">
        <v>80</v>
      </c>
      <c r="C98" s="94">
        <v>80</v>
      </c>
      <c r="D98" s="154" t="s">
        <v>123</v>
      </c>
      <c r="E98" s="93">
        <v>1</v>
      </c>
      <c r="F98" s="152"/>
      <c r="H98" s="274" t="str">
        <f t="shared" si="2"/>
        <v>CORRECTO</v>
      </c>
      <c r="J98" s="302"/>
      <c r="K98" s="303"/>
      <c r="L98" s="303"/>
      <c r="M98" s="303"/>
      <c r="N98" s="303"/>
      <c r="O98" s="303"/>
      <c r="P98" s="303"/>
      <c r="Q98" s="303"/>
      <c r="R98" s="303"/>
      <c r="S98" s="304"/>
    </row>
    <row r="99" spans="2:19" s="2" customFormat="1" ht="12.75">
      <c r="B99" s="442">
        <v>81</v>
      </c>
      <c r="C99" s="94">
        <v>81</v>
      </c>
      <c r="D99" s="154" t="s">
        <v>124</v>
      </c>
      <c r="E99" s="93">
        <v>2</v>
      </c>
      <c r="F99" s="152"/>
      <c r="H99" s="274" t="str">
        <f t="shared" si="2"/>
        <v>CORRECTO</v>
      </c>
      <c r="J99" s="302"/>
      <c r="K99" s="303"/>
      <c r="L99" s="303"/>
      <c r="M99" s="303"/>
      <c r="N99" s="303"/>
      <c r="O99" s="303"/>
      <c r="P99" s="303"/>
      <c r="Q99" s="303"/>
      <c r="R99" s="303"/>
      <c r="S99" s="304"/>
    </row>
    <row r="100" spans="2:19" s="2" customFormat="1" ht="12.75">
      <c r="B100" s="442">
        <v>82</v>
      </c>
      <c r="C100" s="94">
        <v>82</v>
      </c>
      <c r="D100" s="154" t="s">
        <v>125</v>
      </c>
      <c r="E100" s="93">
        <v>1</v>
      </c>
      <c r="F100" s="152"/>
      <c r="H100" s="274" t="str">
        <f t="shared" si="2"/>
        <v>CORRECTO</v>
      </c>
      <c r="J100" s="302"/>
      <c r="K100" s="303"/>
      <c r="L100" s="303"/>
      <c r="M100" s="303"/>
      <c r="N100" s="303"/>
      <c r="O100" s="303"/>
      <c r="P100" s="303"/>
      <c r="Q100" s="303"/>
      <c r="R100" s="303"/>
      <c r="S100" s="304"/>
    </row>
    <row r="101" spans="2:19" s="2" customFormat="1" ht="12.75">
      <c r="B101" s="442">
        <v>83</v>
      </c>
      <c r="C101" s="94">
        <v>83</v>
      </c>
      <c r="D101" s="154" t="s">
        <v>126</v>
      </c>
      <c r="E101" s="93">
        <v>2</v>
      </c>
      <c r="F101" s="152"/>
      <c r="H101" s="274" t="str">
        <f t="shared" si="2"/>
        <v>CORRECTO</v>
      </c>
      <c r="J101" s="302"/>
      <c r="K101" s="303"/>
      <c r="L101" s="303"/>
      <c r="M101" s="303"/>
      <c r="N101" s="303"/>
      <c r="O101" s="303"/>
      <c r="P101" s="303"/>
      <c r="Q101" s="303"/>
      <c r="R101" s="303"/>
      <c r="S101" s="304"/>
    </row>
    <row r="102" spans="2:19" s="2" customFormat="1" ht="12.75">
      <c r="B102" s="442">
        <v>84</v>
      </c>
      <c r="C102" s="94">
        <v>84</v>
      </c>
      <c r="D102" s="154" t="s">
        <v>127</v>
      </c>
      <c r="E102" s="93">
        <v>1</v>
      </c>
      <c r="F102" s="152"/>
      <c r="H102" s="274" t="str">
        <f t="shared" si="2"/>
        <v>CORRECTO</v>
      </c>
      <c r="J102" s="302"/>
      <c r="K102" s="303"/>
      <c r="L102" s="303"/>
      <c r="M102" s="303"/>
      <c r="N102" s="303"/>
      <c r="O102" s="303"/>
      <c r="P102" s="303"/>
      <c r="Q102" s="303"/>
      <c r="R102" s="303"/>
      <c r="S102" s="304"/>
    </row>
    <row r="103" spans="2:19" s="2" customFormat="1" ht="12.75">
      <c r="B103" s="442">
        <v>85</v>
      </c>
      <c r="C103" s="94">
        <v>85</v>
      </c>
      <c r="D103" s="154" t="s">
        <v>128</v>
      </c>
      <c r="E103" s="93">
        <v>1</v>
      </c>
      <c r="F103" s="152"/>
      <c r="H103" s="274" t="str">
        <f t="shared" si="2"/>
        <v>CORRECTO</v>
      </c>
      <c r="J103" s="302"/>
      <c r="K103" s="303"/>
      <c r="L103" s="303"/>
      <c r="M103" s="303"/>
      <c r="N103" s="303"/>
      <c r="O103" s="303"/>
      <c r="P103" s="303"/>
      <c r="Q103" s="303"/>
      <c r="R103" s="303"/>
      <c r="S103" s="304"/>
    </row>
    <row r="104" spans="2:19" s="2" customFormat="1" ht="12.75">
      <c r="B104" s="442">
        <v>86</v>
      </c>
      <c r="C104" s="94">
        <v>86</v>
      </c>
      <c r="D104" s="154" t="s">
        <v>129</v>
      </c>
      <c r="E104" s="93">
        <v>1</v>
      </c>
      <c r="F104" s="152"/>
      <c r="H104" s="274" t="str">
        <f t="shared" si="2"/>
        <v>CORRECTO</v>
      </c>
      <c r="J104" s="302"/>
      <c r="K104" s="303"/>
      <c r="L104" s="303"/>
      <c r="M104" s="303"/>
      <c r="N104" s="303"/>
      <c r="O104" s="303"/>
      <c r="P104" s="303"/>
      <c r="Q104" s="303"/>
      <c r="R104" s="303"/>
      <c r="S104" s="304"/>
    </row>
    <row r="105" spans="2:19" s="2" customFormat="1" ht="12.75">
      <c r="B105" s="442">
        <v>87</v>
      </c>
      <c r="C105" s="94">
        <v>87</v>
      </c>
      <c r="D105" s="154" t="s">
        <v>130</v>
      </c>
      <c r="E105" s="93">
        <v>2</v>
      </c>
      <c r="F105" s="152"/>
      <c r="H105" s="274" t="str">
        <f t="shared" si="2"/>
        <v>CORRECTO</v>
      </c>
      <c r="J105" s="302"/>
      <c r="K105" s="303"/>
      <c r="L105" s="303"/>
      <c r="M105" s="303"/>
      <c r="N105" s="303"/>
      <c r="O105" s="303"/>
      <c r="P105" s="303"/>
      <c r="Q105" s="303"/>
      <c r="R105" s="303"/>
      <c r="S105" s="304"/>
    </row>
    <row r="106" spans="2:19" s="2" customFormat="1" ht="12.75">
      <c r="B106" s="442">
        <v>88</v>
      </c>
      <c r="C106" s="94">
        <v>88</v>
      </c>
      <c r="D106" s="154" t="s">
        <v>131</v>
      </c>
      <c r="E106" s="93">
        <v>1</v>
      </c>
      <c r="F106" s="152"/>
      <c r="H106" s="274" t="str">
        <f t="shared" si="2"/>
        <v>CORRECTO</v>
      </c>
      <c r="J106" s="302"/>
      <c r="K106" s="303"/>
      <c r="L106" s="303"/>
      <c r="M106" s="303"/>
      <c r="N106" s="303"/>
      <c r="O106" s="303"/>
      <c r="P106" s="303"/>
      <c r="Q106" s="303"/>
      <c r="R106" s="303"/>
      <c r="S106" s="304"/>
    </row>
    <row r="107" spans="2:19" s="2" customFormat="1" ht="12.75">
      <c r="B107" s="442">
        <v>89</v>
      </c>
      <c r="C107" s="94">
        <v>89</v>
      </c>
      <c r="D107" s="154" t="s">
        <v>132</v>
      </c>
      <c r="E107" s="93">
        <v>2</v>
      </c>
      <c r="F107" s="152"/>
      <c r="H107" s="274" t="str">
        <f t="shared" si="2"/>
        <v>CORRECTO</v>
      </c>
      <c r="J107" s="302"/>
      <c r="K107" s="303"/>
      <c r="L107" s="303"/>
      <c r="M107" s="303"/>
      <c r="N107" s="303"/>
      <c r="O107" s="303"/>
      <c r="P107" s="303"/>
      <c r="Q107" s="303"/>
      <c r="R107" s="303"/>
      <c r="S107" s="304"/>
    </row>
    <row r="108" spans="2:19" s="2" customFormat="1" ht="12.75">
      <c r="B108" s="442">
        <v>90</v>
      </c>
      <c r="C108" s="94">
        <v>90</v>
      </c>
      <c r="D108" s="154" t="s">
        <v>133</v>
      </c>
      <c r="E108" s="93">
        <v>1</v>
      </c>
      <c r="F108" s="152"/>
      <c r="H108" s="274" t="str">
        <f t="shared" si="2"/>
        <v>CORRECTO</v>
      </c>
      <c r="J108" s="302"/>
      <c r="K108" s="303"/>
      <c r="L108" s="303"/>
      <c r="M108" s="303"/>
      <c r="N108" s="303"/>
      <c r="O108" s="303"/>
      <c r="P108" s="303"/>
      <c r="Q108" s="303"/>
      <c r="R108" s="303"/>
      <c r="S108" s="304"/>
    </row>
    <row r="109" spans="2:19" s="2" customFormat="1" ht="3" customHeight="1" thickBot="1">
      <c r="B109" s="447" t="s">
        <v>134</v>
      </c>
      <c r="C109" s="267" t="s">
        <v>134</v>
      </c>
      <c r="D109" s="443"/>
      <c r="E109" s="275"/>
      <c r="J109" s="305"/>
      <c r="K109" s="306"/>
      <c r="L109" s="306"/>
      <c r="M109" s="306"/>
      <c r="N109" s="306"/>
      <c r="O109" s="306"/>
      <c r="P109" s="306"/>
      <c r="Q109" s="306"/>
      <c r="R109" s="306"/>
      <c r="S109" s="307"/>
    </row>
    <row r="110" spans="2:19" ht="15.75"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21" type="noConversion"/>
  <conditionalFormatting sqref="J19:S108 C19:E108">
    <cfRule type="expression" dxfId="7384" priority="81">
      <formula>MOD(ROW(),2)</formula>
    </cfRule>
  </conditionalFormatting>
  <conditionalFormatting sqref="H19:H108">
    <cfRule type="cellIs" dxfId="7383" priority="35" operator="notEqual">
      <formula>"CORRECTO"</formula>
    </cfRule>
    <cfRule type="cellIs" dxfId="7382" priority="36" operator="equal">
      <formula>"CORRECTO"</formula>
    </cfRule>
  </conditionalFormatting>
  <conditionalFormatting sqref="G19:H108">
    <cfRule type="expression" dxfId="7381" priority="33">
      <formula>AND(ROW()=CELL("ROW"),COLUMN()=CELL("COL"))</formula>
    </cfRule>
  </conditionalFormatting>
  <conditionalFormatting sqref="J19:S108 C19:H108">
    <cfRule type="expression" dxfId="7380" priority="34"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61 D63 D65:D108" xr:uid="{8C93D492-0D3E-44AA-81FC-BB50B684506A}">
      <formula1>COUNTIF($D$19:$D$108,D19)=1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689"/>
  <sheetViews>
    <sheetView showGridLines="0" topLeftCell="A62" zoomScaleNormal="100" workbookViewId="0">
      <selection activeCell="E68" sqref="E68"/>
    </sheetView>
  </sheetViews>
  <sheetFormatPr baseColWidth="10" defaultColWidth="0" defaultRowHeight="15.75" zeroHeight="1"/>
  <cols>
    <col min="1" max="1" width="0.85546875" style="67" customWidth="1"/>
    <col min="2" max="2" width="1.7109375" style="67" customWidth="1"/>
    <col min="3" max="3" width="6.7109375" style="52" customWidth="1"/>
    <col min="4" max="4" width="14.28515625" style="68" customWidth="1"/>
    <col min="5" max="5" width="64.5703125" style="68" customWidth="1"/>
    <col min="6" max="6" width="27.7109375" style="75" customWidth="1"/>
    <col min="7" max="7" width="23.140625" style="68" customWidth="1"/>
    <col min="8" max="8" width="2.7109375" style="68" customWidth="1"/>
    <col min="9" max="9" width="17.5703125" hidden="1" customWidth="1"/>
    <col min="10" max="11" width="0" hidden="1" customWidth="1"/>
    <col min="12" max="13" width="10.140625" style="68" customWidth="1"/>
    <col min="14" max="16384" width="10.140625" style="68" hidden="1"/>
  </cols>
  <sheetData>
    <row r="1" spans="1:11" s="69" customFormat="1" ht="18" customHeight="1">
      <c r="A1" s="67" t="s">
        <v>135</v>
      </c>
      <c r="B1" s="68"/>
      <c r="C1" s="82"/>
      <c r="D1" s="739" t="str">
        <f>+PROPONENTES!B1</f>
        <v>INSTITUTO NACIONAL DE VÍAS</v>
      </c>
      <c r="E1" s="739"/>
      <c r="F1" s="739"/>
      <c r="G1" s="76"/>
      <c r="H1" s="68"/>
      <c r="I1" s="4"/>
      <c r="J1" s="4"/>
      <c r="K1" s="4"/>
    </row>
    <row r="2" spans="1:11" s="69" customFormat="1" ht="18" customHeight="1">
      <c r="A2" s="67"/>
      <c r="B2" s="68"/>
      <c r="D2" s="740" t="str">
        <f>+PROPONENTES!B2</f>
        <v>DIRECCIÓN GENERAL</v>
      </c>
      <c r="E2" s="740"/>
      <c r="F2" s="740"/>
      <c r="G2" s="76"/>
      <c r="H2" s="68"/>
      <c r="I2" s="2"/>
      <c r="J2" s="2"/>
      <c r="K2" s="2"/>
    </row>
    <row r="3" spans="1:11" s="69" customFormat="1" ht="18" customHeight="1">
      <c r="A3" s="67"/>
      <c r="B3" s="68"/>
      <c r="C3" s="82"/>
      <c r="D3" s="741" t="str">
        <f>+PROPONENTES!B3</f>
        <v>DIRECCION JURIDICA</v>
      </c>
      <c r="E3" s="741"/>
      <c r="F3" s="741"/>
      <c r="G3" s="76"/>
      <c r="H3" s="68"/>
      <c r="I3" s="2"/>
      <c r="J3" s="2"/>
      <c r="K3" s="2"/>
    </row>
    <row r="4" spans="1:11" s="69" customFormat="1" ht="15.75" customHeight="1">
      <c r="A4" s="67"/>
      <c r="B4" s="68"/>
      <c r="C4" s="82"/>
      <c r="D4" s="741" t="str">
        <f>+PROPONENTES!B4</f>
        <v>TERRITORIAL TOLIMA</v>
      </c>
      <c r="E4" s="741"/>
      <c r="F4" s="741"/>
      <c r="G4" s="76"/>
      <c r="H4" s="68"/>
      <c r="I4" s="2"/>
      <c r="J4" s="2"/>
      <c r="K4" s="2"/>
    </row>
    <row r="5" spans="1:11" s="71" customFormat="1" ht="6" customHeight="1">
      <c r="A5" s="67"/>
      <c r="B5" s="70"/>
      <c r="C5" s="82"/>
      <c r="D5" s="76"/>
      <c r="E5" s="76"/>
      <c r="F5" s="76"/>
      <c r="G5" s="76"/>
      <c r="H5" s="70"/>
      <c r="I5" s="2"/>
      <c r="J5" s="2"/>
      <c r="K5" s="2"/>
    </row>
    <row r="6" spans="1:11" s="71" customFormat="1" ht="18">
      <c r="A6" s="67"/>
      <c r="B6" s="70"/>
      <c r="C6" s="82"/>
      <c r="D6" s="741" t="str">
        <f>+PROPONENTES!B6</f>
        <v>CONCURSO DE MÉRITOS ABIERTO</v>
      </c>
      <c r="E6" s="741"/>
      <c r="F6" s="741"/>
      <c r="G6" s="76"/>
      <c r="H6" s="70"/>
      <c r="I6" s="2"/>
      <c r="J6" s="2"/>
      <c r="K6" s="2"/>
    </row>
    <row r="7" spans="1:11" s="69" customFormat="1" ht="18">
      <c r="A7" s="67"/>
      <c r="B7" s="68"/>
      <c r="C7" s="82"/>
      <c r="D7" s="741" t="str">
        <f>+PROPONENTES!B7</f>
        <v>CMA-DT-TOL-001-2022</v>
      </c>
      <c r="E7" s="741"/>
      <c r="F7" s="741"/>
      <c r="G7" s="76"/>
      <c r="H7" s="68"/>
      <c r="I7" s="2"/>
      <c r="J7" s="2"/>
      <c r="K7" s="2"/>
    </row>
    <row r="8" spans="1:11" s="69" customFormat="1" ht="9.75" customHeight="1">
      <c r="A8" s="67"/>
      <c r="B8" s="68"/>
      <c r="C8" s="82"/>
      <c r="D8" s="78"/>
      <c r="E8" s="78"/>
      <c r="F8" s="78"/>
      <c r="G8" s="76"/>
      <c r="H8" s="68"/>
      <c r="I8" s="2"/>
      <c r="J8" s="2"/>
      <c r="K8" s="2"/>
    </row>
    <row r="9" spans="1:11" s="69" customFormat="1" ht="41.25" customHeight="1">
      <c r="A9" s="67"/>
      <c r="B9" s="68"/>
      <c r="C9" s="82"/>
      <c r="D9" s="737" t="str">
        <f>+PROPONENTES!B9</f>
        <v>OBJETO: INTERVENTORÍA TECNICA, ADMINISTRATIVA, FINANCIERA Y AMBIENTAL PARA EL MANTENIMIENTO Y MEJORAMIENTO DE VIAS TERCIARIAS DEL PROGRAMA "COLOMBIA RURAL" EN LOS MUNICIPIOS DEL DEPARTAMENTO DEL TOLIMA - GRUPO II.</v>
      </c>
      <c r="E9" s="737"/>
      <c r="F9" s="737"/>
      <c r="G9" s="76"/>
      <c r="H9" s="68"/>
      <c r="I9" s="2"/>
      <c r="J9" s="2"/>
      <c r="K9" s="2"/>
    </row>
    <row r="10" spans="1:11" s="69" customFormat="1" ht="9.75" customHeight="1">
      <c r="A10" s="67"/>
      <c r="B10" s="68"/>
      <c r="C10" s="82"/>
      <c r="D10" s="78"/>
      <c r="E10" s="78"/>
      <c r="F10" s="78"/>
      <c r="G10" s="76"/>
      <c r="H10" s="68"/>
      <c r="I10" s="2"/>
      <c r="J10" s="2"/>
      <c r="K10" s="2"/>
    </row>
    <row r="11" spans="1:11" s="69" customFormat="1" ht="15" customHeight="1">
      <c r="A11" s="67"/>
      <c r="B11" s="68"/>
      <c r="C11" s="82"/>
      <c r="D11" s="738"/>
      <c r="E11" s="738"/>
      <c r="F11" s="738"/>
      <c r="G11" s="68"/>
      <c r="H11" s="68"/>
      <c r="I11" s="2"/>
      <c r="J11" s="2"/>
      <c r="K11" s="2"/>
    </row>
    <row r="12" spans="1:11" s="69" customFormat="1" ht="8.25" customHeight="1">
      <c r="A12" s="67"/>
      <c r="B12" s="68"/>
      <c r="C12" s="80"/>
      <c r="D12" s="104"/>
      <c r="E12" s="77"/>
      <c r="F12" s="77"/>
      <c r="G12" s="68"/>
      <c r="H12" s="68"/>
      <c r="I12" s="2"/>
      <c r="J12" s="2"/>
      <c r="K12" s="2"/>
    </row>
    <row r="13" spans="1:11" s="69" customFormat="1" ht="18" customHeight="1">
      <c r="A13" s="67"/>
      <c r="B13" s="67"/>
      <c r="C13" s="81"/>
      <c r="D13" s="738" t="s">
        <v>136</v>
      </c>
      <c r="E13" s="738"/>
      <c r="F13" s="738"/>
      <c r="G13" s="68"/>
      <c r="H13" s="68"/>
      <c r="I13" s="2"/>
      <c r="J13" s="2"/>
      <c r="K13" s="2"/>
    </row>
    <row r="14" spans="1:11" s="69" customFormat="1" ht="18" customHeight="1">
      <c r="A14" s="67"/>
      <c r="B14" s="67"/>
      <c r="C14" s="81"/>
      <c r="D14" s="738" t="s">
        <v>137</v>
      </c>
      <c r="E14" s="738"/>
      <c r="F14" s="738"/>
      <c r="G14" s="68"/>
      <c r="H14" s="68"/>
      <c r="I14" s="2"/>
      <c r="J14" s="2"/>
      <c r="K14" s="2"/>
    </row>
    <row r="15" spans="1:11" s="69" customFormat="1" ht="4.5" customHeight="1" thickBot="1">
      <c r="A15" s="67"/>
      <c r="B15" s="67"/>
      <c r="C15" s="52"/>
      <c r="D15" s="72"/>
      <c r="E15" s="73"/>
      <c r="F15" s="74"/>
      <c r="G15" s="68"/>
      <c r="H15" s="68"/>
      <c r="I15" s="2"/>
      <c r="J15" s="2"/>
      <c r="K15" s="2"/>
    </row>
    <row r="16" spans="1:11" s="69" customFormat="1" ht="15.75" customHeight="1" thickTop="1">
      <c r="A16" s="67"/>
      <c r="B16" s="67"/>
      <c r="C16" s="735" t="s">
        <v>37</v>
      </c>
      <c r="D16" s="744" t="s">
        <v>138</v>
      </c>
      <c r="E16" s="746" t="s">
        <v>139</v>
      </c>
      <c r="F16" s="748" t="s">
        <v>140</v>
      </c>
      <c r="G16" s="742" t="s">
        <v>141</v>
      </c>
      <c r="H16" s="68"/>
      <c r="I16" s="730"/>
      <c r="J16" s="730"/>
      <c r="K16" s="2"/>
    </row>
    <row r="17" spans="1:11" s="69" customFormat="1" ht="15.75" customHeight="1" thickBot="1">
      <c r="A17" s="67"/>
      <c r="B17" s="67"/>
      <c r="C17" s="736"/>
      <c r="D17" s="745" t="s">
        <v>142</v>
      </c>
      <c r="E17" s="747"/>
      <c r="F17" s="749"/>
      <c r="G17" s="743"/>
      <c r="H17" s="68"/>
      <c r="I17" s="730"/>
      <c r="J17" s="730"/>
      <c r="K17" s="2"/>
    </row>
    <row r="18" spans="1:11" s="69" customFormat="1" ht="4.5" customHeight="1">
      <c r="A18" s="67"/>
      <c r="B18" s="67"/>
      <c r="C18" s="98"/>
      <c r="D18" s="101"/>
      <c r="E18" s="102"/>
      <c r="F18" s="241"/>
      <c r="G18" s="103"/>
      <c r="H18" s="68"/>
      <c r="I18" s="5"/>
      <c r="J18" s="5"/>
      <c r="K18" s="5"/>
    </row>
    <row r="19" spans="1:11" s="69" customFormat="1" ht="15.75" customHeight="1">
      <c r="A19" s="67"/>
      <c r="B19" s="67"/>
      <c r="C19" s="99">
        <v>1</v>
      </c>
      <c r="D19" s="177">
        <f>IF(VLOOKUP(C19,PROPONENTES!$B$19:$E$108,2,FALSE)="","",VLOOKUP(C19,PROPONENTES!$B$19:$E$108,2,FALSE))</f>
        <v>1</v>
      </c>
      <c r="E19" s="95" t="str">
        <f>IF(D19="","",IF(D19-INT(D19)&gt;1,"",VLOOKUP(D19,PROPONENTES!$C$19:$D$108,2,FALSE)))</f>
        <v>PROYECTOS URBANOS &amp; CONSTRUCCIONES DEL CARIBE S.A.S</v>
      </c>
      <c r="F19" s="242">
        <v>1</v>
      </c>
      <c r="G19" s="96" t="s">
        <v>143</v>
      </c>
      <c r="H19" s="68"/>
      <c r="I19" s="2"/>
      <c r="J19" s="274" t="str">
        <f t="shared" ref="J19" si="0">IF((D19-INT(D19)&gt;0),IF(COUNTIF($E$19:$E$191,E19)&gt;1,"REPETIDO "&amp;COUNTIF($E$19:$E$191,E19)&amp;" VECES","CORRECTO"),"")</f>
        <v/>
      </c>
      <c r="K19" s="2"/>
    </row>
    <row r="20" spans="1:11" s="69" customFormat="1" ht="17.25" customHeight="1">
      <c r="A20" s="67"/>
      <c r="B20" s="67"/>
      <c r="C20" s="99">
        <v>2</v>
      </c>
      <c r="D20" s="177">
        <f>IF(VLOOKUP(C20,PROPONENTES!$B$19:$E$108,2,FALSE)="","",VLOOKUP(C20,PROPONENTES!$B$19:$E$108,2,FALSE))</f>
        <v>2</v>
      </c>
      <c r="E20" s="95" t="str">
        <f>IF(D20="","",IF(D20-INT(D20)&gt;1,"",VLOOKUP(D20,PROPONENTES!$C$19:$D$108,2,FALSE)))</f>
        <v>MIGUEL MORALES INGENIERIA SAS</v>
      </c>
      <c r="F20" s="242">
        <v>1</v>
      </c>
      <c r="G20" s="96" t="s">
        <v>144</v>
      </c>
      <c r="H20" s="68"/>
      <c r="I20" s="2"/>
      <c r="J20" s="274" t="str">
        <f t="shared" ref="J20:J51" si="1">IF((D20-INT(D20)&gt;0),IF(COUNTIF($E$19:$E$191,E20)&gt;1,"REPETIDO "&amp;COUNTIF($E$19:$E$191,E20)&amp;" VECES","CORRECTO"),"")</f>
        <v/>
      </c>
      <c r="K20" s="2"/>
    </row>
    <row r="21" spans="1:11" s="69" customFormat="1" ht="15.75" customHeight="1">
      <c r="A21" s="67"/>
      <c r="B21" s="67"/>
      <c r="C21" s="99">
        <v>3</v>
      </c>
      <c r="D21" s="177">
        <f>IF(VLOOKUP(C21,PROPONENTES!$B$19:$E$108,2,FALSE)="","",VLOOKUP(C21,PROPONENTES!$B$19:$E$108,2,FALSE))</f>
        <v>3</v>
      </c>
      <c r="E21" s="95" t="str">
        <f>IF(D21="","",IF(D21-INT(D21)&gt;1,"",VLOOKUP(D21,PROPONENTES!$C$19:$D$108,2,FALSE)))</f>
        <v>CONSULTORES DONOVAN SAS</v>
      </c>
      <c r="F21" s="242">
        <v>1</v>
      </c>
      <c r="G21" s="96" t="s">
        <v>145</v>
      </c>
      <c r="H21" s="68"/>
      <c r="I21" s="2"/>
      <c r="J21" s="274" t="str">
        <f t="shared" si="1"/>
        <v/>
      </c>
      <c r="K21" s="2"/>
    </row>
    <row r="22" spans="1:11" s="69" customFormat="1" ht="15.75" customHeight="1">
      <c r="A22" s="67"/>
      <c r="B22" s="67"/>
      <c r="C22" s="99">
        <v>4</v>
      </c>
      <c r="D22" s="177">
        <f>IF(VLOOKUP(C22,PROPONENTES!$B$19:$E$108,2,FALSE)="","",VLOOKUP(C22,PROPONENTES!$B$19:$E$108,2,FALSE))</f>
        <v>4</v>
      </c>
      <c r="E22" s="95" t="str">
        <f>IF(D22="","",IF(D22-INT(D22)&gt;1,"",VLOOKUP(D22,PROPONENTES!$C$19:$D$108,2,FALSE)))</f>
        <v>COMPAÑIA DE PROYECTOS TÉCNICOS CPT S.A</v>
      </c>
      <c r="F22" s="242">
        <v>1</v>
      </c>
      <c r="G22" s="96" t="s">
        <v>146</v>
      </c>
      <c r="H22" s="68"/>
      <c r="I22" s="2"/>
      <c r="J22" s="274" t="str">
        <f t="shared" si="1"/>
        <v/>
      </c>
      <c r="K22" s="2"/>
    </row>
    <row r="23" spans="1:11" s="69" customFormat="1" ht="15.75" customHeight="1">
      <c r="A23" s="67"/>
      <c r="B23" s="67"/>
      <c r="C23" s="99">
        <v>5</v>
      </c>
      <c r="D23" s="177">
        <f>IF(VLOOKUP(C23,PROPONENTES!$B$19:$E$108,2,FALSE)="","",VLOOKUP(C23,PROPONENTES!$B$19:$E$108,2,FALSE))</f>
        <v>5</v>
      </c>
      <c r="E23" s="95" t="str">
        <f>IF(D23="","",IF(D23-INT(D23)&gt;1,"",VLOOKUP(D23,PROPONENTES!$C$19:$D$108,2,FALSE)))</f>
        <v>GAVINCO INGENIEROS CONSULTORES SAS</v>
      </c>
      <c r="F23" s="242">
        <v>1</v>
      </c>
      <c r="G23" s="96" t="s">
        <v>147</v>
      </c>
      <c r="H23" s="68"/>
      <c r="I23" s="2"/>
      <c r="J23" s="274" t="str">
        <f t="shared" si="1"/>
        <v/>
      </c>
      <c r="K23" s="2"/>
    </row>
    <row r="24" spans="1:11" s="69" customFormat="1" ht="15.75" customHeight="1">
      <c r="A24" s="67"/>
      <c r="B24" s="67"/>
      <c r="C24" s="99">
        <v>6</v>
      </c>
      <c r="D24" s="177">
        <f>IF(VLOOKUP(C24,PROPONENTES!$B$19:$E$108,2,FALSE)="","",VLOOKUP(C24,PROPONENTES!$B$19:$E$108,2,FALSE))</f>
        <v>6</v>
      </c>
      <c r="E24" s="95" t="str">
        <f>IF(D24="","",IF(D24-INT(D24)&gt;1,"",VLOOKUP(D24,PROPONENTES!$C$19:$D$108,2,FALSE)))</f>
        <v>RD INGENIEROS CIVILES SAS</v>
      </c>
      <c r="F24" s="242">
        <v>1</v>
      </c>
      <c r="G24" s="96" t="s">
        <v>148</v>
      </c>
      <c r="H24" s="68"/>
      <c r="I24" s="2"/>
      <c r="J24" s="274" t="str">
        <f t="shared" si="1"/>
        <v/>
      </c>
      <c r="K24" s="2"/>
    </row>
    <row r="25" spans="1:11" s="69" customFormat="1" ht="15.75" customHeight="1">
      <c r="A25" s="67"/>
      <c r="B25" s="67"/>
      <c r="C25" s="99">
        <v>7</v>
      </c>
      <c r="D25" s="177">
        <f>IF(VLOOKUP(C25,PROPONENTES!$B$19:$E$108,2,FALSE)="","",VLOOKUP(C25,PROPONENTES!$B$19:$E$108,2,FALSE))</f>
        <v>7</v>
      </c>
      <c r="E25" s="95" t="str">
        <f>IF(D25="","",IF(D25-INT(D25)&gt;1,"",VLOOKUP(D25,PROPONENTES!$C$19:$D$108,2,FALSE)))</f>
        <v>CONSORCIO FEEC TOLIMA</v>
      </c>
      <c r="F25" s="242">
        <f>SUM(F26:F29)</f>
        <v>1</v>
      </c>
      <c r="G25" s="96"/>
      <c r="H25" s="68"/>
      <c r="I25" s="2"/>
      <c r="J25" s="274" t="str">
        <f t="shared" si="1"/>
        <v/>
      </c>
      <c r="K25" s="2"/>
    </row>
    <row r="26" spans="1:11" s="69" customFormat="1" ht="15.75" customHeight="1">
      <c r="A26" s="67"/>
      <c r="B26" s="67"/>
      <c r="C26" s="99"/>
      <c r="D26" s="177">
        <v>7.1</v>
      </c>
      <c r="E26" s="95" t="s">
        <v>149</v>
      </c>
      <c r="F26" s="242">
        <v>0.35</v>
      </c>
      <c r="G26" s="96" t="s">
        <v>150</v>
      </c>
      <c r="H26" s="68"/>
      <c r="I26" s="2"/>
      <c r="J26" s="274" t="str">
        <f t="shared" si="1"/>
        <v>CORRECTO</v>
      </c>
      <c r="K26" s="2"/>
    </row>
    <row r="27" spans="1:11" s="69" customFormat="1" ht="15.75" customHeight="1">
      <c r="A27" s="67"/>
      <c r="B27" s="67"/>
      <c r="C27" s="99"/>
      <c r="D27" s="177">
        <v>7.2</v>
      </c>
      <c r="E27" s="95" t="s">
        <v>151</v>
      </c>
      <c r="F27" s="242">
        <v>0.25</v>
      </c>
      <c r="G27" s="96" t="s">
        <v>152</v>
      </c>
      <c r="H27" s="68"/>
      <c r="I27" s="2"/>
      <c r="J27" s="274" t="str">
        <f t="shared" si="1"/>
        <v>CORRECTO</v>
      </c>
      <c r="K27" s="2"/>
    </row>
    <row r="28" spans="1:11" s="69" customFormat="1" ht="15.75" customHeight="1">
      <c r="A28" s="67"/>
      <c r="B28" s="67"/>
      <c r="C28" s="99"/>
      <c r="D28" s="177">
        <v>7.3</v>
      </c>
      <c r="E28" s="95" t="s">
        <v>153</v>
      </c>
      <c r="F28" s="242">
        <v>0.2</v>
      </c>
      <c r="G28" s="96" t="s">
        <v>154</v>
      </c>
      <c r="H28" s="68"/>
      <c r="I28" s="2"/>
      <c r="J28" s="274" t="str">
        <f t="shared" si="1"/>
        <v>CORRECTO</v>
      </c>
      <c r="K28" s="2"/>
    </row>
    <row r="29" spans="1:11" s="69" customFormat="1" ht="15.75" customHeight="1">
      <c r="A29" s="67"/>
      <c r="B29" s="67"/>
      <c r="C29" s="99"/>
      <c r="D29" s="177">
        <v>7.4</v>
      </c>
      <c r="E29" s="95" t="s">
        <v>155</v>
      </c>
      <c r="F29" s="242">
        <v>0.2</v>
      </c>
      <c r="G29" s="96" t="s">
        <v>156</v>
      </c>
      <c r="H29" s="68"/>
      <c r="I29" s="2"/>
      <c r="J29" s="274" t="str">
        <f t="shared" si="1"/>
        <v>CORRECTO</v>
      </c>
      <c r="K29" s="2"/>
    </row>
    <row r="30" spans="1:11" s="69" customFormat="1" ht="15.75" customHeight="1">
      <c r="A30" s="67"/>
      <c r="B30" s="67"/>
      <c r="C30" s="99">
        <v>8</v>
      </c>
      <c r="D30" s="177">
        <f>IF(VLOOKUP(C30,PROPONENTES!$B$19:$E$108,2,FALSE)="","",VLOOKUP(C30,PROPONENTES!$B$19:$E$108,2,FALSE))</f>
        <v>8</v>
      </c>
      <c r="E30" s="95" t="str">
        <f>IF(D30="","",IF(D30-INT(D30)&gt;1,"",VLOOKUP(D30,PROPONENTES!$C$19:$D$108,2,FALSE)))</f>
        <v>CARLOS ALBERTO PALTA MUÑOZ</v>
      </c>
      <c r="F30" s="242">
        <v>1</v>
      </c>
      <c r="G30" s="96" t="s">
        <v>157</v>
      </c>
      <c r="H30" s="68"/>
      <c r="I30" s="2"/>
      <c r="J30" s="274" t="str">
        <f t="shared" si="1"/>
        <v/>
      </c>
      <c r="K30" s="2"/>
    </row>
    <row r="31" spans="1:11" s="69" customFormat="1" ht="15.75" customHeight="1">
      <c r="A31" s="67"/>
      <c r="B31" s="67"/>
      <c r="C31" s="99">
        <v>9</v>
      </c>
      <c r="D31" s="177">
        <f>IF(VLOOKUP(C31,PROPONENTES!$B$19:$E$108,2,FALSE)="","",VLOOKUP(C31,PROPONENTES!$B$19:$E$108,2,FALSE))</f>
        <v>9</v>
      </c>
      <c r="E31" s="95" t="str">
        <f>IF(D31="","",IF(D31-INT(D31)&gt;1,"",VLOOKUP(D31,PROPONENTES!$C$19:$D$108,2,FALSE)))</f>
        <v>CONSORCIO GMC</v>
      </c>
      <c r="F31" s="242">
        <f>SUM(F32:F33)</f>
        <v>1</v>
      </c>
      <c r="G31" s="96"/>
      <c r="H31" s="68"/>
      <c r="I31" s="2"/>
      <c r="J31" s="274" t="str">
        <f t="shared" si="1"/>
        <v/>
      </c>
      <c r="K31" s="2"/>
    </row>
    <row r="32" spans="1:11" s="69" customFormat="1" ht="15.75" customHeight="1">
      <c r="A32" s="67"/>
      <c r="B32" s="67"/>
      <c r="C32" s="99"/>
      <c r="D32" s="177">
        <v>9.1</v>
      </c>
      <c r="E32" s="95" t="s">
        <v>158</v>
      </c>
      <c r="F32" s="242">
        <v>0.95</v>
      </c>
      <c r="G32" s="96" t="s">
        <v>159</v>
      </c>
      <c r="H32" s="68"/>
      <c r="I32" s="2"/>
      <c r="J32" s="274" t="str">
        <f t="shared" si="1"/>
        <v>CORRECTO</v>
      </c>
      <c r="K32" s="2"/>
    </row>
    <row r="33" spans="1:11" s="69" customFormat="1" ht="15.75" customHeight="1">
      <c r="A33" s="67"/>
      <c r="B33" s="67"/>
      <c r="C33" s="99"/>
      <c r="D33" s="177">
        <v>9.1999999999999993</v>
      </c>
      <c r="E33" s="95" t="s">
        <v>160</v>
      </c>
      <c r="F33" s="242">
        <v>0.05</v>
      </c>
      <c r="G33" s="96" t="s">
        <v>161</v>
      </c>
      <c r="H33" s="68"/>
      <c r="I33" s="2"/>
      <c r="J33" s="274" t="str">
        <f t="shared" si="1"/>
        <v>CORRECTO</v>
      </c>
      <c r="K33" s="2"/>
    </row>
    <row r="34" spans="1:11" s="69" customFormat="1" ht="15.75" customHeight="1">
      <c r="A34" s="67"/>
      <c r="B34" s="67"/>
      <c r="C34" s="99">
        <v>10</v>
      </c>
      <c r="D34" s="177">
        <f>IF(VLOOKUP(C34,PROPONENTES!$B$19:$E$108,2,FALSE)="","",VLOOKUP(C34,PROPONENTES!$B$19:$E$108,2,FALSE))</f>
        <v>10</v>
      </c>
      <c r="E34" s="95" t="str">
        <f>IF(D34="","",IF(D34-INT(D34)&gt;1,"",VLOOKUP(D34,PROPONENTES!$C$19:$D$108,2,FALSE)))</f>
        <v>R&amp;M CONSTRUCCIONES E INTERVENTORIAS S.A.S</v>
      </c>
      <c r="F34" s="242">
        <v>1</v>
      </c>
      <c r="G34" s="96" t="s">
        <v>162</v>
      </c>
      <c r="H34" s="68"/>
      <c r="I34" s="2"/>
      <c r="J34" s="274" t="str">
        <f t="shared" si="1"/>
        <v/>
      </c>
      <c r="K34" s="2"/>
    </row>
    <row r="35" spans="1:11" s="69" customFormat="1" ht="15.75" customHeight="1">
      <c r="A35" s="67"/>
      <c r="B35" s="67"/>
      <c r="C35" s="99">
        <v>11</v>
      </c>
      <c r="D35" s="177">
        <f>IF(VLOOKUP(C35,PROPONENTES!$B$19:$E$108,2,FALSE)="","",VLOOKUP(C35,PROPONENTES!$B$19:$E$108,2,FALSE))</f>
        <v>11</v>
      </c>
      <c r="E35" s="95" t="str">
        <f>IF(D35="","",IF(D35-INT(D35)&gt;1,"",VLOOKUP(D35,PROPONENTES!$C$19:$D$108,2,FALSE)))</f>
        <v>CUBIKO OBRAS Y CONSULTORÍAS SAS</v>
      </c>
      <c r="F35" s="242">
        <v>1</v>
      </c>
      <c r="G35" s="96" t="s">
        <v>163</v>
      </c>
      <c r="H35" s="68"/>
      <c r="I35" s="2"/>
      <c r="J35" s="274" t="str">
        <f t="shared" si="1"/>
        <v/>
      </c>
      <c r="K35" s="2"/>
    </row>
    <row r="36" spans="1:11" s="69" customFormat="1" ht="22.5">
      <c r="A36" s="67"/>
      <c r="B36" s="67"/>
      <c r="C36" s="99">
        <v>12</v>
      </c>
      <c r="D36" s="177">
        <f>IF(VLOOKUP(C36,PROPONENTES!$B$19:$E$108,2,FALSE)="","",VLOOKUP(C36,PROPONENTES!$B$19:$E$108,2,FALSE))</f>
        <v>12</v>
      </c>
      <c r="E36" s="95" t="str">
        <f>IF(D36="","",IF(D36-INT(D36)&gt;1,"",VLOOKUP(D36,PROPONENTES!$C$19:$D$108,2,FALSE)))</f>
        <v>CONSTRUCTORES DEL DESARROLLO TERRITORIAL CONSTRUDET Y COMPAÑÍA LTDA</v>
      </c>
      <c r="F36" s="242">
        <v>1</v>
      </c>
      <c r="G36" s="96" t="s">
        <v>164</v>
      </c>
      <c r="H36" s="68"/>
      <c r="I36" s="2"/>
      <c r="J36" s="274" t="str">
        <f t="shared" si="1"/>
        <v/>
      </c>
      <c r="K36" s="2"/>
    </row>
    <row r="37" spans="1:11" s="69" customFormat="1" ht="15.75" customHeight="1">
      <c r="A37" s="67"/>
      <c r="B37" s="67"/>
      <c r="C37" s="99">
        <v>13</v>
      </c>
      <c r="D37" s="177">
        <f>IF(VLOOKUP(C37,PROPONENTES!$B$19:$E$108,2,FALSE)="","",VLOOKUP(C37,PROPONENTES!$B$19:$E$108,2,FALSE))</f>
        <v>13</v>
      </c>
      <c r="E37" s="95" t="str">
        <f>IF(D37="","",IF(D37-INT(D37)&gt;1,"",VLOOKUP(D37,PROPONENTES!$C$19:$D$108,2,FALSE)))</f>
        <v>NICOLAS REDONDO MOLINA</v>
      </c>
      <c r="F37" s="242">
        <v>1</v>
      </c>
      <c r="G37" s="96" t="s">
        <v>165</v>
      </c>
      <c r="H37" s="68"/>
      <c r="I37" s="2"/>
      <c r="J37" s="274" t="str">
        <f t="shared" si="1"/>
        <v/>
      </c>
      <c r="K37" s="2"/>
    </row>
    <row r="38" spans="1:11" s="69" customFormat="1" ht="15.75" customHeight="1">
      <c r="A38" s="67"/>
      <c r="B38" s="67"/>
      <c r="C38" s="99">
        <v>14</v>
      </c>
      <c r="D38" s="177">
        <f>IF(VLOOKUP(C38,PROPONENTES!$B$19:$E$108,2,FALSE)="","",VLOOKUP(C38,PROPONENTES!$B$19:$E$108,2,FALSE))</f>
        <v>14</v>
      </c>
      <c r="E38" s="95" t="str">
        <f>IF(D38="","",IF(D38-INT(D38)&gt;1,"",VLOOKUP(D38,PROPONENTES!$C$19:$D$108,2,FALSE)))</f>
        <v>CONSORCIO INTER CB 2022</v>
      </c>
      <c r="F38" s="242">
        <f>SUM(F39:F40)</f>
        <v>1</v>
      </c>
      <c r="G38" s="96"/>
      <c r="H38" s="68"/>
      <c r="I38" s="2"/>
      <c r="J38" s="274" t="str">
        <f t="shared" si="1"/>
        <v/>
      </c>
      <c r="K38" s="2"/>
    </row>
    <row r="39" spans="1:11" s="69" customFormat="1" ht="15.75" customHeight="1">
      <c r="A39" s="67"/>
      <c r="B39" s="67"/>
      <c r="C39" s="99"/>
      <c r="D39" s="177">
        <v>14.1</v>
      </c>
      <c r="E39" s="95" t="s">
        <v>166</v>
      </c>
      <c r="F39" s="242">
        <v>0.5</v>
      </c>
      <c r="G39" s="96" t="s">
        <v>167</v>
      </c>
      <c r="H39" s="68"/>
      <c r="I39" s="2"/>
      <c r="J39" s="274" t="str">
        <f t="shared" si="1"/>
        <v>CORRECTO</v>
      </c>
      <c r="K39" s="2"/>
    </row>
    <row r="40" spans="1:11" s="69" customFormat="1" ht="15.75" customHeight="1">
      <c r="A40" s="67"/>
      <c r="B40" s="67"/>
      <c r="C40" s="99"/>
      <c r="D40" s="177">
        <v>14.2</v>
      </c>
      <c r="E40" s="95" t="s">
        <v>168</v>
      </c>
      <c r="F40" s="242">
        <v>0.5</v>
      </c>
      <c r="G40" s="96" t="s">
        <v>169</v>
      </c>
      <c r="H40" s="68"/>
      <c r="I40" s="2"/>
      <c r="J40" s="274" t="str">
        <f t="shared" si="1"/>
        <v>CORRECTO</v>
      </c>
      <c r="K40" s="2"/>
    </row>
    <row r="41" spans="1:11" s="69" customFormat="1" ht="15.75" customHeight="1">
      <c r="A41" s="67"/>
      <c r="B41" s="67"/>
      <c r="C41" s="99">
        <v>15</v>
      </c>
      <c r="D41" s="177">
        <f>IF(VLOOKUP(C41,PROPONENTES!$B$19:$E$108,2,FALSE)="","",VLOOKUP(C41,PROPONENTES!$B$19:$E$108,2,FALSE))</f>
        <v>15</v>
      </c>
      <c r="E41" s="95" t="str">
        <f>IF(D41="","",IF(D41-INT(D41)&gt;1,"",VLOOKUP(D41,PROPONENTES!$C$19:$D$108,2,FALSE)))</f>
        <v>EMPROCIV SAS</v>
      </c>
      <c r="F41" s="242">
        <v>1</v>
      </c>
      <c r="G41" s="96" t="s">
        <v>170</v>
      </c>
      <c r="H41" s="68"/>
      <c r="I41" s="2"/>
      <c r="J41" s="274" t="str">
        <f t="shared" si="1"/>
        <v/>
      </c>
      <c r="K41" s="2"/>
    </row>
    <row r="42" spans="1:11" s="69" customFormat="1" ht="15.75" customHeight="1">
      <c r="A42" s="67"/>
      <c r="B42" s="67"/>
      <c r="C42" s="99">
        <v>16</v>
      </c>
      <c r="D42" s="177">
        <f>IF(VLOOKUP(C42,PROPONENTES!$B$19:$E$108,2,FALSE)="","",VLOOKUP(C42,PROPONENTES!$B$19:$E$108,2,FALSE))</f>
        <v>16</v>
      </c>
      <c r="E42" s="95" t="str">
        <f>IF(D42="","",IF(D42-INT(D42)&gt;1,"",VLOOKUP(D42,PROPONENTES!$C$19:$D$108,2,FALSE)))</f>
        <v>CONSORCIO CAMCO</v>
      </c>
      <c r="F42" s="242">
        <f>SUM(F43:F44)</f>
        <v>1</v>
      </c>
      <c r="G42" s="96"/>
      <c r="H42" s="68"/>
      <c r="I42" s="2"/>
      <c r="J42" s="274" t="str">
        <f t="shared" si="1"/>
        <v/>
      </c>
      <c r="K42" s="2"/>
    </row>
    <row r="43" spans="1:11" s="69" customFormat="1" ht="15.75" customHeight="1">
      <c r="A43" s="67"/>
      <c r="B43" s="67"/>
      <c r="C43" s="99"/>
      <c r="D43" s="177">
        <v>16.100000000000001</v>
      </c>
      <c r="E43" s="95" t="s">
        <v>171</v>
      </c>
      <c r="F43" s="242">
        <v>0.55000000000000004</v>
      </c>
      <c r="G43" s="96" t="s">
        <v>172</v>
      </c>
      <c r="H43" s="68"/>
      <c r="I43" s="2"/>
      <c r="J43" s="274" t="str">
        <f t="shared" si="1"/>
        <v>CORRECTO</v>
      </c>
      <c r="K43" s="2"/>
    </row>
    <row r="44" spans="1:11" s="69" customFormat="1" ht="15.75" customHeight="1">
      <c r="A44" s="67"/>
      <c r="B44" s="67"/>
      <c r="C44" s="99"/>
      <c r="D44" s="177">
        <v>16.2</v>
      </c>
      <c r="E44" s="95" t="s">
        <v>173</v>
      </c>
      <c r="F44" s="242">
        <v>0.45</v>
      </c>
      <c r="G44" s="96" t="s">
        <v>174</v>
      </c>
      <c r="H44" s="68"/>
      <c r="I44" s="2"/>
      <c r="J44" s="274" t="str">
        <f t="shared" si="1"/>
        <v>CORRECTO</v>
      </c>
      <c r="K44" s="2"/>
    </row>
    <row r="45" spans="1:11" s="69" customFormat="1" ht="15.75" customHeight="1">
      <c r="A45" s="67"/>
      <c r="B45" s="67"/>
      <c r="C45" s="99">
        <v>17</v>
      </c>
      <c r="D45" s="177">
        <f>IF(VLOOKUP(C45,PROPONENTES!$B$19:$E$108,2,FALSE)="","",VLOOKUP(C45,PROPONENTES!$B$19:$E$108,2,FALSE))</f>
        <v>17</v>
      </c>
      <c r="E45" s="95" t="str">
        <f>IF(D45="","",IF(D45-INT(D45)&gt;1,"",VLOOKUP(D45,PROPONENTES!$C$19:$D$108,2,FALSE)))</f>
        <v>ARCA AQUITECTURA E INGENIERÍA S.A</v>
      </c>
      <c r="F45" s="242">
        <v>1</v>
      </c>
      <c r="G45" s="96" t="s">
        <v>175</v>
      </c>
      <c r="H45" s="68"/>
      <c r="I45" s="2"/>
      <c r="J45" s="274" t="str">
        <f t="shared" si="1"/>
        <v/>
      </c>
      <c r="K45" s="2"/>
    </row>
    <row r="46" spans="1:11" s="69" customFormat="1" ht="15.75" customHeight="1">
      <c r="A46" s="67"/>
      <c r="B46" s="67"/>
      <c r="C46" s="99">
        <v>18</v>
      </c>
      <c r="D46" s="177">
        <f>IF(VLOOKUP(C46,PROPONENTES!$B$19:$E$108,2,FALSE)="","",VLOOKUP(C46,PROPONENTES!$B$19:$E$108,2,FALSE))</f>
        <v>18</v>
      </c>
      <c r="E46" s="95" t="str">
        <f>IF(D46="","",IF(D46-INT(D46)&gt;1,"",VLOOKUP(D46,PROPONENTES!$C$19:$D$108,2,FALSE)))</f>
        <v>ALPHA INGENIERIA INTEGRAL SAS</v>
      </c>
      <c r="F46" s="242">
        <v>1</v>
      </c>
      <c r="G46" s="96" t="s">
        <v>176</v>
      </c>
      <c r="H46" s="68"/>
      <c r="I46" s="2"/>
      <c r="J46" s="274" t="str">
        <f t="shared" si="1"/>
        <v/>
      </c>
      <c r="K46" s="2"/>
    </row>
    <row r="47" spans="1:11" s="69" customFormat="1" ht="15.75" customHeight="1">
      <c r="A47" s="67"/>
      <c r="B47" s="67"/>
      <c r="C47" s="99">
        <v>19</v>
      </c>
      <c r="D47" s="177">
        <f>IF(VLOOKUP(C47,PROPONENTES!$B$19:$E$108,2,FALSE)="","",VLOOKUP(C47,PROPONENTES!$B$19:$E$108,2,FALSE))</f>
        <v>19</v>
      </c>
      <c r="E47" s="95" t="str">
        <f>IF(D47="","",IF(D47-INT(D47)&gt;1,"",VLOOKUP(D47,PROPONENTES!$C$19:$D$108,2,FALSE)))</f>
        <v>ELSA MARIA RUEDA LANDINEZ INGENIERIA SAS</v>
      </c>
      <c r="F47" s="242">
        <v>1</v>
      </c>
      <c r="G47" s="96" t="s">
        <v>177</v>
      </c>
      <c r="H47" s="68"/>
      <c r="I47" s="2"/>
      <c r="J47" s="274" t="str">
        <f t="shared" si="1"/>
        <v/>
      </c>
      <c r="K47" s="2"/>
    </row>
    <row r="48" spans="1:11" s="69" customFormat="1" ht="15.75" customHeight="1">
      <c r="A48" s="67"/>
      <c r="B48" s="67"/>
      <c r="C48" s="99">
        <v>20</v>
      </c>
      <c r="D48" s="177">
        <f>IF(VLOOKUP(C48,PROPONENTES!$B$19:$E$108,2,FALSE)="","",VLOOKUP(C48,PROPONENTES!$B$19:$E$108,2,FALSE))</f>
        <v>20</v>
      </c>
      <c r="E48" s="95" t="str">
        <f>IF(D48="","",IF(D48-INT(D48)&gt;1,"",VLOOKUP(D48,PROPONENTES!$C$19:$D$108,2,FALSE)))</f>
        <v>PROES INGENIERÍA S.A.S</v>
      </c>
      <c r="F48" s="242">
        <v>1</v>
      </c>
      <c r="G48" s="96" t="s">
        <v>178</v>
      </c>
      <c r="H48" s="68"/>
      <c r="I48" s="2"/>
      <c r="J48" s="274" t="str">
        <f t="shared" si="1"/>
        <v/>
      </c>
      <c r="K48" s="2"/>
    </row>
    <row r="49" spans="1:11" s="69" customFormat="1" ht="15.75" customHeight="1">
      <c r="A49" s="67"/>
      <c r="B49" s="67"/>
      <c r="C49" s="99">
        <v>21</v>
      </c>
      <c r="D49" s="177">
        <f>IF(VLOOKUP(C49,PROPONENTES!$B$19:$E$108,2,FALSE)="","",VLOOKUP(C49,PROPONENTES!$B$19:$E$108,2,FALSE))</f>
        <v>21</v>
      </c>
      <c r="E49" s="95" t="str">
        <f>IF(D49="","",IF(D49-INT(D49)&gt;1,"",VLOOKUP(D49,PROPONENTES!$C$19:$D$108,2,FALSE)))</f>
        <v>INGENIEROS CONSULTORES Y CONSTRUCTORES ARG SAS</v>
      </c>
      <c r="F49" s="242">
        <v>1</v>
      </c>
      <c r="G49" s="96" t="s">
        <v>179</v>
      </c>
      <c r="H49" s="68"/>
      <c r="I49" s="2"/>
      <c r="J49" s="274" t="str">
        <f t="shared" si="1"/>
        <v/>
      </c>
      <c r="K49" s="2"/>
    </row>
    <row r="50" spans="1:11" s="69" customFormat="1" ht="15.75" customHeight="1">
      <c r="A50" s="67"/>
      <c r="B50" s="67"/>
      <c r="C50" s="99">
        <v>22</v>
      </c>
      <c r="D50" s="177">
        <f>IF(VLOOKUP(C50,PROPONENTES!$B$19:$E$108,2,FALSE)="","",VLOOKUP(C50,PROPONENTES!$B$19:$E$108,2,FALSE))</f>
        <v>22</v>
      </c>
      <c r="E50" s="95" t="str">
        <f>IF(D50="","",IF(D50-INT(D50)&gt;1,"",VLOOKUP(D50,PROPONENTES!$C$19:$D$108,2,FALSE)))</f>
        <v>CONSORCIO GABRIELA TOLIMA</v>
      </c>
      <c r="F50" s="242">
        <f>SUM(F51:F52)</f>
        <v>1</v>
      </c>
      <c r="G50" s="96"/>
      <c r="H50" s="68"/>
      <c r="I50" s="2"/>
      <c r="J50" s="274" t="str">
        <f t="shared" si="1"/>
        <v/>
      </c>
      <c r="K50" s="2"/>
    </row>
    <row r="51" spans="1:11" s="69" customFormat="1" ht="15.75" customHeight="1">
      <c r="A51" s="67"/>
      <c r="B51" s="67"/>
      <c r="C51" s="99"/>
      <c r="D51" s="177">
        <v>22.1</v>
      </c>
      <c r="E51" s="95" t="s">
        <v>180</v>
      </c>
      <c r="F51" s="242">
        <v>0.95</v>
      </c>
      <c r="G51" s="96" t="s">
        <v>181</v>
      </c>
      <c r="H51" s="68"/>
      <c r="I51" s="2"/>
      <c r="J51" s="274" t="str">
        <f t="shared" si="1"/>
        <v>CORRECTO</v>
      </c>
      <c r="K51" s="2"/>
    </row>
    <row r="52" spans="1:11" s="69" customFormat="1" ht="15.75" customHeight="1">
      <c r="A52" s="67"/>
      <c r="B52" s="67"/>
      <c r="C52" s="99"/>
      <c r="D52" s="177">
        <v>22.2</v>
      </c>
      <c r="E52" s="95" t="s">
        <v>182</v>
      </c>
      <c r="F52" s="242">
        <v>0.05</v>
      </c>
      <c r="G52" s="96" t="s">
        <v>183</v>
      </c>
      <c r="H52" s="68"/>
      <c r="I52" s="2"/>
      <c r="J52" s="274" t="str">
        <f t="shared" ref="J52:J83" si="2">IF((D52-INT(D52)&gt;0),IF(COUNTIF($E$19:$E$191,E52)&gt;1,"REPETIDO "&amp;COUNTIF($E$19:$E$191,E52)&amp;" VECES","CORRECTO"),"")</f>
        <v>CORRECTO</v>
      </c>
      <c r="K52" s="2"/>
    </row>
    <row r="53" spans="1:11" s="69" customFormat="1" ht="15.75" customHeight="1">
      <c r="A53" s="67"/>
      <c r="B53" s="67"/>
      <c r="C53" s="99">
        <v>23</v>
      </c>
      <c r="D53" s="177">
        <f>IF(VLOOKUP(C53,PROPONENTES!$B$19:$E$108,2,FALSE)="","",VLOOKUP(C53,PROPONENTES!$B$19:$E$108,2,FALSE))</f>
        <v>23</v>
      </c>
      <c r="E53" s="95" t="str">
        <f>IF(D53="","",IF(D53-INT(D53)&gt;1,"",VLOOKUP(D53,PROPONENTES!$C$19:$D$108,2,FALSE)))</f>
        <v>VELNEC S.A</v>
      </c>
      <c r="F53" s="242">
        <v>1</v>
      </c>
      <c r="G53" s="96" t="s">
        <v>184</v>
      </c>
      <c r="H53" s="68"/>
      <c r="I53" s="2"/>
      <c r="J53" s="274" t="str">
        <f t="shared" si="2"/>
        <v/>
      </c>
      <c r="K53" s="2"/>
    </row>
    <row r="54" spans="1:11" s="69" customFormat="1" ht="15.75" customHeight="1">
      <c r="A54" s="67"/>
      <c r="B54" s="67"/>
      <c r="C54" s="99">
        <v>24</v>
      </c>
      <c r="D54" s="177">
        <f>IF(VLOOKUP(C54,PROPONENTES!$B$19:$E$108,2,FALSE)="","",VLOOKUP(C54,PROPONENTES!$B$19:$E$108,2,FALSE))</f>
        <v>24</v>
      </c>
      <c r="E54" s="95" t="str">
        <f>IF(D54="","",IF(D54-INT(D54)&gt;1,"",VLOOKUP(D54,PROPONENTES!$C$19:$D$108,2,FALSE)))</f>
        <v>ARQUITECTOS  INGENIEROS CONSTRUCTORES S.A.S</v>
      </c>
      <c r="F54" s="242"/>
      <c r="G54" s="96" t="s">
        <v>185</v>
      </c>
      <c r="H54" s="68"/>
      <c r="I54" s="2"/>
      <c r="J54" s="274" t="str">
        <f t="shared" si="2"/>
        <v/>
      </c>
      <c r="K54" s="2"/>
    </row>
    <row r="55" spans="1:11" s="69" customFormat="1" ht="15.75" customHeight="1">
      <c r="A55" s="67"/>
      <c r="B55" s="67"/>
      <c r="C55" s="99">
        <v>25</v>
      </c>
      <c r="D55" s="177">
        <f>IF(VLOOKUP(C55,PROPONENTES!$B$19:$E$108,2,FALSE)="","",VLOOKUP(C55,PROPONENTES!$B$19:$E$108,2,FALSE))</f>
        <v>25</v>
      </c>
      <c r="E55" s="95" t="str">
        <f>IF(D55="","",IF(D55-INT(D55)&gt;1,"",VLOOKUP(D55,PROPONENTES!$C$19:$D$108,2,FALSE)))</f>
        <v>CONSORCIO RUTA TOLIMA 1</v>
      </c>
      <c r="F55" s="242">
        <f>SUM(F56:F58)</f>
        <v>1</v>
      </c>
      <c r="G55" s="96"/>
      <c r="H55" s="68"/>
      <c r="I55" s="2"/>
      <c r="J55" s="274" t="str">
        <f t="shared" si="2"/>
        <v/>
      </c>
      <c r="K55" s="2"/>
    </row>
    <row r="56" spans="1:11" s="69" customFormat="1" ht="15.75" customHeight="1">
      <c r="A56" s="67"/>
      <c r="B56" s="67"/>
      <c r="C56" s="99"/>
      <c r="D56" s="177">
        <v>25.1</v>
      </c>
      <c r="E56" s="95" t="s">
        <v>186</v>
      </c>
      <c r="F56" s="242">
        <v>0.35</v>
      </c>
      <c r="G56" s="622">
        <v>19183135</v>
      </c>
      <c r="H56" s="68"/>
      <c r="I56" s="2"/>
      <c r="J56" s="274" t="str">
        <f t="shared" si="2"/>
        <v>CORRECTO</v>
      </c>
      <c r="K56" s="2"/>
    </row>
    <row r="57" spans="1:11" s="69" customFormat="1" ht="15.75" customHeight="1">
      <c r="A57" s="67"/>
      <c r="B57" s="67"/>
      <c r="C57" s="99"/>
      <c r="D57" s="177">
        <v>25.2</v>
      </c>
      <c r="E57" s="95" t="s">
        <v>187</v>
      </c>
      <c r="F57" s="242">
        <v>0.6</v>
      </c>
      <c r="G57" s="622" t="s">
        <v>188</v>
      </c>
      <c r="H57" s="68"/>
      <c r="I57" s="2"/>
      <c r="J57" s="274" t="str">
        <f t="shared" si="2"/>
        <v>CORRECTO</v>
      </c>
      <c r="K57" s="2"/>
    </row>
    <row r="58" spans="1:11" s="69" customFormat="1" ht="15.75" customHeight="1">
      <c r="A58" s="67"/>
      <c r="B58" s="67"/>
      <c r="C58" s="99"/>
      <c r="D58" s="177">
        <v>25.3</v>
      </c>
      <c r="E58" s="95" t="s">
        <v>189</v>
      </c>
      <c r="F58" s="242">
        <v>0.05</v>
      </c>
      <c r="G58" s="622">
        <v>12960411</v>
      </c>
      <c r="H58" s="68"/>
      <c r="I58" s="2"/>
      <c r="J58" s="274" t="str">
        <f t="shared" si="2"/>
        <v>CORRECTO</v>
      </c>
      <c r="K58" s="2"/>
    </row>
    <row r="59" spans="1:11" s="69" customFormat="1" ht="15.75" customHeight="1">
      <c r="A59" s="67"/>
      <c r="B59" s="67"/>
      <c r="C59" s="99">
        <v>26</v>
      </c>
      <c r="D59" s="177">
        <f>IF(VLOOKUP(C59,PROPONENTES!$B$19:$E$108,2,FALSE)="","",VLOOKUP(C59,PROPONENTES!$B$19:$E$108,2,FALSE))</f>
        <v>26</v>
      </c>
      <c r="E59" s="95" t="str">
        <f>IF(D59="","",IF(D59-INT(D59)&gt;1,"",VLOOKUP(D59,PROPONENTES!$C$19:$D$108,2,FALSE)))</f>
        <v>INGENIEROS CONSTRUCTORES Y ASESORES SAS</v>
      </c>
      <c r="F59" s="242"/>
      <c r="G59" s="96" t="s">
        <v>190</v>
      </c>
      <c r="H59" s="68"/>
      <c r="I59" s="2"/>
      <c r="J59" s="274" t="str">
        <f t="shared" si="2"/>
        <v/>
      </c>
      <c r="K59" s="2"/>
    </row>
    <row r="60" spans="1:11" s="69" customFormat="1" ht="15.75" customHeight="1">
      <c r="A60" s="67"/>
      <c r="B60" s="67"/>
      <c r="C60" s="99">
        <v>27</v>
      </c>
      <c r="D60" s="177">
        <f>IF(VLOOKUP(C60,PROPONENTES!$B$19:$E$108,2,FALSE)="","",VLOOKUP(C60,PROPONENTES!$B$19:$E$108,2,FALSE))</f>
        <v>27</v>
      </c>
      <c r="E60" s="95" t="str">
        <f>IF(D60="","",IF(D60-INT(D60)&gt;1,"",VLOOKUP(D60,PROPONENTES!$C$19:$D$108,2,FALSE)))</f>
        <v>CONSULTORIA Y CONSTRUCCIONES DARLEV SAS</v>
      </c>
      <c r="F60" s="242"/>
      <c r="G60" s="96" t="s">
        <v>191</v>
      </c>
      <c r="H60" s="68"/>
      <c r="I60" s="2"/>
      <c r="J60" s="274" t="str">
        <f t="shared" si="2"/>
        <v/>
      </c>
      <c r="K60" s="2"/>
    </row>
    <row r="61" spans="1:11" s="69" customFormat="1" ht="15.75" customHeight="1">
      <c r="A61" s="67"/>
      <c r="B61" s="67"/>
      <c r="C61" s="99">
        <v>28</v>
      </c>
      <c r="D61" s="177">
        <f>IF(VLOOKUP(C61,PROPONENTES!$B$19:$E$108,2,FALSE)="","",VLOOKUP(C61,PROPONENTES!$B$19:$E$108,2,FALSE))</f>
        <v>28</v>
      </c>
      <c r="E61" s="95" t="str">
        <f>IF(D61="","",IF(D61-INT(D61)&gt;1,"",VLOOKUP(D61,PROPONENTES!$C$19:$D$108,2,FALSE)))</f>
        <v>CONSORCIO TOLIMA</v>
      </c>
      <c r="F61" s="242">
        <f>SUM(F62:F63)</f>
        <v>1</v>
      </c>
      <c r="G61" s="96"/>
      <c r="H61" s="68"/>
      <c r="I61" s="2"/>
      <c r="J61" s="274" t="str">
        <f t="shared" si="2"/>
        <v/>
      </c>
      <c r="K61" s="2"/>
    </row>
    <row r="62" spans="1:11" s="69" customFormat="1" ht="15.75" customHeight="1">
      <c r="A62" s="67"/>
      <c r="B62" s="67"/>
      <c r="C62" s="99"/>
      <c r="D62" s="177">
        <v>28.1</v>
      </c>
      <c r="E62" s="95" t="s">
        <v>192</v>
      </c>
      <c r="F62" s="242">
        <v>0.95</v>
      </c>
      <c r="G62" s="96" t="s">
        <v>193</v>
      </c>
      <c r="H62" s="68"/>
      <c r="I62" s="2"/>
      <c r="J62" s="274" t="str">
        <f t="shared" si="2"/>
        <v>CORRECTO</v>
      </c>
      <c r="K62" s="2"/>
    </row>
    <row r="63" spans="1:11" s="69" customFormat="1" ht="15.75" customHeight="1">
      <c r="A63" s="67"/>
      <c r="B63" s="67"/>
      <c r="C63" s="99"/>
      <c r="D63" s="177">
        <v>28.2</v>
      </c>
      <c r="E63" s="95" t="s">
        <v>194</v>
      </c>
      <c r="F63" s="242">
        <v>0.05</v>
      </c>
      <c r="G63" s="625">
        <v>93389793</v>
      </c>
      <c r="H63" s="68"/>
      <c r="I63" s="2"/>
      <c r="J63" s="274" t="str">
        <f t="shared" si="2"/>
        <v>CORRECTO</v>
      </c>
      <c r="K63" s="2"/>
    </row>
    <row r="64" spans="1:11" s="69" customFormat="1" ht="15.75" customHeight="1">
      <c r="A64" s="67"/>
      <c r="B64" s="67"/>
      <c r="C64" s="99">
        <v>29</v>
      </c>
      <c r="D64" s="177">
        <f>IF(VLOOKUP(C64,PROPONENTES!$B$19:$E$108,2,FALSE)="","",VLOOKUP(C64,PROPONENTES!$B$19:$E$108,2,FALSE))</f>
        <v>29</v>
      </c>
      <c r="E64" s="95" t="str">
        <f>IF(D64="","",IF(D64-INT(D64)&gt;1,"",VLOOKUP(D64,PROPONENTES!$C$19:$D$108,2,FALSE)))</f>
        <v>CONSORCIO MT 2022 TOLIMA</v>
      </c>
      <c r="F64" s="242">
        <f>SUM(F65:F66)</f>
        <v>1</v>
      </c>
      <c r="G64" s="96"/>
      <c r="H64" s="68"/>
      <c r="I64" s="2"/>
      <c r="J64" s="274" t="str">
        <f t="shared" si="2"/>
        <v/>
      </c>
      <c r="K64" s="2"/>
    </row>
    <row r="65" spans="1:11" s="69" customFormat="1" ht="15.75" customHeight="1">
      <c r="A65" s="67"/>
      <c r="B65" s="67"/>
      <c r="C65" s="99"/>
      <c r="D65" s="177">
        <v>29.1</v>
      </c>
      <c r="E65" s="95" t="s">
        <v>195</v>
      </c>
      <c r="F65" s="242">
        <v>0.95</v>
      </c>
      <c r="G65" s="625">
        <v>10766786</v>
      </c>
      <c r="H65" s="68"/>
      <c r="I65" s="2"/>
      <c r="J65" s="274" t="str">
        <f t="shared" si="2"/>
        <v>CORRECTO</v>
      </c>
      <c r="K65" s="2"/>
    </row>
    <row r="66" spans="1:11" s="69" customFormat="1" ht="15.75" customHeight="1">
      <c r="A66" s="67"/>
      <c r="B66" s="67"/>
      <c r="C66" s="99"/>
      <c r="D66" s="177">
        <v>29.2</v>
      </c>
      <c r="E66" s="95" t="s">
        <v>196</v>
      </c>
      <c r="F66" s="242">
        <v>0.05</v>
      </c>
      <c r="G66" s="624" t="s">
        <v>197</v>
      </c>
      <c r="H66" s="68"/>
      <c r="I66" s="2"/>
      <c r="J66" s="274" t="str">
        <f t="shared" si="2"/>
        <v>CORRECTO</v>
      </c>
      <c r="K66" s="2"/>
    </row>
    <row r="67" spans="1:11" s="69" customFormat="1" ht="15.75" customHeight="1">
      <c r="A67" s="67"/>
      <c r="B67" s="67"/>
      <c r="C67" s="99">
        <v>30</v>
      </c>
      <c r="D67" s="177">
        <f>IF(VLOOKUP(C67,PROPONENTES!$B$19:$E$108,2,FALSE)="","",VLOOKUP(C67,PROPONENTES!$B$19:$E$108,2,FALSE))</f>
        <v>30</v>
      </c>
      <c r="E67" s="95" t="str">
        <f>IF(D67="","",IF(D67-INT(D67)&gt;1,"",VLOOKUP(D67,PROPONENTES!$C$19:$D$108,2,FALSE)))</f>
        <v>CONSORCIO INTER TOLIMA</v>
      </c>
      <c r="F67" s="242">
        <f>SUM(F68:F69)</f>
        <v>1</v>
      </c>
      <c r="G67" s="96"/>
      <c r="H67" s="68"/>
      <c r="I67" s="2"/>
      <c r="J67" s="274" t="str">
        <f t="shared" si="2"/>
        <v/>
      </c>
      <c r="K67" s="2"/>
    </row>
    <row r="68" spans="1:11" s="69" customFormat="1" ht="15.75" customHeight="1">
      <c r="A68" s="67"/>
      <c r="B68" s="67"/>
      <c r="C68" s="99"/>
      <c r="D68" s="177">
        <v>30.1</v>
      </c>
      <c r="E68" s="95" t="s">
        <v>198</v>
      </c>
      <c r="F68" s="242">
        <v>0.4</v>
      </c>
      <c r="G68" s="96" t="s">
        <v>199</v>
      </c>
      <c r="H68" s="68"/>
      <c r="I68" s="2"/>
      <c r="J68" s="274" t="str">
        <f t="shared" si="2"/>
        <v>CORRECTO</v>
      </c>
      <c r="K68" s="2"/>
    </row>
    <row r="69" spans="1:11" s="69" customFormat="1" ht="15.75" customHeight="1">
      <c r="A69" s="67"/>
      <c r="B69" s="67"/>
      <c r="C69" s="99"/>
      <c r="D69" s="177">
        <v>30.2</v>
      </c>
      <c r="E69" s="95" t="s">
        <v>200</v>
      </c>
      <c r="F69" s="242">
        <v>0.6</v>
      </c>
      <c r="G69" s="96" t="s">
        <v>201</v>
      </c>
      <c r="H69" s="68"/>
      <c r="I69" s="2"/>
      <c r="J69" s="274" t="str">
        <f t="shared" si="2"/>
        <v>CORRECTO</v>
      </c>
      <c r="K69" s="2"/>
    </row>
    <row r="70" spans="1:11" s="69" customFormat="1" ht="15.75" customHeight="1">
      <c r="A70" s="67"/>
      <c r="B70" s="67"/>
      <c r="C70" s="99">
        <v>31</v>
      </c>
      <c r="D70" s="177">
        <f>IF(VLOOKUP(C70,PROPONENTES!$B$19:$E$108,2,FALSE)="","",VLOOKUP(C70,PROPONENTES!$B$19:$E$108,2,FALSE))</f>
        <v>31</v>
      </c>
      <c r="E70" s="95" t="str">
        <f>IF(D70="","",IF(D70-INT(D70)&gt;1,"",VLOOKUP(D70,PROPONENTES!$C$19:$D$108,2,FALSE)))</f>
        <v>INGENIERIA MASTER S.A.S.</v>
      </c>
      <c r="F70" s="242"/>
      <c r="G70" s="96" t="s">
        <v>202</v>
      </c>
      <c r="H70" s="68"/>
      <c r="I70" s="2"/>
      <c r="J70" s="274" t="str">
        <f t="shared" si="2"/>
        <v/>
      </c>
      <c r="K70" s="2"/>
    </row>
    <row r="71" spans="1:11" s="69" customFormat="1" ht="15.75" customHeight="1">
      <c r="A71" s="67"/>
      <c r="B71" s="67"/>
      <c r="C71" s="99">
        <v>32</v>
      </c>
      <c r="D71" s="177">
        <f>IF(VLOOKUP(C71,PROPONENTES!$B$19:$E$108,2,FALSE)="","",VLOOKUP(C71,PROPONENTES!$B$19:$E$108,2,FALSE))</f>
        <v>32</v>
      </c>
      <c r="E71" s="95" t="str">
        <f>IF(D71="","",IF(D71-INT(D71)&gt;1,"",VLOOKUP(D71,PROPONENTES!$C$19:$D$108,2,FALSE)))</f>
        <v xml:space="preserve">GYG CONSTRUCCIONES S.A.S. </v>
      </c>
      <c r="F71" s="242"/>
      <c r="G71" s="96" t="s">
        <v>203</v>
      </c>
      <c r="H71" s="68"/>
      <c r="I71" s="2"/>
      <c r="J71" s="274" t="str">
        <f t="shared" si="2"/>
        <v/>
      </c>
      <c r="K71" s="2"/>
    </row>
    <row r="72" spans="1:11" s="69" customFormat="1" ht="15.75" customHeight="1">
      <c r="A72" s="67"/>
      <c r="B72" s="67"/>
      <c r="C72" s="99">
        <v>33</v>
      </c>
      <c r="D72" s="177">
        <f>IF(VLOOKUP(C72,PROPONENTES!$B$19:$E$108,2,FALSE)="","",VLOOKUP(C72,PROPONENTES!$B$19:$E$108,2,FALSE))</f>
        <v>33</v>
      </c>
      <c r="E72" s="95" t="str">
        <f>IF(D72="","",IF(D72-INT(D72)&gt;1,"",VLOOKUP(D72,PROPONENTES!$C$19:$D$108,2,FALSE)))</f>
        <v>CONSORCIO TOLIMA RURAL</v>
      </c>
      <c r="F72" s="242">
        <f>SUM(F73:F75)</f>
        <v>1</v>
      </c>
      <c r="G72" s="96"/>
      <c r="H72" s="68"/>
      <c r="I72" s="2"/>
      <c r="J72" s="274" t="str">
        <f t="shared" si="2"/>
        <v/>
      </c>
      <c r="K72" s="2"/>
    </row>
    <row r="73" spans="1:11" s="69" customFormat="1" ht="15.75" customHeight="1">
      <c r="A73" s="67"/>
      <c r="B73" s="67"/>
      <c r="C73" s="99"/>
      <c r="D73" s="177">
        <v>33.1</v>
      </c>
      <c r="E73" s="95" t="s">
        <v>204</v>
      </c>
      <c r="F73" s="242">
        <v>0.55000000000000004</v>
      </c>
      <c r="G73" s="96" t="s">
        <v>205</v>
      </c>
      <c r="H73" s="68"/>
      <c r="I73" s="2"/>
      <c r="J73" s="274" t="str">
        <f t="shared" si="2"/>
        <v>CORRECTO</v>
      </c>
      <c r="K73" s="2"/>
    </row>
    <row r="74" spans="1:11" s="69" customFormat="1" ht="15.75" customHeight="1">
      <c r="A74" s="67"/>
      <c r="B74" s="67"/>
      <c r="C74" s="99"/>
      <c r="D74" s="177">
        <v>33.200000000000003</v>
      </c>
      <c r="E74" s="95" t="s">
        <v>206</v>
      </c>
      <c r="F74" s="242">
        <v>0.4</v>
      </c>
      <c r="G74" s="96" t="s">
        <v>207</v>
      </c>
      <c r="H74" s="68"/>
      <c r="I74" s="2"/>
      <c r="J74" s="274" t="str">
        <f t="shared" si="2"/>
        <v>CORRECTO</v>
      </c>
      <c r="K74" s="2"/>
    </row>
    <row r="75" spans="1:11" s="69" customFormat="1" ht="15.75" customHeight="1">
      <c r="A75" s="67"/>
      <c r="B75" s="67"/>
      <c r="C75" s="99"/>
      <c r="D75" s="177">
        <v>33.299999999999997</v>
      </c>
      <c r="E75" s="95" t="s">
        <v>208</v>
      </c>
      <c r="F75" s="242">
        <v>0.05</v>
      </c>
      <c r="G75" s="96" t="s">
        <v>209</v>
      </c>
      <c r="H75" s="68"/>
      <c r="I75" s="2"/>
      <c r="J75" s="274" t="str">
        <f t="shared" si="2"/>
        <v>CORRECTO</v>
      </c>
      <c r="K75" s="2"/>
    </row>
    <row r="76" spans="1:11" s="69" customFormat="1" ht="17.25" customHeight="1">
      <c r="A76" s="67"/>
      <c r="B76" s="67"/>
      <c r="C76" s="99">
        <v>34</v>
      </c>
      <c r="D76" s="177">
        <f>IF(VLOOKUP(C76,PROPONENTES!$B$19:$E$108,2,FALSE)="","",VLOOKUP(C76,PROPONENTES!$B$19:$E$108,2,FALSE))</f>
        <v>34</v>
      </c>
      <c r="E76" s="95" t="str">
        <f>IF(D76="","",IF(D76-INT(D76)&gt;1,"",VLOOKUP(D76,PROPONENTES!$C$19:$D$108,2,FALSE)))</f>
        <v>CONSORCIO OPHAIH 2022</v>
      </c>
      <c r="F76" s="242">
        <f>SUM(F77:F78)</f>
        <v>1</v>
      </c>
      <c r="G76" s="96"/>
      <c r="H76" s="68"/>
      <c r="I76" s="2"/>
      <c r="J76" s="274" t="str">
        <f t="shared" si="2"/>
        <v/>
      </c>
      <c r="K76" s="2"/>
    </row>
    <row r="77" spans="1:11" s="69" customFormat="1" ht="17.25" customHeight="1">
      <c r="A77" s="67"/>
      <c r="B77" s="67"/>
      <c r="C77" s="99"/>
      <c r="D77" s="177">
        <v>34.1</v>
      </c>
      <c r="E77" s="95" t="s">
        <v>210</v>
      </c>
      <c r="F77" s="242">
        <v>0.05</v>
      </c>
      <c r="G77" s="624" t="s">
        <v>211</v>
      </c>
      <c r="H77" s="68"/>
      <c r="I77" s="2"/>
      <c r="J77" s="274" t="str">
        <f t="shared" si="2"/>
        <v>CORRECTO</v>
      </c>
      <c r="K77" s="2"/>
    </row>
    <row r="78" spans="1:11" s="69" customFormat="1" ht="17.25" customHeight="1">
      <c r="A78" s="67"/>
      <c r="B78" s="67"/>
      <c r="C78" s="99"/>
      <c r="D78" s="177">
        <v>34.200000000000003</v>
      </c>
      <c r="E78" s="95" t="s">
        <v>212</v>
      </c>
      <c r="F78" s="242">
        <v>0.95</v>
      </c>
      <c r="G78" s="624" t="s">
        <v>213</v>
      </c>
      <c r="H78" s="68"/>
      <c r="I78" s="2"/>
      <c r="J78" s="274" t="str">
        <f t="shared" si="2"/>
        <v>CORRECTO</v>
      </c>
      <c r="K78" s="2"/>
    </row>
    <row r="79" spans="1:11" s="69" customFormat="1" ht="15.75" customHeight="1">
      <c r="A79" s="67"/>
      <c r="B79" s="67"/>
      <c r="C79" s="99">
        <v>35</v>
      </c>
      <c r="D79" s="177">
        <f>IF(VLOOKUP(C79,PROPONENTES!$B$19:$E$108,2,FALSE)="","",VLOOKUP(C79,PROPONENTES!$B$19:$E$108,2,FALSE))</f>
        <v>35</v>
      </c>
      <c r="E79" s="95" t="str">
        <f>IF(D79="","",IF(D79-INT(D79)&gt;1,"",VLOOKUP(D79,PROPONENTES!$C$19:$D$108,2,FALSE)))</f>
        <v xml:space="preserve">ING INGENIERIA SAS </v>
      </c>
      <c r="F79" s="242"/>
      <c r="G79" s="96" t="s">
        <v>214</v>
      </c>
      <c r="H79" s="68"/>
      <c r="I79" s="2"/>
      <c r="J79" s="274" t="str">
        <f t="shared" si="2"/>
        <v/>
      </c>
      <c r="K79" s="2"/>
    </row>
    <row r="80" spans="1:11" s="69" customFormat="1" ht="15.75" customHeight="1">
      <c r="A80" s="67"/>
      <c r="B80" s="67"/>
      <c r="C80" s="99">
        <v>36</v>
      </c>
      <c r="D80" s="177">
        <f>IF(VLOOKUP(C80,PROPONENTES!$B$19:$E$108,2,FALSE)="","",VLOOKUP(C80,PROPONENTES!$B$19:$E$108,2,FALSE))</f>
        <v>36</v>
      </c>
      <c r="E80" s="95" t="str">
        <f>IF(D80="","",IF(D80-INT(D80)&gt;1,"",VLOOKUP(D80,PROPONENTES!$C$19:$D$108,2,FALSE)))</f>
        <v>EJE GROUP S.A.S</v>
      </c>
      <c r="F80" s="242"/>
      <c r="G80" s="96" t="s">
        <v>215</v>
      </c>
      <c r="H80" s="68"/>
      <c r="I80" s="2"/>
      <c r="J80" s="274" t="str">
        <f t="shared" si="2"/>
        <v/>
      </c>
      <c r="K80" s="2"/>
    </row>
    <row r="81" spans="1:11" s="69" customFormat="1" ht="15.75" customHeight="1">
      <c r="A81" s="67"/>
      <c r="B81" s="67"/>
      <c r="C81" s="99">
        <v>37</v>
      </c>
      <c r="D81" s="177">
        <f>IF(VLOOKUP(C81,PROPONENTES!$B$19:$E$108,2,FALSE)="","",VLOOKUP(C81,PROPONENTES!$B$19:$E$108,2,FALSE))</f>
        <v>37</v>
      </c>
      <c r="E81" s="95" t="str">
        <f>IF(D81="","",IF(D81-INT(D81)&gt;1,"",VLOOKUP(D81,PROPONENTES!$C$19:$D$108,2,FALSE)))</f>
        <v>JORES INGENIERIA LTDA. JORES LTDA</v>
      </c>
      <c r="F81" s="242"/>
      <c r="G81" s="96" t="s">
        <v>216</v>
      </c>
      <c r="H81" s="68"/>
      <c r="I81" s="2"/>
      <c r="J81" s="274" t="str">
        <f t="shared" si="2"/>
        <v/>
      </c>
      <c r="K81" s="2"/>
    </row>
    <row r="82" spans="1:11" s="69" customFormat="1" ht="15.75" customHeight="1">
      <c r="A82" s="67"/>
      <c r="B82" s="67"/>
      <c r="C82" s="99">
        <v>38</v>
      </c>
      <c r="D82" s="177">
        <f>IF(VLOOKUP(C82,PROPONENTES!$B$19:$E$108,2,FALSE)="","",VLOOKUP(C82,PROPONENTES!$B$19:$E$108,2,FALSE))</f>
        <v>38</v>
      </c>
      <c r="E82" s="95" t="str">
        <f>IF(D82="","",IF(D82-INT(D82)&gt;1,"",VLOOKUP(D82,PROPONENTES!$C$19:$D$108,2,FALSE)))</f>
        <v>CONSORCIO INTERTOLIMA CR</v>
      </c>
      <c r="F82" s="242">
        <f>SUM(F83:F84)</f>
        <v>1</v>
      </c>
      <c r="G82" s="96"/>
      <c r="H82" s="68"/>
      <c r="I82" s="2"/>
      <c r="J82" s="274" t="str">
        <f t="shared" si="2"/>
        <v/>
      </c>
      <c r="K82" s="2"/>
    </row>
    <row r="83" spans="1:11" s="69" customFormat="1" ht="15.75" customHeight="1">
      <c r="A83" s="67"/>
      <c r="B83" s="67"/>
      <c r="C83" s="99"/>
      <c r="D83" s="177">
        <v>38.1</v>
      </c>
      <c r="E83" s="95" t="s">
        <v>217</v>
      </c>
      <c r="F83" s="242">
        <v>0.05</v>
      </c>
      <c r="G83" s="96" t="s">
        <v>218</v>
      </c>
      <c r="H83" s="68"/>
      <c r="I83" s="2"/>
      <c r="J83" s="274" t="str">
        <f t="shared" si="2"/>
        <v>CORRECTO</v>
      </c>
      <c r="K83" s="2"/>
    </row>
    <row r="84" spans="1:11" s="69" customFormat="1" ht="15.75" customHeight="1">
      <c r="A84" s="67"/>
      <c r="B84" s="67"/>
      <c r="C84" s="99"/>
      <c r="D84" s="177">
        <v>38.200000000000003</v>
      </c>
      <c r="E84" s="95" t="s">
        <v>219</v>
      </c>
      <c r="F84" s="242">
        <v>0.95</v>
      </c>
      <c r="G84" s="96" t="s">
        <v>220</v>
      </c>
      <c r="H84" s="68"/>
      <c r="I84" s="2"/>
      <c r="J84" s="274" t="str">
        <f t="shared" ref="J84:J115" si="3">IF((D84-INT(D84)&gt;0),IF(COUNTIF($E$19:$E$191,E84)&gt;1,"REPETIDO "&amp;COUNTIF($E$19:$E$191,E84)&amp;" VECES","CORRECTO"),"")</f>
        <v>CORRECTO</v>
      </c>
      <c r="K84" s="2"/>
    </row>
    <row r="85" spans="1:11" s="69" customFormat="1" ht="15.75" customHeight="1">
      <c r="A85" s="67"/>
      <c r="B85" s="67"/>
      <c r="C85" s="99">
        <v>39</v>
      </c>
      <c r="D85" s="177">
        <f>IF(VLOOKUP(C85,PROPONENTES!$B$19:$E$108,2,FALSE)="","",VLOOKUP(C85,PROPONENTES!$B$19:$E$108,2,FALSE))</f>
        <v>39</v>
      </c>
      <c r="E85" s="95" t="str">
        <f>IF(D85="","",IF(D85-INT(D85)&gt;1,"",VLOOKUP(D85,PROPONENTES!$C$19:$D$108,2,FALSE)))</f>
        <v>CONSORCIO TOLIMA G2</v>
      </c>
      <c r="F85" s="242">
        <f>SUM(F86:F87)</f>
        <v>1</v>
      </c>
      <c r="G85" s="96"/>
      <c r="H85" s="68"/>
      <c r="I85" s="2"/>
      <c r="J85" s="274" t="str">
        <f t="shared" si="3"/>
        <v/>
      </c>
      <c r="K85" s="2"/>
    </row>
    <row r="86" spans="1:11" s="69" customFormat="1" ht="15.75" customHeight="1">
      <c r="A86" s="67"/>
      <c r="B86" s="67"/>
      <c r="C86" s="99"/>
      <c r="D86" s="177">
        <v>39.1</v>
      </c>
      <c r="E86" s="95" t="s">
        <v>221</v>
      </c>
      <c r="F86" s="242">
        <v>0.1</v>
      </c>
      <c r="G86" s="96" t="s">
        <v>222</v>
      </c>
      <c r="H86" s="68"/>
      <c r="I86" s="2"/>
      <c r="J86" s="274" t="str">
        <f t="shared" si="3"/>
        <v>CORRECTO</v>
      </c>
      <c r="K86" s="2"/>
    </row>
    <row r="87" spans="1:11" s="69" customFormat="1" ht="15.75" customHeight="1">
      <c r="A87" s="67"/>
      <c r="B87" s="67"/>
      <c r="C87" s="99"/>
      <c r="D87" s="177">
        <v>39.200000000000003</v>
      </c>
      <c r="E87" s="95" t="s">
        <v>223</v>
      </c>
      <c r="F87" s="242">
        <v>0.9</v>
      </c>
      <c r="G87" s="96" t="s">
        <v>224</v>
      </c>
      <c r="H87" s="68"/>
      <c r="I87" s="2"/>
      <c r="J87" s="274" t="str">
        <f t="shared" si="3"/>
        <v>CORRECTO</v>
      </c>
      <c r="K87" s="2"/>
    </row>
    <row r="88" spans="1:11" s="69" customFormat="1" ht="15.75" customHeight="1">
      <c r="A88" s="67"/>
      <c r="B88" s="67"/>
      <c r="C88" s="99">
        <v>40</v>
      </c>
      <c r="D88" s="177">
        <f>IF(VLOOKUP(C88,PROPONENTES!$B$19:$E$108,2,FALSE)="","",VLOOKUP(C88,PROPONENTES!$B$19:$E$108,2,FALSE))</f>
        <v>40</v>
      </c>
      <c r="E88" s="95" t="str">
        <f>IF(D88="","",IF(D88-INT(D88)&gt;1,"",VLOOKUP(D88,PROPONENTES!$C$19:$D$108,2,FALSE)))</f>
        <v>CONSORCIO INVIAS 001</v>
      </c>
      <c r="F88" s="242">
        <f>SUM(F89:F90)</f>
        <v>1</v>
      </c>
      <c r="G88" s="626" t="s">
        <v>225</v>
      </c>
      <c r="H88" s="68"/>
      <c r="I88" s="2"/>
      <c r="J88" s="274" t="str">
        <f t="shared" si="3"/>
        <v/>
      </c>
      <c r="K88" s="2"/>
    </row>
    <row r="89" spans="1:11" s="69" customFormat="1" ht="15.75" customHeight="1">
      <c r="A89" s="67"/>
      <c r="B89" s="67"/>
      <c r="C89" s="99"/>
      <c r="D89" s="177">
        <v>40.1</v>
      </c>
      <c r="E89" s="95" t="s">
        <v>226</v>
      </c>
      <c r="F89" s="242">
        <v>0.25</v>
      </c>
      <c r="G89" s="96" t="s">
        <v>227</v>
      </c>
      <c r="H89" s="68"/>
      <c r="I89" s="2"/>
      <c r="J89" s="274" t="str">
        <f t="shared" si="3"/>
        <v>CORRECTO</v>
      </c>
      <c r="K89" s="2"/>
    </row>
    <row r="90" spans="1:11" s="69" customFormat="1" ht="15.75" customHeight="1">
      <c r="A90" s="67"/>
      <c r="B90" s="67"/>
      <c r="C90" s="99"/>
      <c r="D90" s="177">
        <v>40.200000000000003</v>
      </c>
      <c r="E90" s="95" t="s">
        <v>228</v>
      </c>
      <c r="F90" s="242">
        <v>0.75</v>
      </c>
      <c r="G90" s="96" t="s">
        <v>229</v>
      </c>
      <c r="H90" s="68"/>
      <c r="I90" s="2"/>
      <c r="J90" s="274" t="str">
        <f t="shared" si="3"/>
        <v>CORRECTO</v>
      </c>
      <c r="K90" s="2"/>
    </row>
    <row r="91" spans="1:11" s="69" customFormat="1" ht="15.75" customHeight="1">
      <c r="A91" s="67"/>
      <c r="B91" s="67"/>
      <c r="C91" s="99">
        <v>41</v>
      </c>
      <c r="D91" s="177">
        <f>IF(VLOOKUP(C91,PROPONENTES!$B$19:$E$108,2,FALSE)="","",VLOOKUP(C91,PROPONENTES!$B$19:$E$108,2,FALSE))</f>
        <v>41</v>
      </c>
      <c r="E91" s="95" t="str">
        <f>IF(D91="","",IF(D91-INT(D91)&gt;1,"",VLOOKUP(D91,PROPONENTES!$C$19:$D$108,2,FALSE)))</f>
        <v>CONSORCIO SF</v>
      </c>
      <c r="F91" s="242">
        <f>SUM(F92:F93)</f>
        <v>1</v>
      </c>
      <c r="G91" s="96"/>
      <c r="H91" s="68"/>
      <c r="I91" s="2"/>
      <c r="J91" s="274" t="str">
        <f t="shared" si="3"/>
        <v/>
      </c>
      <c r="K91" s="2"/>
    </row>
    <row r="92" spans="1:11" s="69" customFormat="1" ht="15.75" customHeight="1">
      <c r="A92" s="67"/>
      <c r="B92" s="67"/>
      <c r="C92" s="99"/>
      <c r="D92" s="177">
        <v>41.1</v>
      </c>
      <c r="E92" s="95" t="s">
        <v>230</v>
      </c>
      <c r="F92" s="242">
        <v>0.95</v>
      </c>
      <c r="G92" s="624" t="s">
        <v>231</v>
      </c>
      <c r="H92" s="68"/>
      <c r="I92" s="2"/>
      <c r="J92" s="274" t="str">
        <f t="shared" si="3"/>
        <v>CORRECTO</v>
      </c>
      <c r="K92" s="2"/>
    </row>
    <row r="93" spans="1:11" s="69" customFormat="1" ht="15.75" customHeight="1">
      <c r="A93" s="67"/>
      <c r="B93" s="67"/>
      <c r="C93" s="99"/>
      <c r="D93" s="177">
        <v>41.2</v>
      </c>
      <c r="E93" s="95" t="s">
        <v>232</v>
      </c>
      <c r="F93" s="242">
        <v>0.05</v>
      </c>
      <c r="G93" s="625">
        <v>80075664</v>
      </c>
      <c r="H93" s="68"/>
      <c r="I93" s="2"/>
      <c r="J93" s="274" t="str">
        <f t="shared" si="3"/>
        <v>CORRECTO</v>
      </c>
      <c r="K93" s="2"/>
    </row>
    <row r="94" spans="1:11" s="69" customFormat="1" ht="15.75" customHeight="1">
      <c r="A94" s="67"/>
      <c r="B94" s="67"/>
      <c r="C94" s="99">
        <v>42</v>
      </c>
      <c r="D94" s="177">
        <f>IF(VLOOKUP(C94,PROPONENTES!$B$19:$E$108,2,FALSE)="","",VLOOKUP(C94,PROPONENTES!$B$19:$E$108,2,FALSE))</f>
        <v>42</v>
      </c>
      <c r="E94" s="95" t="str">
        <f>IF(D94="","",IF(D94-INT(D94)&gt;1,"",VLOOKUP(D94,PROPONENTES!$C$19:$D$108,2,FALSE)))</f>
        <v>CONSORCIO VIAL ORIEMH”</v>
      </c>
      <c r="F94" s="242">
        <f>SUM(F95:F96)</f>
        <v>1</v>
      </c>
      <c r="G94" s="96"/>
      <c r="H94" s="68"/>
      <c r="I94" s="2"/>
      <c r="J94" s="274" t="str">
        <f t="shared" si="3"/>
        <v/>
      </c>
      <c r="K94" s="2"/>
    </row>
    <row r="95" spans="1:11" s="69" customFormat="1" ht="15.75" customHeight="1">
      <c r="A95" s="67"/>
      <c r="B95" s="67"/>
      <c r="C95" s="99"/>
      <c r="D95" s="177">
        <v>42.1</v>
      </c>
      <c r="E95" s="95" t="s">
        <v>233</v>
      </c>
      <c r="F95" s="242">
        <v>0.6</v>
      </c>
      <c r="G95" s="96" t="s">
        <v>234</v>
      </c>
      <c r="H95" s="68"/>
      <c r="I95" s="2"/>
      <c r="J95" s="274" t="str">
        <f t="shared" si="3"/>
        <v>CORRECTO</v>
      </c>
      <c r="K95" s="2"/>
    </row>
    <row r="96" spans="1:11" s="69" customFormat="1" ht="15.75" customHeight="1">
      <c r="A96" s="67"/>
      <c r="B96" s="67"/>
      <c r="C96" s="99"/>
      <c r="D96" s="177">
        <v>42.2</v>
      </c>
      <c r="E96" s="95" t="s">
        <v>235</v>
      </c>
      <c r="F96" s="242">
        <v>0.4</v>
      </c>
      <c r="G96" s="96" t="s">
        <v>236</v>
      </c>
      <c r="H96" s="68"/>
      <c r="I96" s="2"/>
      <c r="J96" s="274" t="str">
        <f t="shared" si="3"/>
        <v>CORRECTO</v>
      </c>
      <c r="K96" s="2"/>
    </row>
    <row r="97" spans="1:11" s="69" customFormat="1" ht="15.75" customHeight="1">
      <c r="A97" s="67"/>
      <c r="B97" s="67"/>
      <c r="C97" s="99">
        <v>43</v>
      </c>
      <c r="D97" s="177">
        <f>IF(VLOOKUP(C97,PROPONENTES!$B$19:$E$108,2,FALSE)="","",VLOOKUP(C97,PROPONENTES!$B$19:$E$108,2,FALSE))</f>
        <v>43</v>
      </c>
      <c r="E97" s="95" t="str">
        <f>IF(D97="","",IF(D97-INT(D97)&gt;1,"",VLOOKUP(D97,PROPONENTES!$C$19:$D$108,2,FALSE)))</f>
        <v>CONSORCIO INTERFEDCO TOLIMA</v>
      </c>
      <c r="F97" s="242">
        <f>SUM(F98:F99)</f>
        <v>1</v>
      </c>
      <c r="G97" s="96"/>
      <c r="H97" s="68"/>
      <c r="I97" s="2"/>
      <c r="J97" s="274" t="str">
        <f t="shared" si="3"/>
        <v/>
      </c>
      <c r="K97" s="2"/>
    </row>
    <row r="98" spans="1:11" s="69" customFormat="1" ht="15.75" customHeight="1">
      <c r="A98" s="67"/>
      <c r="B98" s="67"/>
      <c r="C98" s="99"/>
      <c r="D98" s="177">
        <v>43.1</v>
      </c>
      <c r="E98" s="95" t="s">
        <v>237</v>
      </c>
      <c r="F98" s="242">
        <v>0.05</v>
      </c>
      <c r="G98" s="96" t="s">
        <v>238</v>
      </c>
      <c r="H98" s="68"/>
      <c r="I98" s="2"/>
      <c r="J98" s="274" t="str">
        <f t="shared" si="3"/>
        <v>CORRECTO</v>
      </c>
      <c r="K98" s="2"/>
    </row>
    <row r="99" spans="1:11" s="69" customFormat="1" ht="15.75" customHeight="1">
      <c r="A99" s="67"/>
      <c r="B99" s="67"/>
      <c r="C99" s="99"/>
      <c r="D99" s="177">
        <v>43.2</v>
      </c>
      <c r="E99" s="95" t="s">
        <v>239</v>
      </c>
      <c r="F99" s="242">
        <v>0.95</v>
      </c>
      <c r="G99" s="96" t="s">
        <v>240</v>
      </c>
      <c r="H99" s="68"/>
      <c r="I99" s="2"/>
      <c r="J99" s="274" t="str">
        <f t="shared" si="3"/>
        <v>CORRECTO</v>
      </c>
      <c r="K99" s="2"/>
    </row>
    <row r="100" spans="1:11" s="69" customFormat="1" ht="15.75" customHeight="1">
      <c r="A100" s="67"/>
      <c r="B100" s="67"/>
      <c r="C100" s="99">
        <v>44</v>
      </c>
      <c r="D100" s="177">
        <f>IF(VLOOKUP(C100,PROPONENTES!$B$19:$E$108,2,FALSE)="","",VLOOKUP(C100,PROPONENTES!$B$19:$E$108,2,FALSE))</f>
        <v>44</v>
      </c>
      <c r="E100" s="95" t="str">
        <f>IF(D100="","",IF(D100-INT(D100)&gt;1,"",VLOOKUP(D100,PROPONENTES!$C$19:$D$108,2,FALSE)))</f>
        <v>CONSORCIO VIAS RURALES TOL</v>
      </c>
      <c r="F100" s="242">
        <f>SUM(F101:F102)</f>
        <v>1</v>
      </c>
      <c r="G100" s="96"/>
      <c r="H100" s="68"/>
      <c r="I100" s="2"/>
      <c r="J100" s="274" t="str">
        <f t="shared" si="3"/>
        <v/>
      </c>
      <c r="K100" s="2"/>
    </row>
    <row r="101" spans="1:11" s="69" customFormat="1" ht="15.75" customHeight="1">
      <c r="A101" s="67"/>
      <c r="B101" s="67"/>
      <c r="C101" s="99"/>
      <c r="D101" s="177">
        <v>44.1</v>
      </c>
      <c r="E101" s="95" t="s">
        <v>241</v>
      </c>
      <c r="F101" s="242">
        <v>0.6</v>
      </c>
      <c r="G101" s="625">
        <v>76318775</v>
      </c>
      <c r="H101" s="68"/>
      <c r="I101" s="2"/>
      <c r="J101" s="274" t="str">
        <f t="shared" si="3"/>
        <v>CORRECTO</v>
      </c>
      <c r="K101" s="2"/>
    </row>
    <row r="102" spans="1:11" s="69" customFormat="1" ht="15.75" customHeight="1">
      <c r="A102" s="67"/>
      <c r="B102" s="67"/>
      <c r="C102" s="99"/>
      <c r="D102" s="177">
        <v>44.2</v>
      </c>
      <c r="E102" s="95" t="s">
        <v>242</v>
      </c>
      <c r="F102" s="242">
        <v>0.4</v>
      </c>
      <c r="G102" s="625">
        <v>76320355</v>
      </c>
      <c r="H102" s="68"/>
      <c r="I102" s="2"/>
      <c r="J102" s="274" t="str">
        <f t="shared" si="3"/>
        <v>CORRECTO</v>
      </c>
      <c r="K102" s="2"/>
    </row>
    <row r="103" spans="1:11" s="69" customFormat="1" ht="15.75" customHeight="1">
      <c r="A103" s="67"/>
      <c r="B103" s="67"/>
      <c r="C103" s="99">
        <v>45</v>
      </c>
      <c r="D103" s="177">
        <f>IF(VLOOKUP(C103,PROPONENTES!$B$19:$E$108,2,FALSE)="","",VLOOKUP(C103,PROPONENTES!$B$19:$E$108,2,FALSE))</f>
        <v>45</v>
      </c>
      <c r="E103" s="95" t="str">
        <f>IF(D103="","",IF(D103-INT(D103)&gt;1,"",VLOOKUP(D103,PROPONENTES!$C$19:$D$108,2,FALSE)))</f>
        <v>TECNOLOGÍA DE NUEVAS MEDICIONES COLOMBIA S.A.S. – TECNUMEC S.A.S.</v>
      </c>
      <c r="F103" s="242"/>
      <c r="G103" s="96" t="s">
        <v>243</v>
      </c>
      <c r="H103" s="68"/>
      <c r="I103" s="2"/>
      <c r="J103" s="274" t="str">
        <f t="shared" si="3"/>
        <v/>
      </c>
      <c r="K103" s="2"/>
    </row>
    <row r="104" spans="1:11" s="69" customFormat="1" ht="15.75" customHeight="1">
      <c r="A104" s="67"/>
      <c r="B104" s="67"/>
      <c r="C104" s="99">
        <v>46</v>
      </c>
      <c r="D104" s="177">
        <f>IF(VLOOKUP(C104,PROPONENTES!$B$19:$E$108,2,FALSE)="","",VLOOKUP(C104,PROPONENTES!$B$19:$E$108,2,FALSE))</f>
        <v>46</v>
      </c>
      <c r="E104" s="95" t="str">
        <f>IF(D104="","",IF(D104-INT(D104)&gt;1,"",VLOOKUP(D104,PROPONENTES!$C$19:$D$108,2,FALSE)))</f>
        <v>CONSULTORES SOLANO NAVAS LTDA</v>
      </c>
      <c r="F104" s="242"/>
      <c r="G104" s="624" t="s">
        <v>244</v>
      </c>
      <c r="H104" s="68"/>
      <c r="I104" s="2"/>
      <c r="J104" s="274" t="str">
        <f t="shared" si="3"/>
        <v/>
      </c>
      <c r="K104" s="2"/>
    </row>
    <row r="105" spans="1:11" s="69" customFormat="1" ht="15.75" customHeight="1">
      <c r="A105" s="67"/>
      <c r="B105" s="67"/>
      <c r="C105" s="99">
        <v>47</v>
      </c>
      <c r="D105" s="177">
        <f>IF(VLOOKUP(C105,PROPONENTES!$B$19:$E$108,2,FALSE)="","",VLOOKUP(C105,PROPONENTES!$B$19:$E$108,2,FALSE))</f>
        <v>47</v>
      </c>
      <c r="E105" s="95" t="str">
        <f>IF(D105="","",IF(D105-INT(D105)&gt;1,"",VLOOKUP(D105,PROPONENTES!$C$19:$D$108,2,FALSE)))</f>
        <v>CONSORCIO VIAS TOLIMA 22</v>
      </c>
      <c r="F105" s="242">
        <f>SUM(F106:F107)</f>
        <v>1</v>
      </c>
      <c r="G105" s="96"/>
      <c r="H105" s="68"/>
      <c r="I105" s="2"/>
      <c r="J105" s="274" t="str">
        <f t="shared" si="3"/>
        <v/>
      </c>
      <c r="K105" s="2"/>
    </row>
    <row r="106" spans="1:11" s="69" customFormat="1" ht="15.75" customHeight="1">
      <c r="A106" s="67"/>
      <c r="B106" s="67"/>
      <c r="C106" s="99"/>
      <c r="D106" s="177">
        <v>47.1</v>
      </c>
      <c r="E106" s="95" t="s">
        <v>245</v>
      </c>
      <c r="F106" s="242">
        <v>0.5</v>
      </c>
      <c r="G106" s="625">
        <v>53124968</v>
      </c>
      <c r="H106" s="68"/>
      <c r="I106" s="2"/>
      <c r="J106" s="274" t="str">
        <f t="shared" si="3"/>
        <v>CORRECTO</v>
      </c>
      <c r="K106" s="2"/>
    </row>
    <row r="107" spans="1:11" s="69" customFormat="1" ht="15.75" customHeight="1">
      <c r="A107" s="67"/>
      <c r="B107" s="67"/>
      <c r="C107" s="99"/>
      <c r="D107" s="177">
        <v>47.2</v>
      </c>
      <c r="E107" s="95" t="s">
        <v>246</v>
      </c>
      <c r="F107" s="242">
        <v>0.5</v>
      </c>
      <c r="G107" s="625">
        <v>10529212</v>
      </c>
      <c r="H107" s="68"/>
      <c r="I107" s="2"/>
      <c r="J107" s="274" t="str">
        <f t="shared" si="3"/>
        <v>CORRECTO</v>
      </c>
      <c r="K107" s="2"/>
    </row>
    <row r="108" spans="1:11" s="69" customFormat="1" ht="15.75" customHeight="1">
      <c r="A108" s="67"/>
      <c r="B108" s="67"/>
      <c r="C108" s="99">
        <v>48</v>
      </c>
      <c r="D108" s="177">
        <f>IF(VLOOKUP(C108,PROPONENTES!$B$19:$E$108,2,FALSE)="","",VLOOKUP(C108,PROPONENTES!$B$19:$E$108,2,FALSE))</f>
        <v>48</v>
      </c>
      <c r="E108" s="95" t="str">
        <f>IF(D108="","",IF(D108-INT(D108)&gt;1,"",VLOOKUP(D108,PROPONENTES!$C$19:$D$108,2,FALSE)))</f>
        <v>BRAIN INGENIERIA VIAL SAS</v>
      </c>
      <c r="F108" s="242"/>
      <c r="G108" s="96"/>
      <c r="H108" s="68"/>
      <c r="I108" s="2"/>
      <c r="J108" s="274" t="str">
        <f t="shared" si="3"/>
        <v/>
      </c>
      <c r="K108" s="2"/>
    </row>
    <row r="109" spans="1:11" s="69" customFormat="1" ht="15.75" customHeight="1">
      <c r="A109" s="67"/>
      <c r="B109" s="67"/>
      <c r="C109" s="99">
        <v>49</v>
      </c>
      <c r="D109" s="177">
        <f>IF(VLOOKUP(C109,PROPONENTES!$B$19:$E$108,2,FALSE)="","",VLOOKUP(C109,PROPONENTES!$B$19:$E$108,2,FALSE))</f>
        <v>49</v>
      </c>
      <c r="E109" s="95" t="str">
        <f>IF(D109="","",IF(D109-INT(D109)&gt;1,"",VLOOKUP(D109,PROPONENTES!$C$19:$D$108,2,FALSE)))</f>
        <v>CONSORCIO LAPP</v>
      </c>
      <c r="F109" s="242">
        <f>SUM(F110:F111)</f>
        <v>1</v>
      </c>
      <c r="G109" s="96"/>
      <c r="H109" s="68"/>
      <c r="I109" s="2"/>
      <c r="J109" s="274" t="str">
        <f t="shared" si="3"/>
        <v/>
      </c>
      <c r="K109" s="2"/>
    </row>
    <row r="110" spans="1:11" s="69" customFormat="1" ht="15.75" customHeight="1">
      <c r="A110" s="67"/>
      <c r="B110" s="67"/>
      <c r="C110" s="99"/>
      <c r="D110" s="177">
        <v>49.1</v>
      </c>
      <c r="E110" s="95" t="s">
        <v>247</v>
      </c>
      <c r="F110" s="242">
        <v>0.95</v>
      </c>
      <c r="G110" s="96" t="s">
        <v>248</v>
      </c>
      <c r="H110" s="68"/>
      <c r="I110" s="2"/>
      <c r="J110" s="274" t="str">
        <f t="shared" si="3"/>
        <v>CORRECTO</v>
      </c>
      <c r="K110" s="2"/>
    </row>
    <row r="111" spans="1:11" s="69" customFormat="1" ht="15.75" customHeight="1">
      <c r="A111" s="67"/>
      <c r="B111" s="67"/>
      <c r="C111" s="99"/>
      <c r="D111" s="177">
        <v>49.2</v>
      </c>
      <c r="E111" s="95" t="s">
        <v>249</v>
      </c>
      <c r="F111" s="242">
        <v>0.05</v>
      </c>
      <c r="G111" s="96" t="s">
        <v>250</v>
      </c>
      <c r="H111" s="68"/>
      <c r="I111" s="2"/>
      <c r="J111" s="274" t="str">
        <f t="shared" si="3"/>
        <v>CORRECTO</v>
      </c>
      <c r="K111" s="2"/>
    </row>
    <row r="112" spans="1:11" s="69" customFormat="1" ht="15.75" customHeight="1">
      <c r="A112" s="67"/>
      <c r="B112" s="67"/>
      <c r="C112" s="99">
        <v>50</v>
      </c>
      <c r="D112" s="177">
        <f>IF(VLOOKUP(C112,PROPONENTES!$B$19:$E$108,2,FALSE)="","",VLOOKUP(C112,PROPONENTES!$B$19:$E$108,2,FALSE))</f>
        <v>50</v>
      </c>
      <c r="E112" s="95" t="str">
        <f>IF(D112="","",IF(D112-INT(D112)&gt;1,"",VLOOKUP(D112,PROPONENTES!$C$19:$D$108,2,FALSE)))</f>
        <v>PROYECTISTAS ASOCIADOS SAS</v>
      </c>
      <c r="F112" s="242"/>
      <c r="G112" s="96"/>
      <c r="H112" s="68"/>
      <c r="I112" s="2"/>
      <c r="J112" s="274" t="str">
        <f t="shared" si="3"/>
        <v/>
      </c>
      <c r="K112" s="2"/>
    </row>
    <row r="113" spans="1:11" s="69" customFormat="1" ht="15.75" customHeight="1">
      <c r="A113" s="67"/>
      <c r="B113" s="67"/>
      <c r="C113" s="99">
        <v>51</v>
      </c>
      <c r="D113" s="177">
        <f>IF(VLOOKUP(C113,PROPONENTES!$B$19:$E$108,2,FALSE)="","",VLOOKUP(C113,PROPONENTES!$B$19:$E$108,2,FALSE))</f>
        <v>51</v>
      </c>
      <c r="E113" s="95" t="str">
        <f>IF(D113="","",IF(D113-INT(D113)&gt;1,"",VLOOKUP(D113,PROPONENTES!$C$19:$D$108,2,FALSE)))</f>
        <v>DAM SOLUCIONES E INGENIERIA SAS</v>
      </c>
      <c r="F113" s="242"/>
      <c r="G113" s="96"/>
      <c r="H113" s="68"/>
      <c r="I113" s="2"/>
      <c r="J113" s="274" t="str">
        <f t="shared" si="3"/>
        <v/>
      </c>
      <c r="K113" s="2"/>
    </row>
    <row r="114" spans="1:11" s="69" customFormat="1" ht="15.75" customHeight="1">
      <c r="A114" s="67"/>
      <c r="B114" s="67"/>
      <c r="C114" s="99">
        <v>52</v>
      </c>
      <c r="D114" s="177">
        <f>IF(VLOOKUP(C114,PROPONENTES!$B$19:$E$108,2,FALSE)="","",VLOOKUP(C114,PROPONENTES!$B$19:$E$108,2,FALSE))</f>
        <v>52</v>
      </c>
      <c r="E114" s="95" t="str">
        <f>IF(D114="","",IF(D114-INT(D114)&gt;1,"",VLOOKUP(D114,PROPONENTES!$C$19:$D$108,2,FALSE)))</f>
        <v>COINZA ING SAS</v>
      </c>
      <c r="F114" s="242"/>
      <c r="G114" s="96"/>
      <c r="H114" s="68"/>
      <c r="I114" s="2"/>
      <c r="J114" s="274" t="str">
        <f t="shared" si="3"/>
        <v/>
      </c>
      <c r="K114" s="2"/>
    </row>
    <row r="115" spans="1:11" s="69" customFormat="1" ht="15.75" customHeight="1">
      <c r="A115" s="67"/>
      <c r="B115" s="67"/>
      <c r="C115" s="99">
        <v>53</v>
      </c>
      <c r="D115" s="177">
        <f>IF(VLOOKUP(C115,PROPONENTES!$B$19:$E$108,2,FALSE)="","",VLOOKUP(C115,PROPONENTES!$B$19:$E$108,2,FALSE))</f>
        <v>53</v>
      </c>
      <c r="E115" s="95" t="str">
        <f>IF(D115="","",IF(D115-INT(D115)&gt;1,"",VLOOKUP(D115,PROPONENTES!$C$19:$D$108,2,FALSE)))</f>
        <v>NORBERTO BAYONA ESPITIA</v>
      </c>
      <c r="F115" s="242"/>
      <c r="G115" s="96"/>
      <c r="H115" s="68"/>
      <c r="I115" s="2"/>
      <c r="J115" s="274" t="str">
        <f t="shared" si="3"/>
        <v/>
      </c>
      <c r="K115" s="2"/>
    </row>
    <row r="116" spans="1:11" s="69" customFormat="1" ht="15.75" customHeight="1">
      <c r="A116" s="67"/>
      <c r="B116" s="67"/>
      <c r="C116" s="99">
        <v>54</v>
      </c>
      <c r="D116" s="177">
        <f>IF(VLOOKUP(C116,PROPONENTES!$B$19:$E$108,2,FALSE)="","",VLOOKUP(C116,PROPONENTES!$B$19:$E$108,2,FALSE))</f>
        <v>54</v>
      </c>
      <c r="E116" s="95" t="str">
        <f>IF(D116="","",IF(D116-INT(D116)&gt;1,"",VLOOKUP(D116,PROPONENTES!$C$19:$D$108,2,FALSE)))</f>
        <v>CONSORCIO HC INTERVENTORES 2022</v>
      </c>
      <c r="F116" s="242">
        <f>SUM(F117:F118)</f>
        <v>1</v>
      </c>
      <c r="G116" s="96"/>
      <c r="H116" s="68"/>
      <c r="I116" s="2"/>
      <c r="J116" s="274" t="str">
        <f t="shared" ref="J116:J149" si="4">IF((D116-INT(D116)&gt;0),IF(COUNTIF($E$19:$E$191,E116)&gt;1,"REPETIDO "&amp;COUNTIF($E$19:$E$191,E116)&amp;" VECES","CORRECTO"),"")</f>
        <v/>
      </c>
      <c r="K116" s="2"/>
    </row>
    <row r="117" spans="1:11" s="69" customFormat="1" ht="15.75" customHeight="1">
      <c r="A117" s="67"/>
      <c r="B117" s="67"/>
      <c r="C117" s="99"/>
      <c r="D117" s="177">
        <v>54.1</v>
      </c>
      <c r="E117" s="95" t="s">
        <v>251</v>
      </c>
      <c r="F117" s="242">
        <v>0.5</v>
      </c>
      <c r="G117" s="96" t="s">
        <v>252</v>
      </c>
      <c r="H117" s="68"/>
      <c r="I117" s="2"/>
      <c r="J117" s="274" t="str">
        <f t="shared" si="4"/>
        <v>CORRECTO</v>
      </c>
      <c r="K117" s="2"/>
    </row>
    <row r="118" spans="1:11" s="69" customFormat="1" ht="15.75" customHeight="1">
      <c r="A118" s="67"/>
      <c r="B118" s="67"/>
      <c r="C118" s="99"/>
      <c r="D118" s="177">
        <v>54.2</v>
      </c>
      <c r="E118" s="95" t="s">
        <v>253</v>
      </c>
      <c r="F118" s="242">
        <v>0.5</v>
      </c>
      <c r="G118" s="96" t="s">
        <v>254</v>
      </c>
      <c r="H118" s="68"/>
      <c r="I118" s="2"/>
      <c r="J118" s="274" t="str">
        <f t="shared" si="4"/>
        <v>CORRECTO</v>
      </c>
      <c r="K118" s="2"/>
    </row>
    <row r="119" spans="1:11" s="69" customFormat="1" ht="15.75" customHeight="1">
      <c r="A119" s="67"/>
      <c r="B119" s="67"/>
      <c r="C119" s="99">
        <v>55</v>
      </c>
      <c r="D119" s="177">
        <f>IF(VLOOKUP(C119,PROPONENTES!$B$19:$E$108,2,FALSE)="","",VLOOKUP(C119,PROPONENTES!$B$19:$E$108,2,FALSE))</f>
        <v>55</v>
      </c>
      <c r="E119" s="95" t="str">
        <f>IF(D119="","",IF(D119-INT(D119)&gt;1,"",VLOOKUP(D119,PROPONENTES!$C$19:$D$108,2,FALSE)))</f>
        <v>MARIO DE JESUS GIL CARDONA</v>
      </c>
      <c r="F119" s="242"/>
      <c r="G119" s="96"/>
      <c r="H119" s="68"/>
      <c r="I119" s="2"/>
      <c r="J119" s="274" t="str">
        <f t="shared" si="4"/>
        <v/>
      </c>
      <c r="K119" s="2"/>
    </row>
    <row r="120" spans="1:11" s="69" customFormat="1" ht="15.75" customHeight="1">
      <c r="A120" s="67"/>
      <c r="B120" s="67"/>
      <c r="C120" s="99">
        <v>56</v>
      </c>
      <c r="D120" s="177">
        <f>IF(VLOOKUP(C120,PROPONENTES!$B$19:$E$108,2,FALSE)="","",VLOOKUP(C120,PROPONENTES!$B$19:$E$108,2,FALSE))</f>
        <v>56</v>
      </c>
      <c r="E120" s="95" t="str">
        <f>IF(D120="","",IF(D120-INT(D120)&gt;1,"",VLOOKUP(D120,PROPONENTES!$C$19:$D$108,2,FALSE)))</f>
        <v>CONSORCIO COLOMBIA RURAL ET</v>
      </c>
      <c r="F120" s="242">
        <f>SUM(F121:F122)</f>
        <v>1</v>
      </c>
      <c r="G120" s="96"/>
      <c r="H120" s="68"/>
      <c r="I120" s="2"/>
      <c r="J120" s="274" t="str">
        <f t="shared" si="4"/>
        <v/>
      </c>
      <c r="K120" s="2"/>
    </row>
    <row r="121" spans="1:11" s="69" customFormat="1" ht="15.75" customHeight="1">
      <c r="A121" s="67"/>
      <c r="B121" s="67"/>
      <c r="C121" s="99"/>
      <c r="D121" s="177">
        <v>56.1</v>
      </c>
      <c r="E121" s="95" t="s">
        <v>255</v>
      </c>
      <c r="F121" s="242">
        <v>0.5</v>
      </c>
      <c r="G121" s="96" t="s">
        <v>256</v>
      </c>
      <c r="H121" s="68"/>
      <c r="I121" s="2"/>
      <c r="J121" s="274" t="str">
        <f>IF((D121-INT(D121)&gt;0),IF(COUNTIF($E$19:$E$191,E121)&gt;1,"REPETIDO "&amp;COUNTIF($E$19:$E$191,E121)&amp;" VECES","CORRECTO"),"")</f>
        <v>CORRECTO</v>
      </c>
      <c r="K121" s="2"/>
    </row>
    <row r="122" spans="1:11" s="69" customFormat="1" ht="15.75" customHeight="1">
      <c r="A122" s="67"/>
      <c r="B122" s="67"/>
      <c r="C122" s="99"/>
      <c r="D122" s="177">
        <v>56.2</v>
      </c>
      <c r="E122" s="95" t="s">
        <v>257</v>
      </c>
      <c r="F122" s="242">
        <v>0.5</v>
      </c>
      <c r="G122" s="96" t="s">
        <v>258</v>
      </c>
      <c r="H122" s="68"/>
      <c r="I122" s="2"/>
      <c r="J122" s="274" t="str">
        <f>IF((D122-INT(D122)&gt;0),IF(COUNTIF($E$19:$E$191,E122)&gt;1,"REPETIDO "&amp;COUNTIF($E$19:$E$191,E122)&amp;" VECES","CORRECTO"),"")</f>
        <v>CORRECTO</v>
      </c>
      <c r="K122" s="2"/>
    </row>
    <row r="123" spans="1:11" s="69" customFormat="1" ht="15.75" customHeight="1">
      <c r="A123" s="67"/>
      <c r="B123" s="67"/>
      <c r="C123" s="99">
        <v>57</v>
      </c>
      <c r="D123" s="177">
        <f>IF(VLOOKUP(C123,PROPONENTES!$B$19:$E$108,2,FALSE)="","",VLOOKUP(C123,PROPONENTES!$B$19:$E$108,2,FALSE))</f>
        <v>57</v>
      </c>
      <c r="E123" s="95" t="str">
        <f>IF(D123="","",IF(D123-INT(D123)&gt;1,"",VLOOKUP(D123,PROPONENTES!$C$19:$D$108,2,FALSE)))</f>
        <v>CONSORCIO ROGER 20</v>
      </c>
      <c r="F123" s="242"/>
      <c r="G123" s="96"/>
      <c r="H123" s="68"/>
      <c r="I123" s="2"/>
      <c r="J123" s="274" t="str">
        <f t="shared" si="4"/>
        <v/>
      </c>
      <c r="K123" s="2"/>
    </row>
    <row r="124" spans="1:11" s="69" customFormat="1" ht="15.75" customHeight="1">
      <c r="A124" s="67"/>
      <c r="B124" s="67"/>
      <c r="C124" s="99"/>
      <c r="D124" s="177">
        <v>57.1</v>
      </c>
      <c r="E124" s="95" t="s">
        <v>259</v>
      </c>
      <c r="F124" s="242">
        <v>0.05</v>
      </c>
      <c r="G124" s="96" t="s">
        <v>260</v>
      </c>
      <c r="H124" s="68"/>
      <c r="I124" s="2"/>
      <c r="J124" s="274" t="str">
        <f>IF((D124-INT(D124)&gt;0),IF(COUNTIF($E$19:$E$191,E124)&gt;1,"REPETIDO "&amp;COUNTIF($E$19:$E$191,E124)&amp;" VECES","CORRECTO"),"")</f>
        <v>CORRECTO</v>
      </c>
      <c r="K124" s="2"/>
    </row>
    <row r="125" spans="1:11" s="69" customFormat="1" ht="15.75" customHeight="1">
      <c r="A125" s="67"/>
      <c r="B125" s="67"/>
      <c r="C125" s="99"/>
      <c r="D125" s="177">
        <v>57.2</v>
      </c>
      <c r="E125" s="95" t="s">
        <v>261</v>
      </c>
      <c r="F125" s="242">
        <v>0.95</v>
      </c>
      <c r="G125" s="647" t="s">
        <v>262</v>
      </c>
      <c r="H125" s="68"/>
      <c r="I125" s="2"/>
      <c r="J125" s="274" t="str">
        <f>IF((D125-INT(D125)&gt;0),IF(COUNTIF($E$19:$E$191,E125)&gt;1,"REPETIDO "&amp;COUNTIF($E$19:$E$191,E125)&amp;" VECES","CORRECTO"),"")</f>
        <v>CORRECTO</v>
      </c>
      <c r="K125" s="2"/>
    </row>
    <row r="126" spans="1:11" s="69" customFormat="1" ht="15.75" customHeight="1">
      <c r="A126" s="67"/>
      <c r="B126" s="67"/>
      <c r="C126" s="99">
        <v>58</v>
      </c>
      <c r="D126" s="177">
        <f>IF(VLOOKUP(C126,PROPONENTES!$B$19:$E$108,2,FALSE)="","",VLOOKUP(C126,PROPONENTES!$B$19:$E$108,2,FALSE))</f>
        <v>58</v>
      </c>
      <c r="E126" s="95" t="str">
        <f>IF(D126="","",IF(D126-INT(D126)&gt;1,"",VLOOKUP(D126,PROPONENTES!$C$19:$D$108,2,FALSE)))</f>
        <v>VALLEJO H INGENIEROS CONSULTORES CONSTRUCTORES C S.A.S -BIC</v>
      </c>
      <c r="F126" s="242"/>
      <c r="G126" s="96" t="s">
        <v>263</v>
      </c>
      <c r="H126" s="68"/>
      <c r="I126" s="2"/>
      <c r="J126" s="274" t="str">
        <f t="shared" si="4"/>
        <v/>
      </c>
      <c r="K126" s="2"/>
    </row>
    <row r="127" spans="1:11" s="69" customFormat="1" ht="15.75" customHeight="1">
      <c r="A127" s="67"/>
      <c r="B127" s="67"/>
      <c r="C127" s="99">
        <v>59</v>
      </c>
      <c r="D127" s="177">
        <f>IF(VLOOKUP(C127,PROPONENTES!$B$19:$E$108,2,FALSE)="","",VLOOKUP(C127,PROPONENTES!$B$19:$E$108,2,FALSE))</f>
        <v>59</v>
      </c>
      <c r="E127" s="95" t="str">
        <f>IF(D127="","",IF(D127-INT(D127)&gt;1,"",VLOOKUP(D127,PROPONENTES!$C$19:$D$108,2,FALSE)))</f>
        <v>Consorcio JR</v>
      </c>
      <c r="F127" s="242">
        <f>SUM(F128:F129)</f>
        <v>1</v>
      </c>
      <c r="G127" s="96"/>
      <c r="H127" s="68"/>
      <c r="I127" s="2"/>
      <c r="J127" s="274" t="str">
        <f t="shared" si="4"/>
        <v/>
      </c>
      <c r="K127" s="2"/>
    </row>
    <row r="128" spans="1:11" s="69" customFormat="1" ht="15.75" customHeight="1">
      <c r="A128" s="67"/>
      <c r="B128" s="67"/>
      <c r="C128" s="99"/>
      <c r="D128" s="177">
        <v>59.1</v>
      </c>
      <c r="E128" s="95" t="s">
        <v>264</v>
      </c>
      <c r="F128" s="242">
        <v>0.95</v>
      </c>
      <c r="G128" s="625">
        <v>91425493</v>
      </c>
      <c r="H128" s="68"/>
      <c r="I128" s="2"/>
      <c r="J128" s="274" t="str">
        <f t="shared" si="4"/>
        <v>CORRECTO</v>
      </c>
      <c r="K128" s="2"/>
    </row>
    <row r="129" spans="1:11" s="69" customFormat="1" ht="15.75" customHeight="1">
      <c r="A129" s="67"/>
      <c r="B129" s="67"/>
      <c r="C129" s="99"/>
      <c r="D129" s="177">
        <v>59.2</v>
      </c>
      <c r="E129" s="95" t="s">
        <v>265</v>
      </c>
      <c r="F129" s="242">
        <v>0.05</v>
      </c>
      <c r="G129" s="625">
        <v>1160399</v>
      </c>
      <c r="H129" s="68"/>
      <c r="I129" s="2"/>
      <c r="J129" s="274" t="str">
        <f t="shared" si="4"/>
        <v>CORRECTO</v>
      </c>
      <c r="K129" s="2"/>
    </row>
    <row r="130" spans="1:11" s="69" customFormat="1" ht="15.75" customHeight="1">
      <c r="A130" s="67"/>
      <c r="B130" s="67"/>
      <c r="C130" s="99">
        <v>60</v>
      </c>
      <c r="D130" s="177">
        <f>IF(VLOOKUP(C130,PROPONENTES!$B$19:$E$108,2,FALSE)="","",VLOOKUP(C130,PROPONENTES!$B$19:$E$108,2,FALSE))</f>
        <v>60</v>
      </c>
      <c r="E130" s="95" t="str">
        <f>IF(D130="","",IF(D130-INT(D130)&gt;1,"",VLOOKUP(D130,PROPONENTES!$C$19:$D$108,2,FALSE)))</f>
        <v>ARA INGENIERIA S.A.S</v>
      </c>
      <c r="F130" s="242"/>
      <c r="G130" s="96" t="s">
        <v>266</v>
      </c>
      <c r="H130" s="68"/>
      <c r="I130" s="2"/>
      <c r="J130" s="274" t="str">
        <f t="shared" si="4"/>
        <v/>
      </c>
      <c r="K130" s="2"/>
    </row>
    <row r="131" spans="1:11" s="69" customFormat="1" ht="15.75" customHeight="1">
      <c r="A131" s="67"/>
      <c r="B131" s="67"/>
      <c r="C131" s="99">
        <v>61</v>
      </c>
      <c r="D131" s="177">
        <f>IF(VLOOKUP(C131,PROPONENTES!$B$19:$E$108,2,FALSE)="","",VLOOKUP(C131,PROPONENTES!$B$19:$E$108,2,FALSE))</f>
        <v>61</v>
      </c>
      <c r="E131" s="95" t="str">
        <f>IF(D131="","",IF(D131-INT(D131)&gt;1,"",VLOOKUP(D131,PROPONENTES!$C$19:$D$108,2,FALSE)))</f>
        <v>CONSORCIO INVITOL 2022</v>
      </c>
      <c r="F131" s="242">
        <f>SUM(F132:F133)</f>
        <v>1</v>
      </c>
      <c r="G131" s="96"/>
      <c r="H131" s="68"/>
      <c r="I131" s="2"/>
      <c r="J131" s="274" t="str">
        <f t="shared" si="4"/>
        <v/>
      </c>
      <c r="K131" s="2"/>
    </row>
    <row r="132" spans="1:11" s="69" customFormat="1" ht="15.75" customHeight="1">
      <c r="A132" s="67"/>
      <c r="B132" s="67"/>
      <c r="C132" s="99"/>
      <c r="D132" s="177">
        <v>61.1</v>
      </c>
      <c r="E132" s="95" t="s">
        <v>267</v>
      </c>
      <c r="F132" s="242">
        <v>0.95</v>
      </c>
      <c r="G132" s="96" t="s">
        <v>268</v>
      </c>
      <c r="H132" s="68"/>
      <c r="I132" s="2"/>
      <c r="J132" s="274" t="str">
        <f t="shared" si="4"/>
        <v>CORRECTO</v>
      </c>
      <c r="K132" s="2"/>
    </row>
    <row r="133" spans="1:11" s="69" customFormat="1" ht="15.75" customHeight="1">
      <c r="A133" s="67"/>
      <c r="B133" s="67"/>
      <c r="C133" s="99"/>
      <c r="D133" s="177">
        <v>61.2</v>
      </c>
      <c r="E133" s="95" t="s">
        <v>269</v>
      </c>
      <c r="F133" s="242">
        <v>0.05</v>
      </c>
      <c r="G133" s="96" t="s">
        <v>270</v>
      </c>
      <c r="H133" s="68"/>
      <c r="I133" s="2"/>
      <c r="J133" s="274" t="str">
        <f t="shared" si="4"/>
        <v>CORRECTO</v>
      </c>
      <c r="K133" s="2"/>
    </row>
    <row r="134" spans="1:11" s="69" customFormat="1" ht="15.75" customHeight="1">
      <c r="A134" s="67"/>
      <c r="B134" s="67"/>
      <c r="C134" s="99">
        <v>62</v>
      </c>
      <c r="D134" s="177">
        <f>IF(VLOOKUP(C134,PROPONENTES!$B$19:$E$108,2,FALSE)="","",VLOOKUP(C134,PROPONENTES!$B$19:$E$108,2,FALSE))</f>
        <v>62</v>
      </c>
      <c r="E134" s="95" t="str">
        <f>IF(D134="","",IF(D134-INT(D134)&gt;1,"",VLOOKUP(D134,PROPONENTES!$C$19:$D$108,2,FALSE)))</f>
        <v>CONSORCIO INTERVIAL TOL 001</v>
      </c>
      <c r="F134" s="242">
        <f>SUM(F135:F136)</f>
        <v>1</v>
      </c>
      <c r="G134" s="96"/>
      <c r="H134" s="68"/>
      <c r="I134" s="2"/>
      <c r="J134" s="274" t="str">
        <f t="shared" si="4"/>
        <v/>
      </c>
      <c r="K134" s="2"/>
    </row>
    <row r="135" spans="1:11" s="69" customFormat="1" ht="15.75" customHeight="1">
      <c r="A135" s="67"/>
      <c r="B135" s="67"/>
      <c r="C135" s="99"/>
      <c r="D135" s="177">
        <v>62.1</v>
      </c>
      <c r="E135" s="95" t="s">
        <v>271</v>
      </c>
      <c r="F135" s="242">
        <v>0.4</v>
      </c>
      <c r="G135" s="96" t="s">
        <v>272</v>
      </c>
      <c r="H135" s="68"/>
      <c r="I135" s="2"/>
      <c r="J135" s="274" t="str">
        <f t="shared" si="4"/>
        <v>CORRECTO</v>
      </c>
      <c r="K135" s="2"/>
    </row>
    <row r="136" spans="1:11" s="69" customFormat="1" ht="15.75" customHeight="1">
      <c r="A136" s="67"/>
      <c r="B136" s="67"/>
      <c r="C136" s="99"/>
      <c r="D136" s="177">
        <v>62.2</v>
      </c>
      <c r="E136" s="95" t="s">
        <v>273</v>
      </c>
      <c r="F136" s="242">
        <v>0.6</v>
      </c>
      <c r="G136" s="625">
        <v>6762843</v>
      </c>
      <c r="H136" s="68"/>
      <c r="I136" s="2"/>
      <c r="J136" s="274" t="str">
        <f t="shared" si="4"/>
        <v>CORRECTO</v>
      </c>
      <c r="K136" s="2"/>
    </row>
    <row r="137" spans="1:11" s="69" customFormat="1" ht="15.75" customHeight="1">
      <c r="A137" s="67"/>
      <c r="B137" s="67"/>
      <c r="C137" s="99">
        <v>63</v>
      </c>
      <c r="D137" s="177">
        <f>IF(VLOOKUP(C137,PROPONENTES!$B$19:$E$108,2,FALSE)="","",VLOOKUP(C137,PROPONENTES!$B$19:$E$108,2,FALSE))</f>
        <v>63</v>
      </c>
      <c r="E137" s="95" t="str">
        <f>IF(D137="","",IF(D137-INT(D137)&gt;1,"",VLOOKUP(D137,PROPONENTES!$C$19:$D$108,2,FALSE)))</f>
        <v>COMPAÑIA CONSULTORA COLOMBIANA TRIPLE C BIC SAS</v>
      </c>
      <c r="F137" s="242"/>
      <c r="G137" s="96" t="s">
        <v>274</v>
      </c>
      <c r="H137" s="68"/>
      <c r="I137" s="2"/>
      <c r="J137" s="274" t="str">
        <f t="shared" si="4"/>
        <v/>
      </c>
      <c r="K137" s="2"/>
    </row>
    <row r="138" spans="1:11" s="69" customFormat="1" ht="15.75" customHeight="1">
      <c r="A138" s="67"/>
      <c r="B138" s="67"/>
      <c r="C138" s="99">
        <v>64</v>
      </c>
      <c r="D138" s="177">
        <f>IF(VLOOKUP(C138,PROPONENTES!$B$19:$E$108,2,FALSE)="","",VLOOKUP(C138,PROPONENTES!$B$19:$E$108,2,FALSE))</f>
        <v>64</v>
      </c>
      <c r="E138" s="95" t="str">
        <f>IF(D138="","",IF(D138-INT(D138)&gt;1,"",VLOOKUP(D138,PROPONENTES!$C$19:$D$108,2,FALSE)))</f>
        <v>UNION TEMPORAL INTERTOL 001 2022</v>
      </c>
      <c r="F138" s="242">
        <f>SUM(F139:F141)</f>
        <v>1</v>
      </c>
      <c r="G138" s="96"/>
      <c r="H138" s="68"/>
      <c r="I138" s="2"/>
      <c r="J138" s="274" t="str">
        <f t="shared" si="4"/>
        <v/>
      </c>
      <c r="K138" s="2"/>
    </row>
    <row r="139" spans="1:11" s="69" customFormat="1" ht="15.75" customHeight="1">
      <c r="A139" s="67"/>
      <c r="B139" s="67"/>
      <c r="C139" s="99"/>
      <c r="D139" s="177">
        <v>64.099999999999994</v>
      </c>
      <c r="E139" s="95" t="s">
        <v>275</v>
      </c>
      <c r="F139" s="242">
        <v>0.33</v>
      </c>
      <c r="G139" s="625">
        <v>91321166</v>
      </c>
      <c r="H139" s="68"/>
      <c r="I139" s="2"/>
      <c r="J139" s="274" t="str">
        <f t="shared" si="4"/>
        <v>CORRECTO</v>
      </c>
      <c r="K139" s="2"/>
    </row>
    <row r="140" spans="1:11" s="69" customFormat="1" ht="15.75" customHeight="1">
      <c r="A140" s="67"/>
      <c r="B140" s="67"/>
      <c r="C140" s="99"/>
      <c r="D140" s="177">
        <v>64.2</v>
      </c>
      <c r="E140" s="95" t="s">
        <v>276</v>
      </c>
      <c r="F140" s="242">
        <v>0.33</v>
      </c>
      <c r="G140" s="625">
        <v>91245306</v>
      </c>
      <c r="H140" s="68"/>
      <c r="I140" s="2"/>
      <c r="J140" s="274" t="str">
        <f t="shared" si="4"/>
        <v>CORRECTO</v>
      </c>
      <c r="K140" s="2"/>
    </row>
    <row r="141" spans="1:11" s="69" customFormat="1" ht="15.75" customHeight="1">
      <c r="A141" s="67"/>
      <c r="B141" s="67"/>
      <c r="C141" s="99"/>
      <c r="D141" s="177">
        <v>64.3</v>
      </c>
      <c r="E141" s="95" t="s">
        <v>277</v>
      </c>
      <c r="F141" s="242">
        <v>0.34</v>
      </c>
      <c r="G141" s="96" t="s">
        <v>278</v>
      </c>
      <c r="H141" s="68"/>
      <c r="I141" s="2"/>
      <c r="J141" s="274" t="str">
        <f t="shared" si="4"/>
        <v>CORRECTO</v>
      </c>
      <c r="K141" s="2"/>
    </row>
    <row r="142" spans="1:11" s="69" customFormat="1" ht="15.75" customHeight="1">
      <c r="A142" s="67"/>
      <c r="B142" s="67"/>
      <c r="C142" s="99">
        <v>65</v>
      </c>
      <c r="D142" s="177">
        <f>IF(VLOOKUP(C142,PROPONENTES!$B$19:$E$108,2,FALSE)="","",VLOOKUP(C142,PROPONENTES!$B$19:$E$108,2,FALSE))</f>
        <v>65</v>
      </c>
      <c r="E142" s="95" t="str">
        <f>IF(D142="","",IF(D142-INT(D142)&gt;1,"",VLOOKUP(D142,PROPONENTES!$C$19:$D$108,2,FALSE)))</f>
        <v>PROYECTISTAS DE COLOMBIA &amp; CIA SAS</v>
      </c>
      <c r="F142" s="242"/>
      <c r="G142" s="96" t="s">
        <v>279</v>
      </c>
      <c r="H142" s="68"/>
      <c r="I142" s="2"/>
      <c r="J142" s="274" t="str">
        <f t="shared" si="4"/>
        <v/>
      </c>
      <c r="K142" s="2"/>
    </row>
    <row r="143" spans="1:11" s="69" customFormat="1" ht="17.25" customHeight="1">
      <c r="A143" s="67"/>
      <c r="B143" s="67"/>
      <c r="C143" s="99">
        <v>66</v>
      </c>
      <c r="D143" s="177">
        <f>IF(VLOOKUP(C143,PROPONENTES!$B$19:$E$108,2,FALSE)="","",VLOOKUP(C143,PROPONENTES!$B$19:$E$108,2,FALSE))</f>
        <v>66</v>
      </c>
      <c r="E143" s="95" t="str">
        <f>IF(D143="","",IF(D143-INT(D143)&gt;1,"",VLOOKUP(D143,PROPONENTES!$C$19:$D$108,2,FALSE)))</f>
        <v>CONSORCIO VIAL INGENIERIA 2022</v>
      </c>
      <c r="F143" s="242">
        <f>SUM(F144:F145)</f>
        <v>1</v>
      </c>
      <c r="G143" s="96"/>
      <c r="H143" s="68"/>
      <c r="I143" s="2"/>
      <c r="J143" s="274" t="str">
        <f t="shared" si="4"/>
        <v/>
      </c>
      <c r="K143" s="2"/>
    </row>
    <row r="144" spans="1:11" s="69" customFormat="1" ht="17.25" customHeight="1">
      <c r="A144" s="67"/>
      <c r="B144" s="67"/>
      <c r="C144" s="99"/>
      <c r="D144" s="177">
        <v>66.099999999999994</v>
      </c>
      <c r="E144" s="95" t="s">
        <v>280</v>
      </c>
      <c r="F144" s="242">
        <v>0.75</v>
      </c>
      <c r="G144" s="96" t="s">
        <v>281</v>
      </c>
      <c r="H144" s="68"/>
      <c r="I144" s="2"/>
      <c r="J144" s="274" t="str">
        <f t="shared" si="4"/>
        <v>CORRECTO</v>
      </c>
      <c r="K144" s="2"/>
    </row>
    <row r="145" spans="1:11" s="69" customFormat="1" ht="17.25" customHeight="1">
      <c r="A145" s="67"/>
      <c r="B145" s="67"/>
      <c r="C145" s="99"/>
      <c r="D145" s="177">
        <v>66.2</v>
      </c>
      <c r="E145" s="95" t="s">
        <v>282</v>
      </c>
      <c r="F145" s="242">
        <v>0.25</v>
      </c>
      <c r="G145" s="625">
        <v>91277416</v>
      </c>
      <c r="H145" s="68"/>
      <c r="I145" s="2"/>
      <c r="J145" s="274" t="str">
        <f t="shared" si="4"/>
        <v>CORRECTO</v>
      </c>
      <c r="K145" s="2"/>
    </row>
    <row r="146" spans="1:11" s="69" customFormat="1" ht="15.75" customHeight="1">
      <c r="A146" s="67"/>
      <c r="B146" s="67"/>
      <c r="C146" s="99">
        <v>67</v>
      </c>
      <c r="D146" s="177">
        <f>IF(VLOOKUP(C146,PROPONENTES!$B$19:$E$108,2,FALSE)="","",VLOOKUP(C146,PROPONENTES!$B$19:$E$108,2,FALSE))</f>
        <v>67</v>
      </c>
      <c r="E146" s="95" t="str">
        <f>IF(D146="","",IF(D146-INT(D146)&gt;1,"",VLOOKUP(D146,PROPONENTES!$C$19:$D$108,2,FALSE)))</f>
        <v>CONSORCIO AV</v>
      </c>
      <c r="F146" s="242">
        <f>SUM(F147:F148)</f>
        <v>1</v>
      </c>
      <c r="G146" s="96"/>
      <c r="H146" s="68"/>
      <c r="I146" s="2"/>
      <c r="J146" s="274" t="str">
        <f t="shared" si="4"/>
        <v/>
      </c>
      <c r="K146" s="2"/>
    </row>
    <row r="147" spans="1:11" s="69" customFormat="1" ht="15.75" customHeight="1">
      <c r="A147" s="67"/>
      <c r="B147" s="67"/>
      <c r="C147" s="99"/>
      <c r="D147" s="177">
        <v>67.099999999999994</v>
      </c>
      <c r="E147" s="95" t="s">
        <v>283</v>
      </c>
      <c r="F147" s="242">
        <v>0.95</v>
      </c>
      <c r="G147" s="625">
        <v>19266128</v>
      </c>
      <c r="H147" s="68"/>
      <c r="I147" s="2"/>
      <c r="J147" s="274" t="str">
        <f t="shared" si="4"/>
        <v>CORRECTO</v>
      </c>
      <c r="K147" s="2"/>
    </row>
    <row r="148" spans="1:11" s="69" customFormat="1" ht="15.75" customHeight="1">
      <c r="A148" s="67"/>
      <c r="B148" s="67"/>
      <c r="C148" s="99"/>
      <c r="D148" s="177">
        <v>67.2</v>
      </c>
      <c r="E148" s="95" t="s">
        <v>284</v>
      </c>
      <c r="F148" s="242">
        <v>0.05</v>
      </c>
      <c r="G148" s="96" t="s">
        <v>285</v>
      </c>
      <c r="H148" s="68"/>
      <c r="I148" s="2"/>
      <c r="J148" s="274" t="str">
        <f t="shared" si="4"/>
        <v>CORRECTO</v>
      </c>
      <c r="K148" s="2"/>
    </row>
    <row r="149" spans="1:11" s="69" customFormat="1" ht="15.75" customHeight="1">
      <c r="A149" s="67"/>
      <c r="B149" s="67"/>
      <c r="C149" s="99">
        <v>68</v>
      </c>
      <c r="D149" s="177">
        <f>IF(VLOOKUP(C149,PROPONENTES!$B$19:$E$108,2,FALSE)="","",VLOOKUP(C149,PROPONENTES!$B$19:$E$108,2,FALSE))</f>
        <v>68</v>
      </c>
      <c r="E149" s="95" t="str">
        <f>IF(D149="","",IF(D149-INT(D149)&gt;1,"",VLOOKUP(D149,PROPONENTES!$C$19:$D$108,2,FALSE)))</f>
        <v>SOLUCIONES PARA LA INGENIERÍA S.A.S.</v>
      </c>
      <c r="F149" s="242">
        <v>1</v>
      </c>
      <c r="G149" s="623" t="s">
        <v>286</v>
      </c>
      <c r="H149" s="68"/>
      <c r="I149" s="2"/>
      <c r="J149" s="274" t="str">
        <f t="shared" si="4"/>
        <v/>
      </c>
      <c r="K149" s="2"/>
    </row>
    <row r="150" spans="1:11" s="69" customFormat="1" ht="15.75" customHeight="1">
      <c r="A150" s="67"/>
      <c r="B150" s="67"/>
      <c r="C150" s="99">
        <v>69</v>
      </c>
      <c r="D150" s="177">
        <f>IF(VLOOKUP(C150,PROPONENTES!$B$19:$E$108,2,FALSE)="","",VLOOKUP(C150,PROPONENTES!$B$19:$E$108,2,FALSE))</f>
        <v>69</v>
      </c>
      <c r="E150" s="95" t="str">
        <f>IF(D150="","",IF(D150-INT(D150)&gt;1,"",VLOOKUP(D150,PROPONENTES!$C$19:$D$108,2,FALSE)))</f>
        <v>Unión Temporal Intervías Tolima</v>
      </c>
      <c r="F150" s="242">
        <f>SUM(F151:F152)</f>
        <v>1</v>
      </c>
      <c r="G150" s="96"/>
      <c r="H150" s="68"/>
      <c r="I150" s="2"/>
      <c r="J150" s="274" t="str">
        <f t="shared" ref="J150:J181" si="5">IF((D150-INT(D150)&gt;0),IF(COUNTIF($E$19:$E$191,E150)&gt;1,"REPETIDO "&amp;COUNTIF($E$19:$E$191,E150)&amp;" VECES","CORRECTO"),"")</f>
        <v/>
      </c>
      <c r="K150" s="2"/>
    </row>
    <row r="151" spans="1:11" s="69" customFormat="1" ht="15.75" customHeight="1">
      <c r="A151" s="67"/>
      <c r="B151" s="67"/>
      <c r="C151" s="99"/>
      <c r="D151" s="177">
        <v>69.099999999999994</v>
      </c>
      <c r="E151" s="95" t="s">
        <v>287</v>
      </c>
      <c r="F151" s="242">
        <v>0.5</v>
      </c>
      <c r="G151" s="96" t="s">
        <v>288</v>
      </c>
      <c r="H151" s="68"/>
      <c r="I151" s="2"/>
      <c r="J151" s="274" t="str">
        <f t="shared" si="5"/>
        <v>CORRECTO</v>
      </c>
      <c r="K151" s="2"/>
    </row>
    <row r="152" spans="1:11" s="69" customFormat="1" ht="15.75" customHeight="1">
      <c r="A152" s="67"/>
      <c r="B152" s="67"/>
      <c r="C152" s="99"/>
      <c r="D152" s="177">
        <v>69.2</v>
      </c>
      <c r="E152" s="95" t="s">
        <v>289</v>
      </c>
      <c r="F152" s="242">
        <v>0.5</v>
      </c>
      <c r="G152" s="96" t="s">
        <v>290</v>
      </c>
      <c r="H152" s="68"/>
      <c r="I152" s="2"/>
      <c r="J152" s="274" t="str">
        <f t="shared" si="5"/>
        <v>CORRECTO</v>
      </c>
      <c r="K152" s="2"/>
    </row>
    <row r="153" spans="1:11" s="69" customFormat="1" ht="15.75" customHeight="1">
      <c r="A153" s="67"/>
      <c r="B153" s="67"/>
      <c r="C153" s="99">
        <v>70</v>
      </c>
      <c r="D153" s="177">
        <f>IF(VLOOKUP(C153,PROPONENTES!$B$19:$E$108,2,FALSE)="","",VLOOKUP(C153,PROPONENTES!$B$19:$E$108,2,FALSE))</f>
        <v>70</v>
      </c>
      <c r="E153" s="95" t="str">
        <f>IF(D153="","",IF(D153-INT(D153)&gt;1,"",VLOOKUP(D153,PROPONENTES!$C$19:$D$108,2,FALSE)))</f>
        <v>CONSORCIO DT TOLIMA ZP</v>
      </c>
      <c r="F153" s="242">
        <f>SUM(F154:F155)</f>
        <v>1</v>
      </c>
      <c r="G153" s="96"/>
      <c r="H153" s="68"/>
      <c r="I153" s="2"/>
      <c r="J153" s="274" t="str">
        <f t="shared" si="5"/>
        <v/>
      </c>
      <c r="K153" s="2"/>
    </row>
    <row r="154" spans="1:11" s="69" customFormat="1" ht="15.75" customHeight="1">
      <c r="A154" s="67"/>
      <c r="B154" s="67"/>
      <c r="C154" s="99"/>
      <c r="D154" s="177">
        <v>70.099999999999994</v>
      </c>
      <c r="E154" s="95" t="s">
        <v>291</v>
      </c>
      <c r="F154" s="242">
        <v>0.5</v>
      </c>
      <c r="G154" s="96" t="s">
        <v>292</v>
      </c>
      <c r="H154" s="68"/>
      <c r="I154" s="2"/>
      <c r="J154" s="274" t="str">
        <f t="shared" si="5"/>
        <v>CORRECTO</v>
      </c>
      <c r="K154" s="2"/>
    </row>
    <row r="155" spans="1:11" s="69" customFormat="1" ht="15.75" customHeight="1">
      <c r="A155" s="67"/>
      <c r="B155" s="67"/>
      <c r="C155" s="99"/>
      <c r="D155" s="177">
        <v>70.2</v>
      </c>
      <c r="E155" s="95" t="s">
        <v>293</v>
      </c>
      <c r="F155" s="242">
        <v>0.5</v>
      </c>
      <c r="G155" s="96" t="s">
        <v>294</v>
      </c>
      <c r="H155" s="68"/>
      <c r="I155" s="2"/>
      <c r="J155" s="274" t="str">
        <f t="shared" si="5"/>
        <v>CORRECTO</v>
      </c>
      <c r="K155" s="2"/>
    </row>
    <row r="156" spans="1:11" s="69" customFormat="1" ht="15.75" customHeight="1">
      <c r="A156" s="67"/>
      <c r="B156" s="67"/>
      <c r="C156" s="99">
        <v>71</v>
      </c>
      <c r="D156" s="177">
        <f>IF(VLOOKUP(C156,PROPONENTES!$B$19:$E$108,2,FALSE)="","",VLOOKUP(C156,PROPONENTES!$B$19:$E$108,2,FALSE))</f>
        <v>71</v>
      </c>
      <c r="E156" s="95" t="str">
        <f>IF(D156="","",IF(D156-INT(D156)&gt;1,"",VLOOKUP(D156,PROPONENTES!$C$19:$D$108,2,FALSE)))</f>
        <v>INGENIEROS CIVILES ESPECIALISTAS S.A.S.</v>
      </c>
      <c r="F156" s="242">
        <v>1</v>
      </c>
      <c r="G156" s="623" t="s">
        <v>295</v>
      </c>
      <c r="H156" s="68"/>
      <c r="I156" s="2"/>
      <c r="J156" s="274" t="str">
        <f t="shared" si="5"/>
        <v/>
      </c>
      <c r="K156" s="2"/>
    </row>
    <row r="157" spans="1:11" s="69" customFormat="1" ht="15.75" customHeight="1">
      <c r="A157" s="67"/>
      <c r="B157" s="67"/>
      <c r="C157" s="99">
        <v>72</v>
      </c>
      <c r="D157" s="177">
        <f>IF(VLOOKUP(C157,PROPONENTES!$B$19:$E$108,2,FALSE)="","",VLOOKUP(C157,PROPONENTES!$B$19:$E$108,2,FALSE))</f>
        <v>72</v>
      </c>
      <c r="E157" s="95" t="str">
        <f>IF(D157="","",IF(D157-INT(D157)&gt;1,"",VLOOKUP(D157,PROPONENTES!$C$19:$D$108,2,FALSE)))</f>
        <v>GRUPO QUIMBAYA S.A.S.</v>
      </c>
      <c r="F157" s="242">
        <v>1</v>
      </c>
      <c r="G157" s="623" t="s">
        <v>296</v>
      </c>
      <c r="H157" s="68"/>
      <c r="I157" s="2"/>
      <c r="J157" s="274" t="str">
        <f t="shared" si="5"/>
        <v/>
      </c>
      <c r="K157" s="2"/>
    </row>
    <row r="158" spans="1:11" s="69" customFormat="1" ht="15.75" customHeight="1">
      <c r="A158" s="67"/>
      <c r="B158" s="67"/>
      <c r="C158" s="99">
        <v>73</v>
      </c>
      <c r="D158" s="177">
        <f>IF(VLOOKUP(C158,PROPONENTES!$B$19:$E$108,2,FALSE)="","",VLOOKUP(C158,PROPONENTES!$B$19:$E$108,2,FALSE))</f>
        <v>73</v>
      </c>
      <c r="E158" s="95" t="str">
        <f>IF(D158="","",IF(D158-INT(D158)&gt;1,"",VLOOKUP(D158,PROPONENTES!$C$19:$D$108,2,FALSE)))</f>
        <v>CONSORCIO TOLIMA JI 001</v>
      </c>
      <c r="F158" s="242">
        <f>SUM(F159:F160)</f>
        <v>1</v>
      </c>
      <c r="G158" s="96"/>
      <c r="H158" s="68"/>
      <c r="I158" s="2"/>
      <c r="J158" s="274" t="str">
        <f t="shared" si="5"/>
        <v/>
      </c>
      <c r="K158" s="2"/>
    </row>
    <row r="159" spans="1:11" s="69" customFormat="1" ht="15.75" customHeight="1">
      <c r="A159" s="67"/>
      <c r="B159" s="67"/>
      <c r="C159" s="99"/>
      <c r="D159" s="177">
        <v>73.099999999999994</v>
      </c>
      <c r="E159" s="95" t="s">
        <v>297</v>
      </c>
      <c r="F159" s="242">
        <v>0.5</v>
      </c>
      <c r="G159" s="96" t="s">
        <v>298</v>
      </c>
      <c r="H159" s="68"/>
      <c r="I159" s="2"/>
      <c r="J159" s="274" t="str">
        <f t="shared" si="5"/>
        <v>CORRECTO</v>
      </c>
      <c r="K159" s="2"/>
    </row>
    <row r="160" spans="1:11" s="69" customFormat="1" ht="15.75" customHeight="1">
      <c r="A160" s="67"/>
      <c r="B160" s="67"/>
      <c r="C160" s="99"/>
      <c r="D160" s="177">
        <v>73.2</v>
      </c>
      <c r="E160" s="95" t="s">
        <v>299</v>
      </c>
      <c r="F160" s="242">
        <v>0.5</v>
      </c>
      <c r="G160" s="96" t="s">
        <v>300</v>
      </c>
      <c r="H160" s="68"/>
      <c r="I160" s="2"/>
      <c r="J160" s="274" t="str">
        <f t="shared" si="5"/>
        <v>CORRECTO</v>
      </c>
      <c r="K160" s="2"/>
    </row>
    <row r="161" spans="1:11" s="69" customFormat="1" ht="15.75" customHeight="1">
      <c r="A161" s="67"/>
      <c r="B161" s="67"/>
      <c r="C161" s="99">
        <v>74</v>
      </c>
      <c r="D161" s="177">
        <f>IF(VLOOKUP(C161,PROPONENTES!$B$19:$E$108,2,FALSE)="","",VLOOKUP(C161,PROPONENTES!$B$19:$E$108,2,FALSE))</f>
        <v>74</v>
      </c>
      <c r="E161" s="95" t="str">
        <f>IF(D161="","",IF(D161-INT(D161)&gt;1,"",VLOOKUP(D161,PROPONENTES!$C$19:$D$108,2,FALSE)))</f>
        <v>INGENIERIA CONUSLTORIA Y PLANEACION S.A – INCOPLAN S.A</v>
      </c>
      <c r="F161" s="242">
        <v>1</v>
      </c>
      <c r="G161" s="623" t="s">
        <v>301</v>
      </c>
      <c r="H161" s="68"/>
      <c r="I161" s="2"/>
      <c r="J161" s="274" t="str">
        <f t="shared" si="5"/>
        <v/>
      </c>
      <c r="K161" s="2"/>
    </row>
    <row r="162" spans="1:11" s="69" customFormat="1" ht="15.75" customHeight="1">
      <c r="A162" s="67"/>
      <c r="B162" s="67"/>
      <c r="C162" s="99">
        <v>75</v>
      </c>
      <c r="D162" s="177">
        <f>IF(VLOOKUP(C162,PROPONENTES!$B$19:$E$108,2,FALSE)="","",VLOOKUP(C162,PROPONENTES!$B$19:$E$108,2,FALSE))</f>
        <v>75</v>
      </c>
      <c r="E162" s="95" t="str">
        <f>IF(D162="","",IF(D162-INT(D162)&gt;1,"",VLOOKUP(D162,PROPONENTES!$C$19:$D$108,2,FALSE)))</f>
        <v>JAIME MORENO ESPAÑA</v>
      </c>
      <c r="F162" s="242">
        <v>1</v>
      </c>
      <c r="G162" s="623" t="s">
        <v>302</v>
      </c>
      <c r="H162" s="68"/>
      <c r="I162" s="2"/>
      <c r="J162" s="274" t="str">
        <f t="shared" si="5"/>
        <v/>
      </c>
      <c r="K162" s="2"/>
    </row>
    <row r="163" spans="1:11" s="69" customFormat="1" ht="15.75" customHeight="1">
      <c r="A163" s="67"/>
      <c r="B163" s="67"/>
      <c r="C163" s="99">
        <v>76</v>
      </c>
      <c r="D163" s="177">
        <f>IF(VLOOKUP(C163,PROPONENTES!$B$19:$E$108,2,FALSE)="","",VLOOKUP(C163,PROPONENTES!$B$19:$E$108,2,FALSE))</f>
        <v>76</v>
      </c>
      <c r="E163" s="95" t="str">
        <f>IF(D163="","",IF(D163-INT(D163)&gt;1,"",VLOOKUP(D163,PROPONENTES!$C$19:$D$108,2,FALSE)))</f>
        <v>CONSORCIO DIN ISUTECH</v>
      </c>
      <c r="F163" s="242">
        <f>SUM(F164:F165)</f>
        <v>1</v>
      </c>
      <c r="G163" s="96"/>
      <c r="H163" s="68"/>
      <c r="I163" s="2"/>
      <c r="J163" s="274" t="str">
        <f t="shared" si="5"/>
        <v/>
      </c>
      <c r="K163" s="2"/>
    </row>
    <row r="164" spans="1:11" s="69" customFormat="1" ht="15.75" customHeight="1">
      <c r="A164" s="67"/>
      <c r="B164" s="67"/>
      <c r="C164" s="99"/>
      <c r="D164" s="177">
        <v>76.099999999999994</v>
      </c>
      <c r="E164" s="95" t="s">
        <v>303</v>
      </c>
      <c r="F164" s="242">
        <v>0.95</v>
      </c>
      <c r="G164" s="96" t="s">
        <v>304</v>
      </c>
      <c r="H164" s="68"/>
      <c r="I164" s="2"/>
      <c r="J164" s="274" t="str">
        <f t="shared" si="5"/>
        <v>CORRECTO</v>
      </c>
      <c r="K164" s="2"/>
    </row>
    <row r="165" spans="1:11" s="69" customFormat="1" ht="15.75" customHeight="1">
      <c r="A165" s="67"/>
      <c r="B165" s="67"/>
      <c r="C165" s="99"/>
      <c r="D165" s="177">
        <v>76.2</v>
      </c>
      <c r="E165" s="95" t="s">
        <v>305</v>
      </c>
      <c r="F165" s="242">
        <v>0.05</v>
      </c>
      <c r="G165" s="96" t="s">
        <v>306</v>
      </c>
      <c r="H165" s="68"/>
      <c r="I165" s="2"/>
      <c r="J165" s="274" t="str">
        <f t="shared" si="5"/>
        <v>CORRECTO</v>
      </c>
      <c r="K165" s="2"/>
    </row>
    <row r="166" spans="1:11" s="69" customFormat="1" ht="15.75" customHeight="1">
      <c r="A166" s="67"/>
      <c r="B166" s="67"/>
      <c r="C166" s="99">
        <v>77</v>
      </c>
      <c r="D166" s="177">
        <f>IF(VLOOKUP(C166,PROPONENTES!$B$19:$E$108,2,FALSE)="","",VLOOKUP(C166,PROPONENTES!$B$19:$E$108,2,FALSE))</f>
        <v>77</v>
      </c>
      <c r="E166" s="95" t="str">
        <f>IF(D166="","",IF(D166-INT(D166)&gt;1,"",VLOOKUP(D166,PROPONENTES!$C$19:$D$108,2,FALSE)))</f>
        <v>CONSORCIO CASTORES – INGES INVIAS 2022</v>
      </c>
      <c r="F166" s="242">
        <f>SUM(F167:F168)</f>
        <v>1</v>
      </c>
      <c r="G166" s="96"/>
      <c r="H166" s="68"/>
      <c r="I166" s="2"/>
      <c r="J166" s="274" t="str">
        <f t="shared" si="5"/>
        <v/>
      </c>
      <c r="K166" s="2"/>
    </row>
    <row r="167" spans="1:11" s="69" customFormat="1" ht="15.75" customHeight="1">
      <c r="A167" s="67"/>
      <c r="B167" s="67"/>
      <c r="C167" s="99"/>
      <c r="D167" s="177">
        <v>77.099999999999994</v>
      </c>
      <c r="E167" s="95" t="s">
        <v>307</v>
      </c>
      <c r="F167" s="242">
        <v>0.5</v>
      </c>
      <c r="G167" s="96" t="s">
        <v>308</v>
      </c>
      <c r="H167" s="68"/>
      <c r="I167" s="2"/>
      <c r="J167" s="274" t="str">
        <f t="shared" si="5"/>
        <v>CORRECTO</v>
      </c>
      <c r="K167" s="2"/>
    </row>
    <row r="168" spans="1:11" s="69" customFormat="1" ht="15.75" customHeight="1">
      <c r="A168" s="67"/>
      <c r="B168" s="67"/>
      <c r="C168" s="99"/>
      <c r="D168" s="177">
        <v>77.2</v>
      </c>
      <c r="E168" s="95" t="s">
        <v>309</v>
      </c>
      <c r="F168" s="242">
        <v>0.5</v>
      </c>
      <c r="G168" s="96" t="s">
        <v>310</v>
      </c>
      <c r="H168" s="68"/>
      <c r="I168" s="2"/>
      <c r="J168" s="274" t="str">
        <f t="shared" si="5"/>
        <v>CORRECTO</v>
      </c>
      <c r="K168" s="2"/>
    </row>
    <row r="169" spans="1:11" s="69" customFormat="1" ht="15.75" customHeight="1">
      <c r="A169" s="67"/>
      <c r="B169" s="67"/>
      <c r="C169" s="99">
        <v>78</v>
      </c>
      <c r="D169" s="177">
        <f>IF(VLOOKUP(C169,PROPONENTES!$B$19:$E$108,2,FALSE)="","",VLOOKUP(C169,PROPONENTES!$B$19:$E$108,2,FALSE))</f>
        <v>78</v>
      </c>
      <c r="E169" s="95" t="str">
        <f>IF(D169="","",IF(D169-INT(D169)&gt;1,"",VLOOKUP(D169,PROPONENTES!$C$19:$D$108,2,FALSE)))</f>
        <v>NUBIA ISABEL QUEVEDO ÁNGEL</v>
      </c>
      <c r="F169" s="242">
        <v>1</v>
      </c>
      <c r="G169" s="623" t="s">
        <v>311</v>
      </c>
      <c r="H169" s="68"/>
      <c r="I169" s="2"/>
      <c r="J169" s="274" t="str">
        <f t="shared" si="5"/>
        <v/>
      </c>
      <c r="K169" s="2"/>
    </row>
    <row r="170" spans="1:11" s="69" customFormat="1" ht="15.75" customHeight="1">
      <c r="A170" s="67"/>
      <c r="B170" s="67"/>
      <c r="C170" s="99">
        <v>79</v>
      </c>
      <c r="D170" s="177">
        <f>IF(VLOOKUP(C170,PROPONENTES!$B$19:$E$108,2,FALSE)="","",VLOOKUP(C170,PROPONENTES!$B$19:$E$108,2,FALSE))</f>
        <v>79</v>
      </c>
      <c r="E170" s="95" t="str">
        <f>IF(D170="","",IF(D170-INT(D170)&gt;1,"",VLOOKUP(D170,PROPONENTES!$C$19:$D$108,2,FALSE)))</f>
        <v>CONSORCIO TOLIMA BD</v>
      </c>
      <c r="F170" s="242">
        <f>SUM(F171:F172)</f>
        <v>1</v>
      </c>
      <c r="G170" s="96"/>
      <c r="H170" s="68"/>
      <c r="I170" s="2"/>
      <c r="J170" s="274" t="str">
        <f t="shared" si="5"/>
        <v/>
      </c>
      <c r="K170" s="2"/>
    </row>
    <row r="171" spans="1:11" s="69" customFormat="1" ht="15.75" customHeight="1">
      <c r="A171" s="67"/>
      <c r="B171" s="67"/>
      <c r="C171" s="99"/>
      <c r="D171" s="177">
        <v>79.099999999999994</v>
      </c>
      <c r="E171" s="95" t="s">
        <v>312</v>
      </c>
      <c r="F171" s="242">
        <v>0.7</v>
      </c>
      <c r="G171" s="96" t="s">
        <v>313</v>
      </c>
      <c r="H171" s="68"/>
      <c r="I171" s="2"/>
      <c r="J171" s="274" t="str">
        <f t="shared" si="5"/>
        <v>CORRECTO</v>
      </c>
      <c r="K171" s="2"/>
    </row>
    <row r="172" spans="1:11" s="69" customFormat="1" ht="15.75" customHeight="1">
      <c r="A172" s="67"/>
      <c r="B172" s="67"/>
      <c r="C172" s="99"/>
      <c r="D172" s="177">
        <v>79.2</v>
      </c>
      <c r="E172" s="95" t="s">
        <v>314</v>
      </c>
      <c r="F172" s="242">
        <v>0.3</v>
      </c>
      <c r="G172" s="96" t="s">
        <v>315</v>
      </c>
      <c r="H172" s="68"/>
      <c r="I172" s="2"/>
      <c r="J172" s="274" t="str">
        <f t="shared" si="5"/>
        <v>CORRECTO</v>
      </c>
      <c r="K172" s="2"/>
    </row>
    <row r="173" spans="1:11" s="69" customFormat="1" ht="15.75" customHeight="1">
      <c r="A173" s="67"/>
      <c r="B173" s="67"/>
      <c r="C173" s="99">
        <v>80</v>
      </c>
      <c r="D173" s="177">
        <f>IF(VLOOKUP(C173,PROPONENTES!$B$19:$E$108,2,FALSE)="","",VLOOKUP(C173,PROPONENTES!$B$19:$E$108,2,FALSE))</f>
        <v>80</v>
      </c>
      <c r="E173" s="95" t="str">
        <f>IF(D173="","",IF(D173-INT(D173)&gt;1,"",VLOOKUP(D173,PROPONENTES!$C$19:$D$108,2,FALSE)))</f>
        <v>CB INGENIEROS S.A.S</v>
      </c>
      <c r="F173" s="242">
        <v>1</v>
      </c>
      <c r="G173" s="623" t="s">
        <v>316</v>
      </c>
      <c r="H173" s="68"/>
      <c r="I173" s="2"/>
      <c r="J173" s="274" t="str">
        <f t="shared" si="5"/>
        <v/>
      </c>
      <c r="K173" s="2"/>
    </row>
    <row r="174" spans="1:11" s="69" customFormat="1" ht="15.75" customHeight="1">
      <c r="A174" s="67"/>
      <c r="B174" s="67"/>
      <c r="C174" s="99">
        <v>81</v>
      </c>
      <c r="D174" s="177">
        <f>IF(VLOOKUP(C174,PROPONENTES!$B$19:$E$108,2,FALSE)="","",VLOOKUP(C174,PROPONENTES!$B$19:$E$108,2,FALSE))</f>
        <v>81</v>
      </c>
      <c r="E174" s="95" t="str">
        <f>IF(D174="","",IF(D174-INT(D174)&gt;1,"",VLOOKUP(D174,PROPONENTES!$C$19:$D$108,2,FALSE)))</f>
        <v>CONSORCIO INVIAS JP 2022</v>
      </c>
      <c r="F174" s="242">
        <f>SUM(F175:F176)</f>
        <v>1</v>
      </c>
      <c r="G174" s="96"/>
      <c r="H174" s="68"/>
      <c r="I174" s="2"/>
      <c r="J174" s="274" t="str">
        <f t="shared" si="5"/>
        <v/>
      </c>
      <c r="K174" s="2"/>
    </row>
    <row r="175" spans="1:11" s="69" customFormat="1" ht="15.75" customHeight="1">
      <c r="A175" s="67"/>
      <c r="B175" s="67"/>
      <c r="C175" s="99"/>
      <c r="D175" s="177">
        <v>81.099999999999994</v>
      </c>
      <c r="E175" s="95" t="s">
        <v>317</v>
      </c>
      <c r="F175" s="242">
        <v>0.95</v>
      </c>
      <c r="G175" s="96" t="s">
        <v>318</v>
      </c>
      <c r="H175" s="68"/>
      <c r="I175" s="2"/>
      <c r="J175" s="274" t="str">
        <f t="shared" si="5"/>
        <v>CORRECTO</v>
      </c>
      <c r="K175" s="2"/>
    </row>
    <row r="176" spans="1:11" s="69" customFormat="1" ht="15.75" customHeight="1">
      <c r="A176" s="67"/>
      <c r="B176" s="67"/>
      <c r="C176" s="99"/>
      <c r="D176" s="177">
        <v>81.2</v>
      </c>
      <c r="E176" s="95" t="s">
        <v>319</v>
      </c>
      <c r="F176" s="242">
        <v>0.05</v>
      </c>
      <c r="G176" s="96" t="s">
        <v>320</v>
      </c>
      <c r="H176" s="68"/>
      <c r="I176" s="2"/>
      <c r="J176" s="274" t="str">
        <f t="shared" si="5"/>
        <v>CORRECTO</v>
      </c>
      <c r="K176" s="2"/>
    </row>
    <row r="177" spans="1:11" s="69" customFormat="1" ht="15.75" customHeight="1">
      <c r="A177" s="67"/>
      <c r="B177" s="67"/>
      <c r="C177" s="99">
        <v>82</v>
      </c>
      <c r="D177" s="177">
        <f>IF(VLOOKUP(C177,PROPONENTES!$B$19:$E$108,2,FALSE)="","",VLOOKUP(C177,PROPONENTES!$B$19:$E$108,2,FALSE))</f>
        <v>82</v>
      </c>
      <c r="E177" s="95" t="str">
        <f>IF(D177="","",IF(D177-INT(D177)&gt;1,"",VLOOKUP(D177,PROPONENTES!$C$19:$D$108,2,FALSE)))</f>
        <v>SOCIEDAD TECNICA SOTA LTDA</v>
      </c>
      <c r="F177" s="242">
        <v>1</v>
      </c>
      <c r="G177" s="623" t="s">
        <v>321</v>
      </c>
      <c r="H177" s="68"/>
      <c r="I177" s="2"/>
      <c r="J177" s="274" t="str">
        <f t="shared" si="5"/>
        <v/>
      </c>
      <c r="K177" s="2"/>
    </row>
    <row r="178" spans="1:11" s="69" customFormat="1" ht="12.75">
      <c r="A178" s="67"/>
      <c r="B178" s="67"/>
      <c r="C178" s="99">
        <v>83</v>
      </c>
      <c r="D178" s="177">
        <f>IF(VLOOKUP(C178,PROPONENTES!$B$19:$E$108,2,FALSE)="","",VLOOKUP(C178,PROPONENTES!$B$19:$E$108,2,FALSE))</f>
        <v>83</v>
      </c>
      <c r="E178" s="95" t="str">
        <f>IF(D178="","",IF(D178-INT(D178)&gt;1,"",VLOOKUP(D178,PROPONENTES!$C$19:$D$108,2,FALSE)))</f>
        <v>CONSORCIO INTERVENTORES ASOCIADOS DEL TOLIMA</v>
      </c>
      <c r="F178" s="242"/>
      <c r="G178" s="96"/>
      <c r="H178" s="68"/>
      <c r="I178" s="2"/>
      <c r="J178" s="274" t="str">
        <f t="shared" si="5"/>
        <v/>
      </c>
      <c r="K178" s="2"/>
    </row>
    <row r="179" spans="1:11" s="69" customFormat="1" ht="12.75">
      <c r="A179" s="67"/>
      <c r="B179" s="67"/>
      <c r="C179" s="99"/>
      <c r="D179" s="177">
        <v>83.1</v>
      </c>
      <c r="E179" s="95" t="s">
        <v>322</v>
      </c>
      <c r="F179" s="242">
        <v>0.95</v>
      </c>
      <c r="G179" s="96" t="s">
        <v>318</v>
      </c>
      <c r="H179" s="68"/>
      <c r="I179" s="2"/>
      <c r="J179" s="274" t="str">
        <f t="shared" si="5"/>
        <v>CORRECTO</v>
      </c>
      <c r="K179" s="2"/>
    </row>
    <row r="180" spans="1:11" s="69" customFormat="1" ht="12.75">
      <c r="A180" s="67"/>
      <c r="B180" s="67"/>
      <c r="C180" s="99"/>
      <c r="D180" s="177">
        <v>83.2</v>
      </c>
      <c r="E180" s="95" t="s">
        <v>323</v>
      </c>
      <c r="F180" s="242">
        <v>0.05</v>
      </c>
      <c r="G180" s="96" t="s">
        <v>324</v>
      </c>
      <c r="H180" s="68"/>
      <c r="I180" s="2"/>
      <c r="J180" s="274" t="str">
        <f t="shared" si="5"/>
        <v>CORRECTO</v>
      </c>
      <c r="K180" s="2"/>
    </row>
    <row r="181" spans="1:11" s="69" customFormat="1" ht="15.75" customHeight="1">
      <c r="A181" s="67"/>
      <c r="B181" s="67"/>
      <c r="C181" s="99">
        <v>84</v>
      </c>
      <c r="D181" s="177">
        <f>IF(VLOOKUP(C181,PROPONENTES!$B$19:$E$108,2,FALSE)="","",VLOOKUP(C181,PROPONENTES!$B$19:$E$108,2,FALSE))</f>
        <v>84</v>
      </c>
      <c r="E181" s="95" t="str">
        <f>IF(D181="","",IF(D181-INT(D181)&gt;1,"",VLOOKUP(D181,PROPONENTES!$C$19:$D$108,2,FALSE)))</f>
        <v>GRUPO EMPRESARIAL DE INFRAESTRUCTURA COLOMBIANO S.A.S.</v>
      </c>
      <c r="F181" s="242">
        <v>1</v>
      </c>
      <c r="G181" s="623" t="s">
        <v>325</v>
      </c>
      <c r="H181" s="68"/>
      <c r="I181" s="2"/>
      <c r="J181" s="274" t="str">
        <f t="shared" si="5"/>
        <v/>
      </c>
      <c r="K181" s="2"/>
    </row>
    <row r="182" spans="1:11" s="69" customFormat="1" ht="15.75" customHeight="1">
      <c r="A182" s="67"/>
      <c r="B182" s="67"/>
      <c r="C182" s="99">
        <v>85</v>
      </c>
      <c r="D182" s="177">
        <f>IF(VLOOKUP(C182,PROPONENTES!$B$19:$E$108,2,FALSE)="","",VLOOKUP(C182,PROPONENTES!$B$19:$E$108,2,FALSE))</f>
        <v>85</v>
      </c>
      <c r="E182" s="95" t="str">
        <f>IF(D182="","",IF(D182-INT(D182)&gt;1,"",VLOOKUP(D182,PROPONENTES!$C$19:$D$108,2,FALSE)))</f>
        <v>DBB INGENIERÍA S.A.S.</v>
      </c>
      <c r="F182" s="242">
        <v>1</v>
      </c>
      <c r="G182" s="623" t="s">
        <v>326</v>
      </c>
      <c r="H182" s="68"/>
      <c r="I182" s="2"/>
      <c r="J182" s="274" t="str">
        <f t="shared" ref="J182:J191" si="6">IF((D182-INT(D182)&gt;0),IF(COUNTIF($E$19:$E$191,E182)&gt;1,"REPETIDO "&amp;COUNTIF($E$19:$E$191,E182)&amp;" VECES","CORRECTO"),"")</f>
        <v/>
      </c>
      <c r="K182" s="2"/>
    </row>
    <row r="183" spans="1:11" s="69" customFormat="1" ht="15.75" customHeight="1">
      <c r="A183" s="67"/>
      <c r="B183" s="67"/>
      <c r="C183" s="99">
        <v>86</v>
      </c>
      <c r="D183" s="177">
        <f>IF(VLOOKUP(C183,PROPONENTES!$B$19:$E$108,2,FALSE)="","",VLOOKUP(C183,PROPONENTES!$B$19:$E$108,2,FALSE))</f>
        <v>86</v>
      </c>
      <c r="E183" s="95" t="str">
        <f>IF(D183="","",IF(D183-INT(D183)&gt;1,"",VLOOKUP(D183,PROPONENTES!$C$19:$D$108,2,FALSE)))</f>
        <v>CARLOS ANDRES CHAVARRO CASTRO</v>
      </c>
      <c r="F183" s="242">
        <v>1</v>
      </c>
      <c r="G183" s="623" t="s">
        <v>327</v>
      </c>
      <c r="H183" s="68"/>
      <c r="I183" s="2"/>
      <c r="J183" s="274" t="str">
        <f t="shared" si="6"/>
        <v/>
      </c>
      <c r="K183" s="2"/>
    </row>
    <row r="184" spans="1:11" s="69" customFormat="1" ht="15.75" customHeight="1">
      <c r="A184" s="67"/>
      <c r="B184" s="67"/>
      <c r="C184" s="99">
        <v>87</v>
      </c>
      <c r="D184" s="177">
        <f>IF(VLOOKUP(C184,PROPONENTES!$B$19:$E$108,2,FALSE)="","",VLOOKUP(C184,PROPONENTES!$B$19:$E$108,2,FALSE))</f>
        <v>87</v>
      </c>
      <c r="E184" s="95" t="str">
        <f>IF(D184="","",IF(D184-INT(D184)&gt;1,"",VLOOKUP(D184,PROPONENTES!$C$19:$D$108,2,FALSE)))</f>
        <v>CONSORCIO INTERVÍAS TOLIMA 22</v>
      </c>
      <c r="F184" s="242">
        <f>SUM(F185:F186)</f>
        <v>1</v>
      </c>
      <c r="G184" s="96"/>
      <c r="H184" s="68"/>
      <c r="I184" s="2"/>
      <c r="J184" s="274" t="str">
        <f t="shared" si="6"/>
        <v/>
      </c>
      <c r="K184" s="2"/>
    </row>
    <row r="185" spans="1:11" s="69" customFormat="1" ht="15.75" customHeight="1">
      <c r="A185" s="67"/>
      <c r="B185" s="67"/>
      <c r="C185" s="99"/>
      <c r="D185" s="177">
        <v>87.1</v>
      </c>
      <c r="E185" s="95" t="s">
        <v>328</v>
      </c>
      <c r="F185" s="242">
        <v>0.5</v>
      </c>
      <c r="G185" s="96" t="s">
        <v>329</v>
      </c>
      <c r="H185" s="68"/>
      <c r="I185" s="2"/>
      <c r="J185" s="274" t="str">
        <f t="shared" si="6"/>
        <v>CORRECTO</v>
      </c>
      <c r="K185" s="2"/>
    </row>
    <row r="186" spans="1:11" s="69" customFormat="1" ht="15.75" customHeight="1">
      <c r="A186" s="67"/>
      <c r="B186" s="67"/>
      <c r="C186" s="99"/>
      <c r="D186" s="177">
        <v>87.2</v>
      </c>
      <c r="E186" s="95" t="s">
        <v>330</v>
      </c>
      <c r="F186" s="242">
        <v>0.5</v>
      </c>
      <c r="G186" s="96" t="s">
        <v>331</v>
      </c>
      <c r="H186" s="68"/>
      <c r="I186" s="2"/>
      <c r="J186" s="274" t="str">
        <f t="shared" si="6"/>
        <v>CORRECTO</v>
      </c>
      <c r="K186" s="2"/>
    </row>
    <row r="187" spans="1:11" s="69" customFormat="1" ht="15.75" customHeight="1">
      <c r="A187" s="67"/>
      <c r="B187" s="67"/>
      <c r="C187" s="99">
        <v>88</v>
      </c>
      <c r="D187" s="177">
        <f>IF(VLOOKUP(C187,PROPONENTES!$B$19:$E$108,2,FALSE)="","",VLOOKUP(C187,PROPONENTES!$B$19:$E$108,2,FALSE))</f>
        <v>88</v>
      </c>
      <c r="E187" s="95" t="str">
        <f>IF(D187="","",IF(D187-INT(D187)&gt;1,"",VLOOKUP(D187,PROPONENTES!$C$19:$D$108,2,FALSE)))</f>
        <v>INGENIERÍA Y CONSULTORÍA INGECON SAS</v>
      </c>
      <c r="F187" s="242">
        <v>1</v>
      </c>
      <c r="G187" s="623" t="s">
        <v>332</v>
      </c>
      <c r="H187" s="68"/>
      <c r="I187" s="2"/>
      <c r="J187" s="274" t="str">
        <f t="shared" si="6"/>
        <v/>
      </c>
      <c r="K187" s="2"/>
    </row>
    <row r="188" spans="1:11" s="69" customFormat="1" ht="15.75" customHeight="1">
      <c r="A188" s="67"/>
      <c r="B188" s="67"/>
      <c r="C188" s="99">
        <v>89</v>
      </c>
      <c r="D188" s="177">
        <f>IF(VLOOKUP(C188,PROPONENTES!$B$19:$E$108,2,FALSE)="","",VLOOKUP(C188,PROPONENTES!$B$19:$E$108,2,FALSE))</f>
        <v>89</v>
      </c>
      <c r="E188" s="95" t="str">
        <f>IF(D188="","",IF(D188-INT(D188)&gt;1,"",VLOOKUP(D188,PROPONENTES!$C$19:$D$108,2,FALSE)))</f>
        <v>CONSORCIO INTER C&amp;R</v>
      </c>
      <c r="F188" s="242">
        <f>SUM(F189:F190)</f>
        <v>1</v>
      </c>
      <c r="G188" s="96"/>
      <c r="H188" s="68"/>
      <c r="I188" s="2"/>
      <c r="J188" s="274" t="str">
        <f t="shared" si="6"/>
        <v/>
      </c>
      <c r="K188" s="2"/>
    </row>
    <row r="189" spans="1:11" s="69" customFormat="1" ht="15.75" customHeight="1">
      <c r="A189" s="67"/>
      <c r="B189" s="67"/>
      <c r="C189" s="99"/>
      <c r="D189" s="177">
        <v>89.1</v>
      </c>
      <c r="E189" s="95" t="s">
        <v>333</v>
      </c>
      <c r="F189" s="242">
        <v>0.95</v>
      </c>
      <c r="G189" s="96" t="s">
        <v>334</v>
      </c>
      <c r="H189" s="68"/>
      <c r="I189" s="2"/>
      <c r="J189" s="274" t="str">
        <f t="shared" si="6"/>
        <v>CORRECTO</v>
      </c>
      <c r="K189" s="2"/>
    </row>
    <row r="190" spans="1:11" s="69" customFormat="1" ht="15.75" customHeight="1">
      <c r="A190" s="67"/>
      <c r="B190" s="67"/>
      <c r="C190" s="99"/>
      <c r="D190" s="177">
        <v>89.2</v>
      </c>
      <c r="E190" s="95" t="s">
        <v>335</v>
      </c>
      <c r="F190" s="242">
        <v>0.05</v>
      </c>
      <c r="G190" s="96" t="s">
        <v>336</v>
      </c>
      <c r="H190" s="68"/>
      <c r="I190" s="2"/>
      <c r="J190" s="274" t="str">
        <f t="shared" si="6"/>
        <v>CORRECTO</v>
      </c>
      <c r="K190" s="2"/>
    </row>
    <row r="191" spans="1:11" s="69" customFormat="1" ht="15.75" customHeight="1">
      <c r="A191" s="67"/>
      <c r="B191" s="67"/>
      <c r="C191" s="99">
        <v>90</v>
      </c>
      <c r="D191" s="177">
        <f>IF(VLOOKUP(C191,PROPONENTES!$B$19:$E$108,2,FALSE)="","",VLOOKUP(C191,PROPONENTES!$B$19:$E$108,2,FALSE))</f>
        <v>90</v>
      </c>
      <c r="E191" s="95" t="str">
        <f>IF(D191="","",IF(D191-INT(D191)&gt;1,"",VLOOKUP(D191,PROPONENTES!$C$19:$D$108,2,FALSE)))</f>
        <v>GM SOLUTIONS S.A.S</v>
      </c>
      <c r="F191" s="242">
        <v>1</v>
      </c>
      <c r="G191" s="623" t="s">
        <v>337</v>
      </c>
      <c r="H191" s="68"/>
      <c r="I191" s="2"/>
      <c r="J191" s="274" t="str">
        <f t="shared" si="6"/>
        <v/>
      </c>
      <c r="K191" s="2"/>
    </row>
    <row r="192" spans="1:11" s="69" customFormat="1" ht="3" customHeight="1" thickBot="1">
      <c r="A192" s="67"/>
      <c r="B192" s="67"/>
      <c r="C192" s="448"/>
      <c r="D192" s="450" t="s">
        <v>134</v>
      </c>
      <c r="E192" s="97"/>
      <c r="F192" s="97"/>
      <c r="G192" s="243"/>
      <c r="H192" s="68"/>
      <c r="I192" s="2"/>
      <c r="J192" s="274"/>
      <c r="K192" s="2"/>
    </row>
    <row r="193" spans="1:11" s="69" customFormat="1" ht="15.75" customHeight="1" thickTop="1">
      <c r="A193" s="67"/>
      <c r="B193" s="67"/>
      <c r="C193" s="52"/>
      <c r="D193" s="68"/>
      <c r="E193" s="68"/>
      <c r="F193" s="75"/>
      <c r="G193" s="68"/>
      <c r="H193" s="68"/>
      <c r="I193" s="2"/>
      <c r="J193" s="274"/>
      <c r="K193" s="2"/>
    </row>
    <row r="194" spans="1:11" ht="3.95" customHeight="1">
      <c r="I194" s="2"/>
      <c r="J194" s="2"/>
      <c r="K194" s="2"/>
    </row>
    <row r="195" spans="1:11"/>
    <row r="196" spans="1:11"/>
    <row r="197" spans="1:11"/>
    <row r="198" spans="1:11"/>
    <row r="199" spans="1:11"/>
    <row r="200" spans="1:11"/>
    <row r="201" spans="1:11"/>
    <row r="202" spans="1:11"/>
    <row r="203" spans="1:11"/>
    <row r="204" spans="1:11"/>
    <row r="205" spans="1:11"/>
    <row r="206" spans="1:11"/>
    <row r="207" spans="1:11"/>
    <row r="208" spans="1:11"/>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D19:I191">
    <cfRule type="expression" dxfId="7379" priority="44">
      <formula>ROW()=CELL("ROW")</formula>
    </cfRule>
  </conditionalFormatting>
  <conditionalFormatting sqref="D19:G191">
    <cfRule type="expression" dxfId="7378" priority="51">
      <formula>IF($D19-INT($D19)=0,TRUE,FALSE)</formula>
    </cfRule>
    <cfRule type="expression" dxfId="7377" priority="71" stopIfTrue="1">
      <formula>IF($D19-INT($D19)&gt;0,TRUE,FALSE)</formula>
    </cfRule>
  </conditionalFormatting>
  <conditionalFormatting sqref="J19:J191">
    <cfRule type="expression" dxfId="7376" priority="43">
      <formula>AND(ROW()=CELL("ROW"),COLUMN()=CELL("COL"))</formula>
    </cfRule>
    <cfRule type="cellIs" dxfId="7375" priority="45" operator="notEqual">
      <formula>"CORRECTO"</formula>
    </cfRule>
    <cfRule type="cellIs" dxfId="7374" priority="46" operator="equal">
      <formula>"CORRECTO"</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2578125" defaultRowHeight="15"/>
  <cols>
    <col min="1" max="1" width="4.42578125" style="179" customWidth="1"/>
    <col min="2" max="2" width="18.5703125" style="179" bestFit="1" customWidth="1"/>
    <col min="3" max="3" width="18.5703125" style="179" customWidth="1"/>
    <col min="4" max="4" width="19.140625" style="228" customWidth="1"/>
    <col min="5" max="5" width="20.42578125" style="180" bestFit="1" customWidth="1"/>
    <col min="6" max="6" width="20.42578125" style="179" bestFit="1" customWidth="1"/>
    <col min="7" max="7" width="3.5703125" style="179" customWidth="1"/>
    <col min="8" max="8" width="22.7109375" style="179" bestFit="1" customWidth="1"/>
    <col min="9" max="9" width="18.5703125" style="179" customWidth="1"/>
    <col min="10" max="10" width="3.5703125" style="179" customWidth="1"/>
    <col min="11" max="11" width="15.140625" style="179" bestFit="1" customWidth="1"/>
    <col min="12" max="12" width="12.28515625" style="180" bestFit="1" customWidth="1"/>
    <col min="13" max="14" width="16.42578125" style="179" customWidth="1"/>
    <col min="15" max="16384" width="11.42578125" style="179"/>
  </cols>
  <sheetData>
    <row r="1" spans="1:14" ht="15.75" thickBot="1">
      <c r="D1" s="180"/>
    </row>
    <row r="2" spans="1:14" ht="15.75" thickBot="1">
      <c r="B2" s="750" t="s">
        <v>338</v>
      </c>
      <c r="C2" s="751"/>
      <c r="D2" s="751"/>
      <c r="E2" s="751"/>
      <c r="F2" s="751"/>
      <c r="G2" s="751"/>
      <c r="H2" s="751"/>
      <c r="I2" s="751"/>
      <c r="J2" s="751"/>
      <c r="K2" s="751"/>
      <c r="L2" s="751"/>
      <c r="M2" s="751"/>
      <c r="N2" s="752"/>
    </row>
    <row r="3" spans="1:14" ht="15.75" thickBot="1">
      <c r="D3" s="180"/>
      <c r="E3" s="181"/>
    </row>
    <row r="4" spans="1:14" s="217" customFormat="1" ht="60.75" thickBot="1">
      <c r="A4" s="214"/>
      <c r="B4" s="195" t="s">
        <v>339</v>
      </c>
      <c r="C4" s="195" t="s">
        <v>340</v>
      </c>
      <c r="D4" s="195" t="s">
        <v>341</v>
      </c>
      <c r="E4" s="215" t="s">
        <v>342</v>
      </c>
      <c r="F4" s="195" t="s">
        <v>343</v>
      </c>
      <c r="G4" s="216"/>
      <c r="H4" s="753" t="s">
        <v>344</v>
      </c>
      <c r="I4" s="754"/>
      <c r="K4" s="755" t="s">
        <v>345</v>
      </c>
      <c r="L4" s="755"/>
      <c r="M4" s="755"/>
      <c r="N4" s="755"/>
    </row>
    <row r="5" spans="1:14">
      <c r="B5" s="182">
        <v>1</v>
      </c>
      <c r="C5" s="182">
        <v>1</v>
      </c>
      <c r="D5" s="227">
        <v>616000</v>
      </c>
      <c r="E5" s="186">
        <v>41640</v>
      </c>
      <c r="F5" s="229">
        <f ca="1">IF(OR(D5="",E5=""),"",ROUND(D5/LOOKUP(E5,SMMLV!$A$2:$A$36,SMMLV!$D$2:$D$104),3))</f>
        <v>1</v>
      </c>
      <c r="H5" s="220" t="s">
        <v>346</v>
      </c>
      <c r="I5" s="230">
        <v>1</v>
      </c>
      <c r="K5" s="226" t="s">
        <v>346</v>
      </c>
      <c r="L5" s="226" t="s">
        <v>347</v>
      </c>
      <c r="M5" s="756" t="s">
        <v>348</v>
      </c>
      <c r="N5" s="756"/>
    </row>
    <row r="6" spans="1:14">
      <c r="B6" s="182">
        <v>1</v>
      </c>
      <c r="C6" s="182">
        <v>2</v>
      </c>
      <c r="D6" s="228">
        <v>589500</v>
      </c>
      <c r="E6" s="183">
        <v>41275</v>
      </c>
      <c r="F6" s="229">
        <f ca="1">IF(OR(D6="",E6=""),"",ROUND(D6/LOOKUP(E6,SMMLV!$A$2:$A$36,SMMLV!$D$2:$D$104),3))</f>
        <v>1</v>
      </c>
      <c r="G6" s="187"/>
      <c r="H6" s="218" t="s">
        <v>347</v>
      </c>
      <c r="I6" s="231">
        <v>1</v>
      </c>
      <c r="J6" s="187"/>
      <c r="K6" s="757">
        <v>1</v>
      </c>
      <c r="L6" s="189">
        <v>1</v>
      </c>
      <c r="M6" s="759">
        <f t="shared" ref="M6:M15" ca="1" si="0">IF(SUMIFS($F$5:$F$1200,$B$5:$B$1200,$K$6,$C$5:$C$1200,$L6)=0,"NO APLICA",ROUND(SUMIFS($F$5:$F$1200,$B$5:$B$1200,$K$6,$C$5:$C$1200,$L6),3))</f>
        <v>1</v>
      </c>
      <c r="N6" s="759"/>
    </row>
    <row r="7" spans="1:14" ht="15.75" thickBot="1">
      <c r="B7" s="182">
        <v>200</v>
      </c>
      <c r="C7" s="182">
        <v>10</v>
      </c>
      <c r="D7" s="228">
        <v>566700</v>
      </c>
      <c r="E7" s="183">
        <v>40909</v>
      </c>
      <c r="F7" s="229">
        <f ca="1">IF(OR(D7="",E7=""),"",ROUND(D7/LOOKUP(E7,SMMLV!$A$2:$A$36,SMMLV!$D$2:$D$104),3))</f>
        <v>1</v>
      </c>
      <c r="H7" s="213" t="s">
        <v>349</v>
      </c>
      <c r="I7" s="219">
        <f ca="1">IF(OR(I5="",I6=""),"-",IF(SUMIFS($F$5:$F$1200,$B$5:$B$1200,$I$5,$C$5:$C$1200,$I$6)=0,"CONTRATO SIN SUSPENSIÓN",ROUND(SUMIFS($F$5:$F$1200,$B$5:$B$1200,$I$5,$C$5:$C$1200,$I$6),3)))</f>
        <v>1</v>
      </c>
      <c r="K7" s="758"/>
      <c r="L7" s="189">
        <v>2</v>
      </c>
      <c r="M7" s="759">
        <f t="shared" ca="1" si="0"/>
        <v>1</v>
      </c>
      <c r="N7" s="759"/>
    </row>
    <row r="8" spans="1:14">
      <c r="B8" s="182">
        <v>2</v>
      </c>
      <c r="C8" s="182">
        <v>4</v>
      </c>
      <c r="D8" s="228">
        <v>535600</v>
      </c>
      <c r="E8" s="183">
        <v>40544</v>
      </c>
      <c r="F8" s="229">
        <f ca="1">IF(OR(D8="",E8=""),"",ROUND(D8/LOOKUP(E8,SMMLV!$A$2:$A$36,SMMLV!$D$2:$D$104),3))</f>
        <v>1</v>
      </c>
      <c r="K8" s="758"/>
      <c r="L8" s="189">
        <v>3</v>
      </c>
      <c r="M8" s="759" t="str">
        <f t="shared" si="0"/>
        <v>NO APLICA</v>
      </c>
      <c r="N8" s="759"/>
    </row>
    <row r="9" spans="1:14">
      <c r="B9" s="182"/>
      <c r="C9" s="182"/>
      <c r="E9" s="183"/>
      <c r="F9" s="229" t="str">
        <f>IF(OR(D9="",E9=""),"",ROUND(D9/LOOKUP(E9,SMMLV!$A$2:$A$36,SMMLV!$D$2:$D$104),3))</f>
        <v/>
      </c>
      <c r="K9" s="758"/>
      <c r="L9" s="189">
        <v>4</v>
      </c>
      <c r="M9" s="759" t="str">
        <f t="shared" si="0"/>
        <v>NO APLICA</v>
      </c>
      <c r="N9" s="759"/>
    </row>
    <row r="10" spans="1:14">
      <c r="B10" s="182"/>
      <c r="C10" s="182"/>
      <c r="E10" s="183"/>
      <c r="F10" s="229" t="str">
        <f>IF(OR(D10="",E10=""),"",ROUND(D10/LOOKUP(E10,SMMLV!$A$2:$A$36,SMMLV!$D$2:$D$104),3))</f>
        <v/>
      </c>
      <c r="K10" s="758"/>
      <c r="L10" s="189">
        <v>5</v>
      </c>
      <c r="M10" s="759" t="str">
        <f t="shared" si="0"/>
        <v>NO APLICA</v>
      </c>
      <c r="N10" s="759"/>
    </row>
    <row r="11" spans="1:14">
      <c r="B11" s="182"/>
      <c r="C11" s="182"/>
      <c r="E11" s="183"/>
      <c r="F11" s="229" t="str">
        <f>IF(OR(D11="",E11=""),"",ROUND(D11/LOOKUP(E11,SMMLV!$A$2:$A$36,SMMLV!$D$2:$D$104),3))</f>
        <v/>
      </c>
      <c r="K11" s="758"/>
      <c r="L11" s="189">
        <v>6</v>
      </c>
      <c r="M11" s="759" t="str">
        <f t="shared" si="0"/>
        <v>NO APLICA</v>
      </c>
      <c r="N11" s="759"/>
    </row>
    <row r="12" spans="1:14">
      <c r="A12" s="185"/>
      <c r="B12" s="182"/>
      <c r="C12" s="182"/>
      <c r="E12" s="183"/>
      <c r="F12" s="229" t="str">
        <f>IF(OR(D12="",E12=""),"",ROUND(D12/LOOKUP(E12,SMMLV!$A$2:$A$36,SMMLV!$D$2:$D$104),3))</f>
        <v/>
      </c>
      <c r="K12" s="758"/>
      <c r="L12" s="189">
        <v>7</v>
      </c>
      <c r="M12" s="759" t="str">
        <f t="shared" si="0"/>
        <v>NO APLICA</v>
      </c>
      <c r="N12" s="759"/>
    </row>
    <row r="13" spans="1:14">
      <c r="A13" s="184"/>
      <c r="B13" s="182"/>
      <c r="C13" s="182"/>
      <c r="E13" s="183"/>
      <c r="F13" s="229" t="str">
        <f>IF(OR(D13="",E13=""),"",ROUND(D13/LOOKUP(E13,SMMLV!$A$2:$A$36,SMMLV!$D$2:$D$104),3))</f>
        <v/>
      </c>
      <c r="K13" s="758"/>
      <c r="L13" s="189">
        <v>8</v>
      </c>
      <c r="M13" s="759" t="str">
        <f t="shared" si="0"/>
        <v>NO APLICA</v>
      </c>
      <c r="N13" s="759"/>
    </row>
    <row r="14" spans="1:14">
      <c r="B14" s="182"/>
      <c r="C14" s="182"/>
      <c r="E14" s="183"/>
      <c r="F14" s="229" t="str">
        <f>IF(OR(D14="",E14=""),"",ROUND(D14/LOOKUP(E14,SMMLV!$A$2:$A$36,SMMLV!$D$2:$D$104),3))</f>
        <v/>
      </c>
      <c r="K14" s="758"/>
      <c r="L14" s="189">
        <v>9</v>
      </c>
      <c r="M14" s="759" t="str">
        <f t="shared" si="0"/>
        <v>NO APLICA</v>
      </c>
      <c r="N14" s="759"/>
    </row>
    <row r="15" spans="1:14">
      <c r="B15" s="182"/>
      <c r="C15" s="182"/>
      <c r="E15" s="183"/>
      <c r="F15" s="229" t="str">
        <f>IF(OR(D15="",E15=""),"",ROUND(D15/LOOKUP(E15,SMMLV!$A$2:$A$36,SMMLV!$D$2:$D$104),3))</f>
        <v/>
      </c>
      <c r="K15" s="758"/>
      <c r="L15" s="189">
        <v>10</v>
      </c>
      <c r="M15" s="759" t="str">
        <f t="shared" si="0"/>
        <v>NO APLICA</v>
      </c>
      <c r="N15" s="759"/>
    </row>
    <row r="16" spans="1:14">
      <c r="B16" s="182"/>
      <c r="C16" s="182"/>
      <c r="E16" s="183"/>
      <c r="F16" s="229" t="str">
        <f>IF(OR(D16="",E16=""),"",ROUND(D16/LOOKUP(E16,SMMLV!$A$2:$A$36,SMMLV!$D$2:$D$104),3))</f>
        <v/>
      </c>
      <c r="K16" s="758">
        <v>2</v>
      </c>
      <c r="L16" s="189">
        <v>1</v>
      </c>
      <c r="M16" s="759" t="str">
        <f t="shared" ref="M16:M25" si="1">IF(SUMIFS($F$5:$F$1200,$B$5:$B$1200,$K$16,$C$5:$C$1200,$L16)=0,"NO APLICA",ROUND(SUMIFS($F$5:$F$1200,$B$5:$B$1200,$K$16,$C$5:$C$1200,$L16),3))</f>
        <v>NO APLICA</v>
      </c>
      <c r="N16" s="759"/>
    </row>
    <row r="17" spans="2:14">
      <c r="B17" s="182"/>
      <c r="C17" s="182"/>
      <c r="E17" s="183"/>
      <c r="F17" s="229" t="str">
        <f>IF(OR(D17="",E17=""),"",ROUND(D17/LOOKUP(E17,SMMLV!$A$2:$A$36,SMMLV!$D$2:$D$104),3))</f>
        <v/>
      </c>
      <c r="K17" s="758"/>
      <c r="L17" s="189">
        <v>2</v>
      </c>
      <c r="M17" s="759" t="str">
        <f t="shared" si="1"/>
        <v>NO APLICA</v>
      </c>
      <c r="N17" s="759"/>
    </row>
    <row r="18" spans="2:14">
      <c r="B18" s="182"/>
      <c r="C18" s="182"/>
      <c r="E18" s="183"/>
      <c r="F18" s="229" t="str">
        <f>IF(OR(D18="",E18=""),"",ROUND(D18/LOOKUP(E18,SMMLV!$A$2:$A$36,SMMLV!$D$2:$D$104),3))</f>
        <v/>
      </c>
      <c r="K18" s="758"/>
      <c r="L18" s="189">
        <v>3</v>
      </c>
      <c r="M18" s="759" t="str">
        <f t="shared" si="1"/>
        <v>NO APLICA</v>
      </c>
      <c r="N18" s="759"/>
    </row>
    <row r="19" spans="2:14">
      <c r="B19" s="182"/>
      <c r="C19" s="182"/>
      <c r="E19" s="183"/>
      <c r="F19" s="229" t="str">
        <f>IF(OR(D19="",E19=""),"",ROUND(D19/LOOKUP(E19,SMMLV!$A$2:$A$36,SMMLV!$D$2:$D$104),3))</f>
        <v/>
      </c>
      <c r="K19" s="758"/>
      <c r="L19" s="189">
        <v>4</v>
      </c>
      <c r="M19" s="759">
        <f t="shared" ca="1" si="1"/>
        <v>1</v>
      </c>
      <c r="N19" s="759"/>
    </row>
    <row r="20" spans="2:14">
      <c r="B20" s="182"/>
      <c r="C20" s="182"/>
      <c r="E20" s="183"/>
      <c r="F20" s="229" t="str">
        <f>IF(OR(D20="",E20=""),"",ROUND(D20/LOOKUP(E20,SMMLV!$A$2:$A$36,SMMLV!$D$2:$D$104),3))</f>
        <v/>
      </c>
      <c r="H20" s="760"/>
      <c r="I20" s="760"/>
      <c r="K20" s="758"/>
      <c r="L20" s="189">
        <v>5</v>
      </c>
      <c r="M20" s="759" t="str">
        <f t="shared" si="1"/>
        <v>NO APLICA</v>
      </c>
      <c r="N20" s="759"/>
    </row>
    <row r="21" spans="2:14">
      <c r="B21" s="182"/>
      <c r="C21" s="182"/>
      <c r="E21" s="183"/>
      <c r="F21" s="229" t="str">
        <f>IF(OR(D21="",E21=""),"",ROUND(D21/LOOKUP(E21,SMMLV!$A$2:$A$36,SMMLV!$D$2:$D$104),3))</f>
        <v/>
      </c>
      <c r="H21" s="760"/>
      <c r="I21" s="760"/>
      <c r="K21" s="758"/>
      <c r="L21" s="189">
        <v>6</v>
      </c>
      <c r="M21" s="759" t="str">
        <f t="shared" si="1"/>
        <v>NO APLICA</v>
      </c>
      <c r="N21" s="759"/>
    </row>
    <row r="22" spans="2:14">
      <c r="B22" s="182"/>
      <c r="C22" s="182"/>
      <c r="E22" s="183"/>
      <c r="F22" s="229" t="str">
        <f>IF(OR(D22="",E22=""),"",ROUND(D22/LOOKUP(E22,SMMLV!$A$2:$A$36,SMMLV!$D$2:$D$104),3))</f>
        <v/>
      </c>
      <c r="K22" s="758"/>
      <c r="L22" s="189">
        <v>7</v>
      </c>
      <c r="M22" s="759" t="str">
        <f t="shared" si="1"/>
        <v>NO APLICA</v>
      </c>
      <c r="N22" s="759"/>
    </row>
    <row r="23" spans="2:14">
      <c r="B23" s="182"/>
      <c r="C23" s="182"/>
      <c r="E23" s="183"/>
      <c r="F23" s="229" t="str">
        <f>IF(OR(D23="",E23=""),"",ROUND(D23/LOOKUP(E23,SMMLV!$A$2:$A$36,SMMLV!$D$2:$D$104),3))</f>
        <v/>
      </c>
      <c r="K23" s="758"/>
      <c r="L23" s="189">
        <v>8</v>
      </c>
      <c r="M23" s="759" t="str">
        <f t="shared" si="1"/>
        <v>NO APLICA</v>
      </c>
      <c r="N23" s="759"/>
    </row>
    <row r="24" spans="2:14">
      <c r="B24" s="182"/>
      <c r="C24" s="182"/>
      <c r="E24" s="183"/>
      <c r="F24" s="229" t="str">
        <f>IF(OR(D24="",E24=""),"",ROUND(D24/LOOKUP(E24,SMMLV!$A$2:$A$36,SMMLV!$D$2:$D$104),3))</f>
        <v/>
      </c>
      <c r="K24" s="758"/>
      <c r="L24" s="189">
        <v>9</v>
      </c>
      <c r="M24" s="759" t="str">
        <f t="shared" si="1"/>
        <v>NO APLICA</v>
      </c>
      <c r="N24" s="759"/>
    </row>
    <row r="25" spans="2:14">
      <c r="B25" s="182"/>
      <c r="C25" s="182"/>
      <c r="E25" s="183"/>
      <c r="F25" s="229" t="str">
        <f>IF(OR(D25="",E25=""),"",ROUND(D25/LOOKUP(E25,SMMLV!$A$2:$A$36,SMMLV!$D$2:$D$104),3))</f>
        <v/>
      </c>
      <c r="K25" s="758"/>
      <c r="L25" s="189">
        <v>10</v>
      </c>
      <c r="M25" s="759" t="str">
        <f t="shared" si="1"/>
        <v>NO APLICA</v>
      </c>
      <c r="N25" s="759"/>
    </row>
    <row r="26" spans="2:14">
      <c r="B26" s="182"/>
      <c r="C26" s="182"/>
      <c r="E26" s="183"/>
      <c r="F26" s="229" t="str">
        <f>IF(OR(D26="",E26=""),"",ROUND(D26/LOOKUP(E26,SMMLV!$A$2:$A$36,SMMLV!$D$2:$D$104),3))</f>
        <v/>
      </c>
      <c r="K26" s="758">
        <v>3</v>
      </c>
      <c r="L26" s="189">
        <v>1</v>
      </c>
      <c r="M26" s="759" t="str">
        <f t="shared" ref="M26:M35" si="2">IF(SUMIFS($F$5:$F$1200,$B$5:$B$1200,$K$26,$C$5:$C$1200,$L26)=0,"NO APLICA",ROUND(SUMIFS($F$5:$F$1200,$B$5:$B$1200,$K$26,$C$5:$C$1200,$L26),3))</f>
        <v>NO APLICA</v>
      </c>
      <c r="N26" s="759"/>
    </row>
    <row r="27" spans="2:14">
      <c r="B27" s="182"/>
      <c r="C27" s="182"/>
      <c r="E27" s="183"/>
      <c r="F27" s="229" t="str">
        <f>IF(OR(D27="",E27=""),"",ROUND(D27/LOOKUP(E27,SMMLV!$A$2:$A$36,SMMLV!$D$2:$D$104),3))</f>
        <v/>
      </c>
      <c r="K27" s="758"/>
      <c r="L27" s="189">
        <v>2</v>
      </c>
      <c r="M27" s="759" t="str">
        <f t="shared" si="2"/>
        <v>NO APLICA</v>
      </c>
      <c r="N27" s="759"/>
    </row>
    <row r="28" spans="2:14">
      <c r="B28" s="182"/>
      <c r="C28" s="182"/>
      <c r="E28" s="183"/>
      <c r="F28" s="229" t="str">
        <f>IF(OR(D28="",E28=""),"",ROUND(D28/LOOKUP(E28,SMMLV!$A$2:$A$36,SMMLV!$D$2:$D$104),3))</f>
        <v/>
      </c>
      <c r="K28" s="758"/>
      <c r="L28" s="189">
        <v>3</v>
      </c>
      <c r="M28" s="759" t="str">
        <f t="shared" si="2"/>
        <v>NO APLICA</v>
      </c>
      <c r="N28" s="759"/>
    </row>
    <row r="29" spans="2:14">
      <c r="B29" s="182"/>
      <c r="C29" s="182"/>
      <c r="E29" s="183"/>
      <c r="F29" s="229" t="str">
        <f>IF(OR(D29="",E29=""),"",ROUND(D29/LOOKUP(E29,SMMLV!$A$2:$A$36,SMMLV!$D$2:$D$104),3))</f>
        <v/>
      </c>
      <c r="K29" s="758"/>
      <c r="L29" s="189">
        <v>4</v>
      </c>
      <c r="M29" s="759" t="str">
        <f t="shared" si="2"/>
        <v>NO APLICA</v>
      </c>
      <c r="N29" s="759"/>
    </row>
    <row r="30" spans="2:14">
      <c r="B30" s="182"/>
      <c r="C30" s="182"/>
      <c r="E30" s="183"/>
      <c r="F30" s="229" t="str">
        <f>IF(OR(D30="",E30=""),"",ROUND(D30/LOOKUP(E30,SMMLV!$A$2:$A$36,SMMLV!$D$2:$D$104),3))</f>
        <v/>
      </c>
      <c r="K30" s="758"/>
      <c r="L30" s="189">
        <v>5</v>
      </c>
      <c r="M30" s="759" t="str">
        <f t="shared" si="2"/>
        <v>NO APLICA</v>
      </c>
      <c r="N30" s="759"/>
    </row>
    <row r="31" spans="2:14">
      <c r="B31" s="182"/>
      <c r="C31" s="182"/>
      <c r="E31" s="183"/>
      <c r="F31" s="229" t="str">
        <f>IF(OR(D31="",E31=""),"",ROUND(D31/LOOKUP(E31,SMMLV!$A$2:$A$36,SMMLV!$D$2:$D$104),3))</f>
        <v/>
      </c>
      <c r="K31" s="758"/>
      <c r="L31" s="189">
        <v>6</v>
      </c>
      <c r="M31" s="759" t="str">
        <f t="shared" si="2"/>
        <v>NO APLICA</v>
      </c>
      <c r="N31" s="759"/>
    </row>
    <row r="32" spans="2:14">
      <c r="B32" s="182"/>
      <c r="C32" s="182"/>
      <c r="E32" s="183"/>
      <c r="F32" s="229" t="str">
        <f>IF(OR(D32="",E32=""),"",ROUND(D32/LOOKUP(E32,SMMLV!$A$2:$A$36,SMMLV!$D$2:$D$104),3))</f>
        <v/>
      </c>
      <c r="K32" s="758"/>
      <c r="L32" s="189">
        <v>7</v>
      </c>
      <c r="M32" s="759" t="str">
        <f t="shared" si="2"/>
        <v>NO APLICA</v>
      </c>
      <c r="N32" s="759"/>
    </row>
    <row r="33" spans="2:14">
      <c r="B33" s="182"/>
      <c r="C33" s="182"/>
      <c r="E33" s="183"/>
      <c r="F33" s="229" t="str">
        <f>IF(OR(D33="",E33=""),"",ROUND(D33/LOOKUP(E33,SMMLV!$A$2:$A$36,SMMLV!$D$2:$D$104),3))</f>
        <v/>
      </c>
      <c r="K33" s="758"/>
      <c r="L33" s="189">
        <v>8</v>
      </c>
      <c r="M33" s="759" t="str">
        <f t="shared" si="2"/>
        <v>NO APLICA</v>
      </c>
      <c r="N33" s="759"/>
    </row>
    <row r="34" spans="2:14">
      <c r="B34" s="182"/>
      <c r="C34" s="182"/>
      <c r="E34" s="183"/>
      <c r="F34" s="229" t="str">
        <f>IF(OR(D34="",E34=""),"",ROUND(D34/LOOKUP(E34,SMMLV!$A$2:$A$36,SMMLV!$D$2:$D$104),3))</f>
        <v/>
      </c>
      <c r="K34" s="758"/>
      <c r="L34" s="189">
        <v>9</v>
      </c>
      <c r="M34" s="759" t="str">
        <f t="shared" si="2"/>
        <v>NO APLICA</v>
      </c>
      <c r="N34" s="759"/>
    </row>
    <row r="35" spans="2:14">
      <c r="B35" s="182"/>
      <c r="C35" s="182"/>
      <c r="E35" s="183"/>
      <c r="F35" s="229" t="str">
        <f>IF(OR(D35="",E35=""),"",ROUND(D35/LOOKUP(E35,SMMLV!$A$2:$A$36,SMMLV!$D$2:$D$104),3))</f>
        <v/>
      </c>
      <c r="K35" s="758"/>
      <c r="L35" s="189">
        <v>10</v>
      </c>
      <c r="M35" s="759" t="str">
        <f t="shared" si="2"/>
        <v>NO APLICA</v>
      </c>
      <c r="N35" s="759"/>
    </row>
    <row r="36" spans="2:14">
      <c r="B36" s="182"/>
      <c r="C36" s="182"/>
      <c r="E36" s="183"/>
      <c r="F36" s="229" t="str">
        <f>IF(OR(D36="",E36=""),"",ROUND(D36/LOOKUP(E36,SMMLV!$A$2:$A$36,SMMLV!$D$2:$D$104),3))</f>
        <v/>
      </c>
      <c r="K36" s="758">
        <v>4</v>
      </c>
      <c r="L36" s="189">
        <v>1</v>
      </c>
      <c r="M36" s="759" t="str">
        <f t="shared" ref="M36:M45" si="3">IF(SUMIFS($F$5:$F$1200,$B$5:$B$1200,$K$36,$C$5:$C$1200,$L36)=0,"NO APLICA",ROUND(SUMIFS($F$5:$F$1200,$B$5:$B$1200,$K$36,$C$5:$C$1200,$L36),3))</f>
        <v>NO APLICA</v>
      </c>
      <c r="N36" s="759"/>
    </row>
    <row r="37" spans="2:14">
      <c r="B37" s="182"/>
      <c r="C37" s="182"/>
      <c r="E37" s="183"/>
      <c r="F37" s="229" t="str">
        <f>IF(OR(D37="",E37=""),"",ROUND(D37/LOOKUP(E37,SMMLV!$A$2:$A$36,SMMLV!$D$2:$D$104),3))</f>
        <v/>
      </c>
      <c r="K37" s="758"/>
      <c r="L37" s="189">
        <v>2</v>
      </c>
      <c r="M37" s="759" t="str">
        <f t="shared" si="3"/>
        <v>NO APLICA</v>
      </c>
      <c r="N37" s="759"/>
    </row>
    <row r="38" spans="2:14">
      <c r="B38" s="182"/>
      <c r="C38" s="182"/>
      <c r="E38" s="183"/>
      <c r="F38" s="229" t="str">
        <f>IF(OR(D38="",E38=""),"",ROUND(D38/LOOKUP(E38,SMMLV!$A$2:$A$36,SMMLV!$D$2:$D$104),3))</f>
        <v/>
      </c>
      <c r="K38" s="758"/>
      <c r="L38" s="189">
        <v>3</v>
      </c>
      <c r="M38" s="759" t="str">
        <f t="shared" si="3"/>
        <v>NO APLICA</v>
      </c>
      <c r="N38" s="759"/>
    </row>
    <row r="39" spans="2:14">
      <c r="B39" s="182"/>
      <c r="C39" s="182"/>
      <c r="E39" s="183"/>
      <c r="F39" s="229" t="str">
        <f>IF(OR(D39="",E39=""),"",ROUND(D39/LOOKUP(E39,SMMLV!$A$2:$A$36,SMMLV!$D$2:$D$104),3))</f>
        <v/>
      </c>
      <c r="K39" s="758"/>
      <c r="L39" s="189">
        <v>4</v>
      </c>
      <c r="M39" s="759" t="str">
        <f t="shared" si="3"/>
        <v>NO APLICA</v>
      </c>
      <c r="N39" s="759"/>
    </row>
    <row r="40" spans="2:14">
      <c r="B40" s="182"/>
      <c r="C40" s="182"/>
      <c r="E40" s="183"/>
      <c r="F40" s="229" t="str">
        <f>IF(OR(D40="",E40=""),"",ROUND(D40/LOOKUP(E40,SMMLV!$A$2:$A$36,SMMLV!$D$2:$D$104),3))</f>
        <v/>
      </c>
      <c r="K40" s="758"/>
      <c r="L40" s="189">
        <v>5</v>
      </c>
      <c r="M40" s="759" t="str">
        <f t="shared" si="3"/>
        <v>NO APLICA</v>
      </c>
      <c r="N40" s="759"/>
    </row>
    <row r="41" spans="2:14">
      <c r="B41" s="182"/>
      <c r="C41" s="182"/>
      <c r="E41" s="183"/>
      <c r="F41" s="229" t="str">
        <f>IF(OR(D41="",E41=""),"",ROUND(D41/LOOKUP(E41,SMMLV!$A$2:$A$36,SMMLV!$D$2:$D$104),3))</f>
        <v/>
      </c>
      <c r="K41" s="758"/>
      <c r="L41" s="189">
        <v>6</v>
      </c>
      <c r="M41" s="759" t="str">
        <f t="shared" si="3"/>
        <v>NO APLICA</v>
      </c>
      <c r="N41" s="759"/>
    </row>
    <row r="42" spans="2:14">
      <c r="B42" s="182"/>
      <c r="C42" s="182"/>
      <c r="E42" s="183"/>
      <c r="F42" s="229" t="str">
        <f>IF(OR(D42="",E42=""),"",ROUND(D42/LOOKUP(E42,SMMLV!$A$2:$A$36,SMMLV!$D$2:$D$104),3))</f>
        <v/>
      </c>
      <c r="K42" s="758"/>
      <c r="L42" s="189">
        <v>7</v>
      </c>
      <c r="M42" s="759" t="str">
        <f t="shared" si="3"/>
        <v>NO APLICA</v>
      </c>
      <c r="N42" s="759"/>
    </row>
    <row r="43" spans="2:14">
      <c r="B43" s="182"/>
      <c r="C43" s="182"/>
      <c r="E43" s="183"/>
      <c r="F43" s="229" t="str">
        <f>IF(OR(D43="",E43=""),"",ROUND(D43/LOOKUP(E43,SMMLV!$A$2:$A$36,SMMLV!$D$2:$D$104),3))</f>
        <v/>
      </c>
      <c r="K43" s="758"/>
      <c r="L43" s="189">
        <v>8</v>
      </c>
      <c r="M43" s="759" t="str">
        <f t="shared" si="3"/>
        <v>NO APLICA</v>
      </c>
      <c r="N43" s="759"/>
    </row>
    <row r="44" spans="2:14">
      <c r="B44" s="182"/>
      <c r="C44" s="182"/>
      <c r="E44" s="183"/>
      <c r="F44" s="229" t="str">
        <f>IF(OR(D44="",E44=""),"",ROUND(D44/LOOKUP(E44,SMMLV!$A$2:$A$36,SMMLV!$D$2:$D$104),3))</f>
        <v/>
      </c>
      <c r="K44" s="758"/>
      <c r="L44" s="189">
        <v>9</v>
      </c>
      <c r="M44" s="759" t="str">
        <f t="shared" si="3"/>
        <v>NO APLICA</v>
      </c>
      <c r="N44" s="759"/>
    </row>
    <row r="45" spans="2:14">
      <c r="B45" s="182"/>
      <c r="C45" s="182"/>
      <c r="E45" s="183"/>
      <c r="F45" s="229" t="str">
        <f>IF(OR(D45="",E45=""),"",ROUND(D45/LOOKUP(E45,SMMLV!$A$2:$A$36,SMMLV!$D$2:$D$104),3))</f>
        <v/>
      </c>
      <c r="K45" s="758"/>
      <c r="L45" s="189">
        <v>10</v>
      </c>
      <c r="M45" s="759" t="str">
        <f t="shared" si="3"/>
        <v>NO APLICA</v>
      </c>
      <c r="N45" s="759"/>
    </row>
    <row r="46" spans="2:14">
      <c r="B46" s="182"/>
      <c r="C46" s="182"/>
      <c r="E46" s="183"/>
      <c r="F46" s="229" t="str">
        <f>IF(OR(D46="",E46=""),"",ROUND(D46/LOOKUP(E46,SMMLV!$A$2:$A$36,SMMLV!$D$2:$D$104),3))</f>
        <v/>
      </c>
      <c r="K46" s="758">
        <v>5</v>
      </c>
      <c r="L46" s="189">
        <v>1</v>
      </c>
      <c r="M46" s="759" t="str">
        <f t="shared" ref="M46:M55" si="4">IF(SUMIFS($F$5:$F$1200,$B$5:$B$1200,$K$46,$C$5:$C$1200,$L46)=0,"NO APLICA",ROUND(SUMIFS($F$5:$F$1200,$B$5:$B$1200,$K$46,$C$5:$C$1200,$L46),3))</f>
        <v>NO APLICA</v>
      </c>
      <c r="N46" s="759"/>
    </row>
    <row r="47" spans="2:14">
      <c r="B47" s="182"/>
      <c r="C47" s="182"/>
      <c r="E47" s="183"/>
      <c r="F47" s="229" t="str">
        <f>IF(OR(D47="",E47=""),"",ROUND(D47/LOOKUP(E47,SMMLV!$A$2:$A$36,SMMLV!$D$2:$D$104),3))</f>
        <v/>
      </c>
      <c r="K47" s="758"/>
      <c r="L47" s="189">
        <v>2</v>
      </c>
      <c r="M47" s="759" t="str">
        <f t="shared" si="4"/>
        <v>NO APLICA</v>
      </c>
      <c r="N47" s="759"/>
    </row>
    <row r="48" spans="2:14">
      <c r="B48" s="182"/>
      <c r="C48" s="182"/>
      <c r="E48" s="183"/>
      <c r="F48" s="229" t="str">
        <f>IF(OR(D48="",E48=""),"",ROUND(D48/LOOKUP(E48,SMMLV!$A$2:$A$36,SMMLV!$D$2:$D$104),3))</f>
        <v/>
      </c>
      <c r="K48" s="758"/>
      <c r="L48" s="189">
        <v>3</v>
      </c>
      <c r="M48" s="759" t="str">
        <f t="shared" si="4"/>
        <v>NO APLICA</v>
      </c>
      <c r="N48" s="759"/>
    </row>
    <row r="49" spans="2:14">
      <c r="B49" s="182"/>
      <c r="C49" s="182"/>
      <c r="E49" s="183"/>
      <c r="F49" s="229" t="str">
        <f>IF(OR(D49="",E49=""),"",ROUND(D49/LOOKUP(E49,SMMLV!$A$2:$A$36,SMMLV!$D$2:$D$104),3))</f>
        <v/>
      </c>
      <c r="K49" s="758"/>
      <c r="L49" s="189">
        <v>4</v>
      </c>
      <c r="M49" s="759" t="str">
        <f t="shared" si="4"/>
        <v>NO APLICA</v>
      </c>
      <c r="N49" s="759"/>
    </row>
    <row r="50" spans="2:14">
      <c r="B50" s="182"/>
      <c r="C50" s="182"/>
      <c r="E50" s="183"/>
      <c r="F50" s="229" t="str">
        <f>IF(OR(D50="",E50=""),"",ROUND(D50/LOOKUP(E50,SMMLV!$A$2:$A$36,SMMLV!$D$2:$D$104),3))</f>
        <v/>
      </c>
      <c r="K50" s="758"/>
      <c r="L50" s="189">
        <v>5</v>
      </c>
      <c r="M50" s="759" t="str">
        <f t="shared" si="4"/>
        <v>NO APLICA</v>
      </c>
      <c r="N50" s="759"/>
    </row>
    <row r="51" spans="2:14">
      <c r="B51" s="182"/>
      <c r="C51" s="182"/>
      <c r="E51" s="183"/>
      <c r="F51" s="229" t="str">
        <f>IF(OR(D51="",E51=""),"",ROUND(D51/LOOKUP(E51,SMMLV!$A$2:$A$36,SMMLV!$D$2:$D$104),3))</f>
        <v/>
      </c>
      <c r="K51" s="758"/>
      <c r="L51" s="189">
        <v>6</v>
      </c>
      <c r="M51" s="759" t="str">
        <f t="shared" si="4"/>
        <v>NO APLICA</v>
      </c>
      <c r="N51" s="759"/>
    </row>
    <row r="52" spans="2:14">
      <c r="B52" s="182"/>
      <c r="C52" s="182"/>
      <c r="E52" s="183"/>
      <c r="F52" s="229" t="str">
        <f>IF(OR(D52="",E52=""),"",ROUND(D52/LOOKUP(E52,SMMLV!$A$2:$A$36,SMMLV!$D$2:$D$104),3))</f>
        <v/>
      </c>
      <c r="K52" s="758"/>
      <c r="L52" s="189">
        <v>7</v>
      </c>
      <c r="M52" s="759" t="str">
        <f t="shared" si="4"/>
        <v>NO APLICA</v>
      </c>
      <c r="N52" s="759"/>
    </row>
    <row r="53" spans="2:14">
      <c r="B53" s="182"/>
      <c r="C53" s="182"/>
      <c r="E53" s="183"/>
      <c r="F53" s="229" t="str">
        <f>IF(OR(D53="",E53=""),"",ROUND(D53/LOOKUP(E53,SMMLV!$A$2:$A$36,SMMLV!$D$2:$D$104),3))</f>
        <v/>
      </c>
      <c r="K53" s="758"/>
      <c r="L53" s="189">
        <v>8</v>
      </c>
      <c r="M53" s="759" t="str">
        <f t="shared" si="4"/>
        <v>NO APLICA</v>
      </c>
      <c r="N53" s="759"/>
    </row>
    <row r="54" spans="2:14">
      <c r="B54" s="182"/>
      <c r="C54" s="182"/>
      <c r="E54" s="183"/>
      <c r="F54" s="229" t="str">
        <f>IF(OR(D54="",E54=""),"",ROUND(D54/LOOKUP(E54,SMMLV!$A$2:$A$36,SMMLV!$D$2:$D$104),3))</f>
        <v/>
      </c>
      <c r="K54" s="758"/>
      <c r="L54" s="189">
        <v>9</v>
      </c>
      <c r="M54" s="759" t="str">
        <f t="shared" si="4"/>
        <v>NO APLICA</v>
      </c>
      <c r="N54" s="759"/>
    </row>
    <row r="55" spans="2:14">
      <c r="B55" s="182"/>
      <c r="C55" s="182"/>
      <c r="E55" s="183"/>
      <c r="F55" s="229" t="str">
        <f>IF(OR(D55="",E55=""),"",ROUND(D55/LOOKUP(E55,SMMLV!$A$2:$A$36,SMMLV!$D$2:$D$104),3))</f>
        <v/>
      </c>
      <c r="K55" s="758"/>
      <c r="L55" s="189">
        <v>10</v>
      </c>
      <c r="M55" s="759" t="str">
        <f t="shared" si="4"/>
        <v>NO APLICA</v>
      </c>
      <c r="N55" s="759"/>
    </row>
    <row r="56" spans="2:14">
      <c r="B56" s="182"/>
      <c r="C56" s="182"/>
      <c r="E56" s="183"/>
      <c r="F56" s="229" t="str">
        <f>IF(OR(D56="",E56=""),"",ROUND(D56/LOOKUP(E56,SMMLV!$A$2:$A$36,SMMLV!$D$2:$D$104),3))</f>
        <v/>
      </c>
      <c r="K56" s="758">
        <v>6</v>
      </c>
      <c r="L56" s="189">
        <v>1</v>
      </c>
      <c r="M56" s="759" t="str">
        <f t="shared" ref="M56:M65" si="5">IF(SUMIFS($F$5:$F$1200,$B$5:$B$1200,$K$56,$C$5:$C$1200,$L56)=0,"NO APLICA",ROUND(SUMIFS($F$5:$F$1200,$B$5:$B$1200,$K$56,$C$5:$C$1200,$L56),3))</f>
        <v>NO APLICA</v>
      </c>
      <c r="N56" s="759"/>
    </row>
    <row r="57" spans="2:14">
      <c r="B57" s="182"/>
      <c r="C57" s="182"/>
      <c r="E57" s="183"/>
      <c r="F57" s="229" t="str">
        <f>IF(OR(D57="",E57=""),"",ROUND(D57/LOOKUP(E57,SMMLV!$A$2:$A$36,SMMLV!$D$2:$D$104),3))</f>
        <v/>
      </c>
      <c r="K57" s="758"/>
      <c r="L57" s="189">
        <v>2</v>
      </c>
      <c r="M57" s="759" t="str">
        <f t="shared" si="5"/>
        <v>NO APLICA</v>
      </c>
      <c r="N57" s="759"/>
    </row>
    <row r="58" spans="2:14">
      <c r="B58" s="182"/>
      <c r="C58" s="182"/>
      <c r="E58" s="183"/>
      <c r="F58" s="229" t="str">
        <f>IF(OR(D58="",E58=""),"",ROUND(D58/LOOKUP(E58,SMMLV!$A$2:$A$36,SMMLV!$D$2:$D$104),3))</f>
        <v/>
      </c>
      <c r="K58" s="758"/>
      <c r="L58" s="189">
        <v>3</v>
      </c>
      <c r="M58" s="759" t="str">
        <f t="shared" si="5"/>
        <v>NO APLICA</v>
      </c>
      <c r="N58" s="759"/>
    </row>
    <row r="59" spans="2:14">
      <c r="B59" s="182"/>
      <c r="C59" s="182"/>
      <c r="E59" s="183"/>
      <c r="F59" s="229" t="str">
        <f>IF(OR(D59="",E59=""),"",ROUND(D59/LOOKUP(E59,SMMLV!$A$2:$A$36,SMMLV!$D$2:$D$104),3))</f>
        <v/>
      </c>
      <c r="K59" s="758"/>
      <c r="L59" s="189">
        <v>4</v>
      </c>
      <c r="M59" s="759" t="str">
        <f t="shared" si="5"/>
        <v>NO APLICA</v>
      </c>
      <c r="N59" s="759"/>
    </row>
    <row r="60" spans="2:14">
      <c r="B60" s="182"/>
      <c r="C60" s="182"/>
      <c r="E60" s="183"/>
      <c r="F60" s="229" t="str">
        <f>IF(OR(D60="",E60=""),"",ROUND(D60/LOOKUP(E60,SMMLV!$A$2:$A$36,SMMLV!$D$2:$D$104),3))</f>
        <v/>
      </c>
      <c r="K60" s="758"/>
      <c r="L60" s="189">
        <v>5</v>
      </c>
      <c r="M60" s="759" t="str">
        <f t="shared" si="5"/>
        <v>NO APLICA</v>
      </c>
      <c r="N60" s="759"/>
    </row>
    <row r="61" spans="2:14">
      <c r="B61" s="182"/>
      <c r="C61" s="182"/>
      <c r="E61" s="183"/>
      <c r="F61" s="229" t="str">
        <f>IF(OR(D61="",E61=""),"",ROUND(D61/LOOKUP(E61,SMMLV!$A$2:$A$36,SMMLV!$D$2:$D$104),3))</f>
        <v/>
      </c>
      <c r="K61" s="758"/>
      <c r="L61" s="189">
        <v>6</v>
      </c>
      <c r="M61" s="759" t="str">
        <f t="shared" si="5"/>
        <v>NO APLICA</v>
      </c>
      <c r="N61" s="759"/>
    </row>
    <row r="62" spans="2:14">
      <c r="B62" s="182"/>
      <c r="C62" s="182"/>
      <c r="E62" s="183"/>
      <c r="F62" s="229" t="str">
        <f>IF(OR(D62="",E62=""),"",ROUND(D62/LOOKUP(E62,SMMLV!$A$2:$A$36,SMMLV!$D$2:$D$104),3))</f>
        <v/>
      </c>
      <c r="K62" s="758"/>
      <c r="L62" s="189">
        <v>7</v>
      </c>
      <c r="M62" s="759" t="str">
        <f t="shared" si="5"/>
        <v>NO APLICA</v>
      </c>
      <c r="N62" s="759"/>
    </row>
    <row r="63" spans="2:14">
      <c r="B63" s="182"/>
      <c r="C63" s="182"/>
      <c r="E63" s="183"/>
      <c r="F63" s="229" t="str">
        <f>IF(OR(D63="",E63=""),"",ROUND(D63/LOOKUP(E63,SMMLV!$A$2:$A$36,SMMLV!$D$2:$D$104),3))</f>
        <v/>
      </c>
      <c r="K63" s="758"/>
      <c r="L63" s="189">
        <v>8</v>
      </c>
      <c r="M63" s="759" t="str">
        <f t="shared" si="5"/>
        <v>NO APLICA</v>
      </c>
      <c r="N63" s="759"/>
    </row>
    <row r="64" spans="2:14">
      <c r="B64" s="182"/>
      <c r="C64" s="182"/>
      <c r="E64" s="183"/>
      <c r="F64" s="229" t="str">
        <f>IF(OR(D64="",E64=""),"",ROUND(D64/LOOKUP(E64,SMMLV!$A$2:$A$36,SMMLV!$D$2:$D$104),3))</f>
        <v/>
      </c>
      <c r="K64" s="758"/>
      <c r="L64" s="189">
        <v>9</v>
      </c>
      <c r="M64" s="759" t="str">
        <f t="shared" si="5"/>
        <v>NO APLICA</v>
      </c>
      <c r="N64" s="759"/>
    </row>
    <row r="65" spans="2:14">
      <c r="B65" s="182"/>
      <c r="C65" s="182"/>
      <c r="E65" s="183"/>
      <c r="F65" s="229" t="str">
        <f>IF(OR(D65="",E65=""),"",ROUND(D65/LOOKUP(E65,SMMLV!$A$2:$A$36,SMMLV!$D$2:$D$104),3))</f>
        <v/>
      </c>
      <c r="K65" s="758"/>
      <c r="L65" s="189">
        <v>10</v>
      </c>
      <c r="M65" s="759" t="str">
        <f t="shared" si="5"/>
        <v>NO APLICA</v>
      </c>
      <c r="N65" s="759"/>
    </row>
    <row r="66" spans="2:14">
      <c r="B66" s="182"/>
      <c r="C66" s="182"/>
      <c r="E66" s="183"/>
      <c r="F66" s="229" t="str">
        <f>IF(OR(D66="",E66=""),"",ROUND(D66/LOOKUP(E66,SMMLV!$A$2:$A$36,SMMLV!$D$2:$D$104),3))</f>
        <v/>
      </c>
      <c r="K66" s="758">
        <v>7</v>
      </c>
      <c r="L66" s="189">
        <v>1</v>
      </c>
      <c r="M66" s="759" t="str">
        <f t="shared" ref="M66:M75" si="6">IF(SUMIFS($F$5:$F$1200,$B$5:$B$1200,$K$66,$C$5:$C$1200,$L66)=0,"NO APLICA",ROUND(SUMIFS($F$5:$F$1200,$B$5:$B$1200,$K$66,$C$5:$C$1200,$L66),3))</f>
        <v>NO APLICA</v>
      </c>
      <c r="N66" s="759"/>
    </row>
    <row r="67" spans="2:14">
      <c r="B67" s="182"/>
      <c r="C67" s="182"/>
      <c r="E67" s="183"/>
      <c r="F67" s="229" t="str">
        <f>IF(OR(D67="",E67=""),"",ROUND(D67/LOOKUP(E67,SMMLV!$A$2:$A$36,SMMLV!$D$2:$D$104),3))</f>
        <v/>
      </c>
      <c r="K67" s="758"/>
      <c r="L67" s="189">
        <v>2</v>
      </c>
      <c r="M67" s="759" t="str">
        <f t="shared" si="6"/>
        <v>NO APLICA</v>
      </c>
      <c r="N67" s="759"/>
    </row>
    <row r="68" spans="2:14">
      <c r="B68" s="182"/>
      <c r="C68" s="182"/>
      <c r="E68" s="183"/>
      <c r="F68" s="229" t="str">
        <f>IF(OR(D68="",E68=""),"",ROUND(D68/LOOKUP(E68,SMMLV!$A$2:$A$36,SMMLV!$D$2:$D$104),3))</f>
        <v/>
      </c>
      <c r="K68" s="758"/>
      <c r="L68" s="189">
        <v>3</v>
      </c>
      <c r="M68" s="759" t="str">
        <f t="shared" si="6"/>
        <v>NO APLICA</v>
      </c>
      <c r="N68" s="759"/>
    </row>
    <row r="69" spans="2:14">
      <c r="B69" s="182"/>
      <c r="C69" s="182"/>
      <c r="E69" s="183"/>
      <c r="F69" s="229" t="str">
        <f>IF(OR(D69="",E69=""),"",ROUND(D69/LOOKUP(E69,SMMLV!$A$2:$A$36,SMMLV!$D$2:$D$104),3))</f>
        <v/>
      </c>
      <c r="K69" s="758"/>
      <c r="L69" s="189">
        <v>4</v>
      </c>
      <c r="M69" s="759" t="str">
        <f t="shared" si="6"/>
        <v>NO APLICA</v>
      </c>
      <c r="N69" s="759"/>
    </row>
    <row r="70" spans="2:14">
      <c r="B70" s="182"/>
      <c r="C70" s="182"/>
      <c r="E70" s="183"/>
      <c r="F70" s="229" t="str">
        <f>IF(OR(D70="",E70=""),"",ROUND(D70/LOOKUP(E70,SMMLV!$A$2:$A$36,SMMLV!$D$2:$D$104),3))</f>
        <v/>
      </c>
      <c r="K70" s="758"/>
      <c r="L70" s="189">
        <v>5</v>
      </c>
      <c r="M70" s="759" t="str">
        <f t="shared" si="6"/>
        <v>NO APLICA</v>
      </c>
      <c r="N70" s="759"/>
    </row>
    <row r="71" spans="2:14">
      <c r="B71" s="182"/>
      <c r="C71" s="182"/>
      <c r="E71" s="183"/>
      <c r="F71" s="229" t="str">
        <f>IF(OR(D71="",E71=""),"",ROUND(D71/LOOKUP(E71,SMMLV!$A$2:$A$36,SMMLV!$D$2:$D$104),3))</f>
        <v/>
      </c>
      <c r="K71" s="758"/>
      <c r="L71" s="189">
        <v>6</v>
      </c>
      <c r="M71" s="759" t="str">
        <f t="shared" si="6"/>
        <v>NO APLICA</v>
      </c>
      <c r="N71" s="759"/>
    </row>
    <row r="72" spans="2:14">
      <c r="B72" s="182"/>
      <c r="C72" s="182"/>
      <c r="E72" s="183"/>
      <c r="F72" s="229" t="str">
        <f>IF(OR(D72="",E72=""),"",ROUND(D72/LOOKUP(E72,SMMLV!$A$2:$A$36,SMMLV!$D$2:$D$104),3))</f>
        <v/>
      </c>
      <c r="K72" s="758"/>
      <c r="L72" s="189">
        <v>7</v>
      </c>
      <c r="M72" s="759" t="str">
        <f t="shared" si="6"/>
        <v>NO APLICA</v>
      </c>
      <c r="N72" s="759"/>
    </row>
    <row r="73" spans="2:14">
      <c r="B73" s="182"/>
      <c r="C73" s="182"/>
      <c r="E73" s="183"/>
      <c r="F73" s="229" t="str">
        <f>IF(OR(D73="",E73=""),"",ROUND(D73/LOOKUP(E73,SMMLV!$A$2:$A$36,SMMLV!$D$2:$D$104),3))</f>
        <v/>
      </c>
      <c r="K73" s="758"/>
      <c r="L73" s="189">
        <v>8</v>
      </c>
      <c r="M73" s="759" t="str">
        <f t="shared" si="6"/>
        <v>NO APLICA</v>
      </c>
      <c r="N73" s="759"/>
    </row>
    <row r="74" spans="2:14">
      <c r="B74" s="182"/>
      <c r="C74" s="182"/>
      <c r="E74" s="183"/>
      <c r="F74" s="229" t="str">
        <f>IF(OR(D74="",E74=""),"",ROUND(D74/LOOKUP(E74,SMMLV!$A$2:$A$36,SMMLV!$D$2:$D$104),3))</f>
        <v/>
      </c>
      <c r="K74" s="758"/>
      <c r="L74" s="189">
        <v>9</v>
      </c>
      <c r="M74" s="759" t="str">
        <f t="shared" si="6"/>
        <v>NO APLICA</v>
      </c>
      <c r="N74" s="759"/>
    </row>
    <row r="75" spans="2:14">
      <c r="B75" s="182"/>
      <c r="C75" s="182"/>
      <c r="E75" s="183"/>
      <c r="F75" s="229" t="str">
        <f>IF(OR(D75="",E75=""),"",ROUND(D75/LOOKUP(E75,SMMLV!$A$2:$A$36,SMMLV!$D$2:$D$104),3))</f>
        <v/>
      </c>
      <c r="K75" s="758"/>
      <c r="L75" s="189">
        <v>10</v>
      </c>
      <c r="M75" s="759" t="str">
        <f t="shared" si="6"/>
        <v>NO APLICA</v>
      </c>
      <c r="N75" s="759"/>
    </row>
    <row r="76" spans="2:14">
      <c r="B76" s="182"/>
      <c r="C76" s="182"/>
      <c r="E76" s="183"/>
      <c r="F76" s="229" t="str">
        <f>IF(OR(D76="",E76=""),"",ROUND(D76/LOOKUP(E76,SMMLV!$A$2:$A$36,SMMLV!$D$2:$D$104),3))</f>
        <v/>
      </c>
      <c r="K76" s="758">
        <v>8</v>
      </c>
      <c r="L76" s="189">
        <v>1</v>
      </c>
      <c r="M76" s="759" t="str">
        <f t="shared" ref="M76:M85" si="7">IF(SUMIFS($F$5:$F$1200,$B$5:$B$1200,$K$76,$C$5:$C$1200,$L76)=0,"NO APLICA",ROUND(SUMIFS($F$5:$F$1200,$B$5:$B$1200,$K$76,$C$5:$C$1200,$L76),3))</f>
        <v>NO APLICA</v>
      </c>
      <c r="N76" s="759"/>
    </row>
    <row r="77" spans="2:14">
      <c r="B77" s="182"/>
      <c r="C77" s="182"/>
      <c r="E77" s="183"/>
      <c r="F77" s="229" t="str">
        <f>IF(OR(D77="",E77=""),"",ROUND(D77/LOOKUP(E77,SMMLV!$A$2:$A$36,SMMLV!$D$2:$D$104),3))</f>
        <v/>
      </c>
      <c r="K77" s="758"/>
      <c r="L77" s="189">
        <v>2</v>
      </c>
      <c r="M77" s="759" t="str">
        <f t="shared" si="7"/>
        <v>NO APLICA</v>
      </c>
      <c r="N77" s="759"/>
    </row>
    <row r="78" spans="2:14">
      <c r="B78" s="182"/>
      <c r="C78" s="182"/>
      <c r="E78" s="183"/>
      <c r="F78" s="229" t="str">
        <f>IF(OR(D78="",E78=""),"",ROUND(D78/LOOKUP(E78,SMMLV!$A$2:$A$36,SMMLV!$D$2:$D$104),3))</f>
        <v/>
      </c>
      <c r="K78" s="758"/>
      <c r="L78" s="189">
        <v>3</v>
      </c>
      <c r="M78" s="759" t="str">
        <f t="shared" si="7"/>
        <v>NO APLICA</v>
      </c>
      <c r="N78" s="759"/>
    </row>
    <row r="79" spans="2:14">
      <c r="B79" s="182"/>
      <c r="C79" s="182"/>
      <c r="E79" s="183"/>
      <c r="F79" s="229" t="str">
        <f>IF(OR(D79="",E79=""),"",ROUND(D79/LOOKUP(E79,SMMLV!$A$2:$A$36,SMMLV!$D$2:$D$104),3))</f>
        <v/>
      </c>
      <c r="K79" s="758"/>
      <c r="L79" s="189">
        <v>4</v>
      </c>
      <c r="M79" s="759" t="str">
        <f t="shared" si="7"/>
        <v>NO APLICA</v>
      </c>
      <c r="N79" s="759"/>
    </row>
    <row r="80" spans="2:14">
      <c r="B80" s="182"/>
      <c r="C80" s="182"/>
      <c r="E80" s="183"/>
      <c r="F80" s="229" t="str">
        <f>IF(OR(D80="",E80=""),"",ROUND(D80/LOOKUP(E80,SMMLV!$A$2:$A$36,SMMLV!$D$2:$D$104),3))</f>
        <v/>
      </c>
      <c r="K80" s="758"/>
      <c r="L80" s="189">
        <v>5</v>
      </c>
      <c r="M80" s="759" t="str">
        <f t="shared" si="7"/>
        <v>NO APLICA</v>
      </c>
      <c r="N80" s="759"/>
    </row>
    <row r="81" spans="2:14">
      <c r="B81" s="182"/>
      <c r="C81" s="182"/>
      <c r="E81" s="183"/>
      <c r="F81" s="229" t="str">
        <f>IF(OR(D81="",E81=""),"",ROUND(D81/LOOKUP(E81,SMMLV!$A$2:$A$36,SMMLV!$D$2:$D$104),3))</f>
        <v/>
      </c>
      <c r="K81" s="758"/>
      <c r="L81" s="189">
        <v>6</v>
      </c>
      <c r="M81" s="759" t="str">
        <f t="shared" si="7"/>
        <v>NO APLICA</v>
      </c>
      <c r="N81" s="759"/>
    </row>
    <row r="82" spans="2:14">
      <c r="B82" s="182"/>
      <c r="C82" s="182"/>
      <c r="E82" s="183"/>
      <c r="F82" s="229" t="str">
        <f>IF(OR(D82="",E82=""),"",ROUND(D82/LOOKUP(E82,SMMLV!$A$2:$A$36,SMMLV!$D$2:$D$104),3))</f>
        <v/>
      </c>
      <c r="K82" s="758"/>
      <c r="L82" s="189">
        <v>7</v>
      </c>
      <c r="M82" s="759" t="str">
        <f t="shared" si="7"/>
        <v>NO APLICA</v>
      </c>
      <c r="N82" s="759"/>
    </row>
    <row r="83" spans="2:14">
      <c r="B83" s="182"/>
      <c r="C83" s="182"/>
      <c r="E83" s="183"/>
      <c r="F83" s="229" t="str">
        <f>IF(OR(D83="",E83=""),"",ROUND(D83/LOOKUP(E83,SMMLV!$A$2:$A$36,SMMLV!$D$2:$D$104),3))</f>
        <v/>
      </c>
      <c r="K83" s="758"/>
      <c r="L83" s="189">
        <v>8</v>
      </c>
      <c r="M83" s="759" t="str">
        <f t="shared" si="7"/>
        <v>NO APLICA</v>
      </c>
      <c r="N83" s="759"/>
    </row>
    <row r="84" spans="2:14">
      <c r="B84" s="182"/>
      <c r="C84" s="182"/>
      <c r="E84" s="183"/>
      <c r="F84" s="229" t="str">
        <f>IF(OR(D84="",E84=""),"",ROUND(D84/LOOKUP(E84,SMMLV!$A$2:$A$36,SMMLV!$D$2:$D$104),3))</f>
        <v/>
      </c>
      <c r="K84" s="758"/>
      <c r="L84" s="189">
        <v>9</v>
      </c>
      <c r="M84" s="759" t="str">
        <f t="shared" si="7"/>
        <v>NO APLICA</v>
      </c>
      <c r="N84" s="759"/>
    </row>
    <row r="85" spans="2:14">
      <c r="B85" s="182"/>
      <c r="C85" s="182"/>
      <c r="E85" s="183"/>
      <c r="F85" s="229" t="str">
        <f>IF(OR(D85="",E85=""),"",ROUND(D85/LOOKUP(E85,SMMLV!$A$2:$A$36,SMMLV!$D$2:$D$104),3))</f>
        <v/>
      </c>
      <c r="K85" s="758"/>
      <c r="L85" s="189">
        <v>10</v>
      </c>
      <c r="M85" s="759" t="str">
        <f t="shared" si="7"/>
        <v>NO APLICA</v>
      </c>
      <c r="N85" s="759"/>
    </row>
    <row r="86" spans="2:14">
      <c r="B86" s="182"/>
      <c r="C86" s="182"/>
      <c r="E86" s="183"/>
      <c r="F86" s="229" t="str">
        <f>IF(OR(D86="",E86=""),"",ROUND(D86/LOOKUP(E86,SMMLV!$A$2:$A$36,SMMLV!$D$2:$D$104),3))</f>
        <v/>
      </c>
      <c r="K86" s="758">
        <v>9</v>
      </c>
      <c r="L86" s="189">
        <v>1</v>
      </c>
      <c r="M86" s="759" t="str">
        <f t="shared" ref="M86:M95" si="8">IF(SUMIFS($F$5:$F$1200,$B$5:$B$1200,$K$86,$C$5:$C$1200,$L86)=0,"NO APLICA",ROUND(SUMIFS($F$5:$F$1200,$B$5:$B$1200,$K$86,$C$5:$C$1200,$L86),3))</f>
        <v>NO APLICA</v>
      </c>
      <c r="N86" s="759"/>
    </row>
    <row r="87" spans="2:14">
      <c r="B87" s="182"/>
      <c r="C87" s="182"/>
      <c r="E87" s="183"/>
      <c r="F87" s="229" t="str">
        <f>IF(OR(D87="",E87=""),"",ROUND(D87/LOOKUP(E87,SMMLV!$A$2:$A$36,SMMLV!$D$2:$D$104),3))</f>
        <v/>
      </c>
      <c r="K87" s="758"/>
      <c r="L87" s="189">
        <v>2</v>
      </c>
      <c r="M87" s="759" t="str">
        <f t="shared" si="8"/>
        <v>NO APLICA</v>
      </c>
      <c r="N87" s="759"/>
    </row>
    <row r="88" spans="2:14">
      <c r="B88" s="182"/>
      <c r="C88" s="182"/>
      <c r="E88" s="183"/>
      <c r="F88" s="229" t="str">
        <f>IF(OR(D88="",E88=""),"",ROUND(D88/LOOKUP(E88,SMMLV!$A$2:$A$36,SMMLV!$D$2:$D$104),3))</f>
        <v/>
      </c>
      <c r="K88" s="758"/>
      <c r="L88" s="189">
        <v>3</v>
      </c>
      <c r="M88" s="759" t="str">
        <f t="shared" si="8"/>
        <v>NO APLICA</v>
      </c>
      <c r="N88" s="759"/>
    </row>
    <row r="89" spans="2:14">
      <c r="B89" s="182"/>
      <c r="C89" s="182"/>
      <c r="E89" s="183"/>
      <c r="F89" s="229" t="str">
        <f>IF(OR(D89="",E89=""),"",ROUND(D89/LOOKUP(E89,SMMLV!$A$2:$A$36,SMMLV!$D$2:$D$104),3))</f>
        <v/>
      </c>
      <c r="K89" s="758"/>
      <c r="L89" s="189">
        <v>4</v>
      </c>
      <c r="M89" s="759" t="str">
        <f t="shared" si="8"/>
        <v>NO APLICA</v>
      </c>
      <c r="N89" s="759"/>
    </row>
    <row r="90" spans="2:14">
      <c r="B90" s="182"/>
      <c r="C90" s="182"/>
      <c r="E90" s="183"/>
      <c r="F90" s="229" t="str">
        <f>IF(OR(D90="",E90=""),"",ROUND(D90/LOOKUP(E90,SMMLV!$A$2:$A$36,SMMLV!$D$2:$D$104),3))</f>
        <v/>
      </c>
      <c r="K90" s="758"/>
      <c r="L90" s="189">
        <v>5</v>
      </c>
      <c r="M90" s="759" t="str">
        <f t="shared" si="8"/>
        <v>NO APLICA</v>
      </c>
      <c r="N90" s="759"/>
    </row>
    <row r="91" spans="2:14">
      <c r="B91" s="182"/>
      <c r="C91" s="182"/>
      <c r="E91" s="183"/>
      <c r="F91" s="229" t="str">
        <f>IF(OR(D91="",E91=""),"",ROUND(D91/LOOKUP(E91,SMMLV!$A$2:$A$36,SMMLV!$D$2:$D$104),3))</f>
        <v/>
      </c>
      <c r="K91" s="758"/>
      <c r="L91" s="189">
        <v>6</v>
      </c>
      <c r="M91" s="759" t="str">
        <f t="shared" si="8"/>
        <v>NO APLICA</v>
      </c>
      <c r="N91" s="759"/>
    </row>
    <row r="92" spans="2:14">
      <c r="B92" s="182"/>
      <c r="C92" s="182"/>
      <c r="E92" s="183"/>
      <c r="F92" s="229" t="str">
        <f>IF(OR(D92="",E92=""),"",ROUND(D92/LOOKUP(E92,SMMLV!$A$2:$A$36,SMMLV!$D$2:$D$104),3))</f>
        <v/>
      </c>
      <c r="K92" s="758"/>
      <c r="L92" s="189">
        <v>7</v>
      </c>
      <c r="M92" s="759" t="str">
        <f t="shared" si="8"/>
        <v>NO APLICA</v>
      </c>
      <c r="N92" s="759"/>
    </row>
    <row r="93" spans="2:14">
      <c r="B93" s="182"/>
      <c r="C93" s="182"/>
      <c r="E93" s="183"/>
      <c r="F93" s="229" t="str">
        <f>IF(OR(D93="",E93=""),"",ROUND(D93/LOOKUP(E93,SMMLV!$A$2:$A$36,SMMLV!$D$2:$D$104),3))</f>
        <v/>
      </c>
      <c r="K93" s="758"/>
      <c r="L93" s="189">
        <v>8</v>
      </c>
      <c r="M93" s="759" t="str">
        <f t="shared" si="8"/>
        <v>NO APLICA</v>
      </c>
      <c r="N93" s="759"/>
    </row>
    <row r="94" spans="2:14">
      <c r="B94" s="182"/>
      <c r="C94" s="182"/>
      <c r="E94" s="183"/>
      <c r="F94" s="229" t="str">
        <f>IF(OR(D94="",E94=""),"",ROUND(D94/LOOKUP(E94,SMMLV!$A$2:$A$36,SMMLV!$D$2:$D$104),3))</f>
        <v/>
      </c>
      <c r="K94" s="758"/>
      <c r="L94" s="189">
        <v>9</v>
      </c>
      <c r="M94" s="759" t="str">
        <f t="shared" si="8"/>
        <v>NO APLICA</v>
      </c>
      <c r="N94" s="759"/>
    </row>
    <row r="95" spans="2:14">
      <c r="B95" s="182"/>
      <c r="C95" s="182"/>
      <c r="E95" s="183"/>
      <c r="F95" s="229" t="str">
        <f>IF(OR(D95="",E95=""),"",ROUND(D95/LOOKUP(E95,SMMLV!$A$2:$A$36,SMMLV!$D$2:$D$104),3))</f>
        <v/>
      </c>
      <c r="K95" s="758"/>
      <c r="L95" s="189">
        <v>10</v>
      </c>
      <c r="M95" s="759" t="str">
        <f t="shared" si="8"/>
        <v>NO APLICA</v>
      </c>
      <c r="N95" s="759"/>
    </row>
    <row r="96" spans="2:14">
      <c r="B96" s="182"/>
      <c r="C96" s="182"/>
      <c r="E96" s="183"/>
      <c r="F96" s="229" t="str">
        <f>IF(OR(D96="",E96=""),"",ROUND(D96/LOOKUP(E96,SMMLV!$A$2:$A$36,SMMLV!$D$2:$D$104),3))</f>
        <v/>
      </c>
      <c r="K96" s="758">
        <v>10</v>
      </c>
      <c r="L96" s="189">
        <v>1</v>
      </c>
      <c r="M96" s="759" t="str">
        <f t="shared" ref="M96:M105" si="9">IF(SUMIFS($F$5:$F$1200,$B$5:$B$1200,$K$96,$C$5:$C$1200,$L96)=0,"NO APLICA",ROUND(SUMIFS($F$5:$F$1200,$B$5:$B$1200,$K$96,$C$5:$C$1200,$L96),3))</f>
        <v>NO APLICA</v>
      </c>
      <c r="N96" s="759"/>
    </row>
    <row r="97" spans="2:14">
      <c r="B97" s="182"/>
      <c r="C97" s="182"/>
      <c r="E97" s="183"/>
      <c r="F97" s="229" t="str">
        <f>IF(OR(D97="",E97=""),"",ROUND(D97/LOOKUP(E97,SMMLV!$A$2:$A$36,SMMLV!$D$2:$D$104),3))</f>
        <v/>
      </c>
      <c r="K97" s="758"/>
      <c r="L97" s="189">
        <v>2</v>
      </c>
      <c r="M97" s="759" t="str">
        <f t="shared" si="9"/>
        <v>NO APLICA</v>
      </c>
      <c r="N97" s="759"/>
    </row>
    <row r="98" spans="2:14">
      <c r="B98" s="182"/>
      <c r="C98" s="182"/>
      <c r="E98" s="183"/>
      <c r="F98" s="229" t="str">
        <f>IF(OR(D98="",E98=""),"",ROUND(D98/LOOKUP(E98,SMMLV!$A$2:$A$36,SMMLV!$D$2:$D$104),3))</f>
        <v/>
      </c>
      <c r="K98" s="758"/>
      <c r="L98" s="189">
        <v>3</v>
      </c>
      <c r="M98" s="759" t="str">
        <f t="shared" si="9"/>
        <v>NO APLICA</v>
      </c>
      <c r="N98" s="759"/>
    </row>
    <row r="99" spans="2:14">
      <c r="B99" s="182"/>
      <c r="C99" s="182"/>
      <c r="E99" s="183"/>
      <c r="F99" s="229" t="str">
        <f>IF(OR(D99="",E99=""),"",ROUND(D99/LOOKUP(E99,SMMLV!$A$2:$A$36,SMMLV!$D$2:$D$104),3))</f>
        <v/>
      </c>
      <c r="K99" s="758"/>
      <c r="L99" s="189">
        <v>4</v>
      </c>
      <c r="M99" s="759" t="str">
        <f t="shared" si="9"/>
        <v>NO APLICA</v>
      </c>
      <c r="N99" s="759"/>
    </row>
    <row r="100" spans="2:14">
      <c r="B100" s="182"/>
      <c r="C100" s="182"/>
      <c r="E100" s="183"/>
      <c r="F100" s="229" t="str">
        <f>IF(OR(D100="",E100=""),"",ROUND(D100/LOOKUP(E100,SMMLV!$A$2:$A$36,SMMLV!$D$2:$D$104),3))</f>
        <v/>
      </c>
      <c r="K100" s="758"/>
      <c r="L100" s="189">
        <v>5</v>
      </c>
      <c r="M100" s="759" t="str">
        <f t="shared" si="9"/>
        <v>NO APLICA</v>
      </c>
      <c r="N100" s="759"/>
    </row>
    <row r="101" spans="2:14">
      <c r="B101" s="182"/>
      <c r="C101" s="182"/>
      <c r="E101" s="183"/>
      <c r="F101" s="229" t="str">
        <f>IF(OR(D101="",E101=""),"",ROUND(D101/LOOKUP(E101,SMMLV!$A$2:$A$36,SMMLV!$D$2:$D$104),3))</f>
        <v/>
      </c>
      <c r="K101" s="758"/>
      <c r="L101" s="189">
        <v>6</v>
      </c>
      <c r="M101" s="759" t="str">
        <f t="shared" si="9"/>
        <v>NO APLICA</v>
      </c>
      <c r="N101" s="759"/>
    </row>
    <row r="102" spans="2:14">
      <c r="B102" s="182"/>
      <c r="C102" s="182"/>
      <c r="E102" s="183"/>
      <c r="F102" s="229" t="str">
        <f>IF(OR(D102="",E102=""),"",ROUND(D102/LOOKUP(E102,SMMLV!$A$2:$A$36,SMMLV!$D$2:$D$104),3))</f>
        <v/>
      </c>
      <c r="K102" s="758"/>
      <c r="L102" s="189">
        <v>7</v>
      </c>
      <c r="M102" s="759" t="str">
        <f t="shared" si="9"/>
        <v>NO APLICA</v>
      </c>
      <c r="N102" s="759"/>
    </row>
    <row r="103" spans="2:14">
      <c r="B103" s="182"/>
      <c r="C103" s="182"/>
      <c r="E103" s="183"/>
      <c r="F103" s="229" t="str">
        <f>IF(OR(D103="",E103=""),"",ROUND(D103/LOOKUP(E103,SMMLV!$A$2:$A$36,SMMLV!$D$2:$D$104),3))</f>
        <v/>
      </c>
      <c r="K103" s="758"/>
      <c r="L103" s="189">
        <v>8</v>
      </c>
      <c r="M103" s="759" t="str">
        <f t="shared" si="9"/>
        <v>NO APLICA</v>
      </c>
      <c r="N103" s="759"/>
    </row>
    <row r="104" spans="2:14">
      <c r="B104" s="182"/>
      <c r="C104" s="182"/>
      <c r="E104" s="183"/>
      <c r="F104" s="229" t="str">
        <f>IF(OR(D104="",E104=""),"",ROUND(D104/LOOKUP(E104,SMMLV!$A$2:$A$36,SMMLV!$D$2:$D$104),3))</f>
        <v/>
      </c>
      <c r="K104" s="758"/>
      <c r="L104" s="189">
        <v>9</v>
      </c>
      <c r="M104" s="759" t="str">
        <f t="shared" si="9"/>
        <v>NO APLICA</v>
      </c>
      <c r="N104" s="759"/>
    </row>
    <row r="105" spans="2:14">
      <c r="B105" s="182"/>
      <c r="C105" s="182"/>
      <c r="E105" s="183"/>
      <c r="F105" s="229" t="str">
        <f>IF(OR(D105="",E105=""),"",ROUND(D105/LOOKUP(E105,SMMLV!$A$2:$A$36,SMMLV!$D$2:$D$104),3))</f>
        <v/>
      </c>
      <c r="K105" s="758"/>
      <c r="L105" s="189">
        <v>10</v>
      </c>
      <c r="M105" s="759" t="str">
        <f t="shared" si="9"/>
        <v>NO APLICA</v>
      </c>
      <c r="N105" s="759"/>
    </row>
    <row r="106" spans="2:14">
      <c r="B106" s="182"/>
      <c r="C106" s="182"/>
      <c r="E106" s="183"/>
      <c r="F106" s="229" t="str">
        <f>IF(OR(D106="",E106=""),"",ROUND(D106/LOOKUP(E106,SMMLV!$A$2:$A$36,SMMLV!$D$2:$D$104),3))</f>
        <v/>
      </c>
      <c r="K106" s="758">
        <v>11</v>
      </c>
      <c r="L106" s="189">
        <v>1</v>
      </c>
      <c r="M106" s="759" t="str">
        <f t="shared" ref="M106:M115" si="10">IF(SUMIFS($F$5:$F$1200,$B$5:$B$1200,$K$106,$C$5:$C$1200,$L106)=0,"NO APLICA",ROUND(SUMIFS($F$5:$F$1200,$B$5:$B$1200,$K$106,$C$5:$C$1200,$L106),3))</f>
        <v>NO APLICA</v>
      </c>
      <c r="N106" s="759"/>
    </row>
    <row r="107" spans="2:14">
      <c r="B107" s="182"/>
      <c r="C107" s="182"/>
      <c r="E107" s="183"/>
      <c r="F107" s="229" t="str">
        <f>IF(OR(D107="",E107=""),"",ROUND(D107/LOOKUP(E107,SMMLV!$A$2:$A$36,SMMLV!$D$2:$D$104),3))</f>
        <v/>
      </c>
      <c r="K107" s="758"/>
      <c r="L107" s="189">
        <v>2</v>
      </c>
      <c r="M107" s="759" t="str">
        <f t="shared" si="10"/>
        <v>NO APLICA</v>
      </c>
      <c r="N107" s="759"/>
    </row>
    <row r="108" spans="2:14">
      <c r="B108" s="182"/>
      <c r="C108" s="182"/>
      <c r="E108" s="183"/>
      <c r="F108" s="229" t="str">
        <f>IF(OR(D108="",E108=""),"",ROUND(D108/LOOKUP(E108,SMMLV!$A$2:$A$36,SMMLV!$D$2:$D$104),3))</f>
        <v/>
      </c>
      <c r="K108" s="758"/>
      <c r="L108" s="189">
        <v>3</v>
      </c>
      <c r="M108" s="759" t="str">
        <f t="shared" si="10"/>
        <v>NO APLICA</v>
      </c>
      <c r="N108" s="759"/>
    </row>
    <row r="109" spans="2:14">
      <c r="B109" s="182"/>
      <c r="C109" s="182"/>
      <c r="E109" s="183"/>
      <c r="F109" s="229" t="str">
        <f>IF(OR(D109="",E109=""),"",ROUND(D109/LOOKUP(E109,SMMLV!$A$2:$A$36,SMMLV!$D$2:$D$104),3))</f>
        <v/>
      </c>
      <c r="K109" s="758"/>
      <c r="L109" s="189">
        <v>4</v>
      </c>
      <c r="M109" s="759" t="str">
        <f t="shared" si="10"/>
        <v>NO APLICA</v>
      </c>
      <c r="N109" s="759"/>
    </row>
    <row r="110" spans="2:14">
      <c r="B110" s="182"/>
      <c r="C110" s="182"/>
      <c r="E110" s="183"/>
      <c r="F110" s="229" t="str">
        <f>IF(OR(D110="",E110=""),"",ROUND(D110/LOOKUP(E110,SMMLV!$A$2:$A$36,SMMLV!$D$2:$D$104),3))</f>
        <v/>
      </c>
      <c r="K110" s="758"/>
      <c r="L110" s="189">
        <v>5</v>
      </c>
      <c r="M110" s="759" t="str">
        <f t="shared" si="10"/>
        <v>NO APLICA</v>
      </c>
      <c r="N110" s="759"/>
    </row>
    <row r="111" spans="2:14">
      <c r="B111" s="182"/>
      <c r="C111" s="182"/>
      <c r="E111" s="183"/>
      <c r="F111" s="229" t="str">
        <f>IF(OR(D111="",E111=""),"",ROUND(D111/LOOKUP(E111,SMMLV!$A$2:$A$36,SMMLV!$D$2:$D$104),3))</f>
        <v/>
      </c>
      <c r="K111" s="758"/>
      <c r="L111" s="189">
        <v>6</v>
      </c>
      <c r="M111" s="759" t="str">
        <f t="shared" si="10"/>
        <v>NO APLICA</v>
      </c>
      <c r="N111" s="759"/>
    </row>
    <row r="112" spans="2:14">
      <c r="B112" s="182"/>
      <c r="C112" s="182"/>
      <c r="E112" s="183"/>
      <c r="F112" s="229" t="str">
        <f>IF(OR(D112="",E112=""),"",ROUND(D112/LOOKUP(E112,SMMLV!$A$2:$A$36,SMMLV!$D$2:$D$104),3))</f>
        <v/>
      </c>
      <c r="K112" s="758"/>
      <c r="L112" s="189">
        <v>7</v>
      </c>
      <c r="M112" s="759" t="str">
        <f t="shared" si="10"/>
        <v>NO APLICA</v>
      </c>
      <c r="N112" s="759"/>
    </row>
    <row r="113" spans="2:14">
      <c r="B113" s="182"/>
      <c r="C113" s="182"/>
      <c r="E113" s="183"/>
      <c r="F113" s="229" t="str">
        <f>IF(OR(D113="",E113=""),"",ROUND(D113/LOOKUP(E113,SMMLV!$A$2:$A$36,SMMLV!$D$2:$D$104),3))</f>
        <v/>
      </c>
      <c r="K113" s="758"/>
      <c r="L113" s="189">
        <v>8</v>
      </c>
      <c r="M113" s="759" t="str">
        <f t="shared" si="10"/>
        <v>NO APLICA</v>
      </c>
      <c r="N113" s="759"/>
    </row>
    <row r="114" spans="2:14">
      <c r="B114" s="182"/>
      <c r="C114" s="182"/>
      <c r="E114" s="183"/>
      <c r="F114" s="229" t="str">
        <f>IF(OR(D114="",E114=""),"",ROUND(D114/LOOKUP(E114,SMMLV!$A$2:$A$36,SMMLV!$D$2:$D$104),3))</f>
        <v/>
      </c>
      <c r="K114" s="758"/>
      <c r="L114" s="189">
        <v>9</v>
      </c>
      <c r="M114" s="759" t="str">
        <f t="shared" si="10"/>
        <v>NO APLICA</v>
      </c>
      <c r="N114" s="759"/>
    </row>
    <row r="115" spans="2:14">
      <c r="B115" s="182"/>
      <c r="C115" s="182"/>
      <c r="E115" s="183"/>
      <c r="F115" s="229" t="str">
        <f>IF(OR(D115="",E115=""),"",ROUND(D115/LOOKUP(E115,SMMLV!$A$2:$A$36,SMMLV!$D$2:$D$104),3))</f>
        <v/>
      </c>
      <c r="K115" s="758"/>
      <c r="L115" s="189">
        <v>10</v>
      </c>
      <c r="M115" s="759" t="str">
        <f t="shared" si="10"/>
        <v>NO APLICA</v>
      </c>
      <c r="N115" s="759"/>
    </row>
    <row r="116" spans="2:14">
      <c r="B116" s="182"/>
      <c r="C116" s="182"/>
      <c r="E116" s="183"/>
      <c r="F116" s="229" t="str">
        <f>IF(OR(D116="",E116=""),"",ROUND(D116/LOOKUP(E116,SMMLV!$A$2:$A$36,SMMLV!$D$2:$D$104),3))</f>
        <v/>
      </c>
      <c r="K116" s="758">
        <v>12</v>
      </c>
      <c r="L116" s="189">
        <v>1</v>
      </c>
      <c r="M116" s="759" t="str">
        <f t="shared" ref="M116:M125" si="11">IF(SUMIFS($F$5:$F$1200,$B$5:$B$1200,$K$116,$C$5:$C$1200,$L116)=0,"NO APLICA",ROUND(SUMIFS($F$5:$F$1200,$B$5:$B$1200,$K$116,$C$5:$C$1200,$L116),3))</f>
        <v>NO APLICA</v>
      </c>
      <c r="N116" s="759"/>
    </row>
    <row r="117" spans="2:14">
      <c r="B117" s="182"/>
      <c r="C117" s="182"/>
      <c r="E117" s="183"/>
      <c r="F117" s="229" t="str">
        <f>IF(OR(D117="",E117=""),"",ROUND(D117/LOOKUP(E117,SMMLV!$A$2:$A$36,SMMLV!$D$2:$D$104),3))</f>
        <v/>
      </c>
      <c r="K117" s="758"/>
      <c r="L117" s="189">
        <v>2</v>
      </c>
      <c r="M117" s="759" t="str">
        <f t="shared" si="11"/>
        <v>NO APLICA</v>
      </c>
      <c r="N117" s="759"/>
    </row>
    <row r="118" spans="2:14">
      <c r="B118" s="182"/>
      <c r="C118" s="182"/>
      <c r="E118" s="183"/>
      <c r="F118" s="229" t="str">
        <f>IF(OR(D118="",E118=""),"",ROUND(D118/LOOKUP(E118,SMMLV!$A$2:$A$36,SMMLV!$D$2:$D$104),3))</f>
        <v/>
      </c>
      <c r="K118" s="758"/>
      <c r="L118" s="189">
        <v>3</v>
      </c>
      <c r="M118" s="759" t="str">
        <f t="shared" si="11"/>
        <v>NO APLICA</v>
      </c>
      <c r="N118" s="759"/>
    </row>
    <row r="119" spans="2:14">
      <c r="B119" s="182"/>
      <c r="C119" s="182"/>
      <c r="E119" s="183"/>
      <c r="F119" s="229" t="str">
        <f>IF(OR(D119="",E119=""),"",ROUND(D119/LOOKUP(E119,SMMLV!$A$2:$A$36,SMMLV!$D$2:$D$104),3))</f>
        <v/>
      </c>
      <c r="K119" s="758"/>
      <c r="L119" s="189">
        <v>4</v>
      </c>
      <c r="M119" s="759" t="str">
        <f t="shared" si="11"/>
        <v>NO APLICA</v>
      </c>
      <c r="N119" s="759"/>
    </row>
    <row r="120" spans="2:14">
      <c r="B120" s="182"/>
      <c r="C120" s="182"/>
      <c r="E120" s="183"/>
      <c r="F120" s="229" t="str">
        <f>IF(OR(D120="",E120=""),"",ROUND(D120/LOOKUP(E120,SMMLV!$A$2:$A$36,SMMLV!$D$2:$D$104),3))</f>
        <v/>
      </c>
      <c r="K120" s="758"/>
      <c r="L120" s="189">
        <v>5</v>
      </c>
      <c r="M120" s="759" t="str">
        <f t="shared" si="11"/>
        <v>NO APLICA</v>
      </c>
      <c r="N120" s="759"/>
    </row>
    <row r="121" spans="2:14">
      <c r="B121" s="182"/>
      <c r="C121" s="182"/>
      <c r="E121" s="183"/>
      <c r="F121" s="229" t="str">
        <f>IF(OR(D121="",E121=""),"",ROUND(D121/LOOKUP(E121,SMMLV!$A$2:$A$36,SMMLV!$D$2:$D$104),3))</f>
        <v/>
      </c>
      <c r="K121" s="758"/>
      <c r="L121" s="189">
        <v>6</v>
      </c>
      <c r="M121" s="759" t="str">
        <f t="shared" si="11"/>
        <v>NO APLICA</v>
      </c>
      <c r="N121" s="759"/>
    </row>
    <row r="122" spans="2:14">
      <c r="B122" s="182"/>
      <c r="C122" s="182"/>
      <c r="E122" s="183"/>
      <c r="F122" s="229" t="str">
        <f>IF(OR(D122="",E122=""),"",ROUND(D122/LOOKUP(E122,SMMLV!$A$2:$A$36,SMMLV!$D$2:$D$104),3))</f>
        <v/>
      </c>
      <c r="K122" s="758"/>
      <c r="L122" s="189">
        <v>7</v>
      </c>
      <c r="M122" s="759" t="str">
        <f t="shared" si="11"/>
        <v>NO APLICA</v>
      </c>
      <c r="N122" s="759"/>
    </row>
    <row r="123" spans="2:14">
      <c r="B123" s="182"/>
      <c r="C123" s="182"/>
      <c r="E123" s="183"/>
      <c r="F123" s="229" t="str">
        <f>IF(OR(D123="",E123=""),"",ROUND(D123/LOOKUP(E123,SMMLV!$A$2:$A$36,SMMLV!$D$2:$D$104),3))</f>
        <v/>
      </c>
      <c r="K123" s="758"/>
      <c r="L123" s="189">
        <v>8</v>
      </c>
      <c r="M123" s="759" t="str">
        <f t="shared" si="11"/>
        <v>NO APLICA</v>
      </c>
      <c r="N123" s="759"/>
    </row>
    <row r="124" spans="2:14">
      <c r="B124" s="182"/>
      <c r="C124" s="182"/>
      <c r="E124" s="183"/>
      <c r="F124" s="229" t="str">
        <f>IF(OR(D124="",E124=""),"",ROUND(D124/LOOKUP(E124,SMMLV!$A$2:$A$36,SMMLV!$D$2:$D$104),3))</f>
        <v/>
      </c>
      <c r="K124" s="758"/>
      <c r="L124" s="189">
        <v>9</v>
      </c>
      <c r="M124" s="759" t="str">
        <f t="shared" si="11"/>
        <v>NO APLICA</v>
      </c>
      <c r="N124" s="759"/>
    </row>
    <row r="125" spans="2:14">
      <c r="B125" s="182"/>
      <c r="C125" s="182"/>
      <c r="E125" s="183"/>
      <c r="F125" s="229" t="str">
        <f>IF(OR(D125="",E125=""),"",ROUND(D125/LOOKUP(E125,SMMLV!$A$2:$A$36,SMMLV!$D$2:$D$104),3))</f>
        <v/>
      </c>
      <c r="K125" s="758"/>
      <c r="L125" s="189">
        <v>10</v>
      </c>
      <c r="M125" s="759" t="str">
        <f t="shared" si="11"/>
        <v>NO APLICA</v>
      </c>
      <c r="N125" s="759"/>
    </row>
    <row r="126" spans="2:14">
      <c r="B126" s="182"/>
      <c r="C126" s="182"/>
      <c r="E126" s="183"/>
      <c r="F126" s="229" t="str">
        <f>IF(OR(D126="",E126=""),"",ROUND(D126/LOOKUP(E126,SMMLV!$A$2:$A$36,SMMLV!$D$2:$D$104),3))</f>
        <v/>
      </c>
      <c r="K126" s="758">
        <v>13</v>
      </c>
      <c r="L126" s="189">
        <v>1</v>
      </c>
      <c r="M126" s="759" t="str">
        <f t="shared" ref="M126:M135" si="12">IF(SUMIFS($F$5:$F$1200,$B$5:$B$1200,$K$126,$C$5:$C$1200,$L126)=0,"NO APLICA",ROUND(SUMIFS($F$5:$F$1200,$B$5:$B$1200,$K$126,$C$5:$C$1200,$L126),3))</f>
        <v>NO APLICA</v>
      </c>
      <c r="N126" s="759"/>
    </row>
    <row r="127" spans="2:14">
      <c r="B127" s="182"/>
      <c r="C127" s="182"/>
      <c r="E127" s="183"/>
      <c r="F127" s="229" t="str">
        <f>IF(OR(D127="",E127=""),"",ROUND(D127/LOOKUP(E127,SMMLV!$A$2:$A$36,SMMLV!$D$2:$D$104),3))</f>
        <v/>
      </c>
      <c r="K127" s="758"/>
      <c r="L127" s="189">
        <v>2</v>
      </c>
      <c r="M127" s="759" t="str">
        <f t="shared" si="12"/>
        <v>NO APLICA</v>
      </c>
      <c r="N127" s="759"/>
    </row>
    <row r="128" spans="2:14">
      <c r="B128" s="182"/>
      <c r="C128" s="182"/>
      <c r="E128" s="183"/>
      <c r="F128" s="229" t="str">
        <f>IF(OR(D128="",E128=""),"",ROUND(D128/LOOKUP(E128,SMMLV!$A$2:$A$36,SMMLV!$D$2:$D$104),3))</f>
        <v/>
      </c>
      <c r="K128" s="758"/>
      <c r="L128" s="189">
        <v>3</v>
      </c>
      <c r="M128" s="759" t="str">
        <f t="shared" si="12"/>
        <v>NO APLICA</v>
      </c>
      <c r="N128" s="759"/>
    </row>
    <row r="129" spans="2:14">
      <c r="B129" s="182"/>
      <c r="C129" s="182"/>
      <c r="E129" s="183"/>
      <c r="F129" s="229" t="str">
        <f>IF(OR(D129="",E129=""),"",ROUND(D129/LOOKUP(E129,SMMLV!$A$2:$A$36,SMMLV!$D$2:$D$104),3))</f>
        <v/>
      </c>
      <c r="K129" s="758"/>
      <c r="L129" s="189">
        <v>4</v>
      </c>
      <c r="M129" s="759" t="str">
        <f t="shared" si="12"/>
        <v>NO APLICA</v>
      </c>
      <c r="N129" s="759"/>
    </row>
    <row r="130" spans="2:14">
      <c r="B130" s="182"/>
      <c r="C130" s="182"/>
      <c r="E130" s="183"/>
      <c r="F130" s="229" t="str">
        <f>IF(OR(D130="",E130=""),"",ROUND(D130/LOOKUP(E130,SMMLV!$A$2:$A$36,SMMLV!$D$2:$D$104),3))</f>
        <v/>
      </c>
      <c r="K130" s="758"/>
      <c r="L130" s="189">
        <v>5</v>
      </c>
      <c r="M130" s="759" t="str">
        <f t="shared" si="12"/>
        <v>NO APLICA</v>
      </c>
      <c r="N130" s="759"/>
    </row>
    <row r="131" spans="2:14">
      <c r="B131" s="182"/>
      <c r="C131" s="182"/>
      <c r="E131" s="183"/>
      <c r="F131" s="229" t="str">
        <f>IF(OR(D131="",E131=""),"",ROUND(D131/LOOKUP(E131,SMMLV!$A$2:$A$36,SMMLV!$D$2:$D$104),3))</f>
        <v/>
      </c>
      <c r="K131" s="758"/>
      <c r="L131" s="189">
        <v>6</v>
      </c>
      <c r="M131" s="759" t="str">
        <f t="shared" si="12"/>
        <v>NO APLICA</v>
      </c>
      <c r="N131" s="759"/>
    </row>
    <row r="132" spans="2:14">
      <c r="B132" s="182"/>
      <c r="C132" s="182"/>
      <c r="E132" s="183"/>
      <c r="F132" s="229" t="str">
        <f>IF(OR(D132="",E132=""),"",ROUND(D132/LOOKUP(E132,SMMLV!$A$2:$A$36,SMMLV!$D$2:$D$104),3))</f>
        <v/>
      </c>
      <c r="K132" s="758"/>
      <c r="L132" s="189">
        <v>7</v>
      </c>
      <c r="M132" s="759" t="str">
        <f t="shared" si="12"/>
        <v>NO APLICA</v>
      </c>
      <c r="N132" s="759"/>
    </row>
    <row r="133" spans="2:14">
      <c r="B133" s="182"/>
      <c r="C133" s="182"/>
      <c r="E133" s="183"/>
      <c r="F133" s="229" t="str">
        <f>IF(OR(D133="",E133=""),"",ROUND(D133/LOOKUP(E133,SMMLV!$A$2:$A$36,SMMLV!$D$2:$D$104),3))</f>
        <v/>
      </c>
      <c r="K133" s="758"/>
      <c r="L133" s="189">
        <v>8</v>
      </c>
      <c r="M133" s="759" t="str">
        <f t="shared" si="12"/>
        <v>NO APLICA</v>
      </c>
      <c r="N133" s="759"/>
    </row>
    <row r="134" spans="2:14">
      <c r="B134" s="182"/>
      <c r="C134" s="182"/>
      <c r="E134" s="183"/>
      <c r="F134" s="229" t="str">
        <f>IF(OR(D134="",E134=""),"",ROUND(D134/LOOKUP(E134,SMMLV!$A$2:$A$36,SMMLV!$D$2:$D$104),3))</f>
        <v/>
      </c>
      <c r="K134" s="758"/>
      <c r="L134" s="189">
        <v>9</v>
      </c>
      <c r="M134" s="759" t="str">
        <f t="shared" si="12"/>
        <v>NO APLICA</v>
      </c>
      <c r="N134" s="759"/>
    </row>
    <row r="135" spans="2:14">
      <c r="B135" s="182"/>
      <c r="C135" s="182"/>
      <c r="E135" s="183"/>
      <c r="F135" s="229" t="str">
        <f>IF(OR(D135="",E135=""),"",ROUND(D135/LOOKUP(E135,SMMLV!$A$2:$A$36,SMMLV!$D$2:$D$104),3))</f>
        <v/>
      </c>
      <c r="K135" s="758"/>
      <c r="L135" s="189">
        <v>10</v>
      </c>
      <c r="M135" s="759" t="str">
        <f t="shared" si="12"/>
        <v>NO APLICA</v>
      </c>
      <c r="N135" s="759"/>
    </row>
    <row r="136" spans="2:14">
      <c r="B136" s="182"/>
      <c r="C136" s="182"/>
      <c r="E136" s="183"/>
      <c r="F136" s="229" t="str">
        <f>IF(OR(D136="",E136=""),"",ROUND(D136/LOOKUP(E136,SMMLV!$A$2:$A$36,SMMLV!$D$2:$D$104),3))</f>
        <v/>
      </c>
      <c r="K136" s="758">
        <v>14</v>
      </c>
      <c r="L136" s="189">
        <v>1</v>
      </c>
      <c r="M136" s="759" t="str">
        <f t="shared" ref="M136:M145" si="13">IF(SUMIFS($F$5:$F$1200,$B$5:$B$1200,$K$136,$C$5:$C$1200,$L136)=0,"NO APLICA",ROUND(SUMIFS($F$5:$F$1200,$B$5:$B$1200,$K$136,$C$5:$C$1200,$L136),3))</f>
        <v>NO APLICA</v>
      </c>
      <c r="N136" s="759"/>
    </row>
    <row r="137" spans="2:14">
      <c r="B137" s="182"/>
      <c r="C137" s="182"/>
      <c r="E137" s="183"/>
      <c r="F137" s="229" t="str">
        <f>IF(OR(D137="",E137=""),"",ROUND(D137/LOOKUP(E137,SMMLV!$A$2:$A$36,SMMLV!$D$2:$D$104),3))</f>
        <v/>
      </c>
      <c r="K137" s="758"/>
      <c r="L137" s="189">
        <v>2</v>
      </c>
      <c r="M137" s="759" t="str">
        <f t="shared" si="13"/>
        <v>NO APLICA</v>
      </c>
      <c r="N137" s="759"/>
    </row>
    <row r="138" spans="2:14">
      <c r="B138" s="182"/>
      <c r="C138" s="182"/>
      <c r="E138" s="183"/>
      <c r="F138" s="229" t="str">
        <f>IF(OR(D138="",E138=""),"",ROUND(D138/LOOKUP(E138,SMMLV!$A$2:$A$36,SMMLV!$D$2:$D$104),3))</f>
        <v/>
      </c>
      <c r="K138" s="758"/>
      <c r="L138" s="189">
        <v>3</v>
      </c>
      <c r="M138" s="759" t="str">
        <f t="shared" si="13"/>
        <v>NO APLICA</v>
      </c>
      <c r="N138" s="759"/>
    </row>
    <row r="139" spans="2:14">
      <c r="B139" s="182"/>
      <c r="C139" s="182"/>
      <c r="E139" s="183"/>
      <c r="F139" s="229" t="str">
        <f>IF(OR(D139="",E139=""),"",ROUND(D139/LOOKUP(E139,SMMLV!$A$2:$A$36,SMMLV!$D$2:$D$104),3))</f>
        <v/>
      </c>
      <c r="K139" s="758"/>
      <c r="L139" s="189">
        <v>4</v>
      </c>
      <c r="M139" s="759" t="str">
        <f t="shared" si="13"/>
        <v>NO APLICA</v>
      </c>
      <c r="N139" s="759"/>
    </row>
    <row r="140" spans="2:14">
      <c r="B140" s="182"/>
      <c r="C140" s="182"/>
      <c r="E140" s="183"/>
      <c r="F140" s="229" t="str">
        <f>IF(OR(D140="",E140=""),"",ROUND(D140/LOOKUP(E140,SMMLV!$A$2:$A$36,SMMLV!$D$2:$D$104),3))</f>
        <v/>
      </c>
      <c r="K140" s="758"/>
      <c r="L140" s="189">
        <v>5</v>
      </c>
      <c r="M140" s="759" t="str">
        <f t="shared" si="13"/>
        <v>NO APLICA</v>
      </c>
      <c r="N140" s="759"/>
    </row>
    <row r="141" spans="2:14">
      <c r="B141" s="182"/>
      <c r="C141" s="182"/>
      <c r="E141" s="183"/>
      <c r="F141" s="229" t="str">
        <f>IF(OR(D141="",E141=""),"",ROUND(D141/LOOKUP(E141,SMMLV!$A$2:$A$36,SMMLV!$D$2:$D$104),3))</f>
        <v/>
      </c>
      <c r="K141" s="758"/>
      <c r="L141" s="189">
        <v>6</v>
      </c>
      <c r="M141" s="759" t="str">
        <f t="shared" si="13"/>
        <v>NO APLICA</v>
      </c>
      <c r="N141" s="759"/>
    </row>
    <row r="142" spans="2:14">
      <c r="B142" s="182"/>
      <c r="C142" s="182"/>
      <c r="E142" s="183"/>
      <c r="F142" s="229" t="str">
        <f>IF(OR(D142="",E142=""),"",ROUND(D142/LOOKUP(E142,SMMLV!$A$2:$A$36,SMMLV!$D$2:$D$104),3))</f>
        <v/>
      </c>
      <c r="K142" s="758"/>
      <c r="L142" s="189">
        <v>7</v>
      </c>
      <c r="M142" s="759" t="str">
        <f t="shared" si="13"/>
        <v>NO APLICA</v>
      </c>
      <c r="N142" s="759"/>
    </row>
    <row r="143" spans="2:14">
      <c r="B143" s="182"/>
      <c r="C143" s="182"/>
      <c r="E143" s="183"/>
      <c r="F143" s="229" t="str">
        <f>IF(OR(D143="",E143=""),"",ROUND(D143/LOOKUP(E143,SMMLV!$A$2:$A$36,SMMLV!$D$2:$D$104),3))</f>
        <v/>
      </c>
      <c r="K143" s="758"/>
      <c r="L143" s="189">
        <v>8</v>
      </c>
      <c r="M143" s="759" t="str">
        <f t="shared" si="13"/>
        <v>NO APLICA</v>
      </c>
      <c r="N143" s="759"/>
    </row>
    <row r="144" spans="2:14">
      <c r="B144" s="182"/>
      <c r="C144" s="182"/>
      <c r="E144" s="183"/>
      <c r="F144" s="229" t="str">
        <f>IF(OR(D144="",E144=""),"",ROUND(D144/LOOKUP(E144,SMMLV!$A$2:$A$36,SMMLV!$D$2:$D$104),3))</f>
        <v/>
      </c>
      <c r="K144" s="758"/>
      <c r="L144" s="189">
        <v>9</v>
      </c>
      <c r="M144" s="759" t="str">
        <f t="shared" si="13"/>
        <v>NO APLICA</v>
      </c>
      <c r="N144" s="759"/>
    </row>
    <row r="145" spans="2:14">
      <c r="B145" s="182"/>
      <c r="C145" s="182"/>
      <c r="E145" s="183"/>
      <c r="F145" s="229" t="str">
        <f>IF(OR(D145="",E145=""),"",ROUND(D145/LOOKUP(E145,SMMLV!$A$2:$A$36,SMMLV!$D$2:$D$104),3))</f>
        <v/>
      </c>
      <c r="K145" s="758"/>
      <c r="L145" s="189">
        <v>10</v>
      </c>
      <c r="M145" s="759" t="str">
        <f t="shared" si="13"/>
        <v>NO APLICA</v>
      </c>
      <c r="N145" s="759"/>
    </row>
    <row r="146" spans="2:14">
      <c r="B146" s="182"/>
      <c r="C146" s="182"/>
      <c r="E146" s="183"/>
      <c r="F146" s="229" t="str">
        <f>IF(OR(D146="",E146=""),"",ROUND(D146/LOOKUP(E146,SMMLV!$A$2:$A$36,SMMLV!$D$2:$D$104),3))</f>
        <v/>
      </c>
      <c r="K146" s="758">
        <v>15</v>
      </c>
      <c r="L146" s="189">
        <v>1</v>
      </c>
      <c r="M146" s="759" t="str">
        <f t="shared" ref="M146:M155" si="14">IF(SUMIFS($F$5:$F$1200,$B$5:$B$1200,$K$146,$C$5:$C$1200,$L146)=0,"NO APLICA",ROUND(SUMIFS($F$5:$F$1200,$B$5:$B$1200,$K$146,$C$5:$C$1200,$L146),3))</f>
        <v>NO APLICA</v>
      </c>
      <c r="N146" s="759"/>
    </row>
    <row r="147" spans="2:14">
      <c r="B147" s="182"/>
      <c r="C147" s="182"/>
      <c r="E147" s="183"/>
      <c r="F147" s="229" t="str">
        <f>IF(OR(D147="",E147=""),"",ROUND(D147/LOOKUP(E147,SMMLV!$A$2:$A$36,SMMLV!$D$2:$D$104),3))</f>
        <v/>
      </c>
      <c r="K147" s="758"/>
      <c r="L147" s="189">
        <v>2</v>
      </c>
      <c r="M147" s="759" t="str">
        <f t="shared" si="14"/>
        <v>NO APLICA</v>
      </c>
      <c r="N147" s="759"/>
    </row>
    <row r="148" spans="2:14">
      <c r="B148" s="182"/>
      <c r="C148" s="182"/>
      <c r="E148" s="183"/>
      <c r="F148" s="229" t="str">
        <f>IF(OR(D148="",E148=""),"",ROUND(D148/LOOKUP(E148,SMMLV!$A$2:$A$36,SMMLV!$D$2:$D$104),3))</f>
        <v/>
      </c>
      <c r="K148" s="758"/>
      <c r="L148" s="189">
        <v>3</v>
      </c>
      <c r="M148" s="759" t="str">
        <f t="shared" si="14"/>
        <v>NO APLICA</v>
      </c>
      <c r="N148" s="759"/>
    </row>
    <row r="149" spans="2:14">
      <c r="B149" s="182"/>
      <c r="C149" s="182"/>
      <c r="E149" s="183"/>
      <c r="F149" s="229" t="str">
        <f>IF(OR(D149="",E149=""),"",ROUND(D149/LOOKUP(E149,SMMLV!$A$2:$A$36,SMMLV!$D$2:$D$104),3))</f>
        <v/>
      </c>
      <c r="K149" s="758"/>
      <c r="L149" s="189">
        <v>4</v>
      </c>
      <c r="M149" s="759" t="str">
        <f t="shared" si="14"/>
        <v>NO APLICA</v>
      </c>
      <c r="N149" s="759"/>
    </row>
    <row r="150" spans="2:14">
      <c r="B150" s="182"/>
      <c r="C150" s="182"/>
      <c r="E150" s="183"/>
      <c r="F150" s="229" t="str">
        <f>IF(OR(D150="",E150=""),"",ROUND(D150/LOOKUP(E150,SMMLV!$A$2:$A$36,SMMLV!$D$2:$D$104),3))</f>
        <v/>
      </c>
      <c r="K150" s="758"/>
      <c r="L150" s="189">
        <v>5</v>
      </c>
      <c r="M150" s="759" t="str">
        <f t="shared" si="14"/>
        <v>NO APLICA</v>
      </c>
      <c r="N150" s="759"/>
    </row>
    <row r="151" spans="2:14">
      <c r="B151" s="182"/>
      <c r="C151" s="182"/>
      <c r="E151" s="183"/>
      <c r="F151" s="229" t="str">
        <f>IF(OR(D151="",E151=""),"",ROUND(D151/LOOKUP(E151,SMMLV!$A$2:$A$36,SMMLV!$D$2:$D$104),3))</f>
        <v/>
      </c>
      <c r="K151" s="758"/>
      <c r="L151" s="189">
        <v>6</v>
      </c>
      <c r="M151" s="759" t="str">
        <f t="shared" si="14"/>
        <v>NO APLICA</v>
      </c>
      <c r="N151" s="759"/>
    </row>
    <row r="152" spans="2:14">
      <c r="B152" s="182"/>
      <c r="C152" s="182"/>
      <c r="E152" s="183"/>
      <c r="F152" s="229" t="str">
        <f>IF(OR(D152="",E152=""),"",ROUND(D152/LOOKUP(E152,SMMLV!$A$2:$A$36,SMMLV!$D$2:$D$104),3))</f>
        <v/>
      </c>
      <c r="K152" s="758"/>
      <c r="L152" s="189">
        <v>7</v>
      </c>
      <c r="M152" s="759" t="str">
        <f t="shared" si="14"/>
        <v>NO APLICA</v>
      </c>
      <c r="N152" s="759"/>
    </row>
    <row r="153" spans="2:14">
      <c r="B153" s="182"/>
      <c r="C153" s="182"/>
      <c r="E153" s="183"/>
      <c r="F153" s="229" t="str">
        <f>IF(OR(D153="",E153=""),"",ROUND(D153/LOOKUP(E153,SMMLV!$A$2:$A$36,SMMLV!$D$2:$D$104),3))</f>
        <v/>
      </c>
      <c r="K153" s="758"/>
      <c r="L153" s="189">
        <v>8</v>
      </c>
      <c r="M153" s="759" t="str">
        <f t="shared" si="14"/>
        <v>NO APLICA</v>
      </c>
      <c r="N153" s="759"/>
    </row>
    <row r="154" spans="2:14">
      <c r="B154" s="182"/>
      <c r="C154" s="182"/>
      <c r="E154" s="183"/>
      <c r="F154" s="229" t="str">
        <f>IF(OR(D154="",E154=""),"",ROUND(D154/LOOKUP(E154,SMMLV!$A$2:$A$36,SMMLV!$D$2:$D$104),3))</f>
        <v/>
      </c>
      <c r="K154" s="758"/>
      <c r="L154" s="189">
        <v>9</v>
      </c>
      <c r="M154" s="759" t="str">
        <f t="shared" si="14"/>
        <v>NO APLICA</v>
      </c>
      <c r="N154" s="759"/>
    </row>
    <row r="155" spans="2:14">
      <c r="B155" s="182"/>
      <c r="C155" s="182"/>
      <c r="E155" s="183"/>
      <c r="F155" s="229" t="str">
        <f>IF(OR(D155="",E155=""),"",ROUND(D155/LOOKUP(E155,SMMLV!$A$2:$A$36,SMMLV!$D$2:$D$104),3))</f>
        <v/>
      </c>
      <c r="K155" s="758"/>
      <c r="L155" s="189">
        <v>10</v>
      </c>
      <c r="M155" s="759" t="str">
        <f t="shared" si="14"/>
        <v>NO APLICA</v>
      </c>
      <c r="N155" s="759"/>
    </row>
    <row r="156" spans="2:14">
      <c r="B156" s="182"/>
      <c r="C156" s="182"/>
      <c r="E156" s="183"/>
      <c r="F156" s="229" t="str">
        <f>IF(OR(D156="",E156=""),"",ROUND(D156/LOOKUP(E156,SMMLV!$A$2:$A$36,SMMLV!$D$2:$D$104),3))</f>
        <v/>
      </c>
      <c r="K156" s="758">
        <v>16</v>
      </c>
      <c r="L156" s="189">
        <v>1</v>
      </c>
      <c r="M156" s="759" t="str">
        <f t="shared" ref="M156:M165" si="15">IF(SUMIFS($F$5:$F$1200,$B$5:$B$1200,$K$156,$C$5:$C$1200,$L156)=0,"NO APLICA",ROUND(SUMIFS($F$5:$F$1200,$B$5:$B$1200,$K$156,$C$5:$C$1200,$L156),3))</f>
        <v>NO APLICA</v>
      </c>
      <c r="N156" s="759"/>
    </row>
    <row r="157" spans="2:14">
      <c r="B157" s="182"/>
      <c r="C157" s="182"/>
      <c r="E157" s="183"/>
      <c r="F157" s="229" t="str">
        <f>IF(OR(D157="",E157=""),"",ROUND(D157/LOOKUP(E157,SMMLV!$A$2:$A$36,SMMLV!$D$2:$D$104),3))</f>
        <v/>
      </c>
      <c r="K157" s="758"/>
      <c r="L157" s="189">
        <v>2</v>
      </c>
      <c r="M157" s="759" t="str">
        <f t="shared" si="15"/>
        <v>NO APLICA</v>
      </c>
      <c r="N157" s="759"/>
    </row>
    <row r="158" spans="2:14">
      <c r="B158" s="182"/>
      <c r="C158" s="182"/>
      <c r="E158" s="183"/>
      <c r="F158" s="229" t="str">
        <f>IF(OR(D158="",E158=""),"",ROUND(D158/LOOKUP(E158,SMMLV!$A$2:$A$36,SMMLV!$D$2:$D$104),3))</f>
        <v/>
      </c>
      <c r="K158" s="758"/>
      <c r="L158" s="189">
        <v>3</v>
      </c>
      <c r="M158" s="759" t="str">
        <f t="shared" si="15"/>
        <v>NO APLICA</v>
      </c>
      <c r="N158" s="759"/>
    </row>
    <row r="159" spans="2:14">
      <c r="B159" s="182"/>
      <c r="C159" s="182"/>
      <c r="E159" s="183"/>
      <c r="F159" s="229" t="str">
        <f>IF(OR(D159="",E159=""),"",ROUND(D159/LOOKUP(E159,SMMLV!$A$2:$A$36,SMMLV!$D$2:$D$104),3))</f>
        <v/>
      </c>
      <c r="K159" s="758"/>
      <c r="L159" s="189">
        <v>4</v>
      </c>
      <c r="M159" s="759" t="str">
        <f t="shared" si="15"/>
        <v>NO APLICA</v>
      </c>
      <c r="N159" s="759"/>
    </row>
    <row r="160" spans="2:14">
      <c r="B160" s="182"/>
      <c r="C160" s="182"/>
      <c r="E160" s="183"/>
      <c r="F160" s="229" t="str">
        <f>IF(OR(D160="",E160=""),"",ROUND(D160/LOOKUP(E160,SMMLV!$A$2:$A$36,SMMLV!$D$2:$D$104),3))</f>
        <v/>
      </c>
      <c r="K160" s="758"/>
      <c r="L160" s="189">
        <v>5</v>
      </c>
      <c r="M160" s="759" t="str">
        <f t="shared" si="15"/>
        <v>NO APLICA</v>
      </c>
      <c r="N160" s="759"/>
    </row>
    <row r="161" spans="2:14">
      <c r="B161" s="182"/>
      <c r="C161" s="182"/>
      <c r="E161" s="183"/>
      <c r="F161" s="229" t="str">
        <f>IF(OR(D161="",E161=""),"",ROUND(D161/LOOKUP(E161,SMMLV!$A$2:$A$36,SMMLV!$D$2:$D$104),3))</f>
        <v/>
      </c>
      <c r="K161" s="758"/>
      <c r="L161" s="189">
        <v>6</v>
      </c>
      <c r="M161" s="759" t="str">
        <f t="shared" si="15"/>
        <v>NO APLICA</v>
      </c>
      <c r="N161" s="759"/>
    </row>
    <row r="162" spans="2:14">
      <c r="B162" s="182"/>
      <c r="C162" s="182"/>
      <c r="E162" s="183"/>
      <c r="F162" s="229" t="str">
        <f>IF(OR(D162="",E162=""),"",ROUND(D162/LOOKUP(E162,SMMLV!$A$2:$A$36,SMMLV!$D$2:$D$104),3))</f>
        <v/>
      </c>
      <c r="K162" s="758"/>
      <c r="L162" s="189">
        <v>7</v>
      </c>
      <c r="M162" s="759" t="str">
        <f t="shared" si="15"/>
        <v>NO APLICA</v>
      </c>
      <c r="N162" s="759"/>
    </row>
    <row r="163" spans="2:14">
      <c r="B163" s="182"/>
      <c r="C163" s="182"/>
      <c r="E163" s="183"/>
      <c r="F163" s="229" t="str">
        <f>IF(OR(D163="",E163=""),"",ROUND(D163/LOOKUP(E163,SMMLV!$A$2:$A$36,SMMLV!$D$2:$D$104),3))</f>
        <v/>
      </c>
      <c r="K163" s="758"/>
      <c r="L163" s="189">
        <v>8</v>
      </c>
      <c r="M163" s="759" t="str">
        <f t="shared" si="15"/>
        <v>NO APLICA</v>
      </c>
      <c r="N163" s="759"/>
    </row>
    <row r="164" spans="2:14">
      <c r="B164" s="182"/>
      <c r="C164" s="182"/>
      <c r="E164" s="183"/>
      <c r="F164" s="229" t="str">
        <f>IF(OR(D164="",E164=""),"",ROUND(D164/LOOKUP(E164,SMMLV!$A$2:$A$36,SMMLV!$D$2:$D$104),3))</f>
        <v/>
      </c>
      <c r="K164" s="758"/>
      <c r="L164" s="189">
        <v>9</v>
      </c>
      <c r="M164" s="759" t="str">
        <f t="shared" si="15"/>
        <v>NO APLICA</v>
      </c>
      <c r="N164" s="759"/>
    </row>
    <row r="165" spans="2:14">
      <c r="B165" s="182"/>
      <c r="C165" s="182"/>
      <c r="E165" s="183"/>
      <c r="F165" s="229" t="str">
        <f>IF(OR(D165="",E165=""),"",ROUND(D165/LOOKUP(E165,SMMLV!$A$2:$A$36,SMMLV!$D$2:$D$104),3))</f>
        <v/>
      </c>
      <c r="K165" s="758"/>
      <c r="L165" s="189">
        <v>10</v>
      </c>
      <c r="M165" s="759" t="str">
        <f t="shared" si="15"/>
        <v>NO APLICA</v>
      </c>
      <c r="N165" s="759"/>
    </row>
    <row r="166" spans="2:14">
      <c r="B166" s="182"/>
      <c r="C166" s="182"/>
      <c r="E166" s="183"/>
      <c r="F166" s="229" t="str">
        <f>IF(OR(D166="",E166=""),"",ROUND(D166/LOOKUP(E166,SMMLV!$A$2:$A$36,SMMLV!$D$2:$D$104),3))</f>
        <v/>
      </c>
      <c r="K166" s="758">
        <v>17</v>
      </c>
      <c r="L166" s="189">
        <v>1</v>
      </c>
      <c r="M166" s="759" t="str">
        <f t="shared" ref="M166:M175" si="16">IF(SUMIFS($F$5:$F$1200,$B$5:$B$1200,$K$166,$C$5:$C$1200,$L166)=0,"NO APLICA",ROUND(SUMIFS($F$5:$F$1200,$B$5:$B$1200,$K$166,$C$5:$C$1200,$L166),3))</f>
        <v>NO APLICA</v>
      </c>
      <c r="N166" s="759"/>
    </row>
    <row r="167" spans="2:14">
      <c r="B167" s="182"/>
      <c r="C167" s="182"/>
      <c r="E167" s="183"/>
      <c r="F167" s="229" t="str">
        <f>IF(OR(D167="",E167=""),"",ROUND(D167/LOOKUP(E167,SMMLV!$A$2:$A$36,SMMLV!$D$2:$D$104),3))</f>
        <v/>
      </c>
      <c r="K167" s="758"/>
      <c r="L167" s="189">
        <v>2</v>
      </c>
      <c r="M167" s="759" t="str">
        <f t="shared" si="16"/>
        <v>NO APLICA</v>
      </c>
      <c r="N167" s="759"/>
    </row>
    <row r="168" spans="2:14">
      <c r="B168" s="182"/>
      <c r="C168" s="182"/>
      <c r="E168" s="183"/>
      <c r="F168" s="229" t="str">
        <f>IF(OR(D168="",E168=""),"",ROUND(D168/LOOKUP(E168,SMMLV!$A$2:$A$36,SMMLV!$D$2:$D$104),3))</f>
        <v/>
      </c>
      <c r="K168" s="758"/>
      <c r="L168" s="189">
        <v>3</v>
      </c>
      <c r="M168" s="759" t="str">
        <f t="shared" si="16"/>
        <v>NO APLICA</v>
      </c>
      <c r="N168" s="759"/>
    </row>
    <row r="169" spans="2:14">
      <c r="B169" s="182"/>
      <c r="C169" s="182"/>
      <c r="E169" s="183"/>
      <c r="F169" s="229" t="str">
        <f>IF(OR(D169="",E169=""),"",ROUND(D169/LOOKUP(E169,SMMLV!$A$2:$A$36,SMMLV!$D$2:$D$104),3))</f>
        <v/>
      </c>
      <c r="K169" s="758"/>
      <c r="L169" s="189">
        <v>4</v>
      </c>
      <c r="M169" s="759" t="str">
        <f t="shared" si="16"/>
        <v>NO APLICA</v>
      </c>
      <c r="N169" s="759"/>
    </row>
    <row r="170" spans="2:14">
      <c r="B170" s="182"/>
      <c r="C170" s="182"/>
      <c r="E170" s="183"/>
      <c r="F170" s="229" t="str">
        <f>IF(OR(D170="",E170=""),"",ROUND(D170/LOOKUP(E170,SMMLV!$A$2:$A$36,SMMLV!$D$2:$D$104),3))</f>
        <v/>
      </c>
      <c r="K170" s="758"/>
      <c r="L170" s="189">
        <v>5</v>
      </c>
      <c r="M170" s="759" t="str">
        <f t="shared" si="16"/>
        <v>NO APLICA</v>
      </c>
      <c r="N170" s="759"/>
    </row>
    <row r="171" spans="2:14">
      <c r="B171" s="182"/>
      <c r="C171" s="182"/>
      <c r="E171" s="183"/>
      <c r="F171" s="229" t="str">
        <f>IF(OR(D171="",E171=""),"",ROUND(D171/LOOKUP(E171,SMMLV!$A$2:$A$36,SMMLV!$D$2:$D$104),3))</f>
        <v/>
      </c>
      <c r="K171" s="758"/>
      <c r="L171" s="189">
        <v>6</v>
      </c>
      <c r="M171" s="759" t="str">
        <f t="shared" si="16"/>
        <v>NO APLICA</v>
      </c>
      <c r="N171" s="759"/>
    </row>
    <row r="172" spans="2:14">
      <c r="B172" s="182"/>
      <c r="C172" s="182"/>
      <c r="E172" s="183"/>
      <c r="F172" s="229" t="str">
        <f>IF(OR(D172="",E172=""),"",ROUND(D172/LOOKUP(E172,SMMLV!$A$2:$A$36,SMMLV!$D$2:$D$104),3))</f>
        <v/>
      </c>
      <c r="K172" s="758"/>
      <c r="L172" s="189">
        <v>7</v>
      </c>
      <c r="M172" s="759" t="str">
        <f t="shared" si="16"/>
        <v>NO APLICA</v>
      </c>
      <c r="N172" s="759"/>
    </row>
    <row r="173" spans="2:14">
      <c r="B173" s="182"/>
      <c r="C173" s="182"/>
      <c r="E173" s="183"/>
      <c r="F173" s="229" t="str">
        <f>IF(OR(D173="",E173=""),"",ROUND(D173/LOOKUP(E173,SMMLV!$A$2:$A$36,SMMLV!$D$2:$D$104),3))</f>
        <v/>
      </c>
      <c r="K173" s="758"/>
      <c r="L173" s="189">
        <v>8</v>
      </c>
      <c r="M173" s="759" t="str">
        <f t="shared" si="16"/>
        <v>NO APLICA</v>
      </c>
      <c r="N173" s="759"/>
    </row>
    <row r="174" spans="2:14">
      <c r="B174" s="182"/>
      <c r="C174" s="182"/>
      <c r="E174" s="183"/>
      <c r="F174" s="229" t="str">
        <f>IF(OR(D174="",E174=""),"",ROUND(D174/LOOKUP(E174,SMMLV!$A$2:$A$36,SMMLV!$D$2:$D$104),3))</f>
        <v/>
      </c>
      <c r="K174" s="758"/>
      <c r="L174" s="189">
        <v>9</v>
      </c>
      <c r="M174" s="759" t="str">
        <f t="shared" si="16"/>
        <v>NO APLICA</v>
      </c>
      <c r="N174" s="759"/>
    </row>
    <row r="175" spans="2:14">
      <c r="B175" s="182"/>
      <c r="C175" s="182"/>
      <c r="E175" s="183"/>
      <c r="F175" s="229" t="str">
        <f>IF(OR(D175="",E175=""),"",ROUND(D175/LOOKUP(E175,SMMLV!$A$2:$A$36,SMMLV!$D$2:$D$104),3))</f>
        <v/>
      </c>
      <c r="K175" s="758"/>
      <c r="L175" s="189">
        <v>10</v>
      </c>
      <c r="M175" s="759" t="str">
        <f t="shared" si="16"/>
        <v>NO APLICA</v>
      </c>
      <c r="N175" s="759"/>
    </row>
    <row r="176" spans="2:14">
      <c r="B176" s="182"/>
      <c r="C176" s="182"/>
      <c r="E176" s="183"/>
      <c r="F176" s="229" t="str">
        <f>IF(OR(D176="",E176=""),"",ROUND(D176/LOOKUP(E176,SMMLV!$A$2:$A$36,SMMLV!$D$2:$D$104),3))</f>
        <v/>
      </c>
      <c r="K176" s="758">
        <v>18</v>
      </c>
      <c r="L176" s="189">
        <v>1</v>
      </c>
      <c r="M176" s="759" t="str">
        <f t="shared" ref="M176:M185" si="17">IF(SUMIFS($F$5:$F$1200,$B$5:$B$1200,$K$176,$C$5:$C$1200,$L176)=0,"NO APLICA",ROUND(SUMIFS($F$5:$F$1200,$B$5:$B$1200,$K$176,$C$5:$C$1200,$L176),3))</f>
        <v>NO APLICA</v>
      </c>
      <c r="N176" s="759"/>
    </row>
    <row r="177" spans="2:14">
      <c r="B177" s="182"/>
      <c r="C177" s="182"/>
      <c r="E177" s="183"/>
      <c r="F177" s="229" t="str">
        <f>IF(OR(D177="",E177=""),"",ROUND(D177/LOOKUP(E177,SMMLV!$A$2:$A$36,SMMLV!$D$2:$D$104),3))</f>
        <v/>
      </c>
      <c r="K177" s="758"/>
      <c r="L177" s="189">
        <v>2</v>
      </c>
      <c r="M177" s="759" t="str">
        <f t="shared" si="17"/>
        <v>NO APLICA</v>
      </c>
      <c r="N177" s="759"/>
    </row>
    <row r="178" spans="2:14">
      <c r="B178" s="182"/>
      <c r="C178" s="182"/>
      <c r="E178" s="183"/>
      <c r="F178" s="229" t="str">
        <f>IF(OR(D178="",E178=""),"",ROUND(D178/LOOKUP(E178,SMMLV!$A$2:$A$36,SMMLV!$D$2:$D$104),3))</f>
        <v/>
      </c>
      <c r="K178" s="758"/>
      <c r="L178" s="189">
        <v>3</v>
      </c>
      <c r="M178" s="759" t="str">
        <f t="shared" si="17"/>
        <v>NO APLICA</v>
      </c>
      <c r="N178" s="759"/>
    </row>
    <row r="179" spans="2:14">
      <c r="B179" s="182"/>
      <c r="C179" s="182"/>
      <c r="E179" s="183"/>
      <c r="F179" s="229" t="str">
        <f>IF(OR(D179="",E179=""),"",ROUND(D179/LOOKUP(E179,SMMLV!$A$2:$A$36,SMMLV!$D$2:$D$104),3))</f>
        <v/>
      </c>
      <c r="K179" s="758"/>
      <c r="L179" s="189">
        <v>4</v>
      </c>
      <c r="M179" s="759" t="str">
        <f t="shared" si="17"/>
        <v>NO APLICA</v>
      </c>
      <c r="N179" s="759"/>
    </row>
    <row r="180" spans="2:14">
      <c r="B180" s="182"/>
      <c r="C180" s="182"/>
      <c r="E180" s="183"/>
      <c r="F180" s="229" t="str">
        <f>IF(OR(D180="",E180=""),"",ROUND(D180/LOOKUP(E180,SMMLV!$A$2:$A$36,SMMLV!$D$2:$D$104),3))</f>
        <v/>
      </c>
      <c r="K180" s="758"/>
      <c r="L180" s="189">
        <v>5</v>
      </c>
      <c r="M180" s="759" t="str">
        <f t="shared" si="17"/>
        <v>NO APLICA</v>
      </c>
      <c r="N180" s="759"/>
    </row>
    <row r="181" spans="2:14">
      <c r="B181" s="182"/>
      <c r="C181" s="182"/>
      <c r="E181" s="183"/>
      <c r="F181" s="229" t="str">
        <f>IF(OR(D181="",E181=""),"",ROUND(D181/LOOKUP(E181,SMMLV!$A$2:$A$36,SMMLV!$D$2:$D$104),3))</f>
        <v/>
      </c>
      <c r="K181" s="758"/>
      <c r="L181" s="189">
        <v>6</v>
      </c>
      <c r="M181" s="759" t="str">
        <f t="shared" si="17"/>
        <v>NO APLICA</v>
      </c>
      <c r="N181" s="759"/>
    </row>
    <row r="182" spans="2:14">
      <c r="B182" s="182"/>
      <c r="C182" s="182"/>
      <c r="E182" s="183"/>
      <c r="F182" s="229" t="str">
        <f>IF(OR(D182="",E182=""),"",ROUND(D182/LOOKUP(E182,SMMLV!$A$2:$A$36,SMMLV!$D$2:$D$104),3))</f>
        <v/>
      </c>
      <c r="K182" s="758"/>
      <c r="L182" s="189">
        <v>7</v>
      </c>
      <c r="M182" s="759" t="str">
        <f t="shared" si="17"/>
        <v>NO APLICA</v>
      </c>
      <c r="N182" s="759"/>
    </row>
    <row r="183" spans="2:14">
      <c r="B183" s="182"/>
      <c r="C183" s="182"/>
      <c r="E183" s="183"/>
      <c r="F183" s="229" t="str">
        <f>IF(OR(D183="",E183=""),"",ROUND(D183/LOOKUP(E183,SMMLV!$A$2:$A$36,SMMLV!$D$2:$D$104),3))</f>
        <v/>
      </c>
      <c r="K183" s="758"/>
      <c r="L183" s="189">
        <v>8</v>
      </c>
      <c r="M183" s="759" t="str">
        <f t="shared" si="17"/>
        <v>NO APLICA</v>
      </c>
      <c r="N183" s="759"/>
    </row>
    <row r="184" spans="2:14">
      <c r="B184" s="182"/>
      <c r="C184" s="182"/>
      <c r="E184" s="183"/>
      <c r="F184" s="229" t="str">
        <f>IF(OR(D184="",E184=""),"",ROUND(D184/LOOKUP(E184,SMMLV!$A$2:$A$36,SMMLV!$D$2:$D$104),3))</f>
        <v/>
      </c>
      <c r="K184" s="758"/>
      <c r="L184" s="189">
        <v>9</v>
      </c>
      <c r="M184" s="759" t="str">
        <f t="shared" si="17"/>
        <v>NO APLICA</v>
      </c>
      <c r="N184" s="759"/>
    </row>
    <row r="185" spans="2:14">
      <c r="B185" s="182"/>
      <c r="C185" s="182"/>
      <c r="E185" s="183"/>
      <c r="F185" s="229" t="str">
        <f>IF(OR(D185="",E185=""),"",ROUND(D185/LOOKUP(E185,SMMLV!$A$2:$A$36,SMMLV!$D$2:$D$104),3))</f>
        <v/>
      </c>
      <c r="K185" s="758"/>
      <c r="L185" s="189">
        <v>10</v>
      </c>
      <c r="M185" s="759" t="str">
        <f t="shared" si="17"/>
        <v>NO APLICA</v>
      </c>
      <c r="N185" s="759"/>
    </row>
    <row r="186" spans="2:14">
      <c r="B186" s="182"/>
      <c r="C186" s="182"/>
      <c r="E186" s="183"/>
      <c r="F186" s="229" t="str">
        <f>IF(OR(D186="",E186=""),"",ROUND(D186/LOOKUP(E186,SMMLV!$A$2:$A$36,SMMLV!$D$2:$D$104),3))</f>
        <v/>
      </c>
      <c r="K186" s="758">
        <v>19</v>
      </c>
      <c r="L186" s="189">
        <v>1</v>
      </c>
      <c r="M186" s="759" t="str">
        <f t="shared" ref="M186:M195" si="18">IF(SUMIFS($F$5:$F$1200,$B$5:$B$1200,$K$186,$C$5:$C$1200,$L186)=0,"NO APLICA",ROUND(SUMIFS($F$5:$F$1200,$B$5:$B$1200,$K$186,$C$5:$C$1200,$L186),3))</f>
        <v>NO APLICA</v>
      </c>
      <c r="N186" s="759"/>
    </row>
    <row r="187" spans="2:14">
      <c r="B187" s="182"/>
      <c r="C187" s="182"/>
      <c r="E187" s="183"/>
      <c r="F187" s="229" t="str">
        <f>IF(OR(D187="",E187=""),"",ROUND(D187/LOOKUP(E187,SMMLV!$A$2:$A$36,SMMLV!$D$2:$D$104),3))</f>
        <v/>
      </c>
      <c r="K187" s="758"/>
      <c r="L187" s="189">
        <v>2</v>
      </c>
      <c r="M187" s="759" t="str">
        <f t="shared" si="18"/>
        <v>NO APLICA</v>
      </c>
      <c r="N187" s="759"/>
    </row>
    <row r="188" spans="2:14">
      <c r="B188" s="182"/>
      <c r="C188" s="182"/>
      <c r="E188" s="183"/>
      <c r="F188" s="229" t="str">
        <f>IF(OR(D188="",E188=""),"",ROUND(D188/LOOKUP(E188,SMMLV!$A$2:$A$36,SMMLV!$D$2:$D$104),3))</f>
        <v/>
      </c>
      <c r="K188" s="758"/>
      <c r="L188" s="189">
        <v>3</v>
      </c>
      <c r="M188" s="759" t="str">
        <f t="shared" si="18"/>
        <v>NO APLICA</v>
      </c>
      <c r="N188" s="759"/>
    </row>
    <row r="189" spans="2:14">
      <c r="B189" s="182"/>
      <c r="C189" s="182"/>
      <c r="E189" s="183"/>
      <c r="F189" s="229" t="str">
        <f>IF(OR(D189="",E189=""),"",ROUND(D189/LOOKUP(E189,SMMLV!$A$2:$A$36,SMMLV!$D$2:$D$104),3))</f>
        <v/>
      </c>
      <c r="K189" s="758"/>
      <c r="L189" s="189">
        <v>4</v>
      </c>
      <c r="M189" s="759" t="str">
        <f t="shared" si="18"/>
        <v>NO APLICA</v>
      </c>
      <c r="N189" s="759"/>
    </row>
    <row r="190" spans="2:14">
      <c r="B190" s="182"/>
      <c r="C190" s="182"/>
      <c r="E190" s="183"/>
      <c r="F190" s="229" t="str">
        <f>IF(OR(D190="",E190=""),"",ROUND(D190/LOOKUP(E190,SMMLV!$A$2:$A$36,SMMLV!$D$2:$D$104),3))</f>
        <v/>
      </c>
      <c r="K190" s="758"/>
      <c r="L190" s="189">
        <v>5</v>
      </c>
      <c r="M190" s="759" t="str">
        <f t="shared" si="18"/>
        <v>NO APLICA</v>
      </c>
      <c r="N190" s="759"/>
    </row>
    <row r="191" spans="2:14">
      <c r="B191" s="182"/>
      <c r="C191" s="182"/>
      <c r="E191" s="183"/>
      <c r="F191" s="229" t="str">
        <f>IF(OR(D191="",E191=""),"",ROUND(D191/LOOKUP(E191,SMMLV!$A$2:$A$36,SMMLV!$D$2:$D$104),3))</f>
        <v/>
      </c>
      <c r="K191" s="758"/>
      <c r="L191" s="189">
        <v>6</v>
      </c>
      <c r="M191" s="759" t="str">
        <f t="shared" si="18"/>
        <v>NO APLICA</v>
      </c>
      <c r="N191" s="759"/>
    </row>
    <row r="192" spans="2:14">
      <c r="B192" s="182"/>
      <c r="C192" s="182"/>
      <c r="E192" s="183"/>
      <c r="F192" s="229" t="str">
        <f>IF(OR(D192="",E192=""),"",ROUND(D192/LOOKUP(E192,SMMLV!$A$2:$A$36,SMMLV!$D$2:$D$104),3))</f>
        <v/>
      </c>
      <c r="K192" s="758"/>
      <c r="L192" s="189">
        <v>7</v>
      </c>
      <c r="M192" s="759" t="str">
        <f t="shared" si="18"/>
        <v>NO APLICA</v>
      </c>
      <c r="N192" s="759"/>
    </row>
    <row r="193" spans="2:14">
      <c r="B193" s="182"/>
      <c r="C193" s="182"/>
      <c r="E193" s="183"/>
      <c r="F193" s="229" t="str">
        <f>IF(OR(D193="",E193=""),"",ROUND(D193/LOOKUP(E193,SMMLV!$A$2:$A$36,SMMLV!$D$2:$D$104),3))</f>
        <v/>
      </c>
      <c r="K193" s="758"/>
      <c r="L193" s="189">
        <v>8</v>
      </c>
      <c r="M193" s="759" t="str">
        <f t="shared" si="18"/>
        <v>NO APLICA</v>
      </c>
      <c r="N193" s="759"/>
    </row>
    <row r="194" spans="2:14">
      <c r="B194" s="182"/>
      <c r="C194" s="182"/>
      <c r="E194" s="183"/>
      <c r="F194" s="229" t="str">
        <f>IF(OR(D194="",E194=""),"",ROUND(D194/LOOKUP(E194,SMMLV!$A$2:$A$36,SMMLV!$D$2:$D$104),3))</f>
        <v/>
      </c>
      <c r="K194" s="758"/>
      <c r="L194" s="189">
        <v>9</v>
      </c>
      <c r="M194" s="759" t="str">
        <f t="shared" si="18"/>
        <v>NO APLICA</v>
      </c>
      <c r="N194" s="759"/>
    </row>
    <row r="195" spans="2:14">
      <c r="B195" s="182"/>
      <c r="C195" s="182"/>
      <c r="E195" s="183"/>
      <c r="F195" s="229" t="str">
        <f>IF(OR(D195="",E195=""),"",ROUND(D195/LOOKUP(E195,SMMLV!$A$2:$A$36,SMMLV!$D$2:$D$104),3))</f>
        <v/>
      </c>
      <c r="K195" s="758"/>
      <c r="L195" s="189">
        <v>10</v>
      </c>
      <c r="M195" s="759" t="str">
        <f t="shared" si="18"/>
        <v>NO APLICA</v>
      </c>
      <c r="N195" s="759"/>
    </row>
    <row r="196" spans="2:14">
      <c r="B196" s="182"/>
      <c r="C196" s="182"/>
      <c r="E196" s="183"/>
      <c r="F196" s="229" t="str">
        <f>IF(OR(D196="",E196=""),"",ROUND(D196/LOOKUP(E196,SMMLV!$A$2:$A$36,SMMLV!$D$2:$D$104),3))</f>
        <v/>
      </c>
      <c r="K196" s="758">
        <v>20</v>
      </c>
      <c r="L196" s="189">
        <v>1</v>
      </c>
      <c r="M196" s="759" t="str">
        <f t="shared" ref="M196:M205" si="19">IF(SUMIFS($F$5:$F$1200,$B$5:$B$1200,$K$196,$C$5:$C$1200,$L196)=0,"NO APLICA",ROUND(SUMIFS($F$5:$F$1200,$B$5:$B$1200,$K$196,$C$5:$C$1200,$L196),3))</f>
        <v>NO APLICA</v>
      </c>
      <c r="N196" s="759"/>
    </row>
    <row r="197" spans="2:14">
      <c r="B197" s="182"/>
      <c r="C197" s="182"/>
      <c r="E197" s="183"/>
      <c r="F197" s="229" t="str">
        <f>IF(OR(D197="",E197=""),"",ROUND(D197/LOOKUP(E197,SMMLV!$A$2:$A$36,SMMLV!$D$2:$D$104),3))</f>
        <v/>
      </c>
      <c r="K197" s="758"/>
      <c r="L197" s="189">
        <v>2</v>
      </c>
      <c r="M197" s="759" t="str">
        <f t="shared" si="19"/>
        <v>NO APLICA</v>
      </c>
      <c r="N197" s="759"/>
    </row>
    <row r="198" spans="2:14">
      <c r="B198" s="182"/>
      <c r="C198" s="182"/>
      <c r="E198" s="183"/>
      <c r="F198" s="229" t="str">
        <f>IF(OR(D198="",E198=""),"",ROUND(D198/LOOKUP(E198,SMMLV!$A$2:$A$36,SMMLV!$D$2:$D$104),3))</f>
        <v/>
      </c>
      <c r="K198" s="758"/>
      <c r="L198" s="189">
        <v>3</v>
      </c>
      <c r="M198" s="759" t="str">
        <f t="shared" si="19"/>
        <v>NO APLICA</v>
      </c>
      <c r="N198" s="759"/>
    </row>
    <row r="199" spans="2:14">
      <c r="B199" s="182"/>
      <c r="C199" s="182"/>
      <c r="E199" s="183"/>
      <c r="F199" s="229" t="str">
        <f>IF(OR(D199="",E199=""),"",ROUND(D199/LOOKUP(E199,SMMLV!$A$2:$A$36,SMMLV!$D$2:$D$104),3))</f>
        <v/>
      </c>
      <c r="K199" s="758"/>
      <c r="L199" s="189">
        <v>4</v>
      </c>
      <c r="M199" s="759" t="str">
        <f t="shared" si="19"/>
        <v>NO APLICA</v>
      </c>
      <c r="N199" s="759"/>
    </row>
    <row r="200" spans="2:14">
      <c r="B200" s="182"/>
      <c r="C200" s="182"/>
      <c r="E200" s="183"/>
      <c r="F200" s="229" t="str">
        <f>IF(OR(D200="",E200=""),"",ROUND(D200/LOOKUP(E200,SMMLV!$A$2:$A$36,SMMLV!$D$2:$D$104),3))</f>
        <v/>
      </c>
      <c r="K200" s="758"/>
      <c r="L200" s="189">
        <v>5</v>
      </c>
      <c r="M200" s="759" t="str">
        <f t="shared" si="19"/>
        <v>NO APLICA</v>
      </c>
      <c r="N200" s="759"/>
    </row>
    <row r="201" spans="2:14">
      <c r="B201" s="182"/>
      <c r="C201" s="182"/>
      <c r="E201" s="183"/>
      <c r="F201" s="229" t="str">
        <f>IF(OR(D201="",E201=""),"",ROUND(D201/LOOKUP(E201,SMMLV!$A$2:$A$36,SMMLV!$D$2:$D$104),3))</f>
        <v/>
      </c>
      <c r="K201" s="758"/>
      <c r="L201" s="189">
        <v>6</v>
      </c>
      <c r="M201" s="759" t="str">
        <f t="shared" si="19"/>
        <v>NO APLICA</v>
      </c>
      <c r="N201" s="759"/>
    </row>
    <row r="202" spans="2:14">
      <c r="B202" s="182"/>
      <c r="C202" s="182"/>
      <c r="E202" s="183"/>
      <c r="F202" s="229" t="str">
        <f>IF(OR(D202="",E202=""),"",ROUND(D202/LOOKUP(E202,SMMLV!$A$2:$A$36,SMMLV!$D$2:$D$104),3))</f>
        <v/>
      </c>
      <c r="K202" s="758"/>
      <c r="L202" s="189">
        <v>7</v>
      </c>
      <c r="M202" s="759" t="str">
        <f t="shared" si="19"/>
        <v>NO APLICA</v>
      </c>
      <c r="N202" s="759"/>
    </row>
    <row r="203" spans="2:14">
      <c r="B203" s="182"/>
      <c r="C203" s="182"/>
      <c r="E203" s="183"/>
      <c r="F203" s="229" t="str">
        <f>IF(OR(D203="",E203=""),"",ROUND(D203/LOOKUP(E203,SMMLV!$A$2:$A$36,SMMLV!$D$2:$D$104),3))</f>
        <v/>
      </c>
      <c r="K203" s="758"/>
      <c r="L203" s="189">
        <v>8</v>
      </c>
      <c r="M203" s="759" t="str">
        <f t="shared" si="19"/>
        <v>NO APLICA</v>
      </c>
      <c r="N203" s="759"/>
    </row>
    <row r="204" spans="2:14">
      <c r="B204" s="182"/>
      <c r="C204" s="182"/>
      <c r="E204" s="183"/>
      <c r="F204" s="229" t="str">
        <f>IF(OR(D204="",E204=""),"",ROUND(D204/LOOKUP(E204,SMMLV!$A$2:$A$36,SMMLV!$D$2:$D$104),3))</f>
        <v/>
      </c>
      <c r="K204" s="758"/>
      <c r="L204" s="189">
        <v>9</v>
      </c>
      <c r="M204" s="759" t="str">
        <f t="shared" si="19"/>
        <v>NO APLICA</v>
      </c>
      <c r="N204" s="759"/>
    </row>
    <row r="205" spans="2:14">
      <c r="B205" s="182"/>
      <c r="C205" s="182"/>
      <c r="E205" s="183"/>
      <c r="F205" s="229" t="str">
        <f>IF(OR(D205="",E205=""),"",ROUND(D205/LOOKUP(E205,SMMLV!$A$2:$A$36,SMMLV!$D$2:$D$104),3))</f>
        <v/>
      </c>
      <c r="K205" s="758"/>
      <c r="L205" s="189">
        <v>10</v>
      </c>
      <c r="M205" s="759" t="str">
        <f t="shared" si="19"/>
        <v>NO APLICA</v>
      </c>
      <c r="N205" s="759"/>
    </row>
    <row r="206" spans="2:14">
      <c r="B206" s="182"/>
      <c r="C206" s="182"/>
      <c r="E206" s="183"/>
      <c r="F206" s="229" t="str">
        <f>IF(OR(D206="",E206=""),"",ROUND(D206/LOOKUP(E206,SMMLV!$A$2:$A$36,SMMLV!$D$2:$D$104),3))</f>
        <v/>
      </c>
      <c r="K206" s="758">
        <v>21</v>
      </c>
      <c r="L206" s="189">
        <v>1</v>
      </c>
      <c r="M206" s="759" t="str">
        <f t="shared" ref="M206:M215" si="20">IF(SUMIFS($F$5:$F$1200,$B$5:$B$1200,$K$206,$C$5:$C$1200,$L206)=0,"NO APLICA",ROUND(SUMIFS($F$5:$F$1200,$B$5:$B$1200,$K$206,$C$5:$C$1200,$L206),3))</f>
        <v>NO APLICA</v>
      </c>
      <c r="N206" s="759"/>
    </row>
    <row r="207" spans="2:14">
      <c r="B207" s="182"/>
      <c r="C207" s="182"/>
      <c r="E207" s="183"/>
      <c r="F207" s="229" t="str">
        <f>IF(OR(D207="",E207=""),"",ROUND(D207/LOOKUP(E207,SMMLV!$A$2:$A$36,SMMLV!$D$2:$D$104),3))</f>
        <v/>
      </c>
      <c r="K207" s="758"/>
      <c r="L207" s="189">
        <v>2</v>
      </c>
      <c r="M207" s="759" t="str">
        <f t="shared" si="20"/>
        <v>NO APLICA</v>
      </c>
      <c r="N207" s="759"/>
    </row>
    <row r="208" spans="2:14">
      <c r="B208" s="182"/>
      <c r="C208" s="182"/>
      <c r="E208" s="183"/>
      <c r="F208" s="229" t="str">
        <f>IF(OR(D208="",E208=""),"",ROUND(D208/LOOKUP(E208,SMMLV!$A$2:$A$36,SMMLV!$D$2:$D$104),3))</f>
        <v/>
      </c>
      <c r="K208" s="758"/>
      <c r="L208" s="189">
        <v>3</v>
      </c>
      <c r="M208" s="759" t="str">
        <f t="shared" si="20"/>
        <v>NO APLICA</v>
      </c>
      <c r="N208" s="759"/>
    </row>
    <row r="209" spans="2:14">
      <c r="B209" s="182"/>
      <c r="C209" s="182"/>
      <c r="E209" s="183"/>
      <c r="F209" s="229" t="str">
        <f>IF(OR(D209="",E209=""),"",ROUND(D209/LOOKUP(E209,SMMLV!$A$2:$A$36,SMMLV!$D$2:$D$104),3))</f>
        <v/>
      </c>
      <c r="K209" s="758"/>
      <c r="L209" s="189">
        <v>4</v>
      </c>
      <c r="M209" s="759" t="str">
        <f t="shared" si="20"/>
        <v>NO APLICA</v>
      </c>
      <c r="N209" s="759"/>
    </row>
    <row r="210" spans="2:14">
      <c r="B210" s="182"/>
      <c r="C210" s="182"/>
      <c r="E210" s="183"/>
      <c r="F210" s="229" t="str">
        <f>IF(OR(D210="",E210=""),"",ROUND(D210/LOOKUP(E210,SMMLV!$A$2:$A$36,SMMLV!$D$2:$D$104),3))</f>
        <v/>
      </c>
      <c r="K210" s="758"/>
      <c r="L210" s="189">
        <v>5</v>
      </c>
      <c r="M210" s="759" t="str">
        <f t="shared" si="20"/>
        <v>NO APLICA</v>
      </c>
      <c r="N210" s="759"/>
    </row>
    <row r="211" spans="2:14">
      <c r="B211" s="182"/>
      <c r="C211" s="182"/>
      <c r="E211" s="183"/>
      <c r="F211" s="229" t="str">
        <f>IF(OR(D211="",E211=""),"",ROUND(D211/LOOKUP(E211,SMMLV!$A$2:$A$36,SMMLV!$D$2:$D$104),3))</f>
        <v/>
      </c>
      <c r="K211" s="758"/>
      <c r="L211" s="189">
        <v>6</v>
      </c>
      <c r="M211" s="759" t="str">
        <f t="shared" si="20"/>
        <v>NO APLICA</v>
      </c>
      <c r="N211" s="759"/>
    </row>
    <row r="212" spans="2:14">
      <c r="B212" s="182"/>
      <c r="C212" s="182"/>
      <c r="E212" s="183"/>
      <c r="F212" s="229" t="str">
        <f>IF(OR(D212="",E212=""),"",ROUND(D212/LOOKUP(E212,SMMLV!$A$2:$A$36,SMMLV!$D$2:$D$104),3))</f>
        <v/>
      </c>
      <c r="K212" s="758"/>
      <c r="L212" s="189">
        <v>7</v>
      </c>
      <c r="M212" s="759" t="str">
        <f t="shared" si="20"/>
        <v>NO APLICA</v>
      </c>
      <c r="N212" s="759"/>
    </row>
    <row r="213" spans="2:14">
      <c r="B213" s="182"/>
      <c r="C213" s="182"/>
      <c r="E213" s="183"/>
      <c r="F213" s="229" t="str">
        <f>IF(OR(D213="",E213=""),"",ROUND(D213/LOOKUP(E213,SMMLV!$A$2:$A$36,SMMLV!$D$2:$D$104),3))</f>
        <v/>
      </c>
      <c r="K213" s="758"/>
      <c r="L213" s="189">
        <v>8</v>
      </c>
      <c r="M213" s="759" t="str">
        <f t="shared" si="20"/>
        <v>NO APLICA</v>
      </c>
      <c r="N213" s="759"/>
    </row>
    <row r="214" spans="2:14">
      <c r="B214" s="182"/>
      <c r="C214" s="182"/>
      <c r="E214" s="183"/>
      <c r="F214" s="229" t="str">
        <f>IF(OR(D214="",E214=""),"",ROUND(D214/LOOKUP(E214,SMMLV!$A$2:$A$36,SMMLV!$D$2:$D$104),3))</f>
        <v/>
      </c>
      <c r="K214" s="758"/>
      <c r="L214" s="189">
        <v>9</v>
      </c>
      <c r="M214" s="759" t="str">
        <f t="shared" si="20"/>
        <v>NO APLICA</v>
      </c>
      <c r="N214" s="759"/>
    </row>
    <row r="215" spans="2:14">
      <c r="B215" s="182"/>
      <c r="C215" s="182"/>
      <c r="E215" s="183"/>
      <c r="F215" s="229" t="str">
        <f>IF(OR(D215="",E215=""),"",ROUND(D215/LOOKUP(E215,SMMLV!$A$2:$A$36,SMMLV!$D$2:$D$104),3))</f>
        <v/>
      </c>
      <c r="K215" s="758"/>
      <c r="L215" s="189">
        <v>10</v>
      </c>
      <c r="M215" s="759" t="str">
        <f t="shared" si="20"/>
        <v>NO APLICA</v>
      </c>
      <c r="N215" s="759"/>
    </row>
    <row r="216" spans="2:14">
      <c r="B216" s="182"/>
      <c r="C216" s="182"/>
      <c r="E216" s="183"/>
      <c r="F216" s="229" t="str">
        <f>IF(OR(D216="",E216=""),"",ROUND(D216/LOOKUP(E216,SMMLV!$A$2:$A$36,SMMLV!$D$2:$D$104),3))</f>
        <v/>
      </c>
      <c r="K216" s="758">
        <v>22</v>
      </c>
      <c r="L216" s="189">
        <v>1</v>
      </c>
      <c r="M216" s="759" t="str">
        <f t="shared" ref="M216:M225" si="21">IF(SUMIFS($F$5:$F$1200,$B$5:$B$1200,$K$216,$C$5:$C$1200,$L216)=0,"NO APLICA",ROUND(SUMIFS($F$5:$F$1200,$B$5:$B$1200,$K$216,$C$5:$C$1200,$L216),3))</f>
        <v>NO APLICA</v>
      </c>
      <c r="N216" s="759"/>
    </row>
    <row r="217" spans="2:14">
      <c r="B217" s="182"/>
      <c r="C217" s="182"/>
      <c r="E217" s="183"/>
      <c r="F217" s="229" t="str">
        <f>IF(OR(D217="",E217=""),"",ROUND(D217/LOOKUP(E217,SMMLV!$A$2:$A$36,SMMLV!$D$2:$D$104),3))</f>
        <v/>
      </c>
      <c r="K217" s="758"/>
      <c r="L217" s="189">
        <v>2</v>
      </c>
      <c r="M217" s="759" t="str">
        <f t="shared" si="21"/>
        <v>NO APLICA</v>
      </c>
      <c r="N217" s="759"/>
    </row>
    <row r="218" spans="2:14">
      <c r="B218" s="182"/>
      <c r="C218" s="182"/>
      <c r="E218" s="183"/>
      <c r="F218" s="229" t="str">
        <f>IF(OR(D218="",E218=""),"",ROUND(D218/LOOKUP(E218,SMMLV!$A$2:$A$36,SMMLV!$D$2:$D$104),3))</f>
        <v/>
      </c>
      <c r="K218" s="758"/>
      <c r="L218" s="189">
        <v>3</v>
      </c>
      <c r="M218" s="759" t="str">
        <f t="shared" si="21"/>
        <v>NO APLICA</v>
      </c>
      <c r="N218" s="759"/>
    </row>
    <row r="219" spans="2:14">
      <c r="B219" s="182"/>
      <c r="C219" s="182"/>
      <c r="E219" s="183"/>
      <c r="F219" s="229" t="str">
        <f>IF(OR(D219="",E219=""),"",ROUND(D219/LOOKUP(E219,SMMLV!$A$2:$A$36,SMMLV!$D$2:$D$104),3))</f>
        <v/>
      </c>
      <c r="K219" s="758"/>
      <c r="L219" s="189">
        <v>4</v>
      </c>
      <c r="M219" s="759" t="str">
        <f t="shared" si="21"/>
        <v>NO APLICA</v>
      </c>
      <c r="N219" s="759"/>
    </row>
    <row r="220" spans="2:14">
      <c r="B220" s="182"/>
      <c r="C220" s="182"/>
      <c r="E220" s="183"/>
      <c r="F220" s="229" t="str">
        <f>IF(OR(D220="",E220=""),"",ROUND(D220/LOOKUP(E220,SMMLV!$A$2:$A$36,SMMLV!$D$2:$D$104),3))</f>
        <v/>
      </c>
      <c r="K220" s="758"/>
      <c r="L220" s="189">
        <v>5</v>
      </c>
      <c r="M220" s="759" t="str">
        <f t="shared" si="21"/>
        <v>NO APLICA</v>
      </c>
      <c r="N220" s="759"/>
    </row>
    <row r="221" spans="2:14">
      <c r="B221" s="182"/>
      <c r="C221" s="182"/>
      <c r="E221" s="183"/>
      <c r="F221" s="229" t="str">
        <f>IF(OR(D221="",E221=""),"",ROUND(D221/LOOKUP(E221,SMMLV!$A$2:$A$36,SMMLV!$D$2:$D$104),3))</f>
        <v/>
      </c>
      <c r="K221" s="758"/>
      <c r="L221" s="189">
        <v>6</v>
      </c>
      <c r="M221" s="759" t="str">
        <f t="shared" si="21"/>
        <v>NO APLICA</v>
      </c>
      <c r="N221" s="759"/>
    </row>
    <row r="222" spans="2:14">
      <c r="B222" s="182"/>
      <c r="C222" s="182"/>
      <c r="E222" s="183"/>
      <c r="F222" s="229" t="str">
        <f>IF(OR(D222="",E222=""),"",ROUND(D222/LOOKUP(E222,SMMLV!$A$2:$A$36,SMMLV!$D$2:$D$104),3))</f>
        <v/>
      </c>
      <c r="K222" s="758"/>
      <c r="L222" s="189">
        <v>7</v>
      </c>
      <c r="M222" s="759" t="str">
        <f t="shared" si="21"/>
        <v>NO APLICA</v>
      </c>
      <c r="N222" s="759"/>
    </row>
    <row r="223" spans="2:14">
      <c r="B223" s="182"/>
      <c r="C223" s="182"/>
      <c r="E223" s="183"/>
      <c r="F223" s="229" t="str">
        <f>IF(OR(D223="",E223=""),"",ROUND(D223/LOOKUP(E223,SMMLV!$A$2:$A$36,SMMLV!$D$2:$D$104),3))</f>
        <v/>
      </c>
      <c r="K223" s="758"/>
      <c r="L223" s="189">
        <v>8</v>
      </c>
      <c r="M223" s="759" t="str">
        <f t="shared" si="21"/>
        <v>NO APLICA</v>
      </c>
      <c r="N223" s="759"/>
    </row>
    <row r="224" spans="2:14">
      <c r="B224" s="182"/>
      <c r="C224" s="182"/>
      <c r="E224" s="183"/>
      <c r="F224" s="229" t="str">
        <f>IF(OR(D224="",E224=""),"",ROUND(D224/LOOKUP(E224,SMMLV!$A$2:$A$36,SMMLV!$D$2:$D$104),3))</f>
        <v/>
      </c>
      <c r="K224" s="758"/>
      <c r="L224" s="189">
        <v>9</v>
      </c>
      <c r="M224" s="759" t="str">
        <f t="shared" si="21"/>
        <v>NO APLICA</v>
      </c>
      <c r="N224" s="759"/>
    </row>
    <row r="225" spans="2:14">
      <c r="B225" s="182"/>
      <c r="C225" s="182"/>
      <c r="E225" s="183"/>
      <c r="F225" s="229" t="str">
        <f>IF(OR(D225="",E225=""),"",ROUND(D225/LOOKUP(E225,SMMLV!$A$2:$A$36,SMMLV!$D$2:$D$104),3))</f>
        <v/>
      </c>
      <c r="K225" s="758"/>
      <c r="L225" s="189">
        <v>10</v>
      </c>
      <c r="M225" s="759" t="str">
        <f t="shared" si="21"/>
        <v>NO APLICA</v>
      </c>
      <c r="N225" s="759"/>
    </row>
    <row r="226" spans="2:14">
      <c r="B226" s="182"/>
      <c r="C226" s="182"/>
      <c r="E226" s="183"/>
      <c r="F226" s="229" t="str">
        <f>IF(OR(D226="",E226=""),"",ROUND(D226/LOOKUP(E226,SMMLV!$A$2:$A$36,SMMLV!$D$2:$D$104),3))</f>
        <v/>
      </c>
      <c r="K226" s="758">
        <v>23</v>
      </c>
      <c r="L226" s="189">
        <v>1</v>
      </c>
      <c r="M226" s="759" t="str">
        <f t="shared" ref="M226:M235" si="22">IF(SUMIFS($F$5:$F$1200,$B$5:$B$1200,$K$226,$C$5:$C$1200,$L226)=0,"NO APLICA",ROUND(SUMIFS($F$5:$F$1200,$B$5:$B$1200,$K$226,$C$5:$C$1200,$L226),3))</f>
        <v>NO APLICA</v>
      </c>
      <c r="N226" s="759"/>
    </row>
    <row r="227" spans="2:14">
      <c r="B227" s="182"/>
      <c r="C227" s="182"/>
      <c r="E227" s="183"/>
      <c r="F227" s="229" t="str">
        <f>IF(OR(D227="",E227=""),"",ROUND(D227/LOOKUP(E227,SMMLV!$A$2:$A$36,SMMLV!$D$2:$D$104),3))</f>
        <v/>
      </c>
      <c r="K227" s="758"/>
      <c r="L227" s="189">
        <v>2</v>
      </c>
      <c r="M227" s="759" t="str">
        <f t="shared" si="22"/>
        <v>NO APLICA</v>
      </c>
      <c r="N227" s="759"/>
    </row>
    <row r="228" spans="2:14">
      <c r="B228" s="182"/>
      <c r="C228" s="182"/>
      <c r="E228" s="183"/>
      <c r="F228" s="229" t="str">
        <f>IF(OR(D228="",E228=""),"",ROUND(D228/LOOKUP(E228,SMMLV!$A$2:$A$36,SMMLV!$D$2:$D$104),3))</f>
        <v/>
      </c>
      <c r="K228" s="758"/>
      <c r="L228" s="189">
        <v>3</v>
      </c>
      <c r="M228" s="759" t="str">
        <f t="shared" si="22"/>
        <v>NO APLICA</v>
      </c>
      <c r="N228" s="759"/>
    </row>
    <row r="229" spans="2:14">
      <c r="B229" s="182"/>
      <c r="C229" s="182"/>
      <c r="E229" s="183"/>
      <c r="F229" s="229" t="str">
        <f>IF(OR(D229="",E229=""),"",ROUND(D229/LOOKUP(E229,SMMLV!$A$2:$A$36,SMMLV!$D$2:$D$104),3))</f>
        <v/>
      </c>
      <c r="K229" s="758"/>
      <c r="L229" s="189">
        <v>4</v>
      </c>
      <c r="M229" s="759" t="str">
        <f t="shared" si="22"/>
        <v>NO APLICA</v>
      </c>
      <c r="N229" s="759"/>
    </row>
    <row r="230" spans="2:14">
      <c r="B230" s="182"/>
      <c r="C230" s="182"/>
      <c r="E230" s="183"/>
      <c r="F230" s="229" t="str">
        <f>IF(OR(D230="",E230=""),"",ROUND(D230/LOOKUP(E230,SMMLV!$A$2:$A$36,SMMLV!$D$2:$D$104),3))</f>
        <v/>
      </c>
      <c r="K230" s="758"/>
      <c r="L230" s="189">
        <v>5</v>
      </c>
      <c r="M230" s="759" t="str">
        <f t="shared" si="22"/>
        <v>NO APLICA</v>
      </c>
      <c r="N230" s="759"/>
    </row>
    <row r="231" spans="2:14">
      <c r="B231" s="182"/>
      <c r="C231" s="182"/>
      <c r="E231" s="183"/>
      <c r="F231" s="229" t="str">
        <f>IF(OR(D231="",E231=""),"",ROUND(D231/LOOKUP(E231,SMMLV!$A$2:$A$36,SMMLV!$D$2:$D$104),3))</f>
        <v/>
      </c>
      <c r="K231" s="758"/>
      <c r="L231" s="189">
        <v>6</v>
      </c>
      <c r="M231" s="759" t="str">
        <f t="shared" si="22"/>
        <v>NO APLICA</v>
      </c>
      <c r="N231" s="759"/>
    </row>
    <row r="232" spans="2:14">
      <c r="B232" s="182"/>
      <c r="C232" s="182"/>
      <c r="E232" s="183"/>
      <c r="F232" s="229" t="str">
        <f>IF(OR(D232="",E232=""),"",ROUND(D232/LOOKUP(E232,SMMLV!$A$2:$A$36,SMMLV!$D$2:$D$104),3))</f>
        <v/>
      </c>
      <c r="K232" s="758"/>
      <c r="L232" s="189">
        <v>7</v>
      </c>
      <c r="M232" s="759" t="str">
        <f t="shared" si="22"/>
        <v>NO APLICA</v>
      </c>
      <c r="N232" s="759"/>
    </row>
    <row r="233" spans="2:14">
      <c r="B233" s="182"/>
      <c r="C233" s="182"/>
      <c r="E233" s="183"/>
      <c r="F233" s="229" t="str">
        <f>IF(OR(D233="",E233=""),"",ROUND(D233/LOOKUP(E233,SMMLV!$A$2:$A$36,SMMLV!$D$2:$D$104),3))</f>
        <v/>
      </c>
      <c r="K233" s="758"/>
      <c r="L233" s="189">
        <v>8</v>
      </c>
      <c r="M233" s="759" t="str">
        <f t="shared" si="22"/>
        <v>NO APLICA</v>
      </c>
      <c r="N233" s="759"/>
    </row>
    <row r="234" spans="2:14">
      <c r="B234" s="182"/>
      <c r="C234" s="182"/>
      <c r="E234" s="183"/>
      <c r="F234" s="229" t="str">
        <f>IF(OR(D234="",E234=""),"",ROUND(D234/LOOKUP(E234,SMMLV!$A$2:$A$36,SMMLV!$D$2:$D$104),3))</f>
        <v/>
      </c>
      <c r="K234" s="758"/>
      <c r="L234" s="189">
        <v>9</v>
      </c>
      <c r="M234" s="759" t="str">
        <f t="shared" si="22"/>
        <v>NO APLICA</v>
      </c>
      <c r="N234" s="759"/>
    </row>
    <row r="235" spans="2:14">
      <c r="B235" s="182"/>
      <c r="C235" s="182"/>
      <c r="E235" s="183"/>
      <c r="F235" s="229" t="str">
        <f>IF(OR(D235="",E235=""),"",ROUND(D235/LOOKUP(E235,SMMLV!$A$2:$A$36,SMMLV!$D$2:$D$104),3))</f>
        <v/>
      </c>
      <c r="K235" s="758"/>
      <c r="L235" s="189">
        <v>10</v>
      </c>
      <c r="M235" s="759" t="str">
        <f t="shared" si="22"/>
        <v>NO APLICA</v>
      </c>
      <c r="N235" s="759"/>
    </row>
    <row r="236" spans="2:14">
      <c r="B236" s="182"/>
      <c r="C236" s="182"/>
      <c r="E236" s="183"/>
      <c r="F236" s="229" t="str">
        <f>IF(OR(D236="",E236=""),"",ROUND(D236/LOOKUP(E236,SMMLV!$A$2:$A$36,SMMLV!$D$2:$D$104),3))</f>
        <v/>
      </c>
      <c r="K236" s="758">
        <v>24</v>
      </c>
      <c r="L236" s="189">
        <v>1</v>
      </c>
      <c r="M236" s="759" t="str">
        <f t="shared" ref="M236:M245" si="23">IF(SUMIFS($F$5:$F$1200,$B$5:$B$1200,$K$236,$C$5:$C$1200,$L236)=0,"NO APLICA",ROUND(SUMIFS($F$5:$F$1200,$B$5:$B$1200,$K$236,$C$5:$C$1200,$L236),3))</f>
        <v>NO APLICA</v>
      </c>
      <c r="N236" s="759"/>
    </row>
    <row r="237" spans="2:14">
      <c r="B237" s="182"/>
      <c r="C237" s="182"/>
      <c r="E237" s="183"/>
      <c r="F237" s="229" t="str">
        <f>IF(OR(D237="",E237=""),"",ROUND(D237/LOOKUP(E237,SMMLV!$A$2:$A$36,SMMLV!$D$2:$D$104),3))</f>
        <v/>
      </c>
      <c r="K237" s="758"/>
      <c r="L237" s="189">
        <v>2</v>
      </c>
      <c r="M237" s="759" t="str">
        <f t="shared" si="23"/>
        <v>NO APLICA</v>
      </c>
      <c r="N237" s="759"/>
    </row>
    <row r="238" spans="2:14">
      <c r="B238" s="182"/>
      <c r="C238" s="182"/>
      <c r="E238" s="183"/>
      <c r="F238" s="229" t="str">
        <f>IF(OR(D238="",E238=""),"",ROUND(D238/LOOKUP(E238,SMMLV!$A$2:$A$36,SMMLV!$D$2:$D$104),3))</f>
        <v/>
      </c>
      <c r="K238" s="758"/>
      <c r="L238" s="189">
        <v>3</v>
      </c>
      <c r="M238" s="759" t="str">
        <f t="shared" si="23"/>
        <v>NO APLICA</v>
      </c>
      <c r="N238" s="759"/>
    </row>
    <row r="239" spans="2:14">
      <c r="B239" s="182"/>
      <c r="C239" s="182"/>
      <c r="E239" s="183"/>
      <c r="F239" s="229" t="str">
        <f>IF(OR(D239="",E239=""),"",ROUND(D239/LOOKUP(E239,SMMLV!$A$2:$A$36,SMMLV!$D$2:$D$104),3))</f>
        <v/>
      </c>
      <c r="K239" s="758"/>
      <c r="L239" s="189">
        <v>4</v>
      </c>
      <c r="M239" s="759" t="str">
        <f t="shared" si="23"/>
        <v>NO APLICA</v>
      </c>
      <c r="N239" s="759"/>
    </row>
    <row r="240" spans="2:14">
      <c r="B240" s="182"/>
      <c r="C240" s="182"/>
      <c r="E240" s="183"/>
      <c r="F240" s="229" t="str">
        <f>IF(OR(D240="",E240=""),"",ROUND(D240/LOOKUP(E240,SMMLV!$A$2:$A$36,SMMLV!$D$2:$D$104),3))</f>
        <v/>
      </c>
      <c r="K240" s="758"/>
      <c r="L240" s="189">
        <v>5</v>
      </c>
      <c r="M240" s="759" t="str">
        <f t="shared" si="23"/>
        <v>NO APLICA</v>
      </c>
      <c r="N240" s="759"/>
    </row>
    <row r="241" spans="2:14">
      <c r="B241" s="182"/>
      <c r="C241" s="182"/>
      <c r="E241" s="183"/>
      <c r="F241" s="229" t="str">
        <f>IF(OR(D241="",E241=""),"",ROUND(D241/LOOKUP(E241,SMMLV!$A$2:$A$36,SMMLV!$D$2:$D$104),3))</f>
        <v/>
      </c>
      <c r="K241" s="758"/>
      <c r="L241" s="189">
        <v>6</v>
      </c>
      <c r="M241" s="759" t="str">
        <f t="shared" si="23"/>
        <v>NO APLICA</v>
      </c>
      <c r="N241" s="759"/>
    </row>
    <row r="242" spans="2:14">
      <c r="B242" s="182"/>
      <c r="C242" s="182"/>
      <c r="E242" s="183"/>
      <c r="F242" s="229" t="str">
        <f>IF(OR(D242="",E242=""),"",ROUND(D242/LOOKUP(E242,SMMLV!$A$2:$A$36,SMMLV!$D$2:$D$104),3))</f>
        <v/>
      </c>
      <c r="K242" s="758"/>
      <c r="L242" s="189">
        <v>7</v>
      </c>
      <c r="M242" s="759" t="str">
        <f t="shared" si="23"/>
        <v>NO APLICA</v>
      </c>
      <c r="N242" s="759"/>
    </row>
    <row r="243" spans="2:14">
      <c r="B243" s="182"/>
      <c r="C243" s="182"/>
      <c r="E243" s="183"/>
      <c r="F243" s="229" t="str">
        <f>IF(OR(D243="",E243=""),"",ROUND(D243/LOOKUP(E243,SMMLV!$A$2:$A$36,SMMLV!$D$2:$D$104),3))</f>
        <v/>
      </c>
      <c r="K243" s="758"/>
      <c r="L243" s="189">
        <v>8</v>
      </c>
      <c r="M243" s="759" t="str">
        <f t="shared" si="23"/>
        <v>NO APLICA</v>
      </c>
      <c r="N243" s="759"/>
    </row>
    <row r="244" spans="2:14">
      <c r="B244" s="182"/>
      <c r="C244" s="182"/>
      <c r="E244" s="183"/>
      <c r="F244" s="229" t="str">
        <f>IF(OR(D244="",E244=""),"",ROUND(D244/LOOKUP(E244,SMMLV!$A$2:$A$36,SMMLV!$D$2:$D$104),3))</f>
        <v/>
      </c>
      <c r="K244" s="758"/>
      <c r="L244" s="189">
        <v>9</v>
      </c>
      <c r="M244" s="759" t="str">
        <f t="shared" si="23"/>
        <v>NO APLICA</v>
      </c>
      <c r="N244" s="759"/>
    </row>
    <row r="245" spans="2:14">
      <c r="B245" s="182"/>
      <c r="C245" s="182"/>
      <c r="E245" s="183"/>
      <c r="F245" s="229" t="str">
        <f>IF(OR(D245="",E245=""),"",ROUND(D245/LOOKUP(E245,SMMLV!$A$2:$A$36,SMMLV!$D$2:$D$104),3))</f>
        <v/>
      </c>
      <c r="K245" s="758"/>
      <c r="L245" s="189">
        <v>10</v>
      </c>
      <c r="M245" s="759" t="str">
        <f t="shared" si="23"/>
        <v>NO APLICA</v>
      </c>
      <c r="N245" s="759"/>
    </row>
    <row r="246" spans="2:14">
      <c r="B246" s="182"/>
      <c r="C246" s="182"/>
      <c r="E246" s="183"/>
      <c r="F246" s="229" t="str">
        <f>IF(OR(D246="",E246=""),"",ROUND(D246/LOOKUP(E246,SMMLV!$A$2:$A$36,SMMLV!$D$2:$D$104),3))</f>
        <v/>
      </c>
      <c r="K246" s="758">
        <v>25</v>
      </c>
      <c r="L246" s="189">
        <v>1</v>
      </c>
      <c r="M246" s="761" t="str">
        <f t="shared" ref="M246:M255" si="24">IF(SUMIFS($F$5:$F$1200,$B$5:$B$1200,$K$246,$C$5:$C$1200,$L246)=0,"NO APLICA",ROUND(SUMIFS($F$5:$F$1200,$B$5:$B$1200,$K$246,$C$5:$C$1200,$L246),3))</f>
        <v>NO APLICA</v>
      </c>
      <c r="N246" s="762"/>
    </row>
    <row r="247" spans="2:14">
      <c r="B247" s="182"/>
      <c r="C247" s="182"/>
      <c r="E247" s="183"/>
      <c r="F247" s="229" t="str">
        <f>IF(OR(D247="",E247=""),"",ROUND(D247/LOOKUP(E247,SMMLV!$A$2:$A$36,SMMLV!$D$2:$D$104),3))</f>
        <v/>
      </c>
      <c r="K247" s="758"/>
      <c r="L247" s="189">
        <v>2</v>
      </c>
      <c r="M247" s="761" t="str">
        <f t="shared" si="24"/>
        <v>NO APLICA</v>
      </c>
      <c r="N247" s="762"/>
    </row>
    <row r="248" spans="2:14">
      <c r="B248" s="182"/>
      <c r="C248" s="182"/>
      <c r="E248" s="183"/>
      <c r="F248" s="229" t="str">
        <f>IF(OR(D248="",E248=""),"",ROUND(D248/LOOKUP(E248,SMMLV!$A$2:$A$36,SMMLV!$D$2:$D$104),3))</f>
        <v/>
      </c>
      <c r="K248" s="758"/>
      <c r="L248" s="189">
        <v>3</v>
      </c>
      <c r="M248" s="761" t="str">
        <f t="shared" si="24"/>
        <v>NO APLICA</v>
      </c>
      <c r="N248" s="762"/>
    </row>
    <row r="249" spans="2:14">
      <c r="B249" s="182"/>
      <c r="C249" s="182"/>
      <c r="E249" s="183"/>
      <c r="F249" s="229" t="str">
        <f>IF(OR(D249="",E249=""),"",ROUND(D249/LOOKUP(E249,SMMLV!$A$2:$A$36,SMMLV!$D$2:$D$104),3))</f>
        <v/>
      </c>
      <c r="K249" s="758"/>
      <c r="L249" s="189">
        <v>4</v>
      </c>
      <c r="M249" s="761" t="str">
        <f t="shared" si="24"/>
        <v>NO APLICA</v>
      </c>
      <c r="N249" s="762"/>
    </row>
    <row r="250" spans="2:14">
      <c r="B250" s="182"/>
      <c r="C250" s="182"/>
      <c r="E250" s="183"/>
      <c r="F250" s="229" t="str">
        <f>IF(OR(D250="",E250=""),"",ROUND(D250/LOOKUP(E250,SMMLV!$A$2:$A$36,SMMLV!$D$2:$D$104),3))</f>
        <v/>
      </c>
      <c r="K250" s="758"/>
      <c r="L250" s="189">
        <v>5</v>
      </c>
      <c r="M250" s="761" t="str">
        <f t="shared" si="24"/>
        <v>NO APLICA</v>
      </c>
      <c r="N250" s="762"/>
    </row>
    <row r="251" spans="2:14">
      <c r="B251" s="182"/>
      <c r="C251" s="182"/>
      <c r="E251" s="183"/>
      <c r="F251" s="229" t="str">
        <f>IF(OR(D251="",E251=""),"",ROUND(D251/LOOKUP(E251,SMMLV!$A$2:$A$36,SMMLV!$D$2:$D$104),3))</f>
        <v/>
      </c>
      <c r="K251" s="758"/>
      <c r="L251" s="189">
        <v>6</v>
      </c>
      <c r="M251" s="761" t="str">
        <f t="shared" si="24"/>
        <v>NO APLICA</v>
      </c>
      <c r="N251" s="762"/>
    </row>
    <row r="252" spans="2:14">
      <c r="B252" s="182"/>
      <c r="C252" s="182"/>
      <c r="E252" s="183"/>
      <c r="F252" s="229" t="str">
        <f>IF(OR(D252="",E252=""),"",ROUND(D252/LOOKUP(E252,SMMLV!$A$2:$A$36,SMMLV!$D$2:$D$104),3))</f>
        <v/>
      </c>
      <c r="K252" s="758"/>
      <c r="L252" s="189">
        <v>7</v>
      </c>
      <c r="M252" s="761" t="str">
        <f t="shared" si="24"/>
        <v>NO APLICA</v>
      </c>
      <c r="N252" s="762"/>
    </row>
    <row r="253" spans="2:14">
      <c r="B253" s="182"/>
      <c r="C253" s="182"/>
      <c r="E253" s="183"/>
      <c r="F253" s="229" t="str">
        <f>IF(OR(D253="",E253=""),"",ROUND(D253/LOOKUP(E253,SMMLV!$A$2:$A$36,SMMLV!$D$2:$D$104),3))</f>
        <v/>
      </c>
      <c r="K253" s="758"/>
      <c r="L253" s="189">
        <v>8</v>
      </c>
      <c r="M253" s="761" t="str">
        <f t="shared" si="24"/>
        <v>NO APLICA</v>
      </c>
      <c r="N253" s="762"/>
    </row>
    <row r="254" spans="2:14">
      <c r="B254" s="182"/>
      <c r="C254" s="182"/>
      <c r="E254" s="183"/>
      <c r="F254" s="229" t="str">
        <f>IF(OR(D254="",E254=""),"",ROUND(D254/LOOKUP(E254,SMMLV!$A$2:$A$36,SMMLV!$D$2:$D$104),3))</f>
        <v/>
      </c>
      <c r="K254" s="758"/>
      <c r="L254" s="189">
        <v>9</v>
      </c>
      <c r="M254" s="761" t="str">
        <f t="shared" si="24"/>
        <v>NO APLICA</v>
      </c>
      <c r="N254" s="762"/>
    </row>
    <row r="255" spans="2:14">
      <c r="B255" s="182"/>
      <c r="C255" s="182"/>
      <c r="E255" s="183"/>
      <c r="F255" s="229" t="str">
        <f>IF(OR(D255="",E255=""),"",ROUND(D255/LOOKUP(E255,SMMLV!$A$2:$A$36,SMMLV!$D$2:$D$104),3))</f>
        <v/>
      </c>
      <c r="K255" s="758"/>
      <c r="L255" s="189">
        <v>10</v>
      </c>
      <c r="M255" s="759" t="str">
        <f t="shared" si="24"/>
        <v>NO APLICA</v>
      </c>
      <c r="N255" s="759"/>
    </row>
    <row r="256" spans="2:14">
      <c r="B256" s="182"/>
      <c r="C256" s="182"/>
      <c r="E256" s="183"/>
      <c r="F256" s="229" t="str">
        <f>IF(OR(D256="",E256=""),"",ROUND(D256/LOOKUP(E256,SMMLV!$A$2:$A$36,SMMLV!$D$2:$D$104),3))</f>
        <v/>
      </c>
      <c r="K256" s="758">
        <v>26</v>
      </c>
      <c r="L256" s="189">
        <v>1</v>
      </c>
      <c r="M256" s="759" t="str">
        <f t="shared" ref="M256:M265" si="25">IF(SUMIFS($F$5:$F$1200,$B$5:$B$1200,$K$256,$C$5:$C$1200,$L256)=0,"NO APLICA",ROUND(SUMIFS($F$5:$F$1200,$B$5:$B$1200,$K$256,$C$5:$C$1200,$L256),3))</f>
        <v>NO APLICA</v>
      </c>
      <c r="N256" s="759"/>
    </row>
    <row r="257" spans="2:14">
      <c r="B257" s="182"/>
      <c r="C257" s="182"/>
      <c r="E257" s="183"/>
      <c r="F257" s="229" t="str">
        <f>IF(OR(D257="",E257=""),"",ROUND(D257/LOOKUP(E257,SMMLV!$A$2:$A$36,SMMLV!$D$2:$D$104),3))</f>
        <v/>
      </c>
      <c r="K257" s="758"/>
      <c r="L257" s="189">
        <v>2</v>
      </c>
      <c r="M257" s="759" t="str">
        <f t="shared" si="25"/>
        <v>NO APLICA</v>
      </c>
      <c r="N257" s="759"/>
    </row>
    <row r="258" spans="2:14">
      <c r="B258" s="182"/>
      <c r="C258" s="182"/>
      <c r="E258" s="183"/>
      <c r="F258" s="229" t="str">
        <f>IF(OR(D258="",E258=""),"",ROUND(D258/LOOKUP(E258,SMMLV!$A$2:$A$36,SMMLV!$D$2:$D$104),3))</f>
        <v/>
      </c>
      <c r="K258" s="758"/>
      <c r="L258" s="189">
        <v>3</v>
      </c>
      <c r="M258" s="759" t="str">
        <f t="shared" si="25"/>
        <v>NO APLICA</v>
      </c>
      <c r="N258" s="759"/>
    </row>
    <row r="259" spans="2:14">
      <c r="B259" s="182"/>
      <c r="C259" s="182"/>
      <c r="E259" s="183"/>
      <c r="F259" s="229" t="str">
        <f>IF(OR(D259="",E259=""),"",ROUND(D259/LOOKUP(E259,SMMLV!$A$2:$A$36,SMMLV!$D$2:$D$104),3))</f>
        <v/>
      </c>
      <c r="K259" s="758"/>
      <c r="L259" s="189">
        <v>4</v>
      </c>
      <c r="M259" s="759" t="str">
        <f t="shared" si="25"/>
        <v>NO APLICA</v>
      </c>
      <c r="N259" s="759"/>
    </row>
    <row r="260" spans="2:14">
      <c r="B260" s="182"/>
      <c r="C260" s="182"/>
      <c r="E260" s="183"/>
      <c r="F260" s="229" t="str">
        <f>IF(OR(D260="",E260=""),"",ROUND(D260/LOOKUP(E260,SMMLV!$A$2:$A$36,SMMLV!$D$2:$D$104),3))</f>
        <v/>
      </c>
      <c r="K260" s="758"/>
      <c r="L260" s="189">
        <v>5</v>
      </c>
      <c r="M260" s="759" t="str">
        <f t="shared" si="25"/>
        <v>NO APLICA</v>
      </c>
      <c r="N260" s="759"/>
    </row>
    <row r="261" spans="2:14">
      <c r="B261" s="182"/>
      <c r="C261" s="182"/>
      <c r="E261" s="183"/>
      <c r="F261" s="229" t="str">
        <f>IF(OR(D261="",E261=""),"",ROUND(D261/LOOKUP(E261,SMMLV!$A$2:$A$36,SMMLV!$D$2:$D$104),3))</f>
        <v/>
      </c>
      <c r="K261" s="758"/>
      <c r="L261" s="189">
        <v>6</v>
      </c>
      <c r="M261" s="759" t="str">
        <f t="shared" si="25"/>
        <v>NO APLICA</v>
      </c>
      <c r="N261" s="759"/>
    </row>
    <row r="262" spans="2:14">
      <c r="B262" s="182"/>
      <c r="C262" s="182"/>
      <c r="E262" s="183"/>
      <c r="F262" s="229" t="str">
        <f>IF(OR(D262="",E262=""),"",ROUND(D262/LOOKUP(E262,SMMLV!$A$2:$A$36,SMMLV!$D$2:$D$104),3))</f>
        <v/>
      </c>
      <c r="K262" s="758"/>
      <c r="L262" s="189">
        <v>7</v>
      </c>
      <c r="M262" s="759" t="str">
        <f t="shared" si="25"/>
        <v>NO APLICA</v>
      </c>
      <c r="N262" s="759"/>
    </row>
    <row r="263" spans="2:14">
      <c r="B263" s="182"/>
      <c r="C263" s="182"/>
      <c r="E263" s="183"/>
      <c r="F263" s="229" t="str">
        <f>IF(OR(D263="",E263=""),"",ROUND(D263/LOOKUP(E263,SMMLV!$A$2:$A$36,SMMLV!$D$2:$D$104),3))</f>
        <v/>
      </c>
      <c r="K263" s="758"/>
      <c r="L263" s="189">
        <v>8</v>
      </c>
      <c r="M263" s="759" t="str">
        <f t="shared" si="25"/>
        <v>NO APLICA</v>
      </c>
      <c r="N263" s="759"/>
    </row>
    <row r="264" spans="2:14">
      <c r="B264" s="182"/>
      <c r="C264" s="182"/>
      <c r="E264" s="183"/>
      <c r="F264" s="229" t="str">
        <f>IF(OR(D264="",E264=""),"",ROUND(D264/LOOKUP(E264,SMMLV!$A$2:$A$36,SMMLV!$D$2:$D$104),3))</f>
        <v/>
      </c>
      <c r="K264" s="758"/>
      <c r="L264" s="189">
        <v>9</v>
      </c>
      <c r="M264" s="759" t="str">
        <f t="shared" si="25"/>
        <v>NO APLICA</v>
      </c>
      <c r="N264" s="759"/>
    </row>
    <row r="265" spans="2:14">
      <c r="B265" s="182"/>
      <c r="C265" s="182"/>
      <c r="E265" s="183"/>
      <c r="F265" s="229" t="str">
        <f>IF(OR(D265="",E265=""),"",ROUND(D265/LOOKUP(E265,SMMLV!$A$2:$A$36,SMMLV!$D$2:$D$104),3))</f>
        <v/>
      </c>
      <c r="K265" s="758"/>
      <c r="L265" s="189">
        <v>10</v>
      </c>
      <c r="M265" s="759" t="str">
        <f t="shared" si="25"/>
        <v>NO APLICA</v>
      </c>
      <c r="N265" s="759"/>
    </row>
    <row r="266" spans="2:14">
      <c r="B266" s="182"/>
      <c r="C266" s="182"/>
      <c r="E266" s="183"/>
      <c r="F266" s="229" t="str">
        <f>IF(OR(D266="",E266=""),"",ROUND(D266/LOOKUP(E266,SMMLV!$A$2:$A$36,SMMLV!$D$2:$D$104),3))</f>
        <v/>
      </c>
      <c r="K266" s="758">
        <v>27</v>
      </c>
      <c r="L266" s="189">
        <v>1</v>
      </c>
      <c r="M266" s="759" t="str">
        <f t="shared" ref="M266:M275" si="26">IF(SUMIFS($F$5:$F$1200,$B$5:$B$1200,$K$266,$C$5:$C$1200,$L266)=0,"NO APLICA",ROUND(SUMIFS($F$5:$F$1200,$B$5:$B$1200,$K$266,$C$5:$C$1200,$L266),3))</f>
        <v>NO APLICA</v>
      </c>
      <c r="N266" s="759"/>
    </row>
    <row r="267" spans="2:14">
      <c r="B267" s="182"/>
      <c r="C267" s="182"/>
      <c r="E267" s="183"/>
      <c r="F267" s="229" t="str">
        <f>IF(OR(D267="",E267=""),"",ROUND(D267/LOOKUP(E267,SMMLV!$A$2:$A$36,SMMLV!$D$2:$D$104),3))</f>
        <v/>
      </c>
      <c r="K267" s="758"/>
      <c r="L267" s="189">
        <v>2</v>
      </c>
      <c r="M267" s="759" t="str">
        <f t="shared" si="26"/>
        <v>NO APLICA</v>
      </c>
      <c r="N267" s="759"/>
    </row>
    <row r="268" spans="2:14">
      <c r="B268" s="182"/>
      <c r="C268" s="182"/>
      <c r="E268" s="183"/>
      <c r="F268" s="229" t="str">
        <f>IF(OR(D268="",E268=""),"",ROUND(D268/LOOKUP(E268,SMMLV!$A$2:$A$36,SMMLV!$D$2:$D$104),3))</f>
        <v/>
      </c>
      <c r="K268" s="758"/>
      <c r="L268" s="189">
        <v>3</v>
      </c>
      <c r="M268" s="759" t="str">
        <f t="shared" si="26"/>
        <v>NO APLICA</v>
      </c>
      <c r="N268" s="759"/>
    </row>
    <row r="269" spans="2:14">
      <c r="B269" s="182"/>
      <c r="C269" s="182"/>
      <c r="E269" s="183"/>
      <c r="F269" s="229" t="str">
        <f>IF(OR(D269="",E269=""),"",ROUND(D269/LOOKUP(E269,SMMLV!$A$2:$A$36,SMMLV!$D$2:$D$104),3))</f>
        <v/>
      </c>
      <c r="K269" s="758"/>
      <c r="L269" s="189">
        <v>4</v>
      </c>
      <c r="M269" s="759" t="str">
        <f t="shared" si="26"/>
        <v>NO APLICA</v>
      </c>
      <c r="N269" s="759"/>
    </row>
    <row r="270" spans="2:14">
      <c r="B270" s="182"/>
      <c r="C270" s="182"/>
      <c r="E270" s="183"/>
      <c r="F270" s="229" t="str">
        <f>IF(OR(D270="",E270=""),"",ROUND(D270/LOOKUP(E270,SMMLV!$A$2:$A$36,SMMLV!$D$2:$D$104),3))</f>
        <v/>
      </c>
      <c r="K270" s="758"/>
      <c r="L270" s="189">
        <v>5</v>
      </c>
      <c r="M270" s="759" t="str">
        <f t="shared" si="26"/>
        <v>NO APLICA</v>
      </c>
      <c r="N270" s="759"/>
    </row>
    <row r="271" spans="2:14">
      <c r="B271" s="182"/>
      <c r="C271" s="182"/>
      <c r="E271" s="183"/>
      <c r="F271" s="229" t="str">
        <f>IF(OR(D271="",E271=""),"",ROUND(D271/LOOKUP(E271,SMMLV!$A$2:$A$36,SMMLV!$D$2:$D$104),3))</f>
        <v/>
      </c>
      <c r="K271" s="758"/>
      <c r="L271" s="189">
        <v>6</v>
      </c>
      <c r="M271" s="759" t="str">
        <f t="shared" si="26"/>
        <v>NO APLICA</v>
      </c>
      <c r="N271" s="759"/>
    </row>
    <row r="272" spans="2:14">
      <c r="B272" s="182"/>
      <c r="C272" s="182"/>
      <c r="E272" s="183"/>
      <c r="F272" s="229" t="str">
        <f>IF(OR(D272="",E272=""),"",ROUND(D272/LOOKUP(E272,SMMLV!$A$2:$A$36,SMMLV!$D$2:$D$104),3))</f>
        <v/>
      </c>
      <c r="K272" s="758"/>
      <c r="L272" s="189">
        <v>7</v>
      </c>
      <c r="M272" s="759" t="str">
        <f t="shared" si="26"/>
        <v>NO APLICA</v>
      </c>
      <c r="N272" s="759"/>
    </row>
    <row r="273" spans="2:14">
      <c r="B273" s="182"/>
      <c r="C273" s="182"/>
      <c r="E273" s="183"/>
      <c r="F273" s="229" t="str">
        <f>IF(OR(D273="",E273=""),"",ROUND(D273/LOOKUP(E273,SMMLV!$A$2:$A$36,SMMLV!$D$2:$D$104),3))</f>
        <v/>
      </c>
      <c r="K273" s="758"/>
      <c r="L273" s="189">
        <v>8</v>
      </c>
      <c r="M273" s="759" t="str">
        <f t="shared" si="26"/>
        <v>NO APLICA</v>
      </c>
      <c r="N273" s="759"/>
    </row>
    <row r="274" spans="2:14">
      <c r="B274" s="182"/>
      <c r="C274" s="182"/>
      <c r="E274" s="183"/>
      <c r="F274" s="229" t="str">
        <f>IF(OR(D274="",E274=""),"",ROUND(D274/LOOKUP(E274,SMMLV!$A$2:$A$36,SMMLV!$D$2:$D$104),3))</f>
        <v/>
      </c>
      <c r="K274" s="758"/>
      <c r="L274" s="189">
        <v>9</v>
      </c>
      <c r="M274" s="759" t="str">
        <f t="shared" si="26"/>
        <v>NO APLICA</v>
      </c>
      <c r="N274" s="759"/>
    </row>
    <row r="275" spans="2:14">
      <c r="B275" s="182"/>
      <c r="C275" s="182"/>
      <c r="E275" s="183"/>
      <c r="F275" s="229" t="str">
        <f>IF(OR(D275="",E275=""),"",ROUND(D275/LOOKUP(E275,SMMLV!$A$2:$A$36,SMMLV!$D$2:$D$104),3))</f>
        <v/>
      </c>
      <c r="K275" s="758"/>
      <c r="L275" s="189">
        <v>10</v>
      </c>
      <c r="M275" s="759" t="str">
        <f t="shared" si="26"/>
        <v>NO APLICA</v>
      </c>
      <c r="N275" s="759"/>
    </row>
    <row r="276" spans="2:14">
      <c r="B276" s="182"/>
      <c r="C276" s="182"/>
      <c r="E276" s="183"/>
      <c r="F276" s="229" t="str">
        <f>IF(OR(D276="",E276=""),"",ROUND(D276/LOOKUP(E276,SMMLV!$A$2:$A$36,SMMLV!$D$2:$D$104),3))</f>
        <v/>
      </c>
      <c r="K276" s="758">
        <v>28</v>
      </c>
      <c r="L276" s="189">
        <v>1</v>
      </c>
      <c r="M276" s="759" t="str">
        <f t="shared" ref="M276:M285" si="27">IF(SUMIFS($F$5:$F$1200,$B$5:$B$1200,$K$276,$C$5:$C$1200,$L276)=0,"NO APLICA",ROUND(SUMIFS($F$5:$F$1200,$B$5:$B$1200,$K$276,$C$5:$C$1200,$L276),3))</f>
        <v>NO APLICA</v>
      </c>
      <c r="N276" s="759"/>
    </row>
    <row r="277" spans="2:14">
      <c r="B277" s="182"/>
      <c r="C277" s="182"/>
      <c r="E277" s="183"/>
      <c r="F277" s="229" t="str">
        <f>IF(OR(D277="",E277=""),"",ROUND(D277/LOOKUP(E277,SMMLV!$A$2:$A$36,SMMLV!$D$2:$D$104),3))</f>
        <v/>
      </c>
      <c r="K277" s="758"/>
      <c r="L277" s="189">
        <v>2</v>
      </c>
      <c r="M277" s="759" t="str">
        <f t="shared" si="27"/>
        <v>NO APLICA</v>
      </c>
      <c r="N277" s="759"/>
    </row>
    <row r="278" spans="2:14">
      <c r="B278" s="182"/>
      <c r="C278" s="182"/>
      <c r="E278" s="183"/>
      <c r="F278" s="229" t="str">
        <f>IF(OR(D278="",E278=""),"",ROUND(D278/LOOKUP(E278,SMMLV!$A$2:$A$36,SMMLV!$D$2:$D$104),3))</f>
        <v/>
      </c>
      <c r="K278" s="758"/>
      <c r="L278" s="189">
        <v>3</v>
      </c>
      <c r="M278" s="759" t="str">
        <f t="shared" si="27"/>
        <v>NO APLICA</v>
      </c>
      <c r="N278" s="759"/>
    </row>
    <row r="279" spans="2:14">
      <c r="B279" s="182"/>
      <c r="C279" s="182"/>
      <c r="E279" s="183"/>
      <c r="F279" s="229" t="str">
        <f>IF(OR(D279="",E279=""),"",ROUND(D279/LOOKUP(E279,SMMLV!$A$2:$A$36,SMMLV!$D$2:$D$104),3))</f>
        <v/>
      </c>
      <c r="K279" s="758"/>
      <c r="L279" s="189">
        <v>4</v>
      </c>
      <c r="M279" s="759" t="str">
        <f t="shared" si="27"/>
        <v>NO APLICA</v>
      </c>
      <c r="N279" s="759"/>
    </row>
    <row r="280" spans="2:14">
      <c r="B280" s="182"/>
      <c r="C280" s="182"/>
      <c r="E280" s="183"/>
      <c r="F280" s="229" t="str">
        <f>IF(OR(D280="",E280=""),"",ROUND(D280/LOOKUP(E280,SMMLV!$A$2:$A$36,SMMLV!$D$2:$D$104),3))</f>
        <v/>
      </c>
      <c r="K280" s="758"/>
      <c r="L280" s="189">
        <v>5</v>
      </c>
      <c r="M280" s="759" t="str">
        <f t="shared" si="27"/>
        <v>NO APLICA</v>
      </c>
      <c r="N280" s="759"/>
    </row>
    <row r="281" spans="2:14">
      <c r="B281" s="182"/>
      <c r="C281" s="182"/>
      <c r="E281" s="183"/>
      <c r="F281" s="229" t="str">
        <f>IF(OR(D281="",E281=""),"",ROUND(D281/LOOKUP(E281,SMMLV!$A$2:$A$36,SMMLV!$D$2:$D$104),3))</f>
        <v/>
      </c>
      <c r="K281" s="758"/>
      <c r="L281" s="189">
        <v>6</v>
      </c>
      <c r="M281" s="759" t="str">
        <f t="shared" si="27"/>
        <v>NO APLICA</v>
      </c>
      <c r="N281" s="759"/>
    </row>
    <row r="282" spans="2:14">
      <c r="B282" s="182"/>
      <c r="C282" s="182"/>
      <c r="E282" s="183"/>
      <c r="F282" s="229" t="str">
        <f>IF(OR(D282="",E282=""),"",ROUND(D282/LOOKUP(E282,SMMLV!$A$2:$A$36,SMMLV!$D$2:$D$104),3))</f>
        <v/>
      </c>
      <c r="K282" s="758"/>
      <c r="L282" s="189">
        <v>7</v>
      </c>
      <c r="M282" s="759" t="str">
        <f t="shared" si="27"/>
        <v>NO APLICA</v>
      </c>
      <c r="N282" s="759"/>
    </row>
    <row r="283" spans="2:14">
      <c r="B283" s="182"/>
      <c r="C283" s="182"/>
      <c r="E283" s="183"/>
      <c r="F283" s="229" t="str">
        <f>IF(OR(D283="",E283=""),"",ROUND(D283/LOOKUP(E283,SMMLV!$A$2:$A$36,SMMLV!$D$2:$D$104),3))</f>
        <v/>
      </c>
      <c r="K283" s="758"/>
      <c r="L283" s="189">
        <v>8</v>
      </c>
      <c r="M283" s="759" t="str">
        <f t="shared" si="27"/>
        <v>NO APLICA</v>
      </c>
      <c r="N283" s="759"/>
    </row>
    <row r="284" spans="2:14">
      <c r="B284" s="182"/>
      <c r="C284" s="182"/>
      <c r="E284" s="183"/>
      <c r="F284" s="229" t="str">
        <f>IF(OR(D284="",E284=""),"",ROUND(D284/LOOKUP(E284,SMMLV!$A$2:$A$36,SMMLV!$D$2:$D$104),3))</f>
        <v/>
      </c>
      <c r="K284" s="758"/>
      <c r="L284" s="189">
        <v>9</v>
      </c>
      <c r="M284" s="759" t="str">
        <f t="shared" si="27"/>
        <v>NO APLICA</v>
      </c>
      <c r="N284" s="759"/>
    </row>
    <row r="285" spans="2:14">
      <c r="B285" s="182"/>
      <c r="C285" s="182"/>
      <c r="E285" s="183"/>
      <c r="F285" s="229" t="str">
        <f>IF(OR(D285="",E285=""),"",ROUND(D285/LOOKUP(E285,SMMLV!$A$2:$A$36,SMMLV!$D$2:$D$104),3))</f>
        <v/>
      </c>
      <c r="K285" s="758"/>
      <c r="L285" s="189">
        <v>10</v>
      </c>
      <c r="M285" s="759" t="str">
        <f t="shared" si="27"/>
        <v>NO APLICA</v>
      </c>
      <c r="N285" s="759"/>
    </row>
    <row r="286" spans="2:14">
      <c r="B286" s="182"/>
      <c r="C286" s="182"/>
      <c r="E286" s="183"/>
      <c r="F286" s="229" t="str">
        <f>IF(OR(D286="",E286=""),"",ROUND(D286/LOOKUP(E286,SMMLV!$A$2:$A$36,SMMLV!$D$2:$D$104),3))</f>
        <v/>
      </c>
      <c r="K286" s="758">
        <v>29</v>
      </c>
      <c r="L286" s="189">
        <v>1</v>
      </c>
      <c r="M286" s="759" t="str">
        <f t="shared" ref="M286:M295" si="28">IF(SUMIFS($F$5:$F$1200,$B$5:$B$1200,$K$286,$C$5:$C$1200,$L286)=0,"NO APLICA",ROUND(SUMIFS($F$5:$F$1200,$B$5:$B$1200,$K$286,$C$5:$C$1200,$L286),3))</f>
        <v>NO APLICA</v>
      </c>
      <c r="N286" s="759"/>
    </row>
    <row r="287" spans="2:14">
      <c r="B287" s="182"/>
      <c r="C287" s="182"/>
      <c r="E287" s="183"/>
      <c r="F287" s="229" t="str">
        <f>IF(OR(D287="",E287=""),"",ROUND(D287/LOOKUP(E287,SMMLV!$A$2:$A$36,SMMLV!$D$2:$D$104),3))</f>
        <v/>
      </c>
      <c r="K287" s="758"/>
      <c r="L287" s="189">
        <v>2</v>
      </c>
      <c r="M287" s="759" t="str">
        <f t="shared" si="28"/>
        <v>NO APLICA</v>
      </c>
      <c r="N287" s="759"/>
    </row>
    <row r="288" spans="2:14">
      <c r="B288" s="182"/>
      <c r="C288" s="182"/>
      <c r="E288" s="183"/>
      <c r="F288" s="229" t="str">
        <f>IF(OR(D288="",E288=""),"",ROUND(D288/LOOKUP(E288,SMMLV!$A$2:$A$36,SMMLV!$D$2:$D$104),3))</f>
        <v/>
      </c>
      <c r="K288" s="758"/>
      <c r="L288" s="189">
        <v>3</v>
      </c>
      <c r="M288" s="759" t="str">
        <f t="shared" si="28"/>
        <v>NO APLICA</v>
      </c>
      <c r="N288" s="759"/>
    </row>
    <row r="289" spans="2:14">
      <c r="B289" s="182"/>
      <c r="C289" s="182"/>
      <c r="E289" s="183"/>
      <c r="F289" s="229" t="str">
        <f>IF(OR(D289="",E289=""),"",ROUND(D289/LOOKUP(E289,SMMLV!$A$2:$A$36,SMMLV!$D$2:$D$104),3))</f>
        <v/>
      </c>
      <c r="K289" s="758"/>
      <c r="L289" s="189">
        <v>4</v>
      </c>
      <c r="M289" s="759" t="str">
        <f t="shared" si="28"/>
        <v>NO APLICA</v>
      </c>
      <c r="N289" s="759"/>
    </row>
    <row r="290" spans="2:14">
      <c r="B290" s="182"/>
      <c r="C290" s="182"/>
      <c r="E290" s="183"/>
      <c r="F290" s="229" t="str">
        <f>IF(OR(D290="",E290=""),"",ROUND(D290/LOOKUP(E290,SMMLV!$A$2:$A$36,SMMLV!$D$2:$D$104),3))</f>
        <v/>
      </c>
      <c r="K290" s="758"/>
      <c r="L290" s="189">
        <v>5</v>
      </c>
      <c r="M290" s="759" t="str">
        <f t="shared" si="28"/>
        <v>NO APLICA</v>
      </c>
      <c r="N290" s="759"/>
    </row>
    <row r="291" spans="2:14">
      <c r="B291" s="182"/>
      <c r="C291" s="182"/>
      <c r="E291" s="183"/>
      <c r="F291" s="229" t="str">
        <f>IF(OR(D291="",E291=""),"",ROUND(D291/LOOKUP(E291,SMMLV!$A$2:$A$36,SMMLV!$D$2:$D$104),3))</f>
        <v/>
      </c>
      <c r="K291" s="758"/>
      <c r="L291" s="189">
        <v>6</v>
      </c>
      <c r="M291" s="759" t="str">
        <f t="shared" si="28"/>
        <v>NO APLICA</v>
      </c>
      <c r="N291" s="759"/>
    </row>
    <row r="292" spans="2:14">
      <c r="B292" s="182"/>
      <c r="C292" s="182"/>
      <c r="E292" s="183"/>
      <c r="F292" s="229" t="str">
        <f>IF(OR(D292="",E292=""),"",ROUND(D292/LOOKUP(E292,SMMLV!$A$2:$A$36,SMMLV!$D$2:$D$104),3))</f>
        <v/>
      </c>
      <c r="K292" s="758"/>
      <c r="L292" s="189">
        <v>7</v>
      </c>
      <c r="M292" s="759" t="str">
        <f t="shared" si="28"/>
        <v>NO APLICA</v>
      </c>
      <c r="N292" s="759"/>
    </row>
    <row r="293" spans="2:14">
      <c r="B293" s="182"/>
      <c r="C293" s="182"/>
      <c r="E293" s="183"/>
      <c r="F293" s="229" t="str">
        <f>IF(OR(D293="",E293=""),"",ROUND(D293/LOOKUP(E293,SMMLV!$A$2:$A$36,SMMLV!$D$2:$D$104),3))</f>
        <v/>
      </c>
      <c r="K293" s="758"/>
      <c r="L293" s="189">
        <v>8</v>
      </c>
      <c r="M293" s="759" t="str">
        <f t="shared" si="28"/>
        <v>NO APLICA</v>
      </c>
      <c r="N293" s="759"/>
    </row>
    <row r="294" spans="2:14">
      <c r="B294" s="182"/>
      <c r="C294" s="182"/>
      <c r="E294" s="183"/>
      <c r="F294" s="229" t="str">
        <f>IF(OR(D294="",E294=""),"",ROUND(D294/LOOKUP(E294,SMMLV!$A$2:$A$36,SMMLV!$D$2:$D$104),3))</f>
        <v/>
      </c>
      <c r="K294" s="758"/>
      <c r="L294" s="189">
        <v>9</v>
      </c>
      <c r="M294" s="759" t="str">
        <f t="shared" si="28"/>
        <v>NO APLICA</v>
      </c>
      <c r="N294" s="759"/>
    </row>
    <row r="295" spans="2:14">
      <c r="B295" s="182"/>
      <c r="C295" s="182"/>
      <c r="E295" s="183"/>
      <c r="F295" s="229" t="str">
        <f>IF(OR(D295="",E295=""),"",ROUND(D295/LOOKUP(E295,SMMLV!$A$2:$A$36,SMMLV!$D$2:$D$104),3))</f>
        <v/>
      </c>
      <c r="K295" s="758"/>
      <c r="L295" s="189">
        <v>10</v>
      </c>
      <c r="M295" s="759" t="str">
        <f t="shared" si="28"/>
        <v>NO APLICA</v>
      </c>
      <c r="N295" s="759"/>
    </row>
    <row r="296" spans="2:14">
      <c r="B296" s="182"/>
      <c r="C296" s="182"/>
      <c r="E296" s="183"/>
      <c r="F296" s="229" t="str">
        <f>IF(OR(D296="",E296=""),"",ROUND(D296/LOOKUP(E296,SMMLV!$A$2:$A$36,SMMLV!$D$2:$D$104),3))</f>
        <v/>
      </c>
      <c r="K296" s="758">
        <v>30</v>
      </c>
      <c r="L296" s="189">
        <v>1</v>
      </c>
      <c r="M296" s="759" t="str">
        <f t="shared" ref="M296:M305" si="29">IF(SUMIFS($F$5:$F$1200,$B$5:$B$1200,$K$296,$C$5:$C$1200,$L296)=0,"NO APLICA",ROUND(SUMIFS($F$5:$F$1200,$B$5:$B$1200,$K$296,$C$5:$C$1200,$L296),3))</f>
        <v>NO APLICA</v>
      </c>
      <c r="N296" s="759"/>
    </row>
    <row r="297" spans="2:14">
      <c r="B297" s="182"/>
      <c r="C297" s="182"/>
      <c r="E297" s="183"/>
      <c r="F297" s="229" t="str">
        <f>IF(OR(D297="",E297=""),"",ROUND(D297/LOOKUP(E297,SMMLV!$A$2:$A$36,SMMLV!$D$2:$D$104),3))</f>
        <v/>
      </c>
      <c r="K297" s="758"/>
      <c r="L297" s="189">
        <v>2</v>
      </c>
      <c r="M297" s="759" t="str">
        <f t="shared" si="29"/>
        <v>NO APLICA</v>
      </c>
      <c r="N297" s="759"/>
    </row>
    <row r="298" spans="2:14">
      <c r="B298" s="182"/>
      <c r="C298" s="182"/>
      <c r="E298" s="183"/>
      <c r="F298" s="229" t="str">
        <f>IF(OR(D298="",E298=""),"",ROUND(D298/LOOKUP(E298,SMMLV!$A$2:$A$36,SMMLV!$D$2:$D$104),3))</f>
        <v/>
      </c>
      <c r="K298" s="758"/>
      <c r="L298" s="189">
        <v>3</v>
      </c>
      <c r="M298" s="759" t="str">
        <f t="shared" si="29"/>
        <v>NO APLICA</v>
      </c>
      <c r="N298" s="759"/>
    </row>
    <row r="299" spans="2:14">
      <c r="B299" s="182"/>
      <c r="C299" s="182"/>
      <c r="E299" s="183"/>
      <c r="F299" s="229" t="str">
        <f>IF(OR(D299="",E299=""),"",ROUND(D299/LOOKUP(E299,SMMLV!$A$2:$A$36,SMMLV!$D$2:$D$104),3))</f>
        <v/>
      </c>
      <c r="K299" s="758"/>
      <c r="L299" s="189">
        <v>4</v>
      </c>
      <c r="M299" s="759" t="str">
        <f t="shared" si="29"/>
        <v>NO APLICA</v>
      </c>
      <c r="N299" s="759"/>
    </row>
    <row r="300" spans="2:14">
      <c r="B300" s="182"/>
      <c r="C300" s="182"/>
      <c r="E300" s="183"/>
      <c r="F300" s="229" t="str">
        <f>IF(OR(D300="",E300=""),"",ROUND(D300/LOOKUP(E300,SMMLV!$A$2:$A$36,SMMLV!$D$2:$D$104),3))</f>
        <v/>
      </c>
      <c r="K300" s="758"/>
      <c r="L300" s="189">
        <v>5</v>
      </c>
      <c r="M300" s="759" t="str">
        <f t="shared" si="29"/>
        <v>NO APLICA</v>
      </c>
      <c r="N300" s="759"/>
    </row>
    <row r="301" spans="2:14">
      <c r="B301" s="182"/>
      <c r="C301" s="182"/>
      <c r="E301" s="183"/>
      <c r="F301" s="229" t="str">
        <f>IF(OR(D301="",E301=""),"",ROUND(D301/LOOKUP(E301,SMMLV!$A$2:$A$36,SMMLV!$D$2:$D$104),3))</f>
        <v/>
      </c>
      <c r="K301" s="758"/>
      <c r="L301" s="189">
        <v>6</v>
      </c>
      <c r="M301" s="759" t="str">
        <f t="shared" si="29"/>
        <v>NO APLICA</v>
      </c>
      <c r="N301" s="759"/>
    </row>
    <row r="302" spans="2:14">
      <c r="B302" s="182"/>
      <c r="C302" s="182"/>
      <c r="E302" s="183"/>
      <c r="F302" s="229" t="str">
        <f>IF(OR(D302="",E302=""),"",ROUND(D302/LOOKUP(E302,SMMLV!$A$2:$A$36,SMMLV!$D$2:$D$104),3))</f>
        <v/>
      </c>
      <c r="K302" s="758"/>
      <c r="L302" s="189">
        <v>7</v>
      </c>
      <c r="M302" s="759" t="str">
        <f t="shared" si="29"/>
        <v>NO APLICA</v>
      </c>
      <c r="N302" s="759"/>
    </row>
    <row r="303" spans="2:14">
      <c r="B303" s="182"/>
      <c r="C303" s="182"/>
      <c r="E303" s="183"/>
      <c r="F303" s="229" t="str">
        <f>IF(OR(D303="",E303=""),"",ROUND(D303/LOOKUP(E303,SMMLV!$A$2:$A$36,SMMLV!$D$2:$D$104),3))</f>
        <v/>
      </c>
      <c r="K303" s="758"/>
      <c r="L303" s="189">
        <v>8</v>
      </c>
      <c r="M303" s="759" t="str">
        <f t="shared" si="29"/>
        <v>NO APLICA</v>
      </c>
      <c r="N303" s="759"/>
    </row>
    <row r="304" spans="2:14">
      <c r="B304" s="182"/>
      <c r="C304" s="182"/>
      <c r="E304" s="183"/>
      <c r="F304" s="229" t="str">
        <f>IF(OR(D304="",E304=""),"",ROUND(D304/LOOKUP(E304,SMMLV!$A$2:$A$36,SMMLV!$D$2:$D$104),3))</f>
        <v/>
      </c>
      <c r="K304" s="758"/>
      <c r="L304" s="189">
        <v>9</v>
      </c>
      <c r="M304" s="759" t="str">
        <f t="shared" si="29"/>
        <v>NO APLICA</v>
      </c>
      <c r="N304" s="759"/>
    </row>
    <row r="305" spans="2:14">
      <c r="B305" s="182"/>
      <c r="C305" s="182"/>
      <c r="E305" s="183"/>
      <c r="F305" s="229" t="str">
        <f>IF(OR(D305="",E305=""),"",ROUND(D305/LOOKUP(E305,SMMLV!$A$2:$A$36,SMMLV!$D$2:$D$104),3))</f>
        <v/>
      </c>
      <c r="K305" s="758"/>
      <c r="L305" s="189">
        <v>10</v>
      </c>
      <c r="M305" s="759" t="str">
        <f t="shared" si="29"/>
        <v>NO APLICA</v>
      </c>
      <c r="N305" s="759"/>
    </row>
    <row r="306" spans="2:14">
      <c r="B306" s="182"/>
      <c r="C306" s="182"/>
      <c r="E306" s="183"/>
      <c r="F306" s="229" t="str">
        <f>IF(OR(D306="",E306=""),"",ROUND(D306/LOOKUP(E306,SMMLV!$A$2:$A$36,SMMLV!$D$2:$D$104),3))</f>
        <v/>
      </c>
      <c r="K306" s="758">
        <v>31</v>
      </c>
      <c r="L306" s="189">
        <v>1</v>
      </c>
      <c r="M306" s="759" t="str">
        <f t="shared" ref="M306:M315" si="30">IF(SUMIFS($F$5:$F$1200,$B$5:$B$1200,$K$306,$C$5:$C$1200,$L306)=0,"NO APLICA",ROUND(SUMIFS($F$5:$F$1200,$B$5:$B$1200,$K$306,$C$5:$C$1200,$L306),3))</f>
        <v>NO APLICA</v>
      </c>
      <c r="N306" s="759"/>
    </row>
    <row r="307" spans="2:14">
      <c r="B307" s="182"/>
      <c r="C307" s="182"/>
      <c r="E307" s="183"/>
      <c r="F307" s="229" t="str">
        <f>IF(OR(D307="",E307=""),"",ROUND(D307/LOOKUP(E307,SMMLV!$A$2:$A$36,SMMLV!$D$2:$D$104),3))</f>
        <v/>
      </c>
      <c r="K307" s="758"/>
      <c r="L307" s="189">
        <v>2</v>
      </c>
      <c r="M307" s="759" t="str">
        <f t="shared" si="30"/>
        <v>NO APLICA</v>
      </c>
      <c r="N307" s="759"/>
    </row>
    <row r="308" spans="2:14">
      <c r="B308" s="182"/>
      <c r="C308" s="182"/>
      <c r="E308" s="183"/>
      <c r="F308" s="229" t="str">
        <f>IF(OR(D308="",E308=""),"",ROUND(D308/LOOKUP(E308,SMMLV!$A$2:$A$36,SMMLV!$D$2:$D$104),3))</f>
        <v/>
      </c>
      <c r="K308" s="758"/>
      <c r="L308" s="189">
        <v>3</v>
      </c>
      <c r="M308" s="759" t="str">
        <f t="shared" si="30"/>
        <v>NO APLICA</v>
      </c>
      <c r="N308" s="759"/>
    </row>
    <row r="309" spans="2:14">
      <c r="B309" s="182"/>
      <c r="C309" s="182"/>
      <c r="E309" s="183"/>
      <c r="F309" s="229" t="str">
        <f>IF(OR(D309="",E309=""),"",ROUND(D309/LOOKUP(E309,SMMLV!$A$2:$A$36,SMMLV!$D$2:$D$104),3))</f>
        <v/>
      </c>
      <c r="K309" s="758"/>
      <c r="L309" s="189">
        <v>4</v>
      </c>
      <c r="M309" s="759" t="str">
        <f t="shared" si="30"/>
        <v>NO APLICA</v>
      </c>
      <c r="N309" s="759"/>
    </row>
    <row r="310" spans="2:14">
      <c r="B310" s="182"/>
      <c r="C310" s="182"/>
      <c r="E310" s="183"/>
      <c r="F310" s="229" t="str">
        <f>IF(OR(D310="",E310=""),"",ROUND(D310/LOOKUP(E310,SMMLV!$A$2:$A$36,SMMLV!$D$2:$D$104),3))</f>
        <v/>
      </c>
      <c r="K310" s="758"/>
      <c r="L310" s="189">
        <v>5</v>
      </c>
      <c r="M310" s="759" t="str">
        <f t="shared" si="30"/>
        <v>NO APLICA</v>
      </c>
      <c r="N310" s="759"/>
    </row>
    <row r="311" spans="2:14">
      <c r="B311" s="182"/>
      <c r="C311" s="182"/>
      <c r="E311" s="183"/>
      <c r="F311" s="229" t="str">
        <f>IF(OR(D311="",E311=""),"",ROUND(D311/LOOKUP(E311,SMMLV!$A$2:$A$36,SMMLV!$D$2:$D$104),3))</f>
        <v/>
      </c>
      <c r="K311" s="758"/>
      <c r="L311" s="189">
        <v>6</v>
      </c>
      <c r="M311" s="759" t="str">
        <f t="shared" si="30"/>
        <v>NO APLICA</v>
      </c>
      <c r="N311" s="759"/>
    </row>
    <row r="312" spans="2:14">
      <c r="B312" s="182"/>
      <c r="C312" s="182"/>
      <c r="E312" s="183"/>
      <c r="F312" s="229" t="str">
        <f>IF(OR(D312="",E312=""),"",ROUND(D312/LOOKUP(E312,SMMLV!$A$2:$A$36,SMMLV!$D$2:$D$104),3))</f>
        <v/>
      </c>
      <c r="K312" s="758"/>
      <c r="L312" s="189">
        <v>7</v>
      </c>
      <c r="M312" s="759" t="str">
        <f t="shared" si="30"/>
        <v>NO APLICA</v>
      </c>
      <c r="N312" s="759"/>
    </row>
    <row r="313" spans="2:14">
      <c r="B313" s="182"/>
      <c r="C313" s="182"/>
      <c r="E313" s="183"/>
      <c r="F313" s="229" t="str">
        <f>IF(OR(D313="",E313=""),"",ROUND(D313/LOOKUP(E313,SMMLV!$A$2:$A$36,SMMLV!$D$2:$D$104),3))</f>
        <v/>
      </c>
      <c r="K313" s="758"/>
      <c r="L313" s="189">
        <v>8</v>
      </c>
      <c r="M313" s="759" t="str">
        <f t="shared" si="30"/>
        <v>NO APLICA</v>
      </c>
      <c r="N313" s="759"/>
    </row>
    <row r="314" spans="2:14">
      <c r="B314" s="182"/>
      <c r="C314" s="182"/>
      <c r="E314" s="183"/>
      <c r="F314" s="229" t="str">
        <f>IF(OR(D314="",E314=""),"",ROUND(D314/LOOKUP(E314,SMMLV!$A$2:$A$36,SMMLV!$D$2:$D$104),3))</f>
        <v/>
      </c>
      <c r="K314" s="758"/>
      <c r="L314" s="189">
        <v>9</v>
      </c>
      <c r="M314" s="759" t="str">
        <f t="shared" si="30"/>
        <v>NO APLICA</v>
      </c>
      <c r="N314" s="759"/>
    </row>
    <row r="315" spans="2:14">
      <c r="B315" s="182"/>
      <c r="C315" s="182"/>
      <c r="E315" s="183"/>
      <c r="F315" s="229" t="str">
        <f>IF(OR(D315="",E315=""),"",ROUND(D315/LOOKUP(E315,SMMLV!$A$2:$A$36,SMMLV!$D$2:$D$104),3))</f>
        <v/>
      </c>
      <c r="K315" s="758"/>
      <c r="L315" s="189">
        <v>10</v>
      </c>
      <c r="M315" s="759" t="str">
        <f t="shared" si="30"/>
        <v>NO APLICA</v>
      </c>
      <c r="N315" s="759"/>
    </row>
    <row r="316" spans="2:14">
      <c r="B316" s="182"/>
      <c r="C316" s="182"/>
      <c r="E316" s="183"/>
      <c r="F316" s="229" t="str">
        <f>IF(OR(D316="",E316=""),"",ROUND(D316/LOOKUP(E316,SMMLV!$A$2:$A$36,SMMLV!$D$2:$D$104),3))</f>
        <v/>
      </c>
      <c r="K316" s="758">
        <v>32</v>
      </c>
      <c r="L316" s="189">
        <v>1</v>
      </c>
      <c r="M316" s="759" t="str">
        <f t="shared" ref="M316:M325" si="31">IF(SUMIFS($F$5:$F$1200,$B$5:$B$1200,$K$316,$C$5:$C$1200,$L316)=0,"NO APLICA",ROUND(SUMIFS($F$5:$F$1200,$B$5:$B$1200,$K$316,$C$5:$C$1200,$L316),3))</f>
        <v>NO APLICA</v>
      </c>
      <c r="N316" s="759"/>
    </row>
    <row r="317" spans="2:14">
      <c r="B317" s="182"/>
      <c r="C317" s="182"/>
      <c r="E317" s="183"/>
      <c r="F317" s="229" t="str">
        <f>IF(OR(D317="",E317=""),"",ROUND(D317/LOOKUP(E317,SMMLV!$A$2:$A$36,SMMLV!$D$2:$D$104),3))</f>
        <v/>
      </c>
      <c r="K317" s="758"/>
      <c r="L317" s="189">
        <v>2</v>
      </c>
      <c r="M317" s="759" t="str">
        <f t="shared" si="31"/>
        <v>NO APLICA</v>
      </c>
      <c r="N317" s="759"/>
    </row>
    <row r="318" spans="2:14">
      <c r="B318" s="182"/>
      <c r="C318" s="182"/>
      <c r="E318" s="183"/>
      <c r="F318" s="229" t="str">
        <f>IF(OR(D318="",E318=""),"",ROUND(D318/LOOKUP(E318,SMMLV!$A$2:$A$36,SMMLV!$D$2:$D$104),3))</f>
        <v/>
      </c>
      <c r="K318" s="758"/>
      <c r="L318" s="189">
        <v>3</v>
      </c>
      <c r="M318" s="759" t="str">
        <f t="shared" si="31"/>
        <v>NO APLICA</v>
      </c>
      <c r="N318" s="759"/>
    </row>
    <row r="319" spans="2:14">
      <c r="B319" s="182"/>
      <c r="C319" s="182"/>
      <c r="E319" s="183"/>
      <c r="F319" s="229" t="str">
        <f>IF(OR(D319="",E319=""),"",ROUND(D319/LOOKUP(E319,SMMLV!$A$2:$A$36,SMMLV!$D$2:$D$104),3))</f>
        <v/>
      </c>
      <c r="K319" s="758"/>
      <c r="L319" s="189">
        <v>4</v>
      </c>
      <c r="M319" s="759" t="str">
        <f t="shared" si="31"/>
        <v>NO APLICA</v>
      </c>
      <c r="N319" s="759"/>
    </row>
    <row r="320" spans="2:14">
      <c r="B320" s="182"/>
      <c r="C320" s="182"/>
      <c r="E320" s="183"/>
      <c r="F320" s="229" t="str">
        <f>IF(OR(D320="",E320=""),"",ROUND(D320/LOOKUP(E320,SMMLV!$A$2:$A$36,SMMLV!$D$2:$D$104),3))</f>
        <v/>
      </c>
      <c r="K320" s="758"/>
      <c r="L320" s="189">
        <v>5</v>
      </c>
      <c r="M320" s="759" t="str">
        <f t="shared" si="31"/>
        <v>NO APLICA</v>
      </c>
      <c r="N320" s="759"/>
    </row>
    <row r="321" spans="2:14">
      <c r="B321" s="182"/>
      <c r="C321" s="182"/>
      <c r="E321" s="183"/>
      <c r="F321" s="229" t="str">
        <f>IF(OR(D321="",E321=""),"",ROUND(D321/LOOKUP(E321,SMMLV!$A$2:$A$36,SMMLV!$D$2:$D$104),3))</f>
        <v/>
      </c>
      <c r="K321" s="758"/>
      <c r="L321" s="189">
        <v>6</v>
      </c>
      <c r="M321" s="759" t="str">
        <f t="shared" si="31"/>
        <v>NO APLICA</v>
      </c>
      <c r="N321" s="759"/>
    </row>
    <row r="322" spans="2:14">
      <c r="B322" s="182"/>
      <c r="C322" s="182"/>
      <c r="E322" s="183"/>
      <c r="F322" s="229" t="str">
        <f>IF(OR(D322="",E322=""),"",ROUND(D322/LOOKUP(E322,SMMLV!$A$2:$A$36,SMMLV!$D$2:$D$104),3))</f>
        <v/>
      </c>
      <c r="K322" s="758"/>
      <c r="L322" s="189">
        <v>7</v>
      </c>
      <c r="M322" s="759" t="str">
        <f t="shared" si="31"/>
        <v>NO APLICA</v>
      </c>
      <c r="N322" s="759"/>
    </row>
    <row r="323" spans="2:14">
      <c r="B323" s="182"/>
      <c r="C323" s="182"/>
      <c r="E323" s="183"/>
      <c r="F323" s="229" t="str">
        <f>IF(OR(D323="",E323=""),"",ROUND(D323/LOOKUP(E323,SMMLV!$A$2:$A$36,SMMLV!$D$2:$D$104),3))</f>
        <v/>
      </c>
      <c r="K323" s="758"/>
      <c r="L323" s="189">
        <v>8</v>
      </c>
      <c r="M323" s="759" t="str">
        <f t="shared" si="31"/>
        <v>NO APLICA</v>
      </c>
      <c r="N323" s="759"/>
    </row>
    <row r="324" spans="2:14">
      <c r="B324" s="182"/>
      <c r="C324" s="182"/>
      <c r="E324" s="183"/>
      <c r="F324" s="229" t="str">
        <f>IF(OR(D324="",E324=""),"",ROUND(D324/LOOKUP(E324,SMMLV!$A$2:$A$36,SMMLV!$D$2:$D$104),3))</f>
        <v/>
      </c>
      <c r="K324" s="758"/>
      <c r="L324" s="189">
        <v>9</v>
      </c>
      <c r="M324" s="759" t="str">
        <f t="shared" si="31"/>
        <v>NO APLICA</v>
      </c>
      <c r="N324" s="759"/>
    </row>
    <row r="325" spans="2:14">
      <c r="B325" s="182"/>
      <c r="C325" s="182"/>
      <c r="E325" s="183"/>
      <c r="F325" s="229" t="str">
        <f>IF(OR(D325="",E325=""),"",ROUND(D325/LOOKUP(E325,SMMLV!$A$2:$A$36,SMMLV!$D$2:$D$104),3))</f>
        <v/>
      </c>
      <c r="K325" s="758"/>
      <c r="L325" s="189">
        <v>10</v>
      </c>
      <c r="M325" s="759" t="str">
        <f t="shared" si="31"/>
        <v>NO APLICA</v>
      </c>
      <c r="N325" s="759"/>
    </row>
    <row r="326" spans="2:14">
      <c r="B326" s="182"/>
      <c r="C326" s="182"/>
      <c r="E326" s="183"/>
      <c r="F326" s="229" t="str">
        <f>IF(OR(D326="",E326=""),"",ROUND(D326/LOOKUP(E326,SMMLV!$A$2:$A$36,SMMLV!$D$2:$D$104),3))</f>
        <v/>
      </c>
      <c r="K326" s="758">
        <v>33</v>
      </c>
      <c r="L326" s="189">
        <v>1</v>
      </c>
      <c r="M326" s="759" t="str">
        <f t="shared" ref="M326:M335" si="32">IF(SUMIFS($F$5:$F$1200,$B$5:$B$1200,$K$326,$C$5:$C$1200,$L326)=0,"NO APLICA",ROUND(SUMIFS($F$5:$F$1200,$B$5:$B$1200,$K$326,$C$5:$C$1200,$L326),3))</f>
        <v>NO APLICA</v>
      </c>
      <c r="N326" s="759"/>
    </row>
    <row r="327" spans="2:14">
      <c r="B327" s="182"/>
      <c r="C327" s="182"/>
      <c r="E327" s="183"/>
      <c r="F327" s="229" t="str">
        <f>IF(OR(D327="",E327=""),"",ROUND(D327/LOOKUP(E327,SMMLV!$A$2:$A$36,SMMLV!$D$2:$D$104),3))</f>
        <v/>
      </c>
      <c r="K327" s="758"/>
      <c r="L327" s="189">
        <v>2</v>
      </c>
      <c r="M327" s="759" t="str">
        <f t="shared" si="32"/>
        <v>NO APLICA</v>
      </c>
      <c r="N327" s="759"/>
    </row>
    <row r="328" spans="2:14">
      <c r="B328" s="182"/>
      <c r="C328" s="182"/>
      <c r="E328" s="183"/>
      <c r="F328" s="229" t="str">
        <f>IF(OR(D328="",E328=""),"",ROUND(D328/LOOKUP(E328,SMMLV!$A$2:$A$36,SMMLV!$D$2:$D$104),3))</f>
        <v/>
      </c>
      <c r="K328" s="758"/>
      <c r="L328" s="189">
        <v>3</v>
      </c>
      <c r="M328" s="759" t="str">
        <f t="shared" si="32"/>
        <v>NO APLICA</v>
      </c>
      <c r="N328" s="759"/>
    </row>
    <row r="329" spans="2:14">
      <c r="B329" s="182"/>
      <c r="C329" s="182"/>
      <c r="E329" s="183"/>
      <c r="F329" s="229" t="str">
        <f>IF(OR(D329="",E329=""),"",ROUND(D329/LOOKUP(E329,SMMLV!$A$2:$A$36,SMMLV!$D$2:$D$104),3))</f>
        <v/>
      </c>
      <c r="K329" s="758"/>
      <c r="L329" s="189">
        <v>4</v>
      </c>
      <c r="M329" s="759" t="str">
        <f t="shared" si="32"/>
        <v>NO APLICA</v>
      </c>
      <c r="N329" s="759"/>
    </row>
    <row r="330" spans="2:14">
      <c r="B330" s="182"/>
      <c r="C330" s="182"/>
      <c r="E330" s="183"/>
      <c r="F330" s="229" t="str">
        <f>IF(OR(D330="",E330=""),"",ROUND(D330/LOOKUP(E330,SMMLV!$A$2:$A$36,SMMLV!$D$2:$D$104),3))</f>
        <v/>
      </c>
      <c r="K330" s="758"/>
      <c r="L330" s="189">
        <v>5</v>
      </c>
      <c r="M330" s="759" t="str">
        <f t="shared" si="32"/>
        <v>NO APLICA</v>
      </c>
      <c r="N330" s="759"/>
    </row>
    <row r="331" spans="2:14">
      <c r="B331" s="182"/>
      <c r="C331" s="182"/>
      <c r="E331" s="183"/>
      <c r="F331" s="229" t="str">
        <f>IF(OR(D331="",E331=""),"",ROUND(D331/LOOKUP(E331,SMMLV!$A$2:$A$36,SMMLV!$D$2:$D$104),3))</f>
        <v/>
      </c>
      <c r="K331" s="758"/>
      <c r="L331" s="189">
        <v>6</v>
      </c>
      <c r="M331" s="759" t="str">
        <f t="shared" si="32"/>
        <v>NO APLICA</v>
      </c>
      <c r="N331" s="759"/>
    </row>
    <row r="332" spans="2:14">
      <c r="B332" s="182"/>
      <c r="C332" s="182"/>
      <c r="E332" s="183"/>
      <c r="F332" s="229" t="str">
        <f>IF(OR(D332="",E332=""),"",ROUND(D332/LOOKUP(E332,SMMLV!$A$2:$A$36,SMMLV!$D$2:$D$104),3))</f>
        <v/>
      </c>
      <c r="K332" s="758"/>
      <c r="L332" s="189">
        <v>7</v>
      </c>
      <c r="M332" s="759" t="str">
        <f t="shared" si="32"/>
        <v>NO APLICA</v>
      </c>
      <c r="N332" s="759"/>
    </row>
    <row r="333" spans="2:14">
      <c r="B333" s="182"/>
      <c r="C333" s="182"/>
      <c r="E333" s="183"/>
      <c r="F333" s="229" t="str">
        <f>IF(OR(D333="",E333=""),"",ROUND(D333/LOOKUP(E333,SMMLV!$A$2:$A$36,SMMLV!$D$2:$D$104),3))</f>
        <v/>
      </c>
      <c r="K333" s="758"/>
      <c r="L333" s="189">
        <v>8</v>
      </c>
      <c r="M333" s="759" t="str">
        <f t="shared" si="32"/>
        <v>NO APLICA</v>
      </c>
      <c r="N333" s="759"/>
    </row>
    <row r="334" spans="2:14">
      <c r="B334" s="182"/>
      <c r="C334" s="182"/>
      <c r="E334" s="183"/>
      <c r="F334" s="229" t="str">
        <f>IF(OR(D334="",E334=""),"",ROUND(D334/LOOKUP(E334,SMMLV!$A$2:$A$36,SMMLV!$D$2:$D$104),3))</f>
        <v/>
      </c>
      <c r="K334" s="758"/>
      <c r="L334" s="189">
        <v>9</v>
      </c>
      <c r="M334" s="759" t="str">
        <f t="shared" si="32"/>
        <v>NO APLICA</v>
      </c>
      <c r="N334" s="759"/>
    </row>
    <row r="335" spans="2:14">
      <c r="B335" s="182"/>
      <c r="C335" s="182"/>
      <c r="E335" s="183"/>
      <c r="F335" s="229" t="str">
        <f>IF(OR(D335="",E335=""),"",ROUND(D335/LOOKUP(E335,SMMLV!$A$2:$A$36,SMMLV!$D$2:$D$104),3))</f>
        <v/>
      </c>
      <c r="K335" s="758"/>
      <c r="L335" s="189">
        <v>10</v>
      </c>
      <c r="M335" s="759" t="str">
        <f t="shared" si="32"/>
        <v>NO APLICA</v>
      </c>
      <c r="N335" s="759"/>
    </row>
    <row r="336" spans="2:14">
      <c r="B336" s="182"/>
      <c r="C336" s="182"/>
      <c r="E336" s="183"/>
      <c r="F336" s="229" t="str">
        <f>IF(OR(D336="",E336=""),"",ROUND(D336/LOOKUP(E336,SMMLV!$A$2:$A$36,SMMLV!$D$2:$D$104),3))</f>
        <v/>
      </c>
      <c r="K336" s="758">
        <v>34</v>
      </c>
      <c r="L336" s="189">
        <v>1</v>
      </c>
      <c r="M336" s="759" t="str">
        <f t="shared" ref="M336:M345" si="33">IF(SUMIFS($F$5:$F$1200,$B$5:$B$1200,$K$336,$C$5:$C$1200,$L336)=0,"NO APLICA",ROUND(SUMIFS($F$5:$F$1200,$B$5:$B$1200,$K$336,$C$5:$C$1200,$L336),3))</f>
        <v>NO APLICA</v>
      </c>
      <c r="N336" s="759"/>
    </row>
    <row r="337" spans="2:14">
      <c r="B337" s="182"/>
      <c r="C337" s="182"/>
      <c r="E337" s="183"/>
      <c r="F337" s="229" t="str">
        <f>IF(OR(D337="",E337=""),"",ROUND(D337/LOOKUP(E337,SMMLV!$A$2:$A$36,SMMLV!$D$2:$D$104),3))</f>
        <v/>
      </c>
      <c r="K337" s="758"/>
      <c r="L337" s="189">
        <v>2</v>
      </c>
      <c r="M337" s="759" t="str">
        <f t="shared" si="33"/>
        <v>NO APLICA</v>
      </c>
      <c r="N337" s="759"/>
    </row>
    <row r="338" spans="2:14">
      <c r="B338" s="182"/>
      <c r="C338" s="182"/>
      <c r="E338" s="183"/>
      <c r="F338" s="229" t="str">
        <f>IF(OR(D338="",E338=""),"",ROUND(D338/LOOKUP(E338,SMMLV!$A$2:$A$36,SMMLV!$D$2:$D$104),3))</f>
        <v/>
      </c>
      <c r="K338" s="758"/>
      <c r="L338" s="189">
        <v>3</v>
      </c>
      <c r="M338" s="759" t="str">
        <f t="shared" si="33"/>
        <v>NO APLICA</v>
      </c>
      <c r="N338" s="759"/>
    </row>
    <row r="339" spans="2:14">
      <c r="B339" s="182"/>
      <c r="C339" s="182"/>
      <c r="E339" s="183"/>
      <c r="F339" s="229" t="str">
        <f>IF(OR(D339="",E339=""),"",ROUND(D339/LOOKUP(E339,SMMLV!$A$2:$A$36,SMMLV!$D$2:$D$104),3))</f>
        <v/>
      </c>
      <c r="K339" s="758"/>
      <c r="L339" s="189">
        <v>4</v>
      </c>
      <c r="M339" s="759" t="str">
        <f t="shared" si="33"/>
        <v>NO APLICA</v>
      </c>
      <c r="N339" s="759"/>
    </row>
    <row r="340" spans="2:14">
      <c r="B340" s="182"/>
      <c r="C340" s="182"/>
      <c r="E340" s="183"/>
      <c r="F340" s="229" t="str">
        <f>IF(OR(D340="",E340=""),"",ROUND(D340/LOOKUP(E340,SMMLV!$A$2:$A$36,SMMLV!$D$2:$D$104),3))</f>
        <v/>
      </c>
      <c r="K340" s="758"/>
      <c r="L340" s="189">
        <v>5</v>
      </c>
      <c r="M340" s="759" t="str">
        <f t="shared" si="33"/>
        <v>NO APLICA</v>
      </c>
      <c r="N340" s="759"/>
    </row>
    <row r="341" spans="2:14">
      <c r="B341" s="182"/>
      <c r="C341" s="182"/>
      <c r="E341" s="183"/>
      <c r="F341" s="229" t="str">
        <f>IF(OR(D341="",E341=""),"",ROUND(D341/LOOKUP(E341,SMMLV!$A$2:$A$36,SMMLV!$D$2:$D$104),3))</f>
        <v/>
      </c>
      <c r="K341" s="758"/>
      <c r="L341" s="189">
        <v>6</v>
      </c>
      <c r="M341" s="759" t="str">
        <f t="shared" si="33"/>
        <v>NO APLICA</v>
      </c>
      <c r="N341" s="759"/>
    </row>
    <row r="342" spans="2:14">
      <c r="B342" s="182"/>
      <c r="C342" s="182"/>
      <c r="E342" s="183"/>
      <c r="F342" s="229" t="str">
        <f>IF(OR(D342="",E342=""),"",ROUND(D342/LOOKUP(E342,SMMLV!$A$2:$A$36,SMMLV!$D$2:$D$104),3))</f>
        <v/>
      </c>
      <c r="K342" s="758"/>
      <c r="L342" s="189">
        <v>7</v>
      </c>
      <c r="M342" s="759" t="str">
        <f t="shared" si="33"/>
        <v>NO APLICA</v>
      </c>
      <c r="N342" s="759"/>
    </row>
    <row r="343" spans="2:14">
      <c r="B343" s="182"/>
      <c r="C343" s="182"/>
      <c r="E343" s="183"/>
      <c r="F343" s="229" t="str">
        <f>IF(OR(D343="",E343=""),"",ROUND(D343/LOOKUP(E343,SMMLV!$A$2:$A$36,SMMLV!$D$2:$D$104),3))</f>
        <v/>
      </c>
      <c r="K343" s="758"/>
      <c r="L343" s="189">
        <v>8</v>
      </c>
      <c r="M343" s="759" t="str">
        <f t="shared" si="33"/>
        <v>NO APLICA</v>
      </c>
      <c r="N343" s="759"/>
    </row>
    <row r="344" spans="2:14">
      <c r="B344" s="182"/>
      <c r="C344" s="182"/>
      <c r="E344" s="183"/>
      <c r="F344" s="229" t="str">
        <f>IF(OR(D344="",E344=""),"",ROUND(D344/LOOKUP(E344,SMMLV!$A$2:$A$36,SMMLV!$D$2:$D$104),3))</f>
        <v/>
      </c>
      <c r="K344" s="758"/>
      <c r="L344" s="189">
        <v>9</v>
      </c>
      <c r="M344" s="759" t="str">
        <f t="shared" si="33"/>
        <v>NO APLICA</v>
      </c>
      <c r="N344" s="759"/>
    </row>
    <row r="345" spans="2:14">
      <c r="B345" s="182"/>
      <c r="C345" s="182"/>
      <c r="E345" s="183"/>
      <c r="F345" s="229" t="str">
        <f>IF(OR(D345="",E345=""),"",ROUND(D345/LOOKUP(E345,SMMLV!$A$2:$A$36,SMMLV!$D$2:$D$104),3))</f>
        <v/>
      </c>
      <c r="K345" s="758"/>
      <c r="L345" s="189">
        <v>10</v>
      </c>
      <c r="M345" s="759" t="str">
        <f t="shared" si="33"/>
        <v>NO APLICA</v>
      </c>
      <c r="N345" s="759"/>
    </row>
    <row r="346" spans="2:14">
      <c r="B346" s="182"/>
      <c r="C346" s="182"/>
      <c r="E346" s="183"/>
      <c r="F346" s="229" t="str">
        <f>IF(OR(D346="",E346=""),"",ROUND(D346/LOOKUP(E346,SMMLV!$A$2:$A$36,SMMLV!$D$2:$D$104),3))</f>
        <v/>
      </c>
      <c r="K346" s="758">
        <v>35</v>
      </c>
      <c r="L346" s="189">
        <v>1</v>
      </c>
      <c r="M346" s="759" t="str">
        <f t="shared" ref="M346:M355" si="34">IF(SUMIFS($F$5:$F$1200,$B$5:$B$1200,$K$346,$C$5:$C$1200,$L346)=0,"NO APLICA",ROUND(SUMIFS($F$5:$F$1200,$B$5:$B$1200,$K$346,$C$5:$C$1200,$L346),3))</f>
        <v>NO APLICA</v>
      </c>
      <c r="N346" s="759"/>
    </row>
    <row r="347" spans="2:14">
      <c r="B347" s="182"/>
      <c r="C347" s="182"/>
      <c r="E347" s="183"/>
      <c r="F347" s="229" t="str">
        <f>IF(OR(D347="",E347=""),"",ROUND(D347/LOOKUP(E347,SMMLV!$A$2:$A$36,SMMLV!$D$2:$D$104),3))</f>
        <v/>
      </c>
      <c r="K347" s="758"/>
      <c r="L347" s="189">
        <v>2</v>
      </c>
      <c r="M347" s="759" t="str">
        <f t="shared" si="34"/>
        <v>NO APLICA</v>
      </c>
      <c r="N347" s="759"/>
    </row>
    <row r="348" spans="2:14">
      <c r="B348" s="182"/>
      <c r="C348" s="182"/>
      <c r="E348" s="183"/>
      <c r="F348" s="229" t="str">
        <f>IF(OR(D348="",E348=""),"",ROUND(D348/LOOKUP(E348,SMMLV!$A$2:$A$36,SMMLV!$D$2:$D$104),3))</f>
        <v/>
      </c>
      <c r="K348" s="758"/>
      <c r="L348" s="189">
        <v>3</v>
      </c>
      <c r="M348" s="759" t="str">
        <f t="shared" si="34"/>
        <v>NO APLICA</v>
      </c>
      <c r="N348" s="759"/>
    </row>
    <row r="349" spans="2:14">
      <c r="B349" s="182"/>
      <c r="C349" s="182"/>
      <c r="E349" s="183"/>
      <c r="F349" s="229" t="str">
        <f>IF(OR(D349="",E349=""),"",ROUND(D349/LOOKUP(E349,SMMLV!$A$2:$A$36,SMMLV!$D$2:$D$104),3))</f>
        <v/>
      </c>
      <c r="K349" s="758"/>
      <c r="L349" s="189">
        <v>4</v>
      </c>
      <c r="M349" s="759" t="str">
        <f t="shared" si="34"/>
        <v>NO APLICA</v>
      </c>
      <c r="N349" s="759"/>
    </row>
    <row r="350" spans="2:14">
      <c r="B350" s="182"/>
      <c r="C350" s="182"/>
      <c r="E350" s="183"/>
      <c r="F350" s="229" t="str">
        <f>IF(OR(D350="",E350=""),"",ROUND(D350/LOOKUP(E350,SMMLV!$A$2:$A$36,SMMLV!$D$2:$D$104),3))</f>
        <v/>
      </c>
      <c r="K350" s="758"/>
      <c r="L350" s="189">
        <v>5</v>
      </c>
      <c r="M350" s="759" t="str">
        <f t="shared" si="34"/>
        <v>NO APLICA</v>
      </c>
      <c r="N350" s="759"/>
    </row>
    <row r="351" spans="2:14">
      <c r="B351" s="182"/>
      <c r="C351" s="182"/>
      <c r="E351" s="183"/>
      <c r="F351" s="229" t="str">
        <f>IF(OR(D351="",E351=""),"",ROUND(D351/LOOKUP(E351,SMMLV!$A$2:$A$36,SMMLV!$D$2:$D$104),3))</f>
        <v/>
      </c>
      <c r="K351" s="758"/>
      <c r="L351" s="189">
        <v>6</v>
      </c>
      <c r="M351" s="759" t="str">
        <f t="shared" si="34"/>
        <v>NO APLICA</v>
      </c>
      <c r="N351" s="759"/>
    </row>
    <row r="352" spans="2:14">
      <c r="B352" s="182"/>
      <c r="C352" s="182"/>
      <c r="E352" s="183"/>
      <c r="F352" s="229" t="str">
        <f>IF(OR(D352="",E352=""),"",ROUND(D352/LOOKUP(E352,SMMLV!$A$2:$A$36,SMMLV!$D$2:$D$104),3))</f>
        <v/>
      </c>
      <c r="K352" s="758"/>
      <c r="L352" s="189">
        <v>7</v>
      </c>
      <c r="M352" s="759" t="str">
        <f t="shared" si="34"/>
        <v>NO APLICA</v>
      </c>
      <c r="N352" s="759"/>
    </row>
    <row r="353" spans="2:14">
      <c r="B353" s="182"/>
      <c r="C353" s="182"/>
      <c r="E353" s="183"/>
      <c r="F353" s="229" t="str">
        <f>IF(OR(D353="",E353=""),"",ROUND(D353/LOOKUP(E353,SMMLV!$A$2:$A$36,SMMLV!$D$2:$D$104),3))</f>
        <v/>
      </c>
      <c r="K353" s="758"/>
      <c r="L353" s="189">
        <v>8</v>
      </c>
      <c r="M353" s="759" t="str">
        <f t="shared" si="34"/>
        <v>NO APLICA</v>
      </c>
      <c r="N353" s="759"/>
    </row>
    <row r="354" spans="2:14">
      <c r="B354" s="182"/>
      <c r="C354" s="182"/>
      <c r="E354" s="183"/>
      <c r="F354" s="229" t="str">
        <f>IF(OR(D354="",E354=""),"",ROUND(D354/LOOKUP(E354,SMMLV!$A$2:$A$36,SMMLV!$D$2:$D$104),3))</f>
        <v/>
      </c>
      <c r="K354" s="758"/>
      <c r="L354" s="189">
        <v>9</v>
      </c>
      <c r="M354" s="759" t="str">
        <f t="shared" si="34"/>
        <v>NO APLICA</v>
      </c>
      <c r="N354" s="759"/>
    </row>
    <row r="355" spans="2:14">
      <c r="B355" s="182"/>
      <c r="C355" s="182"/>
      <c r="E355" s="183"/>
      <c r="F355" s="229" t="str">
        <f>IF(OR(D355="",E355=""),"",ROUND(D355/LOOKUP(E355,SMMLV!$A$2:$A$36,SMMLV!$D$2:$D$104),3))</f>
        <v/>
      </c>
      <c r="K355" s="758"/>
      <c r="L355" s="189">
        <v>10</v>
      </c>
      <c r="M355" s="759" t="str">
        <f t="shared" si="34"/>
        <v>NO APLICA</v>
      </c>
      <c r="N355" s="759"/>
    </row>
    <row r="356" spans="2:14">
      <c r="B356" s="182"/>
      <c r="C356" s="182"/>
      <c r="E356" s="183"/>
      <c r="F356" s="229" t="str">
        <f>IF(OR(D356="",E356=""),"",ROUND(D356/LOOKUP(E356,SMMLV!$A$2:$A$36,SMMLV!$D$2:$D$104),3))</f>
        <v/>
      </c>
      <c r="K356" s="758">
        <v>36</v>
      </c>
      <c r="L356" s="189">
        <v>1</v>
      </c>
      <c r="M356" s="759" t="str">
        <f t="shared" ref="M356:M365" si="35">IF(SUMIFS($F$5:$F$1200,$B$5:$B$1200,$K$356,$C$5:$C$1200,$L356)=0,"NO APLICA",ROUND(SUMIFS($F$5:$F$1200,$B$5:$B$1200,$K$356,$C$5:$C$1200,$L356),3))</f>
        <v>NO APLICA</v>
      </c>
      <c r="N356" s="759"/>
    </row>
    <row r="357" spans="2:14">
      <c r="B357" s="182"/>
      <c r="C357" s="182"/>
      <c r="E357" s="183"/>
      <c r="F357" s="229" t="str">
        <f>IF(OR(D357="",E357=""),"",ROUND(D357/LOOKUP(E357,SMMLV!$A$2:$A$36,SMMLV!$D$2:$D$104),3))</f>
        <v/>
      </c>
      <c r="K357" s="758"/>
      <c r="L357" s="189">
        <v>2</v>
      </c>
      <c r="M357" s="759" t="str">
        <f t="shared" si="35"/>
        <v>NO APLICA</v>
      </c>
      <c r="N357" s="759"/>
    </row>
    <row r="358" spans="2:14">
      <c r="B358" s="182"/>
      <c r="C358" s="182"/>
      <c r="E358" s="183"/>
      <c r="F358" s="229" t="str">
        <f>IF(OR(D358="",E358=""),"",ROUND(D358/LOOKUP(E358,SMMLV!$A$2:$A$36,SMMLV!$D$2:$D$104),3))</f>
        <v/>
      </c>
      <c r="K358" s="758"/>
      <c r="L358" s="189">
        <v>3</v>
      </c>
      <c r="M358" s="759" t="str">
        <f t="shared" si="35"/>
        <v>NO APLICA</v>
      </c>
      <c r="N358" s="759"/>
    </row>
    <row r="359" spans="2:14">
      <c r="B359" s="182"/>
      <c r="C359" s="182"/>
      <c r="E359" s="183"/>
      <c r="F359" s="229" t="str">
        <f>IF(OR(D359="",E359=""),"",ROUND(D359/LOOKUP(E359,SMMLV!$A$2:$A$36,SMMLV!$D$2:$D$104),3))</f>
        <v/>
      </c>
      <c r="K359" s="758"/>
      <c r="L359" s="189">
        <v>4</v>
      </c>
      <c r="M359" s="759" t="str">
        <f t="shared" si="35"/>
        <v>NO APLICA</v>
      </c>
      <c r="N359" s="759"/>
    </row>
    <row r="360" spans="2:14">
      <c r="B360" s="182"/>
      <c r="C360" s="182"/>
      <c r="E360" s="183"/>
      <c r="F360" s="229" t="str">
        <f>IF(OR(D360="",E360=""),"",ROUND(D360/LOOKUP(E360,SMMLV!$A$2:$A$36,SMMLV!$D$2:$D$104),3))</f>
        <v/>
      </c>
      <c r="K360" s="758"/>
      <c r="L360" s="189">
        <v>5</v>
      </c>
      <c r="M360" s="759" t="str">
        <f t="shared" si="35"/>
        <v>NO APLICA</v>
      </c>
      <c r="N360" s="759"/>
    </row>
    <row r="361" spans="2:14">
      <c r="B361" s="182"/>
      <c r="C361" s="182"/>
      <c r="E361" s="183"/>
      <c r="F361" s="229" t="str">
        <f>IF(OR(D361="",E361=""),"",ROUND(D361/LOOKUP(E361,SMMLV!$A$2:$A$36,SMMLV!$D$2:$D$104),3))</f>
        <v/>
      </c>
      <c r="K361" s="758"/>
      <c r="L361" s="189">
        <v>6</v>
      </c>
      <c r="M361" s="759" t="str">
        <f t="shared" si="35"/>
        <v>NO APLICA</v>
      </c>
      <c r="N361" s="759"/>
    </row>
    <row r="362" spans="2:14">
      <c r="B362" s="182"/>
      <c r="C362" s="182"/>
      <c r="E362" s="183"/>
      <c r="F362" s="229" t="str">
        <f>IF(OR(D362="",E362=""),"",ROUND(D362/LOOKUP(E362,SMMLV!$A$2:$A$36,SMMLV!$D$2:$D$104),3))</f>
        <v/>
      </c>
      <c r="K362" s="758"/>
      <c r="L362" s="189">
        <v>7</v>
      </c>
      <c r="M362" s="759" t="str">
        <f t="shared" si="35"/>
        <v>NO APLICA</v>
      </c>
      <c r="N362" s="759"/>
    </row>
    <row r="363" spans="2:14">
      <c r="B363" s="182"/>
      <c r="C363" s="182"/>
      <c r="E363" s="183"/>
      <c r="F363" s="229" t="str">
        <f>IF(OR(D363="",E363=""),"",ROUND(D363/LOOKUP(E363,SMMLV!$A$2:$A$36,SMMLV!$D$2:$D$104),3))</f>
        <v/>
      </c>
      <c r="K363" s="758"/>
      <c r="L363" s="189">
        <v>8</v>
      </c>
      <c r="M363" s="759" t="str">
        <f t="shared" si="35"/>
        <v>NO APLICA</v>
      </c>
      <c r="N363" s="759"/>
    </row>
    <row r="364" spans="2:14">
      <c r="B364" s="182"/>
      <c r="C364" s="182"/>
      <c r="E364" s="183"/>
      <c r="F364" s="229" t="str">
        <f>IF(OR(D364="",E364=""),"",ROUND(D364/LOOKUP(E364,SMMLV!$A$2:$A$36,SMMLV!$D$2:$D$104),3))</f>
        <v/>
      </c>
      <c r="K364" s="758"/>
      <c r="L364" s="189">
        <v>9</v>
      </c>
      <c r="M364" s="759" t="str">
        <f t="shared" si="35"/>
        <v>NO APLICA</v>
      </c>
      <c r="N364" s="759"/>
    </row>
    <row r="365" spans="2:14">
      <c r="B365" s="182"/>
      <c r="C365" s="182"/>
      <c r="E365" s="183"/>
      <c r="F365" s="229" t="str">
        <f>IF(OR(D365="",E365=""),"",ROUND(D365/LOOKUP(E365,SMMLV!$A$2:$A$36,SMMLV!$D$2:$D$104),3))</f>
        <v/>
      </c>
      <c r="K365" s="758"/>
      <c r="L365" s="189">
        <v>10</v>
      </c>
      <c r="M365" s="759" t="str">
        <f t="shared" si="35"/>
        <v>NO APLICA</v>
      </c>
      <c r="N365" s="759"/>
    </row>
    <row r="366" spans="2:14">
      <c r="B366" s="182"/>
      <c r="C366" s="182"/>
      <c r="E366" s="183"/>
      <c r="F366" s="229" t="str">
        <f>IF(OR(D366="",E366=""),"",ROUND(D366/LOOKUP(E366,SMMLV!$A$2:$A$36,SMMLV!$D$2:$D$104),3))</f>
        <v/>
      </c>
      <c r="K366" s="758">
        <v>37</v>
      </c>
      <c r="L366" s="189">
        <v>1</v>
      </c>
      <c r="M366" s="759" t="str">
        <f t="shared" ref="M366:M375" si="36">IF(SUMIFS($F$5:$F$1200,$B$5:$B$1200,$K$366,$C$5:$C$1200,$L366)=0,"NO APLICA",ROUND(SUMIFS($F$5:$F$1200,$B$5:$B$1200,$K$366,$C$5:$C$1200,$L366),3))</f>
        <v>NO APLICA</v>
      </c>
      <c r="N366" s="759"/>
    </row>
    <row r="367" spans="2:14">
      <c r="B367" s="182"/>
      <c r="C367" s="182"/>
      <c r="E367" s="183"/>
      <c r="F367" s="229" t="str">
        <f>IF(OR(D367="",E367=""),"",ROUND(D367/LOOKUP(E367,SMMLV!$A$2:$A$36,SMMLV!$D$2:$D$104),3))</f>
        <v/>
      </c>
      <c r="K367" s="758"/>
      <c r="L367" s="189">
        <v>2</v>
      </c>
      <c r="M367" s="759" t="str">
        <f t="shared" si="36"/>
        <v>NO APLICA</v>
      </c>
      <c r="N367" s="759"/>
    </row>
    <row r="368" spans="2:14">
      <c r="B368" s="182"/>
      <c r="C368" s="182"/>
      <c r="E368" s="183"/>
      <c r="F368" s="229" t="str">
        <f>IF(OR(D368="",E368=""),"",ROUND(D368/LOOKUP(E368,SMMLV!$A$2:$A$36,SMMLV!$D$2:$D$104),3))</f>
        <v/>
      </c>
      <c r="K368" s="758"/>
      <c r="L368" s="189">
        <v>3</v>
      </c>
      <c r="M368" s="759" t="str">
        <f t="shared" si="36"/>
        <v>NO APLICA</v>
      </c>
      <c r="N368" s="759"/>
    </row>
    <row r="369" spans="2:14">
      <c r="B369" s="182"/>
      <c r="C369" s="182"/>
      <c r="E369" s="183"/>
      <c r="F369" s="229" t="str">
        <f>IF(OR(D369="",E369=""),"",ROUND(D369/LOOKUP(E369,SMMLV!$A$2:$A$36,SMMLV!$D$2:$D$104),3))</f>
        <v/>
      </c>
      <c r="K369" s="758"/>
      <c r="L369" s="189">
        <v>4</v>
      </c>
      <c r="M369" s="759" t="str">
        <f t="shared" si="36"/>
        <v>NO APLICA</v>
      </c>
      <c r="N369" s="759"/>
    </row>
    <row r="370" spans="2:14">
      <c r="B370" s="182"/>
      <c r="C370" s="182"/>
      <c r="E370" s="183"/>
      <c r="F370" s="229" t="str">
        <f>IF(OR(D370="",E370=""),"",ROUND(D370/LOOKUP(E370,SMMLV!$A$2:$A$36,SMMLV!$D$2:$D$104),3))</f>
        <v/>
      </c>
      <c r="K370" s="758"/>
      <c r="L370" s="189">
        <v>5</v>
      </c>
      <c r="M370" s="759" t="str">
        <f t="shared" si="36"/>
        <v>NO APLICA</v>
      </c>
      <c r="N370" s="759"/>
    </row>
    <row r="371" spans="2:14">
      <c r="B371" s="182"/>
      <c r="C371" s="182"/>
      <c r="E371" s="183"/>
      <c r="F371" s="229" t="str">
        <f>IF(OR(D371="",E371=""),"",ROUND(D371/LOOKUP(E371,SMMLV!$A$2:$A$36,SMMLV!$D$2:$D$104),3))</f>
        <v/>
      </c>
      <c r="K371" s="758"/>
      <c r="L371" s="189">
        <v>6</v>
      </c>
      <c r="M371" s="759" t="str">
        <f t="shared" si="36"/>
        <v>NO APLICA</v>
      </c>
      <c r="N371" s="759"/>
    </row>
    <row r="372" spans="2:14">
      <c r="B372" s="182"/>
      <c r="C372" s="182"/>
      <c r="E372" s="183"/>
      <c r="F372" s="229" t="str">
        <f>IF(OR(D372="",E372=""),"",ROUND(D372/LOOKUP(E372,SMMLV!$A$2:$A$36,SMMLV!$D$2:$D$104),3))</f>
        <v/>
      </c>
      <c r="K372" s="758"/>
      <c r="L372" s="189">
        <v>7</v>
      </c>
      <c r="M372" s="759" t="str">
        <f t="shared" si="36"/>
        <v>NO APLICA</v>
      </c>
      <c r="N372" s="759"/>
    </row>
    <row r="373" spans="2:14">
      <c r="B373" s="182"/>
      <c r="C373" s="182"/>
      <c r="E373" s="183"/>
      <c r="F373" s="229" t="str">
        <f>IF(OR(D373="",E373=""),"",ROUND(D373/LOOKUP(E373,SMMLV!$A$2:$A$36,SMMLV!$D$2:$D$104),3))</f>
        <v/>
      </c>
      <c r="K373" s="758"/>
      <c r="L373" s="189">
        <v>8</v>
      </c>
      <c r="M373" s="759" t="str">
        <f t="shared" si="36"/>
        <v>NO APLICA</v>
      </c>
      <c r="N373" s="759"/>
    </row>
    <row r="374" spans="2:14">
      <c r="B374" s="182"/>
      <c r="C374" s="182"/>
      <c r="E374" s="183"/>
      <c r="F374" s="229" t="str">
        <f>IF(OR(D374="",E374=""),"",ROUND(D374/LOOKUP(E374,SMMLV!$A$2:$A$36,SMMLV!$D$2:$D$104),3))</f>
        <v/>
      </c>
      <c r="K374" s="758"/>
      <c r="L374" s="189">
        <v>9</v>
      </c>
      <c r="M374" s="759" t="str">
        <f t="shared" si="36"/>
        <v>NO APLICA</v>
      </c>
      <c r="N374" s="759"/>
    </row>
    <row r="375" spans="2:14">
      <c r="B375" s="182"/>
      <c r="C375" s="182"/>
      <c r="E375" s="183"/>
      <c r="F375" s="229" t="str">
        <f>IF(OR(D375="",E375=""),"",ROUND(D375/LOOKUP(E375,SMMLV!$A$2:$A$36,SMMLV!$D$2:$D$104),3))</f>
        <v/>
      </c>
      <c r="K375" s="758"/>
      <c r="L375" s="189">
        <v>10</v>
      </c>
      <c r="M375" s="759" t="str">
        <f t="shared" si="36"/>
        <v>NO APLICA</v>
      </c>
      <c r="N375" s="759"/>
    </row>
    <row r="376" spans="2:14">
      <c r="B376" s="182"/>
      <c r="C376" s="182"/>
      <c r="E376" s="183"/>
      <c r="F376" s="229" t="str">
        <f>IF(OR(D376="",E376=""),"",ROUND(D376/LOOKUP(E376,SMMLV!$A$2:$A$36,SMMLV!$D$2:$D$104),3))</f>
        <v/>
      </c>
      <c r="K376" s="758">
        <v>38</v>
      </c>
      <c r="L376" s="189">
        <v>1</v>
      </c>
      <c r="M376" s="759" t="str">
        <f t="shared" ref="M376:M385" si="37">IF(SUMIFS($F$5:$F$1200,$B$5:$B$1200,$K$376,$C$5:$C$1200,$L376)=0,"NO APLICA",ROUND(SUMIFS($F$5:$F$1200,$B$5:$B$1200,$K$376,$C$5:$C$1200,$L376),3))</f>
        <v>NO APLICA</v>
      </c>
      <c r="N376" s="759"/>
    </row>
    <row r="377" spans="2:14">
      <c r="B377" s="182"/>
      <c r="C377" s="182"/>
      <c r="E377" s="183"/>
      <c r="F377" s="229" t="str">
        <f>IF(OR(D377="",E377=""),"",ROUND(D377/LOOKUP(E377,SMMLV!$A$2:$A$36,SMMLV!$D$2:$D$104),3))</f>
        <v/>
      </c>
      <c r="K377" s="758"/>
      <c r="L377" s="189">
        <v>2</v>
      </c>
      <c r="M377" s="759" t="str">
        <f t="shared" si="37"/>
        <v>NO APLICA</v>
      </c>
      <c r="N377" s="759"/>
    </row>
    <row r="378" spans="2:14">
      <c r="B378" s="182"/>
      <c r="C378" s="182"/>
      <c r="E378" s="183"/>
      <c r="F378" s="229" t="str">
        <f>IF(OR(D378="",E378=""),"",ROUND(D378/LOOKUP(E378,SMMLV!$A$2:$A$36,SMMLV!$D$2:$D$104),3))</f>
        <v/>
      </c>
      <c r="K378" s="758"/>
      <c r="L378" s="189">
        <v>3</v>
      </c>
      <c r="M378" s="759" t="str">
        <f t="shared" si="37"/>
        <v>NO APLICA</v>
      </c>
      <c r="N378" s="759"/>
    </row>
    <row r="379" spans="2:14">
      <c r="B379" s="182"/>
      <c r="C379" s="182"/>
      <c r="E379" s="183"/>
      <c r="F379" s="229" t="str">
        <f>IF(OR(D379="",E379=""),"",ROUND(D379/LOOKUP(E379,SMMLV!$A$2:$A$36,SMMLV!$D$2:$D$104),3))</f>
        <v/>
      </c>
      <c r="K379" s="758"/>
      <c r="L379" s="189">
        <v>4</v>
      </c>
      <c r="M379" s="759" t="str">
        <f t="shared" si="37"/>
        <v>NO APLICA</v>
      </c>
      <c r="N379" s="759"/>
    </row>
    <row r="380" spans="2:14">
      <c r="B380" s="182"/>
      <c r="C380" s="182"/>
      <c r="E380" s="183"/>
      <c r="F380" s="229" t="str">
        <f>IF(OR(D380="",E380=""),"",ROUND(D380/LOOKUP(E380,SMMLV!$A$2:$A$36,SMMLV!$D$2:$D$104),3))</f>
        <v/>
      </c>
      <c r="K380" s="758"/>
      <c r="L380" s="189">
        <v>5</v>
      </c>
      <c r="M380" s="759" t="str">
        <f t="shared" si="37"/>
        <v>NO APLICA</v>
      </c>
      <c r="N380" s="759"/>
    </row>
    <row r="381" spans="2:14">
      <c r="B381" s="182"/>
      <c r="C381" s="182"/>
      <c r="E381" s="183"/>
      <c r="F381" s="229" t="str">
        <f>IF(OR(D381="",E381=""),"",ROUND(D381/LOOKUP(E381,SMMLV!$A$2:$A$36,SMMLV!$D$2:$D$104),3))</f>
        <v/>
      </c>
      <c r="K381" s="758"/>
      <c r="L381" s="189">
        <v>6</v>
      </c>
      <c r="M381" s="759" t="str">
        <f t="shared" si="37"/>
        <v>NO APLICA</v>
      </c>
      <c r="N381" s="759"/>
    </row>
    <row r="382" spans="2:14">
      <c r="B382" s="182"/>
      <c r="C382" s="182"/>
      <c r="E382" s="183"/>
      <c r="F382" s="229" t="str">
        <f>IF(OR(D382="",E382=""),"",ROUND(D382/LOOKUP(E382,SMMLV!$A$2:$A$36,SMMLV!$D$2:$D$104),3))</f>
        <v/>
      </c>
      <c r="K382" s="758"/>
      <c r="L382" s="189">
        <v>7</v>
      </c>
      <c r="M382" s="759" t="str">
        <f t="shared" si="37"/>
        <v>NO APLICA</v>
      </c>
      <c r="N382" s="759"/>
    </row>
    <row r="383" spans="2:14">
      <c r="B383" s="182"/>
      <c r="C383" s="182"/>
      <c r="E383" s="183"/>
      <c r="F383" s="229" t="str">
        <f>IF(OR(D383="",E383=""),"",ROUND(D383/LOOKUP(E383,SMMLV!$A$2:$A$36,SMMLV!$D$2:$D$104),3))</f>
        <v/>
      </c>
      <c r="K383" s="758"/>
      <c r="L383" s="189">
        <v>8</v>
      </c>
      <c r="M383" s="759" t="str">
        <f t="shared" si="37"/>
        <v>NO APLICA</v>
      </c>
      <c r="N383" s="759"/>
    </row>
    <row r="384" spans="2:14">
      <c r="B384" s="182"/>
      <c r="C384" s="182"/>
      <c r="E384" s="183"/>
      <c r="F384" s="229" t="str">
        <f>IF(OR(D384="",E384=""),"",ROUND(D384/LOOKUP(E384,SMMLV!$A$2:$A$36,SMMLV!$D$2:$D$104),3))</f>
        <v/>
      </c>
      <c r="K384" s="758"/>
      <c r="L384" s="189">
        <v>9</v>
      </c>
      <c r="M384" s="759" t="str">
        <f t="shared" si="37"/>
        <v>NO APLICA</v>
      </c>
      <c r="N384" s="759"/>
    </row>
    <row r="385" spans="2:14">
      <c r="B385" s="182"/>
      <c r="C385" s="182"/>
      <c r="E385" s="183"/>
      <c r="F385" s="229" t="str">
        <f>IF(OR(D385="",E385=""),"",ROUND(D385/LOOKUP(E385,SMMLV!$A$2:$A$36,SMMLV!$D$2:$D$104),3))</f>
        <v/>
      </c>
      <c r="K385" s="758"/>
      <c r="L385" s="189">
        <v>10</v>
      </c>
      <c r="M385" s="759" t="str">
        <f t="shared" si="37"/>
        <v>NO APLICA</v>
      </c>
      <c r="N385" s="759"/>
    </row>
    <row r="386" spans="2:14">
      <c r="B386" s="182"/>
      <c r="C386" s="182"/>
      <c r="E386" s="183"/>
      <c r="F386" s="229" t="str">
        <f>IF(OR(D386="",E386=""),"",ROUND(D386/LOOKUP(E386,SMMLV!$A$2:$A$36,SMMLV!$D$2:$D$104),3))</f>
        <v/>
      </c>
      <c r="K386" s="758">
        <v>39</v>
      </c>
      <c r="L386" s="189">
        <v>1</v>
      </c>
      <c r="M386" s="759" t="str">
        <f>IF(SUMIFS($F$5:$F$1200,$B$5:$B$1200,$K$386,$C$5:$C$1200,$L386)=0,"NO APLICA",ROUND(SUMIFS($F$5:$F$1200,$B$5:$B$1200,$K$386,$C$5:$C$1200,$L386),3))</f>
        <v>NO APLICA</v>
      </c>
      <c r="N386" s="759"/>
    </row>
    <row r="387" spans="2:14">
      <c r="B387" s="182"/>
      <c r="C387" s="182"/>
      <c r="E387" s="183"/>
      <c r="F387" s="229" t="str">
        <f>IF(OR(D387="",E387=""),"",ROUND(D387/LOOKUP(E387,SMMLV!$A$2:$A$36,SMMLV!$D$2:$D$104),3))</f>
        <v/>
      </c>
      <c r="K387" s="758"/>
      <c r="L387" s="189">
        <v>2</v>
      </c>
      <c r="M387" s="759" t="str">
        <f>IF(SUMIFS($F$5:$F$1200,$B$5:$B$1200,$K386,$C$5:$C$1200,$L387)=0,"NO APLICA",SUMIFS($F$5:$F$1200,$B$5:$B$1200,$K386,$C$5:$C$1200,$L387))</f>
        <v>NO APLICA</v>
      </c>
      <c r="N387" s="759"/>
    </row>
    <row r="388" spans="2:14">
      <c r="B388" s="182"/>
      <c r="C388" s="182"/>
      <c r="E388" s="183"/>
      <c r="F388" s="229" t="str">
        <f>IF(OR(D388="",E388=""),"",ROUND(D388/LOOKUP(E388,SMMLV!$A$2:$A$36,SMMLV!$D$2:$D$104),3))</f>
        <v/>
      </c>
      <c r="K388" s="758"/>
      <c r="L388" s="189">
        <v>3</v>
      </c>
      <c r="M388" s="759" t="str">
        <f>IF(SUMIFS($F$5:$F$1200,$B$5:$B$1200,$K386,$C$5:$C$1200,$L388)=0,"NO APLICA",SUMIFS($F$5:$F$1200,$B$5:$B$1200,$K386,$C$5:$C$1200,$L388))</f>
        <v>NO APLICA</v>
      </c>
      <c r="N388" s="759"/>
    </row>
    <row r="389" spans="2:14">
      <c r="B389" s="182"/>
      <c r="C389" s="182"/>
      <c r="E389" s="183"/>
      <c r="F389" s="229" t="str">
        <f>IF(OR(D389="",E389=""),"",ROUND(D389/LOOKUP(E389,SMMLV!$A$2:$A$36,SMMLV!$D$2:$D$104),3))</f>
        <v/>
      </c>
      <c r="K389" s="758"/>
      <c r="L389" s="189">
        <v>4</v>
      </c>
      <c r="M389" s="759" t="str">
        <f>IF(SUMIFS($F$5:$F$1200,$B$5:$B$1200,$K386,$C$5:$C$1200,$L389)=0,"NO APLICA",SUMIFS($F$5:$F$1200,$B$5:$B$1200,$K386,$C$5:$C$1200,$L389))</f>
        <v>NO APLICA</v>
      </c>
      <c r="N389" s="759"/>
    </row>
    <row r="390" spans="2:14">
      <c r="B390" s="182"/>
      <c r="C390" s="182"/>
      <c r="E390" s="183"/>
      <c r="F390" s="229" t="str">
        <f>IF(OR(D390="",E390=""),"",ROUND(D390/LOOKUP(E390,SMMLV!$A$2:$A$36,SMMLV!$D$2:$D$104),3))</f>
        <v/>
      </c>
      <c r="K390" s="758"/>
      <c r="L390" s="189">
        <v>5</v>
      </c>
      <c r="M390" s="759" t="str">
        <f>IF(SUMIFS($F$5:$F$1200,$B$5:$B$1200,$K386,$C$5:$C$1200,$L390)=0,"NO APLICA",SUMIFS($F$5:$F$1200,$B$5:$B$1200,$K386,$C$5:$C$1200,$L390))</f>
        <v>NO APLICA</v>
      </c>
      <c r="N390" s="759"/>
    </row>
    <row r="391" spans="2:14">
      <c r="B391" s="182"/>
      <c r="C391" s="182"/>
      <c r="E391" s="183"/>
      <c r="F391" s="229" t="str">
        <f>IF(OR(D391="",E391=""),"",ROUND(D391/LOOKUP(E391,SMMLV!$A$2:$A$36,SMMLV!$D$2:$D$104),3))</f>
        <v/>
      </c>
      <c r="K391" s="758"/>
      <c r="L391" s="189">
        <v>6</v>
      </c>
      <c r="M391" s="759" t="str">
        <f>IF(SUMIFS($F$5:$F$1200,$B$5:$B$1200,$K386,$C$5:$C$1200,$L391)=0,"NO APLICA",SUMIFS($F$5:$F$1200,$B$5:$B$1200,$K386,$C$5:$C$1200,$L391))</f>
        <v>NO APLICA</v>
      </c>
      <c r="N391" s="759"/>
    </row>
    <row r="392" spans="2:14">
      <c r="B392" s="182"/>
      <c r="C392" s="182"/>
      <c r="E392" s="183"/>
      <c r="F392" s="229" t="str">
        <f>IF(OR(D392="",E392=""),"",ROUND(D392/LOOKUP(E392,SMMLV!$A$2:$A$36,SMMLV!$D$2:$D$104),3))</f>
        <v/>
      </c>
      <c r="K392" s="758"/>
      <c r="L392" s="189">
        <v>7</v>
      </c>
      <c r="M392" s="759" t="str">
        <f>IF(SUMIFS($F$5:$F$1200,$B$5:$B$1200,$K386,$C$5:$C$1200,$L392)=0,"NO APLICA",SUMIFS($F$5:$F$1200,$B$5:$B$1200,$K386,$C$5:$C$1200,$L392))</f>
        <v>NO APLICA</v>
      </c>
      <c r="N392" s="759"/>
    </row>
    <row r="393" spans="2:14">
      <c r="B393" s="182"/>
      <c r="C393" s="182"/>
      <c r="E393" s="183"/>
      <c r="F393" s="229" t="str">
        <f>IF(OR(D393="",E393=""),"",ROUND(D393/LOOKUP(E393,SMMLV!$A$2:$A$36,SMMLV!$D$2:$D$104),3))</f>
        <v/>
      </c>
      <c r="K393" s="758"/>
      <c r="L393" s="189">
        <v>8</v>
      </c>
      <c r="M393" s="759" t="str">
        <f>IF(SUMIFS($F$5:$F$1200,$B$5:$B$1200,$K386,$C$5:$C$1200,$L393)=0,"NO APLICA",SUMIFS($F$5:$F$1200,$B$5:$B$1200,$K386,$C$5:$C$1200,$L393))</f>
        <v>NO APLICA</v>
      </c>
      <c r="N393" s="759"/>
    </row>
    <row r="394" spans="2:14">
      <c r="B394" s="182"/>
      <c r="C394" s="182"/>
      <c r="E394" s="183"/>
      <c r="F394" s="229" t="str">
        <f>IF(OR(D394="",E394=""),"",ROUND(D394/LOOKUP(E394,SMMLV!$A$2:$A$36,SMMLV!$D$2:$D$104),3))</f>
        <v/>
      </c>
      <c r="K394" s="758"/>
      <c r="L394" s="189">
        <v>9</v>
      </c>
      <c r="M394" s="759" t="str">
        <f>IF(SUMIFS($F$5:$F$1200,$B$5:$B$1200,$K386,$C$5:$C$1200,$L394)=0,"NO APLICA",SUMIFS($F$5:$F$1200,$B$5:$B$1200,$K386,$C$5:$C$1200,$L394))</f>
        <v>NO APLICA</v>
      </c>
      <c r="N394" s="759"/>
    </row>
    <row r="395" spans="2:14">
      <c r="B395" s="182"/>
      <c r="C395" s="182"/>
      <c r="E395" s="183"/>
      <c r="F395" s="229" t="str">
        <f>IF(OR(D395="",E395=""),"",ROUND(D395/LOOKUP(E395,SMMLV!$A$2:$A$36,SMMLV!$D$2:$D$104),3))</f>
        <v/>
      </c>
      <c r="K395" s="758"/>
      <c r="L395" s="189">
        <v>10</v>
      </c>
      <c r="M395" s="759" t="str">
        <f>IF(SUMIFS($F$5:$F$1200,$B$5:$B$1200,$K386,$C$5:$C$1200,$L395)=0,"NO APLICA",SUMIFS($F$5:$F$1200,$B$5:$B$1200,$K386,$C$5:$C$1200,$L395))</f>
        <v>NO APLICA</v>
      </c>
      <c r="N395" s="759"/>
    </row>
    <row r="396" spans="2:14">
      <c r="B396" s="182"/>
      <c r="C396" s="182"/>
      <c r="E396" s="183"/>
      <c r="F396" s="229" t="str">
        <f>IF(OR(D396="",E396=""),"",ROUND(D396/LOOKUP(E396,SMMLV!$A$2:$A$36,SMMLV!$D$2:$D$104),3))</f>
        <v/>
      </c>
      <c r="K396" s="758">
        <v>40</v>
      </c>
      <c r="L396" s="189">
        <v>1</v>
      </c>
      <c r="M396" s="759" t="str">
        <f>IF(SUMIFS($F$5:$F$1200,$B$5:$B$1200,$K$396,$C$5:$C$1200,$L396)=0,"NO APLICA",ROUND(SUMIFS($F$5:$F$1200,$B$5:$B$1200,$K$396,$C$5:$C$1200,$L396),3))</f>
        <v>NO APLICA</v>
      </c>
      <c r="N396" s="759"/>
    </row>
    <row r="397" spans="2:14">
      <c r="B397" s="182"/>
      <c r="C397" s="182"/>
      <c r="E397" s="183"/>
      <c r="F397" s="229" t="str">
        <f>IF(OR(D397="",E397=""),"",ROUND(D397/LOOKUP(E397,SMMLV!$A$2:$A$36,SMMLV!$D$2:$D$104),3))</f>
        <v/>
      </c>
      <c r="K397" s="758"/>
      <c r="L397" s="189">
        <v>2</v>
      </c>
      <c r="M397" s="759" t="str">
        <f>IF(SUMIFS($F$5:$F$1200,$B$5:$B$1200,$K396,$C$5:$C$1200,$L397)=0,"NO APLICA",SUMIFS($F$5:$F$1200,$B$5:$B$1200,$K396,$C$5:$C$1200,$L397))</f>
        <v>NO APLICA</v>
      </c>
      <c r="N397" s="759"/>
    </row>
    <row r="398" spans="2:14">
      <c r="B398" s="182"/>
      <c r="C398" s="182"/>
      <c r="E398" s="183"/>
      <c r="F398" s="229" t="str">
        <f>IF(OR(D398="",E398=""),"",ROUND(D398/LOOKUP(E398,SMMLV!$A$2:$A$36,SMMLV!$D$2:$D$104),3))</f>
        <v/>
      </c>
      <c r="K398" s="758"/>
      <c r="L398" s="189">
        <v>3</v>
      </c>
      <c r="M398" s="759" t="str">
        <f>IF(SUMIFS($F$5:$F$1200,$B$5:$B$1200,$K396,$C$5:$C$1200,$L398)=0,"NO APLICA",SUMIFS($F$5:$F$1200,$B$5:$B$1200,$K396,$C$5:$C$1200,$L398))</f>
        <v>NO APLICA</v>
      </c>
      <c r="N398" s="759"/>
    </row>
    <row r="399" spans="2:14">
      <c r="B399" s="182"/>
      <c r="C399" s="182"/>
      <c r="E399" s="183"/>
      <c r="F399" s="229" t="str">
        <f>IF(OR(D399="",E399=""),"",ROUND(D399/LOOKUP(E399,SMMLV!$A$2:$A$36,SMMLV!$D$2:$D$104),3))</f>
        <v/>
      </c>
      <c r="K399" s="758"/>
      <c r="L399" s="189">
        <v>4</v>
      </c>
      <c r="M399" s="759" t="str">
        <f>IF(SUMIFS($F$5:$F$1200,$B$5:$B$1200,$K396,$C$5:$C$1200,$L399)=0,"NO APLICA",SUMIFS($F$5:$F$1200,$B$5:$B$1200,$K396,$C$5:$C$1200,$L399))</f>
        <v>NO APLICA</v>
      </c>
      <c r="N399" s="759"/>
    </row>
    <row r="400" spans="2:14">
      <c r="B400" s="182"/>
      <c r="C400" s="182"/>
      <c r="E400" s="183"/>
      <c r="F400" s="229" t="str">
        <f>IF(OR(D400="",E400=""),"",ROUND(D400/LOOKUP(E400,SMMLV!$A$2:$A$36,SMMLV!$D$2:$D$104),3))</f>
        <v/>
      </c>
      <c r="K400" s="758"/>
      <c r="L400" s="189">
        <v>5</v>
      </c>
      <c r="M400" s="759" t="str">
        <f>IF(SUMIFS($F$5:$F$1200,$B$5:$B$1200,$K396,$C$5:$C$1200,$L400)=0,"NO APLICA",SUMIFS($F$5:$F$1200,$B$5:$B$1200,$K396,$C$5:$C$1200,$L400))</f>
        <v>NO APLICA</v>
      </c>
      <c r="N400" s="759"/>
    </row>
    <row r="401" spans="2:14">
      <c r="B401" s="182"/>
      <c r="C401" s="182"/>
      <c r="E401" s="183"/>
      <c r="F401" s="229" t="str">
        <f>IF(OR(D401="",E401=""),"",ROUND(D401/LOOKUP(E401,SMMLV!$A$2:$A$36,SMMLV!$D$2:$D$104),3))</f>
        <v/>
      </c>
      <c r="K401" s="758"/>
      <c r="L401" s="189">
        <v>6</v>
      </c>
      <c r="M401" s="759" t="str">
        <f>IF(SUMIFS($F$5:$F$1200,$B$5:$B$1200,$K396,$C$5:$C$1200,$L401)=0,"NO APLICA",SUMIFS($F$5:$F$1200,$B$5:$B$1200,$K396,$C$5:$C$1200,$L401))</f>
        <v>NO APLICA</v>
      </c>
      <c r="N401" s="759"/>
    </row>
    <row r="402" spans="2:14">
      <c r="B402" s="182"/>
      <c r="C402" s="182"/>
      <c r="E402" s="183"/>
      <c r="F402" s="229" t="str">
        <f>IF(OR(D402="",E402=""),"",ROUND(D402/LOOKUP(E402,SMMLV!$A$2:$A$36,SMMLV!$D$2:$D$104),3))</f>
        <v/>
      </c>
      <c r="K402" s="758"/>
      <c r="L402" s="189">
        <v>7</v>
      </c>
      <c r="M402" s="759" t="str">
        <f>IF(SUMIFS($F$5:$F$1200,$B$5:$B$1200,$K396,$C$5:$C$1200,$L402)=0,"NO APLICA",SUMIFS($F$5:$F$1200,$B$5:$B$1200,$K396,$C$5:$C$1200,$L402))</f>
        <v>NO APLICA</v>
      </c>
      <c r="N402" s="759"/>
    </row>
    <row r="403" spans="2:14">
      <c r="B403" s="182"/>
      <c r="C403" s="182"/>
      <c r="E403" s="183"/>
      <c r="F403" s="229" t="str">
        <f>IF(OR(D403="",E403=""),"",ROUND(D403/LOOKUP(E403,SMMLV!$A$2:$A$36,SMMLV!$D$2:$D$104),3))</f>
        <v/>
      </c>
      <c r="K403" s="758"/>
      <c r="L403" s="189">
        <v>8</v>
      </c>
      <c r="M403" s="759" t="str">
        <f>IF(SUMIFS($F$5:$F$1200,$B$5:$B$1200,$K396,$C$5:$C$1200,$L403)=0,"NO APLICA",SUMIFS($F$5:$F$1200,$B$5:$B$1200,$K396,$C$5:$C$1200,$L403))</f>
        <v>NO APLICA</v>
      </c>
      <c r="N403" s="759"/>
    </row>
    <row r="404" spans="2:14">
      <c r="B404" s="182"/>
      <c r="C404" s="182"/>
      <c r="E404" s="183"/>
      <c r="F404" s="229" t="str">
        <f>IF(OR(D404="",E404=""),"",ROUND(D404/LOOKUP(E404,SMMLV!$A$2:$A$36,SMMLV!$D$2:$D$104),3))</f>
        <v/>
      </c>
      <c r="K404" s="758"/>
      <c r="L404" s="189">
        <v>9</v>
      </c>
      <c r="M404" s="759" t="str">
        <f>IF(SUMIFS($F$5:$F$1200,$B$5:$B$1200,$K396,$C$5:$C$1200,$L404)=0,"NO APLICA",SUMIFS($F$5:$F$1200,$B$5:$B$1200,$K396,$C$5:$C$1200,$L404))</f>
        <v>NO APLICA</v>
      </c>
      <c r="N404" s="759"/>
    </row>
    <row r="405" spans="2:14">
      <c r="B405" s="182"/>
      <c r="C405" s="182"/>
      <c r="E405" s="183"/>
      <c r="F405" s="229" t="str">
        <f>IF(OR(D405="",E405=""),"",ROUND(D405/LOOKUP(E405,SMMLV!$A$2:$A$36,SMMLV!$D$2:$D$104),3))</f>
        <v/>
      </c>
      <c r="K405" s="758"/>
      <c r="L405" s="189">
        <v>10</v>
      </c>
      <c r="M405" s="759" t="str">
        <f>IF(SUMIFS($F$5:$F$1200,$B$5:$B$1200,$K396,$C$5:$C$1200,$L405)=0,"NO APLICA",SUMIFS($F$5:$F$1200,$B$5:$B$1200,$K396,$C$5:$C$1200,$L405))</f>
        <v>NO APLICA</v>
      </c>
      <c r="N405" s="759"/>
    </row>
    <row r="406" spans="2:14">
      <c r="B406" s="182"/>
      <c r="C406" s="182"/>
      <c r="E406" s="183"/>
      <c r="F406" s="229" t="str">
        <f>IF(OR(D406="",E406=""),"",ROUND(D406/LOOKUP(E406,SMMLV!$A$2:$A$36,SMMLV!$D$2:$D$104),3))</f>
        <v/>
      </c>
      <c r="K406" s="758">
        <v>41</v>
      </c>
      <c r="L406" s="189">
        <v>1</v>
      </c>
      <c r="M406" s="759" t="str">
        <f t="shared" ref="M406:M415" si="38">IF(SUMIFS($F$5:$F$1200,$B$5:$B$1200,$K$406,$C$5:$C$1200,$L406)=0,"NO APLICA",ROUND(SUMIFS($F$5:$F$1200,$B$5:$B$1200,$K$406,$C$5:$C$1200,$L406),3))</f>
        <v>NO APLICA</v>
      </c>
      <c r="N406" s="759"/>
    </row>
    <row r="407" spans="2:14">
      <c r="B407" s="182"/>
      <c r="C407" s="182"/>
      <c r="E407" s="183"/>
      <c r="F407" s="229" t="str">
        <f>IF(OR(D407="",E407=""),"",ROUND(D407/LOOKUP(E407,SMMLV!$A$2:$A$36,SMMLV!$D$2:$D$104),3))</f>
        <v/>
      </c>
      <c r="K407" s="758"/>
      <c r="L407" s="189">
        <v>2</v>
      </c>
      <c r="M407" s="759" t="str">
        <f t="shared" si="38"/>
        <v>NO APLICA</v>
      </c>
      <c r="N407" s="759"/>
    </row>
    <row r="408" spans="2:14">
      <c r="B408" s="182"/>
      <c r="C408" s="182"/>
      <c r="E408" s="183"/>
      <c r="F408" s="229" t="str">
        <f>IF(OR(D408="",E408=""),"",ROUND(D408/LOOKUP(E408,SMMLV!$A$2:$A$36,SMMLV!$D$2:$D$104),3))</f>
        <v/>
      </c>
      <c r="K408" s="758"/>
      <c r="L408" s="189">
        <v>3</v>
      </c>
      <c r="M408" s="759" t="str">
        <f t="shared" si="38"/>
        <v>NO APLICA</v>
      </c>
      <c r="N408" s="759"/>
    </row>
    <row r="409" spans="2:14">
      <c r="B409" s="182"/>
      <c r="C409" s="182"/>
      <c r="E409" s="183"/>
      <c r="F409" s="229" t="str">
        <f>IF(OR(D409="",E409=""),"",ROUND(D409/LOOKUP(E409,SMMLV!$A$2:$A$36,SMMLV!$D$2:$D$104),3))</f>
        <v/>
      </c>
      <c r="K409" s="758"/>
      <c r="L409" s="189">
        <v>4</v>
      </c>
      <c r="M409" s="759" t="str">
        <f t="shared" si="38"/>
        <v>NO APLICA</v>
      </c>
      <c r="N409" s="759"/>
    </row>
    <row r="410" spans="2:14">
      <c r="B410" s="182"/>
      <c r="C410" s="182"/>
      <c r="E410" s="183"/>
      <c r="F410" s="229" t="str">
        <f>IF(OR(D410="",E410=""),"",ROUND(D410/LOOKUP(E410,SMMLV!$A$2:$A$36,SMMLV!$D$2:$D$104),3))</f>
        <v/>
      </c>
      <c r="K410" s="758"/>
      <c r="L410" s="189">
        <v>5</v>
      </c>
      <c r="M410" s="759" t="str">
        <f t="shared" si="38"/>
        <v>NO APLICA</v>
      </c>
      <c r="N410" s="759"/>
    </row>
    <row r="411" spans="2:14">
      <c r="B411" s="182"/>
      <c r="C411" s="182"/>
      <c r="E411" s="183"/>
      <c r="F411" s="229" t="str">
        <f>IF(OR(D411="",E411=""),"",ROUND(D411/LOOKUP(E411,SMMLV!$A$2:$A$36,SMMLV!$D$2:$D$104),3))</f>
        <v/>
      </c>
      <c r="K411" s="758"/>
      <c r="L411" s="189">
        <v>6</v>
      </c>
      <c r="M411" s="759" t="str">
        <f t="shared" si="38"/>
        <v>NO APLICA</v>
      </c>
      <c r="N411" s="759"/>
    </row>
    <row r="412" spans="2:14">
      <c r="B412" s="182"/>
      <c r="C412" s="182"/>
      <c r="E412" s="183"/>
      <c r="F412" s="229" t="str">
        <f>IF(OR(D412="",E412=""),"",ROUND(D412/LOOKUP(E412,SMMLV!$A$2:$A$36,SMMLV!$D$2:$D$104),3))</f>
        <v/>
      </c>
      <c r="K412" s="758"/>
      <c r="L412" s="189">
        <v>7</v>
      </c>
      <c r="M412" s="759" t="str">
        <f t="shared" si="38"/>
        <v>NO APLICA</v>
      </c>
      <c r="N412" s="759"/>
    </row>
    <row r="413" spans="2:14">
      <c r="B413" s="182"/>
      <c r="C413" s="182"/>
      <c r="E413" s="183"/>
      <c r="F413" s="229" t="str">
        <f>IF(OR(D413="",E413=""),"",ROUND(D413/LOOKUP(E413,SMMLV!$A$2:$A$36,SMMLV!$D$2:$D$104),3))</f>
        <v/>
      </c>
      <c r="K413" s="758"/>
      <c r="L413" s="189">
        <v>8</v>
      </c>
      <c r="M413" s="759" t="str">
        <f t="shared" si="38"/>
        <v>NO APLICA</v>
      </c>
      <c r="N413" s="759"/>
    </row>
    <row r="414" spans="2:14">
      <c r="B414" s="182"/>
      <c r="C414" s="182"/>
      <c r="E414" s="183"/>
      <c r="F414" s="229" t="str">
        <f>IF(OR(D414="",E414=""),"",ROUND(D414/LOOKUP(E414,SMMLV!$A$2:$A$36,SMMLV!$D$2:$D$104),3))</f>
        <v/>
      </c>
      <c r="K414" s="758"/>
      <c r="L414" s="189">
        <v>9</v>
      </c>
      <c r="M414" s="759" t="str">
        <f t="shared" si="38"/>
        <v>NO APLICA</v>
      </c>
      <c r="N414" s="759"/>
    </row>
    <row r="415" spans="2:14">
      <c r="B415" s="182"/>
      <c r="C415" s="182"/>
      <c r="E415" s="183"/>
      <c r="F415" s="229" t="str">
        <f>IF(OR(D415="",E415=""),"",ROUND(D415/LOOKUP(E415,SMMLV!$A$2:$A$36,SMMLV!$D$2:$D$104),3))</f>
        <v/>
      </c>
      <c r="K415" s="758"/>
      <c r="L415" s="189">
        <v>10</v>
      </c>
      <c r="M415" s="759" t="str">
        <f t="shared" si="38"/>
        <v>NO APLICA</v>
      </c>
      <c r="N415" s="759"/>
    </row>
    <row r="416" spans="2:14">
      <c r="B416" s="182"/>
      <c r="C416" s="182"/>
      <c r="E416" s="183"/>
      <c r="F416" s="229" t="str">
        <f>IF(OR(D416="",E416=""),"",ROUND(D416/LOOKUP(E416,SMMLV!$A$2:$A$36,SMMLV!$D$2:$D$104),3))</f>
        <v/>
      </c>
      <c r="K416" s="758">
        <v>42</v>
      </c>
      <c r="L416" s="189">
        <v>1</v>
      </c>
      <c r="M416" s="759" t="str">
        <f t="shared" ref="M416:M425" si="39">IF(SUMIFS($F$5:$F$1200,$B$5:$B$1200,$K$416,$C$5:$C$1200,$L416)=0,"NO APLICA",ROUND(SUMIFS($F$5:$F$1200,$B$5:$B$1200,$K$416,$C$5:$C$1200,$L416),3))</f>
        <v>NO APLICA</v>
      </c>
      <c r="N416" s="759"/>
    </row>
    <row r="417" spans="2:14">
      <c r="B417" s="182"/>
      <c r="C417" s="182"/>
      <c r="E417" s="183"/>
      <c r="F417" s="229" t="str">
        <f>IF(OR(D417="",E417=""),"",ROUND(D417/LOOKUP(E417,SMMLV!$A$2:$A$36,SMMLV!$D$2:$D$104),3))</f>
        <v/>
      </c>
      <c r="K417" s="758"/>
      <c r="L417" s="189">
        <v>2</v>
      </c>
      <c r="M417" s="759" t="str">
        <f t="shared" si="39"/>
        <v>NO APLICA</v>
      </c>
      <c r="N417" s="759"/>
    </row>
    <row r="418" spans="2:14">
      <c r="B418" s="182"/>
      <c r="C418" s="182"/>
      <c r="E418" s="183"/>
      <c r="F418" s="229" t="str">
        <f>IF(OR(D418="",E418=""),"",ROUND(D418/LOOKUP(E418,SMMLV!$A$2:$A$36,SMMLV!$D$2:$D$104),3))</f>
        <v/>
      </c>
      <c r="K418" s="758"/>
      <c r="L418" s="189">
        <v>3</v>
      </c>
      <c r="M418" s="759" t="str">
        <f t="shared" si="39"/>
        <v>NO APLICA</v>
      </c>
      <c r="N418" s="759"/>
    </row>
    <row r="419" spans="2:14">
      <c r="B419" s="182"/>
      <c r="C419" s="182"/>
      <c r="E419" s="183"/>
      <c r="F419" s="229" t="str">
        <f>IF(OR(D419="",E419=""),"",ROUND(D419/LOOKUP(E419,SMMLV!$A$2:$A$36,SMMLV!$D$2:$D$104),3))</f>
        <v/>
      </c>
      <c r="K419" s="758"/>
      <c r="L419" s="189">
        <v>4</v>
      </c>
      <c r="M419" s="759" t="str">
        <f t="shared" si="39"/>
        <v>NO APLICA</v>
      </c>
      <c r="N419" s="759"/>
    </row>
    <row r="420" spans="2:14">
      <c r="B420" s="182"/>
      <c r="C420" s="182"/>
      <c r="E420" s="183"/>
      <c r="F420" s="229" t="str">
        <f>IF(OR(D420="",E420=""),"",ROUND(D420/LOOKUP(E420,SMMLV!$A$2:$A$36,SMMLV!$D$2:$D$104),3))</f>
        <v/>
      </c>
      <c r="K420" s="758"/>
      <c r="L420" s="189">
        <v>5</v>
      </c>
      <c r="M420" s="759" t="str">
        <f t="shared" si="39"/>
        <v>NO APLICA</v>
      </c>
      <c r="N420" s="759"/>
    </row>
    <row r="421" spans="2:14">
      <c r="B421" s="182"/>
      <c r="C421" s="182"/>
      <c r="E421" s="183"/>
      <c r="F421" s="229" t="str">
        <f>IF(OR(D421="",E421=""),"",ROUND(D421/LOOKUP(E421,SMMLV!$A$2:$A$36,SMMLV!$D$2:$D$104),3))</f>
        <v/>
      </c>
      <c r="K421" s="758"/>
      <c r="L421" s="189">
        <v>6</v>
      </c>
      <c r="M421" s="759" t="str">
        <f t="shared" si="39"/>
        <v>NO APLICA</v>
      </c>
      <c r="N421" s="759"/>
    </row>
    <row r="422" spans="2:14">
      <c r="B422" s="182"/>
      <c r="C422" s="182"/>
      <c r="E422" s="183"/>
      <c r="F422" s="229" t="str">
        <f>IF(OR(D422="",E422=""),"",ROUND(D422/LOOKUP(E422,SMMLV!$A$2:$A$36,SMMLV!$D$2:$D$104),3))</f>
        <v/>
      </c>
      <c r="K422" s="758"/>
      <c r="L422" s="189">
        <v>7</v>
      </c>
      <c r="M422" s="759" t="str">
        <f t="shared" si="39"/>
        <v>NO APLICA</v>
      </c>
      <c r="N422" s="759"/>
    </row>
    <row r="423" spans="2:14">
      <c r="B423" s="182"/>
      <c r="C423" s="182"/>
      <c r="E423" s="183"/>
      <c r="F423" s="229" t="str">
        <f>IF(OR(D423="",E423=""),"",ROUND(D423/LOOKUP(E423,SMMLV!$A$2:$A$36,SMMLV!$D$2:$D$104),3))</f>
        <v/>
      </c>
      <c r="K423" s="758"/>
      <c r="L423" s="189">
        <v>8</v>
      </c>
      <c r="M423" s="759" t="str">
        <f t="shared" si="39"/>
        <v>NO APLICA</v>
      </c>
      <c r="N423" s="759"/>
    </row>
    <row r="424" spans="2:14">
      <c r="B424" s="182"/>
      <c r="C424" s="182"/>
      <c r="E424" s="183"/>
      <c r="F424" s="229" t="str">
        <f>IF(OR(D424="",E424=""),"",ROUND(D424/LOOKUP(E424,SMMLV!$A$2:$A$36,SMMLV!$D$2:$D$104),3))</f>
        <v/>
      </c>
      <c r="K424" s="758"/>
      <c r="L424" s="189">
        <v>9</v>
      </c>
      <c r="M424" s="759" t="str">
        <f t="shared" si="39"/>
        <v>NO APLICA</v>
      </c>
      <c r="N424" s="759"/>
    </row>
    <row r="425" spans="2:14">
      <c r="B425" s="182"/>
      <c r="C425" s="182"/>
      <c r="E425" s="183"/>
      <c r="F425" s="229" t="str">
        <f>IF(OR(D425="",E425=""),"",ROUND(D425/LOOKUP(E425,SMMLV!$A$2:$A$36,SMMLV!$D$2:$D$104),3))</f>
        <v/>
      </c>
      <c r="K425" s="758"/>
      <c r="L425" s="189">
        <v>10</v>
      </c>
      <c r="M425" s="759" t="str">
        <f t="shared" si="39"/>
        <v>NO APLICA</v>
      </c>
      <c r="N425" s="759"/>
    </row>
    <row r="426" spans="2:14">
      <c r="B426" s="182"/>
      <c r="C426" s="182"/>
      <c r="E426" s="183"/>
      <c r="F426" s="229" t="str">
        <f>IF(OR(D426="",E426=""),"",ROUND(D426/LOOKUP(E426,SMMLV!$A$2:$A$36,SMMLV!$D$2:$D$104),3))</f>
        <v/>
      </c>
      <c r="K426" s="758">
        <v>43</v>
      </c>
      <c r="L426" s="189">
        <v>1</v>
      </c>
      <c r="M426" s="759" t="str">
        <f t="shared" ref="M426:M435" si="40">IF(SUMIFS($F$5:$F$1200,$B$5:$B$1200,$K$426,$C$5:$C$1200,$L426)=0,"NO APLICA",ROUND(SUMIFS($F$5:$F$1200,$B$5:$B$1200,$K$426,$C$5:$C$1200,$L426),3))</f>
        <v>NO APLICA</v>
      </c>
      <c r="N426" s="759"/>
    </row>
    <row r="427" spans="2:14">
      <c r="B427" s="182"/>
      <c r="C427" s="182"/>
      <c r="E427" s="183"/>
      <c r="F427" s="229" t="str">
        <f>IF(OR(D427="",E427=""),"",ROUND(D427/LOOKUP(E427,SMMLV!$A$2:$A$36,SMMLV!$D$2:$D$104),3))</f>
        <v/>
      </c>
      <c r="K427" s="758"/>
      <c r="L427" s="189">
        <v>2</v>
      </c>
      <c r="M427" s="759" t="str">
        <f t="shared" si="40"/>
        <v>NO APLICA</v>
      </c>
      <c r="N427" s="759"/>
    </row>
    <row r="428" spans="2:14">
      <c r="B428" s="182"/>
      <c r="C428" s="182"/>
      <c r="E428" s="183"/>
      <c r="F428" s="229" t="str">
        <f>IF(OR(D428="",E428=""),"",ROUND(D428/LOOKUP(E428,SMMLV!$A$2:$A$36,SMMLV!$D$2:$D$104),3))</f>
        <v/>
      </c>
      <c r="K428" s="758"/>
      <c r="L428" s="189">
        <v>3</v>
      </c>
      <c r="M428" s="759" t="str">
        <f t="shared" si="40"/>
        <v>NO APLICA</v>
      </c>
      <c r="N428" s="759"/>
    </row>
    <row r="429" spans="2:14">
      <c r="B429" s="182"/>
      <c r="C429" s="182"/>
      <c r="E429" s="183"/>
      <c r="F429" s="229" t="str">
        <f>IF(OR(D429="",E429=""),"",ROUND(D429/LOOKUP(E429,SMMLV!$A$2:$A$36,SMMLV!$D$2:$D$104),3))</f>
        <v/>
      </c>
      <c r="K429" s="758"/>
      <c r="L429" s="189">
        <v>4</v>
      </c>
      <c r="M429" s="759" t="str">
        <f t="shared" si="40"/>
        <v>NO APLICA</v>
      </c>
      <c r="N429" s="759"/>
    </row>
    <row r="430" spans="2:14">
      <c r="B430" s="182"/>
      <c r="C430" s="182"/>
      <c r="E430" s="183"/>
      <c r="F430" s="229" t="str">
        <f>IF(OR(D430="",E430=""),"",ROUND(D430/LOOKUP(E430,SMMLV!$A$2:$A$36,SMMLV!$D$2:$D$104),3))</f>
        <v/>
      </c>
      <c r="K430" s="758"/>
      <c r="L430" s="189">
        <v>5</v>
      </c>
      <c r="M430" s="759" t="str">
        <f t="shared" si="40"/>
        <v>NO APLICA</v>
      </c>
      <c r="N430" s="759"/>
    </row>
    <row r="431" spans="2:14">
      <c r="B431" s="182"/>
      <c r="C431" s="182"/>
      <c r="E431" s="183"/>
      <c r="F431" s="229" t="str">
        <f>IF(OR(D431="",E431=""),"",ROUND(D431/LOOKUP(E431,SMMLV!$A$2:$A$36,SMMLV!$D$2:$D$104),3))</f>
        <v/>
      </c>
      <c r="K431" s="758"/>
      <c r="L431" s="189">
        <v>6</v>
      </c>
      <c r="M431" s="759" t="str">
        <f t="shared" si="40"/>
        <v>NO APLICA</v>
      </c>
      <c r="N431" s="759"/>
    </row>
    <row r="432" spans="2:14">
      <c r="B432" s="182"/>
      <c r="C432" s="182"/>
      <c r="E432" s="183"/>
      <c r="F432" s="229" t="str">
        <f>IF(OR(D432="",E432=""),"",ROUND(D432/LOOKUP(E432,SMMLV!$A$2:$A$36,SMMLV!$D$2:$D$104),3))</f>
        <v/>
      </c>
      <c r="K432" s="758"/>
      <c r="L432" s="189">
        <v>7</v>
      </c>
      <c r="M432" s="759" t="str">
        <f t="shared" si="40"/>
        <v>NO APLICA</v>
      </c>
      <c r="N432" s="759"/>
    </row>
    <row r="433" spans="2:14">
      <c r="B433" s="182"/>
      <c r="C433" s="182"/>
      <c r="E433" s="183"/>
      <c r="F433" s="229" t="str">
        <f>IF(OR(D433="",E433=""),"",ROUND(D433/LOOKUP(E433,SMMLV!$A$2:$A$36,SMMLV!$D$2:$D$104),3))</f>
        <v/>
      </c>
      <c r="K433" s="758"/>
      <c r="L433" s="189">
        <v>8</v>
      </c>
      <c r="M433" s="759" t="str">
        <f t="shared" si="40"/>
        <v>NO APLICA</v>
      </c>
      <c r="N433" s="759"/>
    </row>
    <row r="434" spans="2:14">
      <c r="B434" s="182"/>
      <c r="C434" s="182"/>
      <c r="E434" s="183"/>
      <c r="F434" s="229" t="str">
        <f>IF(OR(D434="",E434=""),"",ROUND(D434/LOOKUP(E434,SMMLV!$A$2:$A$36,SMMLV!$D$2:$D$104),3))</f>
        <v/>
      </c>
      <c r="K434" s="758"/>
      <c r="L434" s="189">
        <v>9</v>
      </c>
      <c r="M434" s="759" t="str">
        <f t="shared" si="40"/>
        <v>NO APLICA</v>
      </c>
      <c r="N434" s="759"/>
    </row>
    <row r="435" spans="2:14">
      <c r="B435" s="182"/>
      <c r="C435" s="182"/>
      <c r="E435" s="183"/>
      <c r="F435" s="229" t="str">
        <f>IF(OR(D435="",E435=""),"",ROUND(D435/LOOKUP(E435,SMMLV!$A$2:$A$36,SMMLV!$D$2:$D$104),3))</f>
        <v/>
      </c>
      <c r="K435" s="758"/>
      <c r="L435" s="189">
        <v>10</v>
      </c>
      <c r="M435" s="759" t="str">
        <f t="shared" si="40"/>
        <v>NO APLICA</v>
      </c>
      <c r="N435" s="759"/>
    </row>
    <row r="436" spans="2:14">
      <c r="B436" s="182"/>
      <c r="C436" s="182"/>
      <c r="E436" s="183"/>
      <c r="F436" s="229" t="str">
        <f>IF(OR(D436="",E436=""),"",ROUND(D436/LOOKUP(E436,SMMLV!$A$2:$A$36,SMMLV!$D$2:$D$104),3))</f>
        <v/>
      </c>
      <c r="K436" s="758">
        <v>44</v>
      </c>
      <c r="L436" s="189">
        <v>1</v>
      </c>
      <c r="M436" s="759" t="str">
        <f t="shared" ref="M436:M445" si="41">IF(SUMIFS($F$5:$F$1200,$B$5:$B$1200,$K$436,$C$5:$C$1200,$L436)=0,"NO APLICA",ROUND(SUMIFS($F$5:$F$1200,$B$5:$B$1200,$K$436,$C$5:$C$1200,$L436),3))</f>
        <v>NO APLICA</v>
      </c>
      <c r="N436" s="759"/>
    </row>
    <row r="437" spans="2:14">
      <c r="B437" s="182"/>
      <c r="C437" s="182"/>
      <c r="E437" s="183"/>
      <c r="F437" s="229" t="str">
        <f>IF(OR(D437="",E437=""),"",ROUND(D437/LOOKUP(E437,SMMLV!$A$2:$A$36,SMMLV!$D$2:$D$104),3))</f>
        <v/>
      </c>
      <c r="K437" s="758"/>
      <c r="L437" s="189">
        <v>2</v>
      </c>
      <c r="M437" s="759" t="str">
        <f t="shared" si="41"/>
        <v>NO APLICA</v>
      </c>
      <c r="N437" s="759"/>
    </row>
    <row r="438" spans="2:14">
      <c r="B438" s="182"/>
      <c r="C438" s="182"/>
      <c r="E438" s="183"/>
      <c r="F438" s="229" t="str">
        <f>IF(OR(D438="",E438=""),"",ROUND(D438/LOOKUP(E438,SMMLV!$A$2:$A$36,SMMLV!$D$2:$D$104),3))</f>
        <v/>
      </c>
      <c r="K438" s="758"/>
      <c r="L438" s="189">
        <v>3</v>
      </c>
      <c r="M438" s="759" t="str">
        <f t="shared" si="41"/>
        <v>NO APLICA</v>
      </c>
      <c r="N438" s="759"/>
    </row>
    <row r="439" spans="2:14">
      <c r="B439" s="182"/>
      <c r="C439" s="182"/>
      <c r="E439" s="183"/>
      <c r="F439" s="229" t="str">
        <f>IF(OR(D439="",E439=""),"",ROUND(D439/LOOKUP(E439,SMMLV!$A$2:$A$36,SMMLV!$D$2:$D$104),3))</f>
        <v/>
      </c>
      <c r="K439" s="758"/>
      <c r="L439" s="189">
        <v>4</v>
      </c>
      <c r="M439" s="759" t="str">
        <f t="shared" si="41"/>
        <v>NO APLICA</v>
      </c>
      <c r="N439" s="759"/>
    </row>
    <row r="440" spans="2:14">
      <c r="B440" s="182"/>
      <c r="C440" s="182"/>
      <c r="E440" s="183"/>
      <c r="F440" s="229" t="str">
        <f>IF(OR(D440="",E440=""),"",ROUND(D440/LOOKUP(E440,SMMLV!$A$2:$A$36,SMMLV!$D$2:$D$104),3))</f>
        <v/>
      </c>
      <c r="K440" s="758"/>
      <c r="L440" s="189">
        <v>5</v>
      </c>
      <c r="M440" s="759" t="str">
        <f t="shared" si="41"/>
        <v>NO APLICA</v>
      </c>
      <c r="N440" s="759"/>
    </row>
    <row r="441" spans="2:14">
      <c r="B441" s="182"/>
      <c r="C441" s="182"/>
      <c r="E441" s="183"/>
      <c r="F441" s="229" t="str">
        <f>IF(OR(D441="",E441=""),"",ROUND(D441/LOOKUP(E441,SMMLV!$A$2:$A$36,SMMLV!$D$2:$D$104),3))</f>
        <v/>
      </c>
      <c r="K441" s="758"/>
      <c r="L441" s="189">
        <v>6</v>
      </c>
      <c r="M441" s="759" t="str">
        <f t="shared" si="41"/>
        <v>NO APLICA</v>
      </c>
      <c r="N441" s="759"/>
    </row>
    <row r="442" spans="2:14">
      <c r="B442" s="182"/>
      <c r="C442" s="182"/>
      <c r="E442" s="183"/>
      <c r="F442" s="229" t="str">
        <f>IF(OR(D442="",E442=""),"",ROUND(D442/LOOKUP(E442,SMMLV!$A$2:$A$36,SMMLV!$D$2:$D$104),3))</f>
        <v/>
      </c>
      <c r="K442" s="758"/>
      <c r="L442" s="189">
        <v>7</v>
      </c>
      <c r="M442" s="759" t="str">
        <f t="shared" si="41"/>
        <v>NO APLICA</v>
      </c>
      <c r="N442" s="759"/>
    </row>
    <row r="443" spans="2:14">
      <c r="B443" s="182"/>
      <c r="C443" s="182"/>
      <c r="E443" s="183"/>
      <c r="F443" s="229" t="str">
        <f>IF(OR(D443="",E443=""),"",ROUND(D443/LOOKUP(E443,SMMLV!$A$2:$A$36,SMMLV!$D$2:$D$104),3))</f>
        <v/>
      </c>
      <c r="K443" s="758"/>
      <c r="L443" s="189">
        <v>8</v>
      </c>
      <c r="M443" s="759" t="str">
        <f t="shared" si="41"/>
        <v>NO APLICA</v>
      </c>
      <c r="N443" s="759"/>
    </row>
    <row r="444" spans="2:14">
      <c r="B444" s="182"/>
      <c r="C444" s="182"/>
      <c r="E444" s="183"/>
      <c r="F444" s="229" t="str">
        <f>IF(OR(D444="",E444=""),"",ROUND(D444/LOOKUP(E444,SMMLV!$A$2:$A$36,SMMLV!$D$2:$D$104),3))</f>
        <v/>
      </c>
      <c r="K444" s="758"/>
      <c r="L444" s="189">
        <v>9</v>
      </c>
      <c r="M444" s="759" t="str">
        <f t="shared" si="41"/>
        <v>NO APLICA</v>
      </c>
      <c r="N444" s="759"/>
    </row>
    <row r="445" spans="2:14">
      <c r="B445" s="182"/>
      <c r="C445" s="182"/>
      <c r="E445" s="183"/>
      <c r="F445" s="229" t="str">
        <f>IF(OR(D445="",E445=""),"",ROUND(D445/LOOKUP(E445,SMMLV!$A$2:$A$36,SMMLV!$D$2:$D$104),3))</f>
        <v/>
      </c>
      <c r="K445" s="758"/>
      <c r="L445" s="189">
        <v>10</v>
      </c>
      <c r="M445" s="759" t="str">
        <f t="shared" si="41"/>
        <v>NO APLICA</v>
      </c>
      <c r="N445" s="759"/>
    </row>
    <row r="446" spans="2:14">
      <c r="B446" s="182"/>
      <c r="C446" s="182"/>
      <c r="E446" s="183"/>
      <c r="F446" s="229" t="str">
        <f>IF(OR(D446="",E446=""),"",ROUND(D446/LOOKUP(E446,SMMLV!$A$2:$A$36,SMMLV!$D$2:$D$104),3))</f>
        <v/>
      </c>
      <c r="K446" s="758">
        <v>45</v>
      </c>
      <c r="L446" s="189">
        <v>1</v>
      </c>
      <c r="M446" s="759" t="str">
        <f t="shared" ref="M446:M455" si="42">IF(SUMIFS($F$5:$F$1200,$B$5:$B$1200,$K$446,$C$5:$C$1200,$L446)=0,"NO APLICA",ROUND(SUMIFS($F$5:$F$1200,$B$5:$B$1200,$K$446,$C$5:$C$1200,$L446),3))</f>
        <v>NO APLICA</v>
      </c>
      <c r="N446" s="759"/>
    </row>
    <row r="447" spans="2:14">
      <c r="B447" s="182"/>
      <c r="C447" s="182"/>
      <c r="E447" s="183"/>
      <c r="F447" s="229" t="str">
        <f>IF(OR(D447="",E447=""),"",ROUND(D447/LOOKUP(E447,SMMLV!$A$2:$A$36,SMMLV!$D$2:$D$104),3))</f>
        <v/>
      </c>
      <c r="K447" s="758"/>
      <c r="L447" s="189">
        <v>2</v>
      </c>
      <c r="M447" s="759" t="str">
        <f t="shared" si="42"/>
        <v>NO APLICA</v>
      </c>
      <c r="N447" s="759"/>
    </row>
    <row r="448" spans="2:14">
      <c r="B448" s="182"/>
      <c r="C448" s="182"/>
      <c r="E448" s="183"/>
      <c r="F448" s="229" t="str">
        <f>IF(OR(D448="",E448=""),"",ROUND(D448/LOOKUP(E448,SMMLV!$A$2:$A$36,SMMLV!$D$2:$D$104),3))</f>
        <v/>
      </c>
      <c r="K448" s="758"/>
      <c r="L448" s="189">
        <v>3</v>
      </c>
      <c r="M448" s="759" t="str">
        <f t="shared" si="42"/>
        <v>NO APLICA</v>
      </c>
      <c r="N448" s="759"/>
    </row>
    <row r="449" spans="2:14">
      <c r="B449" s="182"/>
      <c r="C449" s="182"/>
      <c r="E449" s="183"/>
      <c r="F449" s="229" t="str">
        <f>IF(OR(D449="",E449=""),"",ROUND(D449/LOOKUP(E449,SMMLV!$A$2:$A$36,SMMLV!$D$2:$D$104),3))</f>
        <v/>
      </c>
      <c r="K449" s="758"/>
      <c r="L449" s="189">
        <v>4</v>
      </c>
      <c r="M449" s="759" t="str">
        <f t="shared" si="42"/>
        <v>NO APLICA</v>
      </c>
      <c r="N449" s="759"/>
    </row>
    <row r="450" spans="2:14">
      <c r="B450" s="182"/>
      <c r="C450" s="182"/>
      <c r="E450" s="183"/>
      <c r="F450" s="229" t="str">
        <f>IF(OR(D450="",E450=""),"",ROUND(D450/LOOKUP(E450,SMMLV!$A$2:$A$36,SMMLV!$D$2:$D$104),3))</f>
        <v/>
      </c>
      <c r="K450" s="758"/>
      <c r="L450" s="189">
        <v>5</v>
      </c>
      <c r="M450" s="759" t="str">
        <f t="shared" si="42"/>
        <v>NO APLICA</v>
      </c>
      <c r="N450" s="759"/>
    </row>
    <row r="451" spans="2:14">
      <c r="B451" s="182"/>
      <c r="C451" s="182"/>
      <c r="E451" s="183"/>
      <c r="F451" s="229" t="str">
        <f>IF(OR(D451="",E451=""),"",ROUND(D451/LOOKUP(E451,SMMLV!$A$2:$A$36,SMMLV!$D$2:$D$104),3))</f>
        <v/>
      </c>
      <c r="K451" s="758"/>
      <c r="L451" s="189">
        <v>6</v>
      </c>
      <c r="M451" s="759" t="str">
        <f t="shared" si="42"/>
        <v>NO APLICA</v>
      </c>
      <c r="N451" s="759"/>
    </row>
    <row r="452" spans="2:14">
      <c r="B452" s="182"/>
      <c r="C452" s="182"/>
      <c r="E452" s="183"/>
      <c r="F452" s="229" t="str">
        <f>IF(OR(D452="",E452=""),"",ROUND(D452/LOOKUP(E452,SMMLV!$A$2:$A$36,SMMLV!$D$2:$D$104),3))</f>
        <v/>
      </c>
      <c r="K452" s="758"/>
      <c r="L452" s="189">
        <v>7</v>
      </c>
      <c r="M452" s="759" t="str">
        <f t="shared" si="42"/>
        <v>NO APLICA</v>
      </c>
      <c r="N452" s="759"/>
    </row>
    <row r="453" spans="2:14">
      <c r="B453" s="182"/>
      <c r="C453" s="182"/>
      <c r="E453" s="183"/>
      <c r="F453" s="229" t="str">
        <f>IF(OR(D453="",E453=""),"",ROUND(D453/LOOKUP(E453,SMMLV!$A$2:$A$36,SMMLV!$D$2:$D$104),3))</f>
        <v/>
      </c>
      <c r="K453" s="758"/>
      <c r="L453" s="189">
        <v>8</v>
      </c>
      <c r="M453" s="759" t="str">
        <f t="shared" si="42"/>
        <v>NO APLICA</v>
      </c>
      <c r="N453" s="759"/>
    </row>
    <row r="454" spans="2:14">
      <c r="B454" s="182"/>
      <c r="C454" s="182"/>
      <c r="E454" s="183"/>
      <c r="F454" s="229" t="str">
        <f>IF(OR(D454="",E454=""),"",ROUND(D454/LOOKUP(E454,SMMLV!$A$2:$A$36,SMMLV!$D$2:$D$104),3))</f>
        <v/>
      </c>
      <c r="K454" s="758"/>
      <c r="L454" s="189">
        <v>9</v>
      </c>
      <c r="M454" s="759" t="str">
        <f t="shared" si="42"/>
        <v>NO APLICA</v>
      </c>
      <c r="N454" s="759"/>
    </row>
    <row r="455" spans="2:14">
      <c r="B455" s="182"/>
      <c r="C455" s="182"/>
      <c r="E455" s="183"/>
      <c r="F455" s="229" t="str">
        <f>IF(OR(D455="",E455=""),"",ROUND(D455/LOOKUP(E455,SMMLV!$A$2:$A$36,SMMLV!$D$2:$D$104),3))</f>
        <v/>
      </c>
      <c r="K455" s="758"/>
      <c r="L455" s="189">
        <v>10</v>
      </c>
      <c r="M455" s="759" t="str">
        <f t="shared" si="42"/>
        <v>NO APLICA</v>
      </c>
      <c r="N455" s="759"/>
    </row>
    <row r="456" spans="2:14">
      <c r="B456" s="182"/>
      <c r="C456" s="182"/>
      <c r="E456" s="183"/>
      <c r="F456" s="229" t="str">
        <f>IF(OR(D456="",E456=""),"",ROUND(D456/LOOKUP(E456,SMMLV!$A$2:$A$36,SMMLV!$D$2:$D$104),3))</f>
        <v/>
      </c>
      <c r="K456" s="758">
        <v>46</v>
      </c>
      <c r="L456" s="189">
        <v>1</v>
      </c>
      <c r="M456" s="761" t="str">
        <f t="shared" ref="M456:M465" si="43">IF(SUMIFS($F$5:$F$1200,$B$5:$B$1200,$K$456,$C$5:$C$1200,$L456)=0,"NO APLICA",ROUND(SUMIFS($F$5:$F$1200,$B$5:$B$1200,$K$456,$C$5:$C$1200,$L456),3))</f>
        <v>NO APLICA</v>
      </c>
      <c r="N456" s="762"/>
    </row>
    <row r="457" spans="2:14">
      <c r="B457" s="182"/>
      <c r="C457" s="182"/>
      <c r="E457" s="183"/>
      <c r="F457" s="229" t="str">
        <f>IF(OR(D457="",E457=""),"",ROUND(D457/LOOKUP(E457,SMMLV!$A$2:$A$36,SMMLV!$D$2:$D$104),3))</f>
        <v/>
      </c>
      <c r="K457" s="758"/>
      <c r="L457" s="189">
        <v>2</v>
      </c>
      <c r="M457" s="761" t="str">
        <f t="shared" si="43"/>
        <v>NO APLICA</v>
      </c>
      <c r="N457" s="762"/>
    </row>
    <row r="458" spans="2:14">
      <c r="B458" s="182"/>
      <c r="C458" s="182"/>
      <c r="E458" s="183"/>
      <c r="F458" s="229" t="str">
        <f>IF(OR(D458="",E458=""),"",ROUND(D458/LOOKUP(E458,SMMLV!$A$2:$A$36,SMMLV!$D$2:$D$104),3))</f>
        <v/>
      </c>
      <c r="K458" s="758"/>
      <c r="L458" s="189">
        <v>3</v>
      </c>
      <c r="M458" s="761" t="str">
        <f t="shared" si="43"/>
        <v>NO APLICA</v>
      </c>
      <c r="N458" s="762"/>
    </row>
    <row r="459" spans="2:14">
      <c r="B459" s="182"/>
      <c r="C459" s="182"/>
      <c r="E459" s="183"/>
      <c r="F459" s="229" t="str">
        <f>IF(OR(D459="",E459=""),"",ROUND(D459/LOOKUP(E459,SMMLV!$A$2:$A$36,SMMLV!$D$2:$D$104),3))</f>
        <v/>
      </c>
      <c r="K459" s="758"/>
      <c r="L459" s="189">
        <v>4</v>
      </c>
      <c r="M459" s="761" t="str">
        <f t="shared" si="43"/>
        <v>NO APLICA</v>
      </c>
      <c r="N459" s="762"/>
    </row>
    <row r="460" spans="2:14">
      <c r="B460" s="182"/>
      <c r="C460" s="182"/>
      <c r="E460" s="183"/>
      <c r="F460" s="229" t="str">
        <f>IF(OR(D460="",E460=""),"",ROUND(D460/LOOKUP(E460,SMMLV!$A$2:$A$36,SMMLV!$D$2:$D$104),3))</f>
        <v/>
      </c>
      <c r="K460" s="758"/>
      <c r="L460" s="189">
        <v>5</v>
      </c>
      <c r="M460" s="761" t="str">
        <f t="shared" si="43"/>
        <v>NO APLICA</v>
      </c>
      <c r="N460" s="762"/>
    </row>
    <row r="461" spans="2:14">
      <c r="B461" s="182"/>
      <c r="C461" s="182"/>
      <c r="E461" s="183"/>
      <c r="F461" s="229" t="str">
        <f>IF(OR(D461="",E461=""),"",ROUND(D461/LOOKUP(E461,SMMLV!$A$2:$A$36,SMMLV!$D$2:$D$104),3))</f>
        <v/>
      </c>
      <c r="K461" s="758"/>
      <c r="L461" s="189">
        <v>6</v>
      </c>
      <c r="M461" s="761" t="str">
        <f t="shared" si="43"/>
        <v>NO APLICA</v>
      </c>
      <c r="N461" s="762"/>
    </row>
    <row r="462" spans="2:14">
      <c r="B462" s="182"/>
      <c r="C462" s="182"/>
      <c r="E462" s="183"/>
      <c r="F462" s="229" t="str">
        <f>IF(OR(D462="",E462=""),"",ROUND(D462/LOOKUP(E462,SMMLV!$A$2:$A$36,SMMLV!$D$2:$D$104),3))</f>
        <v/>
      </c>
      <c r="K462" s="758"/>
      <c r="L462" s="189">
        <v>7</v>
      </c>
      <c r="M462" s="761" t="str">
        <f t="shared" si="43"/>
        <v>NO APLICA</v>
      </c>
      <c r="N462" s="762"/>
    </row>
    <row r="463" spans="2:14">
      <c r="B463" s="182"/>
      <c r="C463" s="182"/>
      <c r="E463" s="183"/>
      <c r="F463" s="229" t="str">
        <f>IF(OR(D463="",E463=""),"",ROUND(D463/LOOKUP(E463,SMMLV!$A$2:$A$36,SMMLV!$D$2:$D$104),3))</f>
        <v/>
      </c>
      <c r="K463" s="758"/>
      <c r="L463" s="189">
        <v>8</v>
      </c>
      <c r="M463" s="761" t="str">
        <f t="shared" si="43"/>
        <v>NO APLICA</v>
      </c>
      <c r="N463" s="762"/>
    </row>
    <row r="464" spans="2:14">
      <c r="B464" s="182"/>
      <c r="C464" s="182"/>
      <c r="E464" s="183"/>
      <c r="F464" s="229" t="str">
        <f>IF(OR(D464="",E464=""),"",ROUND(D464/LOOKUP(E464,SMMLV!$A$2:$A$36,SMMLV!$D$2:$D$104),3))</f>
        <v/>
      </c>
      <c r="K464" s="758"/>
      <c r="L464" s="189">
        <v>9</v>
      </c>
      <c r="M464" s="761" t="str">
        <f t="shared" si="43"/>
        <v>NO APLICA</v>
      </c>
      <c r="N464" s="762"/>
    </row>
    <row r="465" spans="2:14">
      <c r="B465" s="182"/>
      <c r="C465" s="182"/>
      <c r="E465" s="183"/>
      <c r="F465" s="229" t="str">
        <f>IF(OR(D465="",E465=""),"",ROUND(D465/LOOKUP(E465,SMMLV!$A$2:$A$36,SMMLV!$D$2:$D$104),3))</f>
        <v/>
      </c>
      <c r="K465" s="758"/>
      <c r="L465" s="189">
        <v>10</v>
      </c>
      <c r="M465" s="759" t="str">
        <f t="shared" si="43"/>
        <v>NO APLICA</v>
      </c>
      <c r="N465" s="759"/>
    </row>
    <row r="466" spans="2:14">
      <c r="B466" s="182"/>
      <c r="C466" s="182"/>
      <c r="E466" s="183"/>
      <c r="F466" s="229" t="str">
        <f>IF(OR(D466="",E466=""),"",ROUND(D466/LOOKUP(E466,SMMLV!$A$2:$A$36,SMMLV!$D$2:$D$104),3))</f>
        <v/>
      </c>
      <c r="K466" s="758">
        <v>47</v>
      </c>
      <c r="L466" s="189">
        <v>1</v>
      </c>
      <c r="M466" s="759" t="str">
        <f t="shared" ref="M466:M475" si="44">IF(SUMIFS($F$5:$F$1200,$B$5:$B$1200,$K$466,$C$5:$C$1200,$L466)=0,"NO APLICA",ROUND(SUMIFS($F$5:$F$1200,$B$5:$B$1200,$K$466,$C$5:$C$1200,$L466),3))</f>
        <v>NO APLICA</v>
      </c>
      <c r="N466" s="759"/>
    </row>
    <row r="467" spans="2:14">
      <c r="B467" s="182"/>
      <c r="C467" s="182"/>
      <c r="E467" s="183"/>
      <c r="F467" s="229" t="str">
        <f>IF(OR(D467="",E467=""),"",ROUND(D467/LOOKUP(E467,SMMLV!$A$2:$A$36,SMMLV!$D$2:$D$104),3))</f>
        <v/>
      </c>
      <c r="K467" s="758"/>
      <c r="L467" s="189">
        <v>2</v>
      </c>
      <c r="M467" s="759" t="str">
        <f t="shared" si="44"/>
        <v>NO APLICA</v>
      </c>
      <c r="N467" s="759"/>
    </row>
    <row r="468" spans="2:14">
      <c r="B468" s="182"/>
      <c r="C468" s="182"/>
      <c r="E468" s="183"/>
      <c r="F468" s="229" t="str">
        <f>IF(OR(D468="",E468=""),"",ROUND(D468/LOOKUP(E468,SMMLV!$A$2:$A$36,SMMLV!$D$2:$D$104),3))</f>
        <v/>
      </c>
      <c r="K468" s="758"/>
      <c r="L468" s="189">
        <v>3</v>
      </c>
      <c r="M468" s="759" t="str">
        <f t="shared" si="44"/>
        <v>NO APLICA</v>
      </c>
      <c r="N468" s="759"/>
    </row>
    <row r="469" spans="2:14">
      <c r="B469" s="182"/>
      <c r="C469" s="182"/>
      <c r="E469" s="183"/>
      <c r="F469" s="229" t="str">
        <f>IF(OR(D469="",E469=""),"",ROUND(D469/LOOKUP(E469,SMMLV!$A$2:$A$36,SMMLV!$D$2:$D$104),3))</f>
        <v/>
      </c>
      <c r="K469" s="758"/>
      <c r="L469" s="189">
        <v>4</v>
      </c>
      <c r="M469" s="759" t="str">
        <f t="shared" si="44"/>
        <v>NO APLICA</v>
      </c>
      <c r="N469" s="759"/>
    </row>
    <row r="470" spans="2:14">
      <c r="B470" s="182"/>
      <c r="C470" s="182"/>
      <c r="E470" s="183"/>
      <c r="F470" s="229" t="str">
        <f>IF(OR(D470="",E470=""),"",ROUND(D470/LOOKUP(E470,SMMLV!$A$2:$A$36,SMMLV!$D$2:$D$104),3))</f>
        <v/>
      </c>
      <c r="K470" s="758"/>
      <c r="L470" s="189">
        <v>5</v>
      </c>
      <c r="M470" s="759" t="str">
        <f t="shared" si="44"/>
        <v>NO APLICA</v>
      </c>
      <c r="N470" s="759"/>
    </row>
    <row r="471" spans="2:14">
      <c r="B471" s="182"/>
      <c r="C471" s="182"/>
      <c r="E471" s="183"/>
      <c r="F471" s="229" t="str">
        <f>IF(OR(D471="",E471=""),"",ROUND(D471/LOOKUP(E471,SMMLV!$A$2:$A$36,SMMLV!$D$2:$D$104),3))</f>
        <v/>
      </c>
      <c r="K471" s="758"/>
      <c r="L471" s="189">
        <v>6</v>
      </c>
      <c r="M471" s="759" t="str">
        <f t="shared" si="44"/>
        <v>NO APLICA</v>
      </c>
      <c r="N471" s="759"/>
    </row>
    <row r="472" spans="2:14">
      <c r="B472" s="182"/>
      <c r="C472" s="182"/>
      <c r="E472" s="183"/>
      <c r="F472" s="229" t="str">
        <f>IF(OR(D472="",E472=""),"",ROUND(D472/LOOKUP(E472,SMMLV!$A$2:$A$36,SMMLV!$D$2:$D$104),3))</f>
        <v/>
      </c>
      <c r="K472" s="758"/>
      <c r="L472" s="189">
        <v>7</v>
      </c>
      <c r="M472" s="759" t="str">
        <f t="shared" si="44"/>
        <v>NO APLICA</v>
      </c>
      <c r="N472" s="759"/>
    </row>
    <row r="473" spans="2:14">
      <c r="B473" s="182"/>
      <c r="C473" s="182"/>
      <c r="E473" s="183"/>
      <c r="F473" s="229" t="str">
        <f>IF(OR(D473="",E473=""),"",ROUND(D473/LOOKUP(E473,SMMLV!$A$2:$A$36,SMMLV!$D$2:$D$104),3))</f>
        <v/>
      </c>
      <c r="K473" s="758"/>
      <c r="L473" s="189">
        <v>8</v>
      </c>
      <c r="M473" s="759" t="str">
        <f t="shared" si="44"/>
        <v>NO APLICA</v>
      </c>
      <c r="N473" s="759"/>
    </row>
    <row r="474" spans="2:14">
      <c r="B474" s="182"/>
      <c r="C474" s="182"/>
      <c r="E474" s="183"/>
      <c r="F474" s="229" t="str">
        <f>IF(OR(D474="",E474=""),"",ROUND(D474/LOOKUP(E474,SMMLV!$A$2:$A$36,SMMLV!$D$2:$D$104),3))</f>
        <v/>
      </c>
      <c r="K474" s="758"/>
      <c r="L474" s="189">
        <v>9</v>
      </c>
      <c r="M474" s="759" t="str">
        <f t="shared" si="44"/>
        <v>NO APLICA</v>
      </c>
      <c r="N474" s="759"/>
    </row>
    <row r="475" spans="2:14">
      <c r="B475" s="182"/>
      <c r="C475" s="182"/>
      <c r="E475" s="183"/>
      <c r="F475" s="229" t="str">
        <f>IF(OR(D475="",E475=""),"",ROUND(D475/LOOKUP(E475,SMMLV!$A$2:$A$36,SMMLV!$D$2:$D$104),3))</f>
        <v/>
      </c>
      <c r="K475" s="758"/>
      <c r="L475" s="189">
        <v>10</v>
      </c>
      <c r="M475" s="759" t="str">
        <f t="shared" si="44"/>
        <v>NO APLICA</v>
      </c>
      <c r="N475" s="759"/>
    </row>
    <row r="476" spans="2:14">
      <c r="B476" s="182"/>
      <c r="C476" s="182"/>
      <c r="E476" s="183"/>
      <c r="F476" s="229" t="str">
        <f>IF(OR(D476="",E476=""),"",ROUND(D476/LOOKUP(E476,SMMLV!$A$2:$A$36,SMMLV!$D$2:$D$104),3))</f>
        <v/>
      </c>
      <c r="K476" s="758">
        <v>48</v>
      </c>
      <c r="L476" s="189">
        <v>1</v>
      </c>
      <c r="M476" s="759" t="str">
        <f t="shared" ref="M476:M485" si="45">IF(SUMIFS($F$5:$F$1200,$B$5:$B$1200,$K$476,$C$5:$C$1200,$L476)=0,"NO APLICA",ROUND(SUMIFS($F$5:$F$1200,$B$5:$B$1200,$K$476,$C$5:$C$1200,$L476),3))</f>
        <v>NO APLICA</v>
      </c>
      <c r="N476" s="759"/>
    </row>
    <row r="477" spans="2:14">
      <c r="B477" s="182"/>
      <c r="C477" s="182"/>
      <c r="E477" s="183"/>
      <c r="F477" s="229" t="str">
        <f>IF(OR(D477="",E477=""),"",ROUND(D477/LOOKUP(E477,SMMLV!$A$2:$A$36,SMMLV!$D$2:$D$104),3))</f>
        <v/>
      </c>
      <c r="K477" s="758"/>
      <c r="L477" s="189">
        <v>2</v>
      </c>
      <c r="M477" s="759" t="str">
        <f t="shared" si="45"/>
        <v>NO APLICA</v>
      </c>
      <c r="N477" s="759"/>
    </row>
    <row r="478" spans="2:14">
      <c r="B478" s="182"/>
      <c r="C478" s="182"/>
      <c r="E478" s="183"/>
      <c r="F478" s="229" t="str">
        <f>IF(OR(D478="",E478=""),"",ROUND(D478/LOOKUP(E478,SMMLV!$A$2:$A$36,SMMLV!$D$2:$D$104),3))</f>
        <v/>
      </c>
      <c r="K478" s="758"/>
      <c r="L478" s="189">
        <v>3</v>
      </c>
      <c r="M478" s="759" t="str">
        <f t="shared" si="45"/>
        <v>NO APLICA</v>
      </c>
      <c r="N478" s="759"/>
    </row>
    <row r="479" spans="2:14">
      <c r="B479" s="182"/>
      <c r="C479" s="182"/>
      <c r="E479" s="183"/>
      <c r="F479" s="229" t="str">
        <f>IF(OR(D479="",E479=""),"",ROUND(D479/LOOKUP(E479,SMMLV!$A$2:$A$36,SMMLV!$D$2:$D$104),3))</f>
        <v/>
      </c>
      <c r="K479" s="758"/>
      <c r="L479" s="189">
        <v>4</v>
      </c>
      <c r="M479" s="759" t="str">
        <f t="shared" si="45"/>
        <v>NO APLICA</v>
      </c>
      <c r="N479" s="759"/>
    </row>
    <row r="480" spans="2:14">
      <c r="B480" s="182"/>
      <c r="C480" s="182"/>
      <c r="E480" s="183"/>
      <c r="F480" s="229" t="str">
        <f>IF(OR(D480="",E480=""),"",ROUND(D480/LOOKUP(E480,SMMLV!$A$2:$A$36,SMMLV!$D$2:$D$104),3))</f>
        <v/>
      </c>
      <c r="K480" s="758"/>
      <c r="L480" s="189">
        <v>5</v>
      </c>
      <c r="M480" s="759" t="str">
        <f t="shared" si="45"/>
        <v>NO APLICA</v>
      </c>
      <c r="N480" s="759"/>
    </row>
    <row r="481" spans="2:14">
      <c r="B481" s="182"/>
      <c r="C481" s="182"/>
      <c r="E481" s="183"/>
      <c r="F481" s="229" t="str">
        <f>IF(OR(D481="",E481=""),"",ROUND(D481/LOOKUP(E481,SMMLV!$A$2:$A$36,SMMLV!$D$2:$D$104),3))</f>
        <v/>
      </c>
      <c r="K481" s="758"/>
      <c r="L481" s="189">
        <v>6</v>
      </c>
      <c r="M481" s="759" t="str">
        <f t="shared" si="45"/>
        <v>NO APLICA</v>
      </c>
      <c r="N481" s="759"/>
    </row>
    <row r="482" spans="2:14">
      <c r="B482" s="182"/>
      <c r="C482" s="182"/>
      <c r="E482" s="183"/>
      <c r="F482" s="229" t="str">
        <f>IF(OR(D482="",E482=""),"",ROUND(D482/LOOKUP(E482,SMMLV!$A$2:$A$36,SMMLV!$D$2:$D$104),3))</f>
        <v/>
      </c>
      <c r="K482" s="758"/>
      <c r="L482" s="189">
        <v>7</v>
      </c>
      <c r="M482" s="759" t="str">
        <f t="shared" si="45"/>
        <v>NO APLICA</v>
      </c>
      <c r="N482" s="759"/>
    </row>
    <row r="483" spans="2:14">
      <c r="B483" s="182"/>
      <c r="C483" s="182"/>
      <c r="E483" s="183"/>
      <c r="F483" s="229" t="str">
        <f>IF(OR(D483="",E483=""),"",ROUND(D483/LOOKUP(E483,SMMLV!$A$2:$A$36,SMMLV!$D$2:$D$104),3))</f>
        <v/>
      </c>
      <c r="K483" s="758"/>
      <c r="L483" s="189">
        <v>8</v>
      </c>
      <c r="M483" s="759" t="str">
        <f t="shared" si="45"/>
        <v>NO APLICA</v>
      </c>
      <c r="N483" s="759"/>
    </row>
    <row r="484" spans="2:14">
      <c r="B484" s="182"/>
      <c r="C484" s="182"/>
      <c r="E484" s="183"/>
      <c r="F484" s="229" t="str">
        <f>IF(OR(D484="",E484=""),"",ROUND(D484/LOOKUP(E484,SMMLV!$A$2:$A$36,SMMLV!$D$2:$D$104),3))</f>
        <v/>
      </c>
      <c r="K484" s="758"/>
      <c r="L484" s="189">
        <v>9</v>
      </c>
      <c r="M484" s="759" t="str">
        <f t="shared" si="45"/>
        <v>NO APLICA</v>
      </c>
      <c r="N484" s="759"/>
    </row>
    <row r="485" spans="2:14">
      <c r="B485" s="182"/>
      <c r="C485" s="182"/>
      <c r="E485" s="183"/>
      <c r="F485" s="229" t="str">
        <f>IF(OR(D485="",E485=""),"",ROUND(D485/LOOKUP(E485,SMMLV!$A$2:$A$36,SMMLV!$D$2:$D$104),3))</f>
        <v/>
      </c>
      <c r="K485" s="758"/>
      <c r="L485" s="189">
        <v>10</v>
      </c>
      <c r="M485" s="759" t="str">
        <f t="shared" si="45"/>
        <v>NO APLICA</v>
      </c>
      <c r="N485" s="759"/>
    </row>
    <row r="486" spans="2:14">
      <c r="B486" s="182"/>
      <c r="C486" s="182"/>
      <c r="E486" s="183"/>
      <c r="F486" s="229" t="str">
        <f>IF(OR(D486="",E486=""),"",ROUND(D486/LOOKUP(E486,SMMLV!$A$2:$A$36,SMMLV!$D$2:$D$104),3))</f>
        <v/>
      </c>
      <c r="K486" s="758">
        <v>49</v>
      </c>
      <c r="L486" s="189">
        <v>1</v>
      </c>
      <c r="M486" s="759" t="str">
        <f t="shared" ref="M486:M495" si="46">IF(SUMIFS($F$5:$F$1200,$B$5:$B$1200,$K$486,$C$5:$C$1200,$L486)=0,"NO APLICA",ROUND(SUMIFS($F$5:$F$1200,$B$5:$B$1200,$K$486,$C$5:$C$1200,$L486),3))</f>
        <v>NO APLICA</v>
      </c>
      <c r="N486" s="759"/>
    </row>
    <row r="487" spans="2:14">
      <c r="B487" s="182"/>
      <c r="C487" s="182"/>
      <c r="E487" s="183"/>
      <c r="F487" s="229" t="str">
        <f>IF(OR(D487="",E487=""),"",ROUND(D487/LOOKUP(E487,SMMLV!$A$2:$A$36,SMMLV!$D$2:$D$104),3))</f>
        <v/>
      </c>
      <c r="K487" s="758"/>
      <c r="L487" s="189">
        <v>2</v>
      </c>
      <c r="M487" s="759" t="str">
        <f t="shared" si="46"/>
        <v>NO APLICA</v>
      </c>
      <c r="N487" s="759"/>
    </row>
    <row r="488" spans="2:14">
      <c r="B488" s="182"/>
      <c r="C488" s="182"/>
      <c r="E488" s="183"/>
      <c r="F488" s="229" t="str">
        <f>IF(OR(D488="",E488=""),"",ROUND(D488/LOOKUP(E488,SMMLV!$A$2:$A$36,SMMLV!$D$2:$D$104),3))</f>
        <v/>
      </c>
      <c r="K488" s="758"/>
      <c r="L488" s="189">
        <v>3</v>
      </c>
      <c r="M488" s="759" t="str">
        <f t="shared" si="46"/>
        <v>NO APLICA</v>
      </c>
      <c r="N488" s="759"/>
    </row>
    <row r="489" spans="2:14">
      <c r="B489" s="182"/>
      <c r="C489" s="182"/>
      <c r="E489" s="183"/>
      <c r="F489" s="229" t="str">
        <f>IF(OR(D489="",E489=""),"",ROUND(D489/LOOKUP(E489,SMMLV!$A$2:$A$36,SMMLV!$D$2:$D$104),3))</f>
        <v/>
      </c>
      <c r="K489" s="758"/>
      <c r="L489" s="189">
        <v>4</v>
      </c>
      <c r="M489" s="759" t="str">
        <f t="shared" si="46"/>
        <v>NO APLICA</v>
      </c>
      <c r="N489" s="759"/>
    </row>
    <row r="490" spans="2:14">
      <c r="B490" s="182"/>
      <c r="C490" s="182"/>
      <c r="E490" s="183"/>
      <c r="F490" s="229" t="str">
        <f>IF(OR(D490="",E490=""),"",ROUND(D490/LOOKUP(E490,SMMLV!$A$2:$A$36,SMMLV!$D$2:$D$104),3))</f>
        <v/>
      </c>
      <c r="K490" s="758"/>
      <c r="L490" s="189">
        <v>5</v>
      </c>
      <c r="M490" s="759" t="str">
        <f t="shared" si="46"/>
        <v>NO APLICA</v>
      </c>
      <c r="N490" s="759"/>
    </row>
    <row r="491" spans="2:14">
      <c r="B491" s="182"/>
      <c r="C491" s="182"/>
      <c r="E491" s="183"/>
      <c r="F491" s="229" t="str">
        <f>IF(OR(D491="",E491=""),"",ROUND(D491/LOOKUP(E491,SMMLV!$A$2:$A$36,SMMLV!$D$2:$D$104),3))</f>
        <v/>
      </c>
      <c r="K491" s="758"/>
      <c r="L491" s="189">
        <v>6</v>
      </c>
      <c r="M491" s="759" t="str">
        <f t="shared" si="46"/>
        <v>NO APLICA</v>
      </c>
      <c r="N491" s="759"/>
    </row>
    <row r="492" spans="2:14">
      <c r="B492" s="182"/>
      <c r="C492" s="182"/>
      <c r="E492" s="183"/>
      <c r="F492" s="229" t="str">
        <f>IF(OR(D492="",E492=""),"",ROUND(D492/LOOKUP(E492,SMMLV!$A$2:$A$36,SMMLV!$D$2:$D$104),3))</f>
        <v/>
      </c>
      <c r="K492" s="758"/>
      <c r="L492" s="189">
        <v>7</v>
      </c>
      <c r="M492" s="759" t="str">
        <f t="shared" si="46"/>
        <v>NO APLICA</v>
      </c>
      <c r="N492" s="759"/>
    </row>
    <row r="493" spans="2:14">
      <c r="B493" s="182"/>
      <c r="C493" s="182"/>
      <c r="E493" s="183"/>
      <c r="F493" s="229" t="str">
        <f>IF(OR(D493="",E493=""),"",ROUND(D493/LOOKUP(E493,SMMLV!$A$2:$A$36,SMMLV!$D$2:$D$104),3))</f>
        <v/>
      </c>
      <c r="K493" s="758"/>
      <c r="L493" s="189">
        <v>8</v>
      </c>
      <c r="M493" s="759" t="str">
        <f t="shared" si="46"/>
        <v>NO APLICA</v>
      </c>
      <c r="N493" s="759"/>
    </row>
    <row r="494" spans="2:14">
      <c r="B494" s="182"/>
      <c r="C494" s="182"/>
      <c r="E494" s="183"/>
      <c r="F494" s="229" t="str">
        <f>IF(OR(D494="",E494=""),"",ROUND(D494/LOOKUP(E494,SMMLV!$A$2:$A$36,SMMLV!$D$2:$D$104),3))</f>
        <v/>
      </c>
      <c r="K494" s="758"/>
      <c r="L494" s="189">
        <v>9</v>
      </c>
      <c r="M494" s="759" t="str">
        <f t="shared" si="46"/>
        <v>NO APLICA</v>
      </c>
      <c r="N494" s="759"/>
    </row>
    <row r="495" spans="2:14">
      <c r="B495" s="182"/>
      <c r="C495" s="182"/>
      <c r="E495" s="183"/>
      <c r="F495" s="229" t="str">
        <f>IF(OR(D495="",E495=""),"",ROUND(D495/LOOKUP(E495,SMMLV!$A$2:$A$36,SMMLV!$D$2:$D$104),3))</f>
        <v/>
      </c>
      <c r="K495" s="758"/>
      <c r="L495" s="189">
        <v>10</v>
      </c>
      <c r="M495" s="759" t="str">
        <f t="shared" si="46"/>
        <v>NO APLICA</v>
      </c>
      <c r="N495" s="759"/>
    </row>
    <row r="496" spans="2:14">
      <c r="B496" s="182"/>
      <c r="C496" s="182"/>
      <c r="E496" s="183"/>
      <c r="F496" s="229" t="str">
        <f>IF(OR(D496="",E496=""),"",ROUND(D496/LOOKUP(E496,SMMLV!$A$2:$A$36,SMMLV!$D$2:$D$104),3))</f>
        <v/>
      </c>
      <c r="K496" s="758">
        <v>50</v>
      </c>
      <c r="L496" s="189">
        <v>1</v>
      </c>
      <c r="M496" s="759" t="str">
        <f t="shared" ref="M496:M505" si="47">IF(SUMIFS($F$5:$F$1200,$B$5:$B$1200,$K$496,$C$5:$C$1200,$L496)=0,"NO APLICA",ROUND(SUMIFS($F$5:$F$1200,$B$5:$B$1200,$K$496,$C$5:$C$1200,$L496),3))</f>
        <v>NO APLICA</v>
      </c>
      <c r="N496" s="759"/>
    </row>
    <row r="497" spans="2:14">
      <c r="B497" s="182"/>
      <c r="C497" s="182"/>
      <c r="E497" s="183"/>
      <c r="F497" s="229" t="str">
        <f>IF(OR(D497="",E497=""),"",ROUND(D497/LOOKUP(E497,SMMLV!$A$2:$A$36,SMMLV!$D$2:$D$104),3))</f>
        <v/>
      </c>
      <c r="K497" s="758"/>
      <c r="L497" s="189">
        <v>2</v>
      </c>
      <c r="M497" s="759" t="str">
        <f t="shared" si="47"/>
        <v>NO APLICA</v>
      </c>
      <c r="N497" s="759"/>
    </row>
    <row r="498" spans="2:14">
      <c r="B498" s="182"/>
      <c r="C498" s="182"/>
      <c r="E498" s="183"/>
      <c r="F498" s="229" t="str">
        <f>IF(OR(D498="",E498=""),"",ROUND(D498/LOOKUP(E498,SMMLV!$A$2:$A$36,SMMLV!$D$2:$D$104),3))</f>
        <v/>
      </c>
      <c r="K498" s="758"/>
      <c r="L498" s="189">
        <v>3</v>
      </c>
      <c r="M498" s="759" t="str">
        <f t="shared" si="47"/>
        <v>NO APLICA</v>
      </c>
      <c r="N498" s="759"/>
    </row>
    <row r="499" spans="2:14">
      <c r="B499" s="182"/>
      <c r="C499" s="182"/>
      <c r="E499" s="183"/>
      <c r="F499" s="229" t="str">
        <f>IF(OR(D499="",E499=""),"",ROUND(D499/LOOKUP(E499,SMMLV!$A$2:$A$36,SMMLV!$D$2:$D$104),3))</f>
        <v/>
      </c>
      <c r="K499" s="758"/>
      <c r="L499" s="189">
        <v>4</v>
      </c>
      <c r="M499" s="759" t="str">
        <f t="shared" si="47"/>
        <v>NO APLICA</v>
      </c>
      <c r="N499" s="759"/>
    </row>
    <row r="500" spans="2:14">
      <c r="B500" s="182"/>
      <c r="C500" s="182"/>
      <c r="E500" s="183"/>
      <c r="F500" s="229" t="str">
        <f>IF(OR(D500="",E500=""),"",ROUND(D500/LOOKUP(E500,SMMLV!$A$2:$A$36,SMMLV!$D$2:$D$104),3))</f>
        <v/>
      </c>
      <c r="K500" s="758"/>
      <c r="L500" s="189">
        <v>5</v>
      </c>
      <c r="M500" s="759" t="str">
        <f t="shared" si="47"/>
        <v>NO APLICA</v>
      </c>
      <c r="N500" s="759"/>
    </row>
    <row r="501" spans="2:14">
      <c r="B501" s="182"/>
      <c r="C501" s="182"/>
      <c r="E501" s="183"/>
      <c r="F501" s="229" t="str">
        <f>IF(OR(D501="",E501=""),"",ROUND(D501/LOOKUP(E501,SMMLV!$A$2:$A$36,SMMLV!$D$2:$D$104),3))</f>
        <v/>
      </c>
      <c r="K501" s="758"/>
      <c r="L501" s="189">
        <v>6</v>
      </c>
      <c r="M501" s="759" t="str">
        <f t="shared" si="47"/>
        <v>NO APLICA</v>
      </c>
      <c r="N501" s="759"/>
    </row>
    <row r="502" spans="2:14">
      <c r="B502" s="182"/>
      <c r="C502" s="182"/>
      <c r="E502" s="183"/>
      <c r="F502" s="229" t="str">
        <f>IF(OR(D502="",E502=""),"",ROUND(D502/LOOKUP(E502,SMMLV!$A$2:$A$36,SMMLV!$D$2:$D$104),3))</f>
        <v/>
      </c>
      <c r="K502" s="758"/>
      <c r="L502" s="189">
        <v>7</v>
      </c>
      <c r="M502" s="759" t="str">
        <f t="shared" si="47"/>
        <v>NO APLICA</v>
      </c>
      <c r="N502" s="759"/>
    </row>
    <row r="503" spans="2:14">
      <c r="B503" s="182"/>
      <c r="C503" s="182"/>
      <c r="E503" s="183"/>
      <c r="F503" s="229" t="str">
        <f>IF(OR(D503="",E503=""),"",ROUND(D503/LOOKUP(E503,SMMLV!$A$2:$A$36,SMMLV!$D$2:$D$104),3))</f>
        <v/>
      </c>
      <c r="K503" s="758"/>
      <c r="L503" s="189">
        <v>8</v>
      </c>
      <c r="M503" s="759" t="str">
        <f t="shared" si="47"/>
        <v>NO APLICA</v>
      </c>
      <c r="N503" s="759"/>
    </row>
    <row r="504" spans="2:14">
      <c r="B504" s="182"/>
      <c r="C504" s="182"/>
      <c r="E504" s="183"/>
      <c r="F504" s="229" t="str">
        <f>IF(OR(D504="",E504=""),"",ROUND(D504/LOOKUP(E504,SMMLV!$A$2:$A$36,SMMLV!$D$2:$D$104),3))</f>
        <v/>
      </c>
      <c r="K504" s="758"/>
      <c r="L504" s="189">
        <v>9</v>
      </c>
      <c r="M504" s="759" t="str">
        <f t="shared" si="47"/>
        <v>NO APLICA</v>
      </c>
      <c r="N504" s="759"/>
    </row>
    <row r="505" spans="2:14">
      <c r="B505" s="182"/>
      <c r="C505" s="182"/>
      <c r="E505" s="183"/>
      <c r="F505" s="229" t="str">
        <f>IF(OR(D505="",E505=""),"",ROUND(D505/LOOKUP(E505,SMMLV!$A$2:$A$36,SMMLV!$D$2:$D$104),3))</f>
        <v/>
      </c>
      <c r="K505" s="758"/>
      <c r="L505" s="189">
        <v>10</v>
      </c>
      <c r="M505" s="759" t="str">
        <f t="shared" si="47"/>
        <v>NO APLICA</v>
      </c>
      <c r="N505" s="759"/>
    </row>
    <row r="506" spans="2:14">
      <c r="B506" s="182"/>
      <c r="C506" s="182"/>
      <c r="E506" s="183"/>
      <c r="F506" s="229" t="str">
        <f>IF(OR(D506="",E506=""),"",ROUND(D506/LOOKUP(E506,SMMLV!$A$2:$A$36,SMMLV!$D$2:$D$104),3))</f>
        <v/>
      </c>
      <c r="K506" s="758">
        <v>51</v>
      </c>
      <c r="L506" s="189">
        <v>1</v>
      </c>
      <c r="M506" s="759" t="str">
        <f t="shared" ref="M506:M515" si="48">IF(SUMIFS($F$5:$F$1200,$B$5:$B$1200,$K$506,$C$5:$C$1200,$L506)=0,"NO APLICA",ROUND(SUMIFS($F$5:$F$1200,$B$5:$B$1200,$K$506,$C$5:$C$1200,$L506),3))</f>
        <v>NO APLICA</v>
      </c>
      <c r="N506" s="759"/>
    </row>
    <row r="507" spans="2:14">
      <c r="B507" s="182"/>
      <c r="C507" s="182"/>
      <c r="E507" s="183"/>
      <c r="F507" s="229" t="str">
        <f>IF(OR(D507="",E507=""),"",ROUND(D507/LOOKUP(E507,SMMLV!$A$2:$A$36,SMMLV!$D$2:$D$104),3))</f>
        <v/>
      </c>
      <c r="K507" s="758"/>
      <c r="L507" s="189">
        <v>2</v>
      </c>
      <c r="M507" s="759" t="str">
        <f t="shared" si="48"/>
        <v>NO APLICA</v>
      </c>
      <c r="N507" s="759"/>
    </row>
    <row r="508" spans="2:14">
      <c r="B508" s="182"/>
      <c r="C508" s="182"/>
      <c r="E508" s="183"/>
      <c r="F508" s="229" t="str">
        <f>IF(OR(D508="",E508=""),"",ROUND(D508/LOOKUP(E508,SMMLV!$A$2:$A$36,SMMLV!$D$2:$D$104),3))</f>
        <v/>
      </c>
      <c r="K508" s="758"/>
      <c r="L508" s="189">
        <v>3</v>
      </c>
      <c r="M508" s="759" t="str">
        <f t="shared" si="48"/>
        <v>NO APLICA</v>
      </c>
      <c r="N508" s="759"/>
    </row>
    <row r="509" spans="2:14">
      <c r="B509" s="182"/>
      <c r="C509" s="182"/>
      <c r="E509" s="183"/>
      <c r="F509" s="229" t="str">
        <f>IF(OR(D509="",E509=""),"",ROUND(D509/LOOKUP(E509,SMMLV!$A$2:$A$36,SMMLV!$D$2:$D$104),3))</f>
        <v/>
      </c>
      <c r="K509" s="758"/>
      <c r="L509" s="189">
        <v>4</v>
      </c>
      <c r="M509" s="759" t="str">
        <f t="shared" si="48"/>
        <v>NO APLICA</v>
      </c>
      <c r="N509" s="759"/>
    </row>
    <row r="510" spans="2:14">
      <c r="B510" s="182"/>
      <c r="C510" s="182"/>
      <c r="E510" s="183"/>
      <c r="F510" s="229" t="str">
        <f>IF(OR(D510="",E510=""),"",ROUND(D510/LOOKUP(E510,SMMLV!$A$2:$A$36,SMMLV!$D$2:$D$104),3))</f>
        <v/>
      </c>
      <c r="K510" s="758"/>
      <c r="L510" s="189">
        <v>5</v>
      </c>
      <c r="M510" s="759" t="str">
        <f t="shared" si="48"/>
        <v>NO APLICA</v>
      </c>
      <c r="N510" s="759"/>
    </row>
    <row r="511" spans="2:14">
      <c r="B511" s="182"/>
      <c r="C511" s="182"/>
      <c r="E511" s="183"/>
      <c r="F511" s="229" t="str">
        <f>IF(OR(D511="",E511=""),"",ROUND(D511/LOOKUP(E511,SMMLV!$A$2:$A$36,SMMLV!$D$2:$D$104),3))</f>
        <v/>
      </c>
      <c r="K511" s="758"/>
      <c r="L511" s="189">
        <v>6</v>
      </c>
      <c r="M511" s="759" t="str">
        <f t="shared" si="48"/>
        <v>NO APLICA</v>
      </c>
      <c r="N511" s="759"/>
    </row>
    <row r="512" spans="2:14">
      <c r="B512" s="182"/>
      <c r="C512" s="182"/>
      <c r="E512" s="183"/>
      <c r="F512" s="229" t="str">
        <f>IF(OR(D512="",E512=""),"",ROUND(D512/LOOKUP(E512,SMMLV!$A$2:$A$36,SMMLV!$D$2:$D$104),3))</f>
        <v/>
      </c>
      <c r="K512" s="758"/>
      <c r="L512" s="189">
        <v>7</v>
      </c>
      <c r="M512" s="759" t="str">
        <f t="shared" si="48"/>
        <v>NO APLICA</v>
      </c>
      <c r="N512" s="759"/>
    </row>
    <row r="513" spans="2:14">
      <c r="B513" s="182"/>
      <c r="C513" s="182"/>
      <c r="E513" s="183"/>
      <c r="F513" s="229" t="str">
        <f>IF(OR(D513="",E513=""),"",ROUND(D513/LOOKUP(E513,SMMLV!$A$2:$A$36,SMMLV!$D$2:$D$104),3))</f>
        <v/>
      </c>
      <c r="K513" s="758"/>
      <c r="L513" s="189">
        <v>8</v>
      </c>
      <c r="M513" s="759" t="str">
        <f t="shared" si="48"/>
        <v>NO APLICA</v>
      </c>
      <c r="N513" s="759"/>
    </row>
    <row r="514" spans="2:14">
      <c r="B514" s="182"/>
      <c r="C514" s="182"/>
      <c r="E514" s="183"/>
      <c r="F514" s="229" t="str">
        <f>IF(OR(D514="",E514=""),"",ROUND(D514/LOOKUP(E514,SMMLV!$A$2:$A$36,SMMLV!$D$2:$D$104),3))</f>
        <v/>
      </c>
      <c r="K514" s="758"/>
      <c r="L514" s="189">
        <v>9</v>
      </c>
      <c r="M514" s="759" t="str">
        <f t="shared" si="48"/>
        <v>NO APLICA</v>
      </c>
      <c r="N514" s="759"/>
    </row>
    <row r="515" spans="2:14">
      <c r="B515" s="182"/>
      <c r="C515" s="182"/>
      <c r="E515" s="183"/>
      <c r="F515" s="229" t="str">
        <f>IF(OR(D515="",E515=""),"",ROUND(D515/LOOKUP(E515,SMMLV!$A$2:$A$36,SMMLV!$D$2:$D$104),3))</f>
        <v/>
      </c>
      <c r="K515" s="758"/>
      <c r="L515" s="189">
        <v>10</v>
      </c>
      <c r="M515" s="759" t="str">
        <f t="shared" si="48"/>
        <v>NO APLICA</v>
      </c>
      <c r="N515" s="759"/>
    </row>
    <row r="516" spans="2:14">
      <c r="B516" s="182"/>
      <c r="C516" s="182"/>
      <c r="E516" s="183"/>
      <c r="F516" s="229" t="str">
        <f>IF(OR(D516="",E516=""),"",ROUND(D516/LOOKUP(E516,SMMLV!$A$2:$A$36,SMMLV!$D$2:$D$104),3))</f>
        <v/>
      </c>
      <c r="K516" s="758">
        <v>52</v>
      </c>
      <c r="L516" s="189">
        <v>1</v>
      </c>
      <c r="M516" s="759" t="str">
        <f t="shared" ref="M516:M525" si="49">IF(SUMIFS($F$5:$F$1200,$B$5:$B$1200,$K$516,$C$5:$C$1200,$L516)=0,"NO APLICA",ROUND(SUMIFS($F$5:$F$1200,$B$5:$B$1200,$K$516,$C$5:$C$1200,$L516),3))</f>
        <v>NO APLICA</v>
      </c>
      <c r="N516" s="759"/>
    </row>
    <row r="517" spans="2:14">
      <c r="B517" s="182"/>
      <c r="C517" s="182"/>
      <c r="E517" s="183"/>
      <c r="F517" s="229" t="str">
        <f>IF(OR(D517="",E517=""),"",ROUND(D517/LOOKUP(E517,SMMLV!$A$2:$A$36,SMMLV!$D$2:$D$104),3))</f>
        <v/>
      </c>
      <c r="K517" s="758"/>
      <c r="L517" s="189">
        <v>2</v>
      </c>
      <c r="M517" s="759" t="str">
        <f t="shared" si="49"/>
        <v>NO APLICA</v>
      </c>
      <c r="N517" s="759"/>
    </row>
    <row r="518" spans="2:14">
      <c r="B518" s="182"/>
      <c r="C518" s="182"/>
      <c r="E518" s="183"/>
      <c r="F518" s="229" t="str">
        <f>IF(OR(D518="",E518=""),"",ROUND(D518/LOOKUP(E518,SMMLV!$A$2:$A$36,SMMLV!$D$2:$D$104),3))</f>
        <v/>
      </c>
      <c r="K518" s="758"/>
      <c r="L518" s="189">
        <v>3</v>
      </c>
      <c r="M518" s="759" t="str">
        <f t="shared" si="49"/>
        <v>NO APLICA</v>
      </c>
      <c r="N518" s="759"/>
    </row>
    <row r="519" spans="2:14">
      <c r="B519" s="182"/>
      <c r="C519" s="182"/>
      <c r="E519" s="183"/>
      <c r="F519" s="229" t="str">
        <f>IF(OR(D519="",E519=""),"",ROUND(D519/LOOKUP(E519,SMMLV!$A$2:$A$36,SMMLV!$D$2:$D$104),3))</f>
        <v/>
      </c>
      <c r="K519" s="758"/>
      <c r="L519" s="189">
        <v>4</v>
      </c>
      <c r="M519" s="759" t="str">
        <f t="shared" si="49"/>
        <v>NO APLICA</v>
      </c>
      <c r="N519" s="759"/>
    </row>
    <row r="520" spans="2:14">
      <c r="B520" s="182"/>
      <c r="C520" s="182"/>
      <c r="E520" s="183"/>
      <c r="F520" s="229" t="str">
        <f>IF(OR(D520="",E520=""),"",ROUND(D520/LOOKUP(E520,SMMLV!$A$2:$A$36,SMMLV!$D$2:$D$104),3))</f>
        <v/>
      </c>
      <c r="K520" s="758"/>
      <c r="L520" s="189">
        <v>5</v>
      </c>
      <c r="M520" s="759" t="str">
        <f t="shared" si="49"/>
        <v>NO APLICA</v>
      </c>
      <c r="N520" s="759"/>
    </row>
    <row r="521" spans="2:14">
      <c r="B521" s="182"/>
      <c r="C521" s="182"/>
      <c r="E521" s="183"/>
      <c r="F521" s="229" t="str">
        <f>IF(OR(D521="",E521=""),"",ROUND(D521/LOOKUP(E521,SMMLV!$A$2:$A$36,SMMLV!$D$2:$D$104),3))</f>
        <v/>
      </c>
      <c r="K521" s="758"/>
      <c r="L521" s="189">
        <v>6</v>
      </c>
      <c r="M521" s="759" t="str">
        <f t="shared" si="49"/>
        <v>NO APLICA</v>
      </c>
      <c r="N521" s="759"/>
    </row>
    <row r="522" spans="2:14">
      <c r="B522" s="182"/>
      <c r="C522" s="182"/>
      <c r="E522" s="183"/>
      <c r="F522" s="229" t="str">
        <f>IF(OR(D522="",E522=""),"",ROUND(D522/LOOKUP(E522,SMMLV!$A$2:$A$36,SMMLV!$D$2:$D$104),3))</f>
        <v/>
      </c>
      <c r="K522" s="758"/>
      <c r="L522" s="189">
        <v>7</v>
      </c>
      <c r="M522" s="759" t="str">
        <f t="shared" si="49"/>
        <v>NO APLICA</v>
      </c>
      <c r="N522" s="759"/>
    </row>
    <row r="523" spans="2:14">
      <c r="B523" s="182"/>
      <c r="C523" s="182"/>
      <c r="E523" s="183"/>
      <c r="F523" s="229" t="str">
        <f>IF(OR(D523="",E523=""),"",ROUND(D523/LOOKUP(E523,SMMLV!$A$2:$A$36,SMMLV!$D$2:$D$104),3))</f>
        <v/>
      </c>
      <c r="K523" s="758"/>
      <c r="L523" s="189">
        <v>8</v>
      </c>
      <c r="M523" s="759" t="str">
        <f t="shared" si="49"/>
        <v>NO APLICA</v>
      </c>
      <c r="N523" s="759"/>
    </row>
    <row r="524" spans="2:14">
      <c r="B524" s="182"/>
      <c r="C524" s="182"/>
      <c r="E524" s="183"/>
      <c r="F524" s="229" t="str">
        <f>IF(OR(D524="",E524=""),"",ROUND(D524/LOOKUP(E524,SMMLV!$A$2:$A$36,SMMLV!$D$2:$D$104),3))</f>
        <v/>
      </c>
      <c r="K524" s="758"/>
      <c r="L524" s="189">
        <v>9</v>
      </c>
      <c r="M524" s="759" t="str">
        <f t="shared" si="49"/>
        <v>NO APLICA</v>
      </c>
      <c r="N524" s="759"/>
    </row>
    <row r="525" spans="2:14">
      <c r="B525" s="182"/>
      <c r="C525" s="182"/>
      <c r="E525" s="183"/>
      <c r="F525" s="229" t="str">
        <f>IF(OR(D525="",E525=""),"",ROUND(D525/LOOKUP(E525,SMMLV!$A$2:$A$36,SMMLV!$D$2:$D$104),3))</f>
        <v/>
      </c>
      <c r="K525" s="758"/>
      <c r="L525" s="189">
        <v>10</v>
      </c>
      <c r="M525" s="759" t="str">
        <f t="shared" si="49"/>
        <v>NO APLICA</v>
      </c>
      <c r="N525" s="759"/>
    </row>
    <row r="526" spans="2:14">
      <c r="B526" s="182"/>
      <c r="C526" s="182"/>
      <c r="E526" s="183"/>
      <c r="F526" s="229" t="str">
        <f>IF(OR(D526="",E526=""),"",ROUND(D526/LOOKUP(E526,SMMLV!$A$2:$A$36,SMMLV!$D$2:$D$104),3))</f>
        <v/>
      </c>
      <c r="K526" s="758">
        <v>53</v>
      </c>
      <c r="L526" s="189">
        <v>1</v>
      </c>
      <c r="M526" s="759" t="str">
        <f t="shared" ref="M526:M535" si="50">IF(SUMIFS($F$5:$F$1200,$B$5:$B$1200,$K$526,$C$5:$C$1200,$L526)=0,"NO APLICA",ROUND(SUMIFS($F$5:$F$1200,$B$5:$B$1200,$K$526,$C$5:$C$1200,$L526),3))</f>
        <v>NO APLICA</v>
      </c>
      <c r="N526" s="759"/>
    </row>
    <row r="527" spans="2:14">
      <c r="B527" s="182"/>
      <c r="C527" s="182"/>
      <c r="E527" s="183"/>
      <c r="F527" s="229" t="str">
        <f>IF(OR(D527="",E527=""),"",ROUND(D527/LOOKUP(E527,SMMLV!$A$2:$A$36,SMMLV!$D$2:$D$104),3))</f>
        <v/>
      </c>
      <c r="K527" s="758"/>
      <c r="L527" s="189">
        <v>2</v>
      </c>
      <c r="M527" s="759" t="str">
        <f t="shared" si="50"/>
        <v>NO APLICA</v>
      </c>
      <c r="N527" s="759"/>
    </row>
    <row r="528" spans="2:14">
      <c r="B528" s="182"/>
      <c r="C528" s="182"/>
      <c r="E528" s="183"/>
      <c r="F528" s="229" t="str">
        <f>IF(OR(D528="",E528=""),"",ROUND(D528/LOOKUP(E528,SMMLV!$A$2:$A$36,SMMLV!$D$2:$D$104),3))</f>
        <v/>
      </c>
      <c r="K528" s="758"/>
      <c r="L528" s="189">
        <v>3</v>
      </c>
      <c r="M528" s="759" t="str">
        <f t="shared" si="50"/>
        <v>NO APLICA</v>
      </c>
      <c r="N528" s="759"/>
    </row>
    <row r="529" spans="2:14">
      <c r="B529" s="182"/>
      <c r="C529" s="182"/>
      <c r="E529" s="183"/>
      <c r="F529" s="229" t="str">
        <f>IF(OR(D529="",E529=""),"",ROUND(D529/LOOKUP(E529,SMMLV!$A$2:$A$36,SMMLV!$D$2:$D$104),3))</f>
        <v/>
      </c>
      <c r="K529" s="758"/>
      <c r="L529" s="189">
        <v>4</v>
      </c>
      <c r="M529" s="759" t="str">
        <f t="shared" si="50"/>
        <v>NO APLICA</v>
      </c>
      <c r="N529" s="759"/>
    </row>
    <row r="530" spans="2:14">
      <c r="B530" s="182"/>
      <c r="C530" s="182"/>
      <c r="E530" s="183"/>
      <c r="F530" s="229" t="str">
        <f>IF(OR(D530="",E530=""),"",ROUND(D530/LOOKUP(E530,SMMLV!$A$2:$A$36,SMMLV!$D$2:$D$104),3))</f>
        <v/>
      </c>
      <c r="K530" s="758"/>
      <c r="L530" s="189">
        <v>5</v>
      </c>
      <c r="M530" s="759" t="str">
        <f t="shared" si="50"/>
        <v>NO APLICA</v>
      </c>
      <c r="N530" s="759"/>
    </row>
    <row r="531" spans="2:14">
      <c r="B531" s="182"/>
      <c r="C531" s="182"/>
      <c r="E531" s="183"/>
      <c r="F531" s="229" t="str">
        <f>IF(OR(D531="",E531=""),"",ROUND(D531/LOOKUP(E531,SMMLV!$A$2:$A$36,SMMLV!$D$2:$D$104),3))</f>
        <v/>
      </c>
      <c r="K531" s="758"/>
      <c r="L531" s="189">
        <v>6</v>
      </c>
      <c r="M531" s="759" t="str">
        <f t="shared" si="50"/>
        <v>NO APLICA</v>
      </c>
      <c r="N531" s="759"/>
    </row>
    <row r="532" spans="2:14">
      <c r="B532" s="182"/>
      <c r="C532" s="182"/>
      <c r="E532" s="183"/>
      <c r="F532" s="229" t="str">
        <f>IF(OR(D532="",E532=""),"",ROUND(D532/LOOKUP(E532,SMMLV!$A$2:$A$36,SMMLV!$D$2:$D$104),3))</f>
        <v/>
      </c>
      <c r="K532" s="758"/>
      <c r="L532" s="189">
        <v>7</v>
      </c>
      <c r="M532" s="759" t="str">
        <f t="shared" si="50"/>
        <v>NO APLICA</v>
      </c>
      <c r="N532" s="759"/>
    </row>
    <row r="533" spans="2:14">
      <c r="B533" s="182"/>
      <c r="C533" s="182"/>
      <c r="E533" s="183"/>
      <c r="F533" s="229" t="str">
        <f>IF(OR(D533="",E533=""),"",ROUND(D533/LOOKUP(E533,SMMLV!$A$2:$A$36,SMMLV!$D$2:$D$104),3))</f>
        <v/>
      </c>
      <c r="K533" s="758"/>
      <c r="L533" s="189">
        <v>8</v>
      </c>
      <c r="M533" s="759" t="str">
        <f t="shared" si="50"/>
        <v>NO APLICA</v>
      </c>
      <c r="N533" s="759"/>
    </row>
    <row r="534" spans="2:14">
      <c r="B534" s="182"/>
      <c r="C534" s="182"/>
      <c r="E534" s="183"/>
      <c r="F534" s="229" t="str">
        <f>IF(OR(D534="",E534=""),"",ROUND(D534/LOOKUP(E534,SMMLV!$A$2:$A$36,SMMLV!$D$2:$D$104),3))</f>
        <v/>
      </c>
      <c r="K534" s="758"/>
      <c r="L534" s="189">
        <v>9</v>
      </c>
      <c r="M534" s="759" t="str">
        <f t="shared" si="50"/>
        <v>NO APLICA</v>
      </c>
      <c r="N534" s="759"/>
    </row>
    <row r="535" spans="2:14">
      <c r="B535" s="182"/>
      <c r="C535" s="182"/>
      <c r="E535" s="183"/>
      <c r="F535" s="229" t="str">
        <f>IF(OR(D535="",E535=""),"",ROUND(D535/LOOKUP(E535,SMMLV!$A$2:$A$36,SMMLV!$D$2:$D$104),3))</f>
        <v/>
      </c>
      <c r="K535" s="758"/>
      <c r="L535" s="189">
        <v>10</v>
      </c>
      <c r="M535" s="759" t="str">
        <f t="shared" si="50"/>
        <v>NO APLICA</v>
      </c>
      <c r="N535" s="759"/>
    </row>
    <row r="536" spans="2:14">
      <c r="B536" s="182"/>
      <c r="C536" s="182"/>
      <c r="E536" s="183"/>
      <c r="F536" s="229" t="str">
        <f>IF(OR(D536="",E536=""),"",ROUND(D536/LOOKUP(E536,SMMLV!$A$2:$A$36,SMMLV!$D$2:$D$104),3))</f>
        <v/>
      </c>
      <c r="K536" s="758">
        <v>54</v>
      </c>
      <c r="L536" s="189">
        <v>1</v>
      </c>
      <c r="M536" s="759" t="str">
        <f t="shared" ref="M536:M545" si="51">IF(SUMIFS($F$5:$F$1200,$B$5:$B$1200,$K$536,$C$5:$C$1200,$L536)=0,"NO APLICA",ROUND(SUMIFS($F$5:$F$1200,$B$5:$B$1200,$K$536,$C$5:$C$1200,$L536),3))</f>
        <v>NO APLICA</v>
      </c>
      <c r="N536" s="759"/>
    </row>
    <row r="537" spans="2:14">
      <c r="B537" s="182"/>
      <c r="C537" s="182"/>
      <c r="E537" s="183"/>
      <c r="F537" s="229" t="str">
        <f>IF(OR(D537="",E537=""),"",ROUND(D537/LOOKUP(E537,SMMLV!$A$2:$A$36,SMMLV!$D$2:$D$104),3))</f>
        <v/>
      </c>
      <c r="K537" s="758"/>
      <c r="L537" s="189">
        <v>2</v>
      </c>
      <c r="M537" s="759" t="str">
        <f t="shared" si="51"/>
        <v>NO APLICA</v>
      </c>
      <c r="N537" s="759"/>
    </row>
    <row r="538" spans="2:14">
      <c r="B538" s="182"/>
      <c r="C538" s="182"/>
      <c r="E538" s="183"/>
      <c r="F538" s="229" t="str">
        <f>IF(OR(D538="",E538=""),"",ROUND(D538/LOOKUP(E538,SMMLV!$A$2:$A$36,SMMLV!$D$2:$D$104),3))</f>
        <v/>
      </c>
      <c r="K538" s="758"/>
      <c r="L538" s="189">
        <v>3</v>
      </c>
      <c r="M538" s="759" t="str">
        <f t="shared" si="51"/>
        <v>NO APLICA</v>
      </c>
      <c r="N538" s="759"/>
    </row>
    <row r="539" spans="2:14">
      <c r="B539" s="182"/>
      <c r="C539" s="182"/>
      <c r="E539" s="183"/>
      <c r="F539" s="229" t="str">
        <f>IF(OR(D539="",E539=""),"",ROUND(D539/LOOKUP(E539,SMMLV!$A$2:$A$36,SMMLV!$D$2:$D$104),3))</f>
        <v/>
      </c>
      <c r="K539" s="758"/>
      <c r="L539" s="189">
        <v>4</v>
      </c>
      <c r="M539" s="759" t="str">
        <f t="shared" si="51"/>
        <v>NO APLICA</v>
      </c>
      <c r="N539" s="759"/>
    </row>
    <row r="540" spans="2:14">
      <c r="B540" s="182"/>
      <c r="C540" s="182"/>
      <c r="E540" s="183"/>
      <c r="F540" s="229" t="str">
        <f>IF(OR(D540="",E540=""),"",ROUND(D540/LOOKUP(E540,SMMLV!$A$2:$A$36,SMMLV!$D$2:$D$104),3))</f>
        <v/>
      </c>
      <c r="K540" s="758"/>
      <c r="L540" s="189">
        <v>5</v>
      </c>
      <c r="M540" s="759" t="str">
        <f t="shared" si="51"/>
        <v>NO APLICA</v>
      </c>
      <c r="N540" s="759"/>
    </row>
    <row r="541" spans="2:14">
      <c r="B541" s="182"/>
      <c r="C541" s="182"/>
      <c r="E541" s="183"/>
      <c r="F541" s="229" t="str">
        <f>IF(OR(D541="",E541=""),"",ROUND(D541/LOOKUP(E541,SMMLV!$A$2:$A$36,SMMLV!$D$2:$D$104),3))</f>
        <v/>
      </c>
      <c r="K541" s="758"/>
      <c r="L541" s="189">
        <v>6</v>
      </c>
      <c r="M541" s="759" t="str">
        <f t="shared" si="51"/>
        <v>NO APLICA</v>
      </c>
      <c r="N541" s="759"/>
    </row>
    <row r="542" spans="2:14">
      <c r="B542" s="182"/>
      <c r="C542" s="182"/>
      <c r="E542" s="183"/>
      <c r="F542" s="229" t="str">
        <f>IF(OR(D542="",E542=""),"",ROUND(D542/LOOKUP(E542,SMMLV!$A$2:$A$36,SMMLV!$D$2:$D$104),3))</f>
        <v/>
      </c>
      <c r="K542" s="758"/>
      <c r="L542" s="189">
        <v>7</v>
      </c>
      <c r="M542" s="759" t="str">
        <f t="shared" si="51"/>
        <v>NO APLICA</v>
      </c>
      <c r="N542" s="759"/>
    </row>
    <row r="543" spans="2:14">
      <c r="B543" s="182"/>
      <c r="C543" s="182"/>
      <c r="E543" s="183"/>
      <c r="F543" s="229" t="str">
        <f>IF(OR(D543="",E543=""),"",ROUND(D543/LOOKUP(E543,SMMLV!$A$2:$A$36,SMMLV!$D$2:$D$104),3))</f>
        <v/>
      </c>
      <c r="K543" s="758"/>
      <c r="L543" s="189">
        <v>8</v>
      </c>
      <c r="M543" s="759" t="str">
        <f t="shared" si="51"/>
        <v>NO APLICA</v>
      </c>
      <c r="N543" s="759"/>
    </row>
    <row r="544" spans="2:14">
      <c r="B544" s="182"/>
      <c r="C544" s="182"/>
      <c r="E544" s="183"/>
      <c r="F544" s="229" t="str">
        <f>IF(OR(D544="",E544=""),"",ROUND(D544/LOOKUP(E544,SMMLV!$A$2:$A$36,SMMLV!$D$2:$D$104),3))</f>
        <v/>
      </c>
      <c r="K544" s="758"/>
      <c r="L544" s="189">
        <v>9</v>
      </c>
      <c r="M544" s="759" t="str">
        <f t="shared" si="51"/>
        <v>NO APLICA</v>
      </c>
      <c r="N544" s="759"/>
    </row>
    <row r="545" spans="2:14">
      <c r="B545" s="182"/>
      <c r="C545" s="182"/>
      <c r="E545" s="183"/>
      <c r="F545" s="229" t="str">
        <f>IF(OR(D545="",E545=""),"",ROUND(D545/LOOKUP(E545,SMMLV!$A$2:$A$36,SMMLV!$D$2:$D$104),3))</f>
        <v/>
      </c>
      <c r="K545" s="758"/>
      <c r="L545" s="189">
        <v>10</v>
      </c>
      <c r="M545" s="759" t="str">
        <f t="shared" si="51"/>
        <v>NO APLICA</v>
      </c>
      <c r="N545" s="759"/>
    </row>
    <row r="546" spans="2:14">
      <c r="B546" s="182"/>
      <c r="C546" s="182"/>
      <c r="E546" s="183"/>
      <c r="F546" s="229" t="str">
        <f>IF(OR(D546="",E546=""),"",ROUND(D546/LOOKUP(E546,SMMLV!$A$2:$A$36,SMMLV!$D$2:$D$104),3))</f>
        <v/>
      </c>
      <c r="K546" s="758">
        <v>55</v>
      </c>
      <c r="L546" s="189">
        <v>1</v>
      </c>
      <c r="M546" s="759" t="str">
        <f t="shared" ref="M546:M555" si="52">IF(SUMIFS($F$5:$F$1200,$B$5:$B$1200,$K$546,$C$5:$C$1200,$L546)=0,"NO APLICA",ROUND(SUMIFS($F$5:$F$1200,$B$5:$B$1200,$K$546,$C$5:$C$1200,$L546),3))</f>
        <v>NO APLICA</v>
      </c>
      <c r="N546" s="759"/>
    </row>
    <row r="547" spans="2:14">
      <c r="B547" s="182"/>
      <c r="C547" s="182"/>
      <c r="E547" s="183"/>
      <c r="F547" s="229" t="str">
        <f>IF(OR(D547="",E547=""),"",ROUND(D547/LOOKUP(E547,SMMLV!$A$2:$A$36,SMMLV!$D$2:$D$104),3))</f>
        <v/>
      </c>
      <c r="K547" s="758"/>
      <c r="L547" s="189">
        <v>2</v>
      </c>
      <c r="M547" s="759" t="str">
        <f t="shared" si="52"/>
        <v>NO APLICA</v>
      </c>
      <c r="N547" s="759"/>
    </row>
    <row r="548" spans="2:14">
      <c r="B548" s="182"/>
      <c r="C548" s="182"/>
      <c r="E548" s="183"/>
      <c r="F548" s="229" t="str">
        <f>IF(OR(D548="",E548=""),"",ROUND(D548/LOOKUP(E548,SMMLV!$A$2:$A$36,SMMLV!$D$2:$D$104),3))</f>
        <v/>
      </c>
      <c r="K548" s="758"/>
      <c r="L548" s="189">
        <v>3</v>
      </c>
      <c r="M548" s="759" t="str">
        <f t="shared" si="52"/>
        <v>NO APLICA</v>
      </c>
      <c r="N548" s="759"/>
    </row>
    <row r="549" spans="2:14">
      <c r="B549" s="182"/>
      <c r="C549" s="182"/>
      <c r="E549" s="183"/>
      <c r="F549" s="229" t="str">
        <f>IF(OR(D549="",E549=""),"",ROUND(D549/LOOKUP(E549,SMMLV!$A$2:$A$36,SMMLV!$D$2:$D$104),3))</f>
        <v/>
      </c>
      <c r="K549" s="758"/>
      <c r="L549" s="189">
        <v>4</v>
      </c>
      <c r="M549" s="759" t="str">
        <f t="shared" si="52"/>
        <v>NO APLICA</v>
      </c>
      <c r="N549" s="759"/>
    </row>
    <row r="550" spans="2:14">
      <c r="B550" s="182"/>
      <c r="C550" s="182"/>
      <c r="E550" s="183"/>
      <c r="F550" s="229" t="str">
        <f>IF(OR(D550="",E550=""),"",ROUND(D550/LOOKUP(E550,SMMLV!$A$2:$A$36,SMMLV!$D$2:$D$104),3))</f>
        <v/>
      </c>
      <c r="K550" s="758"/>
      <c r="L550" s="189">
        <v>5</v>
      </c>
      <c r="M550" s="759" t="str">
        <f t="shared" si="52"/>
        <v>NO APLICA</v>
      </c>
      <c r="N550" s="759"/>
    </row>
    <row r="551" spans="2:14">
      <c r="B551" s="182"/>
      <c r="C551" s="182"/>
      <c r="E551" s="183"/>
      <c r="F551" s="229" t="str">
        <f>IF(OR(D551="",E551=""),"",ROUND(D551/LOOKUP(E551,SMMLV!$A$2:$A$36,SMMLV!$D$2:$D$104),3))</f>
        <v/>
      </c>
      <c r="K551" s="758"/>
      <c r="L551" s="189">
        <v>6</v>
      </c>
      <c r="M551" s="759" t="str">
        <f t="shared" si="52"/>
        <v>NO APLICA</v>
      </c>
      <c r="N551" s="759"/>
    </row>
    <row r="552" spans="2:14">
      <c r="B552" s="182"/>
      <c r="C552" s="182"/>
      <c r="E552" s="183"/>
      <c r="F552" s="229" t="str">
        <f>IF(OR(D552="",E552=""),"",ROUND(D552/LOOKUP(E552,SMMLV!$A$2:$A$36,SMMLV!$D$2:$D$104),3))</f>
        <v/>
      </c>
      <c r="K552" s="758"/>
      <c r="L552" s="189">
        <v>7</v>
      </c>
      <c r="M552" s="759" t="str">
        <f t="shared" si="52"/>
        <v>NO APLICA</v>
      </c>
      <c r="N552" s="759"/>
    </row>
    <row r="553" spans="2:14">
      <c r="B553" s="182"/>
      <c r="C553" s="182"/>
      <c r="E553" s="183"/>
      <c r="F553" s="229" t="str">
        <f>IF(OR(D553="",E553=""),"",ROUND(D553/LOOKUP(E553,SMMLV!$A$2:$A$36,SMMLV!$D$2:$D$104),3))</f>
        <v/>
      </c>
      <c r="K553" s="758"/>
      <c r="L553" s="189">
        <v>8</v>
      </c>
      <c r="M553" s="759" t="str">
        <f t="shared" si="52"/>
        <v>NO APLICA</v>
      </c>
      <c r="N553" s="759"/>
    </row>
    <row r="554" spans="2:14">
      <c r="B554" s="182"/>
      <c r="C554" s="182"/>
      <c r="E554" s="183"/>
      <c r="F554" s="229" t="str">
        <f>IF(OR(D554="",E554=""),"",ROUND(D554/LOOKUP(E554,SMMLV!$A$2:$A$36,SMMLV!$D$2:$D$104),3))</f>
        <v/>
      </c>
      <c r="K554" s="758"/>
      <c r="L554" s="189">
        <v>9</v>
      </c>
      <c r="M554" s="759" t="str">
        <f t="shared" si="52"/>
        <v>NO APLICA</v>
      </c>
      <c r="N554" s="759"/>
    </row>
    <row r="555" spans="2:14">
      <c r="B555" s="182"/>
      <c r="C555" s="182"/>
      <c r="E555" s="183"/>
      <c r="F555" s="229" t="str">
        <f>IF(OR(D555="",E555=""),"",ROUND(D555/LOOKUP(E555,SMMLV!$A$2:$A$36,SMMLV!$D$2:$D$104),3))</f>
        <v/>
      </c>
      <c r="K555" s="758"/>
      <c r="L555" s="189">
        <v>10</v>
      </c>
      <c r="M555" s="759" t="str">
        <f t="shared" si="52"/>
        <v>NO APLICA</v>
      </c>
      <c r="N555" s="759"/>
    </row>
    <row r="556" spans="2:14">
      <c r="B556" s="182"/>
      <c r="C556" s="182"/>
      <c r="E556" s="183"/>
      <c r="F556" s="229" t="str">
        <f>IF(OR(D556="",E556=""),"",ROUND(D556/LOOKUP(E556,SMMLV!$A$2:$A$36,SMMLV!$D$2:$D$104),3))</f>
        <v/>
      </c>
      <c r="K556" s="758">
        <v>56</v>
      </c>
      <c r="L556" s="189">
        <v>1</v>
      </c>
      <c r="M556" s="759" t="str">
        <f t="shared" ref="M556:M565" si="53">IF(SUMIFS($F$5:$F$1200,$B$5:$B$1200,$K$556,$C$5:$C$1200,$L556)=0,"NO APLICA",ROUND(SUMIFS($F$5:$F$1200,$B$5:$B$1200,$K$556,$C$5:$C$1200,$L556),3))</f>
        <v>NO APLICA</v>
      </c>
      <c r="N556" s="759"/>
    </row>
    <row r="557" spans="2:14">
      <c r="B557" s="182"/>
      <c r="C557" s="182"/>
      <c r="E557" s="183"/>
      <c r="F557" s="229" t="str">
        <f>IF(OR(D557="",E557=""),"",ROUND(D557/LOOKUP(E557,SMMLV!$A$2:$A$36,SMMLV!$D$2:$D$104),3))</f>
        <v/>
      </c>
      <c r="K557" s="758"/>
      <c r="L557" s="189">
        <v>2</v>
      </c>
      <c r="M557" s="759" t="str">
        <f t="shared" si="53"/>
        <v>NO APLICA</v>
      </c>
      <c r="N557" s="759"/>
    </row>
    <row r="558" spans="2:14">
      <c r="B558" s="182"/>
      <c r="C558" s="182"/>
      <c r="E558" s="183"/>
      <c r="F558" s="229" t="str">
        <f>IF(OR(D558="",E558=""),"",ROUND(D558/LOOKUP(E558,SMMLV!$A$2:$A$36,SMMLV!$D$2:$D$104),3))</f>
        <v/>
      </c>
      <c r="K558" s="758"/>
      <c r="L558" s="189">
        <v>3</v>
      </c>
      <c r="M558" s="759" t="str">
        <f t="shared" si="53"/>
        <v>NO APLICA</v>
      </c>
      <c r="N558" s="759"/>
    </row>
    <row r="559" spans="2:14">
      <c r="B559" s="182"/>
      <c r="C559" s="182"/>
      <c r="E559" s="183"/>
      <c r="F559" s="229" t="str">
        <f>IF(OR(D559="",E559=""),"",ROUND(D559/LOOKUP(E559,SMMLV!$A$2:$A$36,SMMLV!$D$2:$D$104),3))</f>
        <v/>
      </c>
      <c r="K559" s="758"/>
      <c r="L559" s="189">
        <v>4</v>
      </c>
      <c r="M559" s="759" t="str">
        <f t="shared" si="53"/>
        <v>NO APLICA</v>
      </c>
      <c r="N559" s="759"/>
    </row>
    <row r="560" spans="2:14">
      <c r="B560" s="182"/>
      <c r="C560" s="182"/>
      <c r="E560" s="183"/>
      <c r="F560" s="229" t="str">
        <f>IF(OR(D560="",E560=""),"",ROUND(D560/LOOKUP(E560,SMMLV!$A$2:$A$36,SMMLV!$D$2:$D$104),3))</f>
        <v/>
      </c>
      <c r="K560" s="758"/>
      <c r="L560" s="189">
        <v>5</v>
      </c>
      <c r="M560" s="759" t="str">
        <f t="shared" si="53"/>
        <v>NO APLICA</v>
      </c>
      <c r="N560" s="759"/>
    </row>
    <row r="561" spans="2:14">
      <c r="B561" s="182"/>
      <c r="C561" s="182"/>
      <c r="E561" s="183"/>
      <c r="F561" s="229" t="str">
        <f>IF(OR(D561="",E561=""),"",ROUND(D561/LOOKUP(E561,SMMLV!$A$2:$A$36,SMMLV!$D$2:$D$104),3))</f>
        <v/>
      </c>
      <c r="K561" s="758"/>
      <c r="L561" s="189">
        <v>6</v>
      </c>
      <c r="M561" s="759" t="str">
        <f t="shared" si="53"/>
        <v>NO APLICA</v>
      </c>
      <c r="N561" s="759"/>
    </row>
    <row r="562" spans="2:14">
      <c r="B562" s="182"/>
      <c r="C562" s="182"/>
      <c r="E562" s="183"/>
      <c r="F562" s="229" t="str">
        <f>IF(OR(D562="",E562=""),"",ROUND(D562/LOOKUP(E562,SMMLV!$A$2:$A$36,SMMLV!$D$2:$D$104),3))</f>
        <v/>
      </c>
      <c r="K562" s="758"/>
      <c r="L562" s="189">
        <v>7</v>
      </c>
      <c r="M562" s="759" t="str">
        <f t="shared" si="53"/>
        <v>NO APLICA</v>
      </c>
      <c r="N562" s="759"/>
    </row>
    <row r="563" spans="2:14">
      <c r="B563" s="182"/>
      <c r="C563" s="182"/>
      <c r="E563" s="183"/>
      <c r="F563" s="229" t="str">
        <f>IF(OR(D563="",E563=""),"",ROUND(D563/LOOKUP(E563,SMMLV!$A$2:$A$36,SMMLV!$D$2:$D$104),3))</f>
        <v/>
      </c>
      <c r="K563" s="758"/>
      <c r="L563" s="189">
        <v>8</v>
      </c>
      <c r="M563" s="759" t="str">
        <f t="shared" si="53"/>
        <v>NO APLICA</v>
      </c>
      <c r="N563" s="759"/>
    </row>
    <row r="564" spans="2:14">
      <c r="B564" s="182"/>
      <c r="C564" s="182"/>
      <c r="E564" s="183"/>
      <c r="F564" s="229" t="str">
        <f>IF(OR(D564="",E564=""),"",ROUND(D564/LOOKUP(E564,SMMLV!$A$2:$A$36,SMMLV!$D$2:$D$104),3))</f>
        <v/>
      </c>
      <c r="K564" s="758"/>
      <c r="L564" s="189">
        <v>9</v>
      </c>
      <c r="M564" s="759" t="str">
        <f t="shared" si="53"/>
        <v>NO APLICA</v>
      </c>
      <c r="N564" s="759"/>
    </row>
    <row r="565" spans="2:14">
      <c r="B565" s="182"/>
      <c r="C565" s="182"/>
      <c r="E565" s="183"/>
      <c r="F565" s="229" t="str">
        <f>IF(OR(D565="",E565=""),"",ROUND(D565/LOOKUP(E565,SMMLV!$A$2:$A$36,SMMLV!$D$2:$D$104),3))</f>
        <v/>
      </c>
      <c r="K565" s="758"/>
      <c r="L565" s="189">
        <v>10</v>
      </c>
      <c r="M565" s="759" t="str">
        <f t="shared" si="53"/>
        <v>NO APLICA</v>
      </c>
      <c r="N565" s="759"/>
    </row>
    <row r="566" spans="2:14">
      <c r="B566" s="182"/>
      <c r="C566" s="182"/>
      <c r="E566" s="183"/>
      <c r="F566" s="229" t="str">
        <f>IF(OR(D566="",E566=""),"",ROUND(D566/LOOKUP(E566,SMMLV!$A$2:$A$36,SMMLV!$D$2:$D$104),3))</f>
        <v/>
      </c>
      <c r="K566" s="758">
        <v>57</v>
      </c>
      <c r="L566" s="189">
        <v>1</v>
      </c>
      <c r="M566" s="759" t="str">
        <f t="shared" ref="M566:M575" si="54">IF(SUMIFS($F$5:$F$1200,$B$5:$B$1200,$K$566,$C$5:$C$1200,$L566)=0,"NO APLICA",ROUND(SUMIFS($F$5:$F$1200,$B$5:$B$1200,$K$566,$C$5:$C$1200,$L566),3))</f>
        <v>NO APLICA</v>
      </c>
      <c r="N566" s="759"/>
    </row>
    <row r="567" spans="2:14">
      <c r="B567" s="182"/>
      <c r="C567" s="182"/>
      <c r="E567" s="183"/>
      <c r="F567" s="229" t="str">
        <f>IF(OR(D567="",E567=""),"",ROUND(D567/LOOKUP(E567,SMMLV!$A$2:$A$36,SMMLV!$D$2:$D$104),3))</f>
        <v/>
      </c>
      <c r="K567" s="758"/>
      <c r="L567" s="189">
        <v>2</v>
      </c>
      <c r="M567" s="759" t="str">
        <f t="shared" si="54"/>
        <v>NO APLICA</v>
      </c>
      <c r="N567" s="759"/>
    </row>
    <row r="568" spans="2:14">
      <c r="B568" s="182"/>
      <c r="C568" s="182"/>
      <c r="E568" s="183"/>
      <c r="F568" s="229" t="str">
        <f>IF(OR(D568="",E568=""),"",ROUND(D568/LOOKUP(E568,SMMLV!$A$2:$A$36,SMMLV!$D$2:$D$104),3))</f>
        <v/>
      </c>
      <c r="K568" s="758"/>
      <c r="L568" s="189">
        <v>3</v>
      </c>
      <c r="M568" s="759" t="str">
        <f t="shared" si="54"/>
        <v>NO APLICA</v>
      </c>
      <c r="N568" s="759"/>
    </row>
    <row r="569" spans="2:14">
      <c r="B569" s="182"/>
      <c r="C569" s="182"/>
      <c r="E569" s="183"/>
      <c r="F569" s="229" t="str">
        <f>IF(OR(D569="",E569=""),"",ROUND(D569/LOOKUP(E569,SMMLV!$A$2:$A$36,SMMLV!$D$2:$D$104),3))</f>
        <v/>
      </c>
      <c r="K569" s="758"/>
      <c r="L569" s="189">
        <v>4</v>
      </c>
      <c r="M569" s="759" t="str">
        <f t="shared" si="54"/>
        <v>NO APLICA</v>
      </c>
      <c r="N569" s="759"/>
    </row>
    <row r="570" spans="2:14">
      <c r="B570" s="182"/>
      <c r="C570" s="182"/>
      <c r="E570" s="183"/>
      <c r="F570" s="229" t="str">
        <f>IF(OR(D570="",E570=""),"",ROUND(D570/LOOKUP(E570,SMMLV!$A$2:$A$36,SMMLV!$D$2:$D$104),3))</f>
        <v/>
      </c>
      <c r="K570" s="758"/>
      <c r="L570" s="189">
        <v>5</v>
      </c>
      <c r="M570" s="759" t="str">
        <f t="shared" si="54"/>
        <v>NO APLICA</v>
      </c>
      <c r="N570" s="759"/>
    </row>
    <row r="571" spans="2:14">
      <c r="B571" s="182"/>
      <c r="C571" s="182"/>
      <c r="E571" s="183"/>
      <c r="F571" s="229" t="str">
        <f>IF(OR(D571="",E571=""),"",ROUND(D571/LOOKUP(E571,SMMLV!$A$2:$A$36,SMMLV!$D$2:$D$104),3))</f>
        <v/>
      </c>
      <c r="K571" s="758"/>
      <c r="L571" s="189">
        <v>6</v>
      </c>
      <c r="M571" s="759" t="str">
        <f t="shared" si="54"/>
        <v>NO APLICA</v>
      </c>
      <c r="N571" s="759"/>
    </row>
    <row r="572" spans="2:14">
      <c r="B572" s="182"/>
      <c r="C572" s="182"/>
      <c r="E572" s="183"/>
      <c r="F572" s="229" t="str">
        <f>IF(OR(D572="",E572=""),"",ROUND(D572/LOOKUP(E572,SMMLV!$A$2:$A$36,SMMLV!$D$2:$D$104),3))</f>
        <v/>
      </c>
      <c r="K572" s="758"/>
      <c r="L572" s="189">
        <v>7</v>
      </c>
      <c r="M572" s="759" t="str">
        <f t="shared" si="54"/>
        <v>NO APLICA</v>
      </c>
      <c r="N572" s="759"/>
    </row>
    <row r="573" spans="2:14">
      <c r="B573" s="182"/>
      <c r="C573" s="182"/>
      <c r="E573" s="183"/>
      <c r="F573" s="229" t="str">
        <f>IF(OR(D573="",E573=""),"",ROUND(D573/LOOKUP(E573,SMMLV!$A$2:$A$36,SMMLV!$D$2:$D$104),3))</f>
        <v/>
      </c>
      <c r="K573" s="758"/>
      <c r="L573" s="189">
        <v>8</v>
      </c>
      <c r="M573" s="759" t="str">
        <f t="shared" si="54"/>
        <v>NO APLICA</v>
      </c>
      <c r="N573" s="759"/>
    </row>
    <row r="574" spans="2:14">
      <c r="B574" s="182"/>
      <c r="C574" s="182"/>
      <c r="E574" s="183"/>
      <c r="F574" s="229" t="str">
        <f>IF(OR(D574="",E574=""),"",ROUND(D574/LOOKUP(E574,SMMLV!$A$2:$A$36,SMMLV!$D$2:$D$104),3))</f>
        <v/>
      </c>
      <c r="K574" s="758"/>
      <c r="L574" s="189">
        <v>9</v>
      </c>
      <c r="M574" s="759" t="str">
        <f t="shared" si="54"/>
        <v>NO APLICA</v>
      </c>
      <c r="N574" s="759"/>
    </row>
    <row r="575" spans="2:14">
      <c r="B575" s="182"/>
      <c r="C575" s="182"/>
      <c r="E575" s="183"/>
      <c r="F575" s="229" t="str">
        <f>IF(OR(D575="",E575=""),"",ROUND(D575/LOOKUP(E575,SMMLV!$A$2:$A$36,SMMLV!$D$2:$D$104),3))</f>
        <v/>
      </c>
      <c r="K575" s="758"/>
      <c r="L575" s="189">
        <v>10</v>
      </c>
      <c r="M575" s="759" t="str">
        <f t="shared" si="54"/>
        <v>NO APLICA</v>
      </c>
      <c r="N575" s="759"/>
    </row>
    <row r="576" spans="2:14">
      <c r="B576" s="182"/>
      <c r="C576" s="182"/>
      <c r="E576" s="183"/>
      <c r="F576" s="229" t="str">
        <f>IF(OR(D576="",E576=""),"",ROUND(D576/LOOKUP(E576,SMMLV!$A$2:$A$36,SMMLV!$D$2:$D$104),3))</f>
        <v/>
      </c>
      <c r="K576" s="758">
        <v>58</v>
      </c>
      <c r="L576" s="189">
        <v>1</v>
      </c>
      <c r="M576" s="759" t="str">
        <f t="shared" ref="M576:M585" si="55">IF(SUMIFS($F$5:$F$1200,$B$5:$B$1200,$K$576,$C$5:$C$1200,$L576)=0,"NO APLICA",ROUND(SUMIFS($F$5:$F$1200,$B$5:$B$1200,$K$576,$C$5:$C$1200,$L576),3))</f>
        <v>NO APLICA</v>
      </c>
      <c r="N576" s="759"/>
    </row>
    <row r="577" spans="2:14">
      <c r="B577" s="182"/>
      <c r="C577" s="182"/>
      <c r="E577" s="183"/>
      <c r="F577" s="229" t="str">
        <f>IF(OR(D577="",E577=""),"",ROUND(D577/LOOKUP(E577,SMMLV!$A$2:$A$36,SMMLV!$D$2:$D$104),3))</f>
        <v/>
      </c>
      <c r="K577" s="758"/>
      <c r="L577" s="189">
        <v>2</v>
      </c>
      <c r="M577" s="759" t="str">
        <f t="shared" si="55"/>
        <v>NO APLICA</v>
      </c>
      <c r="N577" s="759"/>
    </row>
    <row r="578" spans="2:14">
      <c r="B578" s="182"/>
      <c r="C578" s="182"/>
      <c r="E578" s="183"/>
      <c r="F578" s="229" t="str">
        <f>IF(OR(D578="",E578=""),"",ROUND(D578/LOOKUP(E578,SMMLV!$A$2:$A$36,SMMLV!$D$2:$D$104),3))</f>
        <v/>
      </c>
      <c r="K578" s="758"/>
      <c r="L578" s="189">
        <v>3</v>
      </c>
      <c r="M578" s="759" t="str">
        <f t="shared" si="55"/>
        <v>NO APLICA</v>
      </c>
      <c r="N578" s="759"/>
    </row>
    <row r="579" spans="2:14">
      <c r="B579" s="182"/>
      <c r="C579" s="182"/>
      <c r="E579" s="183"/>
      <c r="F579" s="229" t="str">
        <f>IF(OR(D579="",E579=""),"",ROUND(D579/LOOKUP(E579,SMMLV!$A$2:$A$36,SMMLV!$D$2:$D$104),3))</f>
        <v/>
      </c>
      <c r="K579" s="758"/>
      <c r="L579" s="189">
        <v>4</v>
      </c>
      <c r="M579" s="759" t="str">
        <f t="shared" si="55"/>
        <v>NO APLICA</v>
      </c>
      <c r="N579" s="759"/>
    </row>
    <row r="580" spans="2:14">
      <c r="B580" s="182"/>
      <c r="C580" s="182"/>
      <c r="E580" s="183"/>
      <c r="F580" s="229" t="str">
        <f>IF(OR(D580="",E580=""),"",ROUND(D580/LOOKUP(E580,SMMLV!$A$2:$A$36,SMMLV!$D$2:$D$104),3))</f>
        <v/>
      </c>
      <c r="K580" s="758"/>
      <c r="L580" s="189">
        <v>5</v>
      </c>
      <c r="M580" s="759" t="str">
        <f t="shared" si="55"/>
        <v>NO APLICA</v>
      </c>
      <c r="N580" s="759"/>
    </row>
    <row r="581" spans="2:14">
      <c r="B581" s="182"/>
      <c r="C581" s="182"/>
      <c r="E581" s="183"/>
      <c r="F581" s="229" t="str">
        <f>IF(OR(D581="",E581=""),"",ROUND(D581/LOOKUP(E581,SMMLV!$A$2:$A$36,SMMLV!$D$2:$D$104),3))</f>
        <v/>
      </c>
      <c r="K581" s="758"/>
      <c r="L581" s="189">
        <v>6</v>
      </c>
      <c r="M581" s="759" t="str">
        <f t="shared" si="55"/>
        <v>NO APLICA</v>
      </c>
      <c r="N581" s="759"/>
    </row>
    <row r="582" spans="2:14">
      <c r="B582" s="182"/>
      <c r="C582" s="182"/>
      <c r="E582" s="183"/>
      <c r="F582" s="229" t="str">
        <f>IF(OR(D582="",E582=""),"",ROUND(D582/LOOKUP(E582,SMMLV!$A$2:$A$36,SMMLV!$D$2:$D$104),3))</f>
        <v/>
      </c>
      <c r="K582" s="758"/>
      <c r="L582" s="189">
        <v>7</v>
      </c>
      <c r="M582" s="759" t="str">
        <f t="shared" si="55"/>
        <v>NO APLICA</v>
      </c>
      <c r="N582" s="759"/>
    </row>
    <row r="583" spans="2:14">
      <c r="B583" s="182"/>
      <c r="C583" s="182"/>
      <c r="E583" s="183"/>
      <c r="F583" s="229" t="str">
        <f>IF(OR(D583="",E583=""),"",ROUND(D583/LOOKUP(E583,SMMLV!$A$2:$A$36,SMMLV!$D$2:$D$104),3))</f>
        <v/>
      </c>
      <c r="K583" s="758"/>
      <c r="L583" s="189">
        <v>8</v>
      </c>
      <c r="M583" s="759" t="str">
        <f t="shared" si="55"/>
        <v>NO APLICA</v>
      </c>
      <c r="N583" s="759"/>
    </row>
    <row r="584" spans="2:14">
      <c r="B584" s="182"/>
      <c r="C584" s="182"/>
      <c r="E584" s="183"/>
      <c r="F584" s="229" t="str">
        <f>IF(OR(D584="",E584=""),"",ROUND(D584/LOOKUP(E584,SMMLV!$A$2:$A$36,SMMLV!$D$2:$D$104),3))</f>
        <v/>
      </c>
      <c r="K584" s="758"/>
      <c r="L584" s="189">
        <v>9</v>
      </c>
      <c r="M584" s="759" t="str">
        <f t="shared" si="55"/>
        <v>NO APLICA</v>
      </c>
      <c r="N584" s="759"/>
    </row>
    <row r="585" spans="2:14">
      <c r="B585" s="182"/>
      <c r="C585" s="182"/>
      <c r="E585" s="183"/>
      <c r="F585" s="229" t="str">
        <f>IF(OR(D585="",E585=""),"",ROUND(D585/LOOKUP(E585,SMMLV!$A$2:$A$36,SMMLV!$D$2:$D$104),3))</f>
        <v/>
      </c>
      <c r="K585" s="758"/>
      <c r="L585" s="189">
        <v>10</v>
      </c>
      <c r="M585" s="759" t="str">
        <f t="shared" si="55"/>
        <v>NO APLICA</v>
      </c>
      <c r="N585" s="759"/>
    </row>
    <row r="586" spans="2:14">
      <c r="B586" s="182"/>
      <c r="C586" s="182"/>
      <c r="E586" s="183"/>
      <c r="F586" s="229" t="str">
        <f>IF(OR(D586="",E586=""),"",ROUND(D586/LOOKUP(E586,SMMLV!$A$2:$A$36,SMMLV!$D$2:$D$104),3))</f>
        <v/>
      </c>
      <c r="K586" s="758">
        <v>59</v>
      </c>
      <c r="L586" s="189">
        <v>1</v>
      </c>
      <c r="M586" s="759" t="str">
        <f t="shared" ref="M586:M595" si="56">IF(SUMIFS($F$5:$F$1200,$B$5:$B$1200,$K$586,$C$5:$C$1200,$L586)=0,"NO APLICA",ROUND(SUMIFS($F$5:$F$1200,$B$5:$B$1200,$K$586,$C$5:$C$1200,$L586),3))</f>
        <v>NO APLICA</v>
      </c>
      <c r="N586" s="759"/>
    </row>
    <row r="587" spans="2:14">
      <c r="B587" s="182"/>
      <c r="C587" s="182"/>
      <c r="E587" s="183"/>
      <c r="F587" s="229" t="str">
        <f>IF(OR(D587="",E587=""),"",ROUND(D587/LOOKUP(E587,SMMLV!$A$2:$A$36,SMMLV!$D$2:$D$104),3))</f>
        <v/>
      </c>
      <c r="K587" s="758"/>
      <c r="L587" s="189">
        <v>2</v>
      </c>
      <c r="M587" s="759" t="str">
        <f t="shared" si="56"/>
        <v>NO APLICA</v>
      </c>
      <c r="N587" s="759"/>
    </row>
    <row r="588" spans="2:14">
      <c r="B588" s="182"/>
      <c r="C588" s="182"/>
      <c r="E588" s="183"/>
      <c r="F588" s="229" t="str">
        <f>IF(OR(D588="",E588=""),"",ROUND(D588/LOOKUP(E588,SMMLV!$A$2:$A$36,SMMLV!$D$2:$D$104),3))</f>
        <v/>
      </c>
      <c r="K588" s="758"/>
      <c r="L588" s="189">
        <v>3</v>
      </c>
      <c r="M588" s="759" t="str">
        <f t="shared" si="56"/>
        <v>NO APLICA</v>
      </c>
      <c r="N588" s="759"/>
    </row>
    <row r="589" spans="2:14">
      <c r="B589" s="182"/>
      <c r="C589" s="182"/>
      <c r="E589" s="183"/>
      <c r="F589" s="229" t="str">
        <f>IF(OR(D589="",E589=""),"",ROUND(D589/LOOKUP(E589,SMMLV!$A$2:$A$36,SMMLV!$D$2:$D$104),3))</f>
        <v/>
      </c>
      <c r="K589" s="758"/>
      <c r="L589" s="189">
        <v>4</v>
      </c>
      <c r="M589" s="759" t="str">
        <f t="shared" si="56"/>
        <v>NO APLICA</v>
      </c>
      <c r="N589" s="759"/>
    </row>
    <row r="590" spans="2:14">
      <c r="B590" s="182"/>
      <c r="C590" s="182"/>
      <c r="E590" s="183"/>
      <c r="F590" s="229" t="str">
        <f>IF(OR(D590="",E590=""),"",ROUND(D590/LOOKUP(E590,SMMLV!$A$2:$A$36,SMMLV!$D$2:$D$104),3))</f>
        <v/>
      </c>
      <c r="K590" s="758"/>
      <c r="L590" s="189">
        <v>5</v>
      </c>
      <c r="M590" s="759" t="str">
        <f t="shared" si="56"/>
        <v>NO APLICA</v>
      </c>
      <c r="N590" s="759"/>
    </row>
    <row r="591" spans="2:14">
      <c r="B591" s="182"/>
      <c r="C591" s="182"/>
      <c r="E591" s="183"/>
      <c r="F591" s="229" t="str">
        <f>IF(OR(D591="",E591=""),"",ROUND(D591/LOOKUP(E591,SMMLV!$A$2:$A$36,SMMLV!$D$2:$D$104),3))</f>
        <v/>
      </c>
      <c r="K591" s="758"/>
      <c r="L591" s="189">
        <v>6</v>
      </c>
      <c r="M591" s="759" t="str">
        <f t="shared" si="56"/>
        <v>NO APLICA</v>
      </c>
      <c r="N591" s="759"/>
    </row>
    <row r="592" spans="2:14">
      <c r="B592" s="182"/>
      <c r="C592" s="182"/>
      <c r="E592" s="183"/>
      <c r="F592" s="229" t="str">
        <f>IF(OR(D592="",E592=""),"",ROUND(D592/LOOKUP(E592,SMMLV!$A$2:$A$36,SMMLV!$D$2:$D$104),3))</f>
        <v/>
      </c>
      <c r="K592" s="758"/>
      <c r="L592" s="189">
        <v>7</v>
      </c>
      <c r="M592" s="759" t="str">
        <f t="shared" si="56"/>
        <v>NO APLICA</v>
      </c>
      <c r="N592" s="759"/>
    </row>
    <row r="593" spans="2:14">
      <c r="B593" s="182"/>
      <c r="C593" s="182"/>
      <c r="E593" s="183"/>
      <c r="F593" s="229" t="str">
        <f>IF(OR(D593="",E593=""),"",ROUND(D593/LOOKUP(E593,SMMLV!$A$2:$A$36,SMMLV!$D$2:$D$104),3))</f>
        <v/>
      </c>
      <c r="K593" s="758"/>
      <c r="L593" s="189">
        <v>8</v>
      </c>
      <c r="M593" s="759" t="str">
        <f t="shared" si="56"/>
        <v>NO APLICA</v>
      </c>
      <c r="N593" s="759"/>
    </row>
    <row r="594" spans="2:14">
      <c r="B594" s="182"/>
      <c r="C594" s="182"/>
      <c r="E594" s="183"/>
      <c r="F594" s="229" t="str">
        <f>IF(OR(D594="",E594=""),"",ROUND(D594/LOOKUP(E594,SMMLV!$A$2:$A$36,SMMLV!$D$2:$D$104),3))</f>
        <v/>
      </c>
      <c r="K594" s="758"/>
      <c r="L594" s="189">
        <v>9</v>
      </c>
      <c r="M594" s="759" t="str">
        <f t="shared" si="56"/>
        <v>NO APLICA</v>
      </c>
      <c r="N594" s="759"/>
    </row>
    <row r="595" spans="2:14">
      <c r="B595" s="182"/>
      <c r="C595" s="182"/>
      <c r="E595" s="183"/>
      <c r="F595" s="229" t="str">
        <f>IF(OR(D595="",E595=""),"",ROUND(D595/LOOKUP(E595,SMMLV!$A$2:$A$36,SMMLV!$D$2:$D$104),3))</f>
        <v/>
      </c>
      <c r="K595" s="758"/>
      <c r="L595" s="189">
        <v>10</v>
      </c>
      <c r="M595" s="759" t="str">
        <f t="shared" si="56"/>
        <v>NO APLICA</v>
      </c>
      <c r="N595" s="759"/>
    </row>
    <row r="596" spans="2:14">
      <c r="B596" s="182"/>
      <c r="C596" s="182"/>
      <c r="E596" s="183"/>
      <c r="F596" s="229" t="str">
        <f>IF(OR(D596="",E596=""),"",ROUND(D596/LOOKUP(E596,SMMLV!$A$2:$A$36,SMMLV!$D$2:$D$104),3))</f>
        <v/>
      </c>
      <c r="K596" s="758">
        <v>60</v>
      </c>
      <c r="L596" s="189">
        <v>1</v>
      </c>
      <c r="M596" s="759" t="str">
        <f t="shared" ref="M596:M605" si="57">IF(SUMIFS($F$5:$F$1200,$B$5:$B$1200,$K$596,$C$5:$C$1200,$L596)=0,"NO APLICA",ROUND(SUMIFS($F$5:$F$1200,$B$5:$B$1200,$K$596,$C$5:$C$1200,$L596),3))</f>
        <v>NO APLICA</v>
      </c>
      <c r="N596" s="759"/>
    </row>
    <row r="597" spans="2:14">
      <c r="B597" s="182"/>
      <c r="C597" s="182"/>
      <c r="E597" s="183"/>
      <c r="F597" s="229" t="str">
        <f>IF(OR(D597="",E597=""),"",ROUND(D597/LOOKUP(E597,SMMLV!$A$2:$A$36,SMMLV!$D$2:$D$104),3))</f>
        <v/>
      </c>
      <c r="K597" s="758"/>
      <c r="L597" s="189">
        <v>2</v>
      </c>
      <c r="M597" s="759" t="str">
        <f t="shared" si="57"/>
        <v>NO APLICA</v>
      </c>
      <c r="N597" s="759"/>
    </row>
    <row r="598" spans="2:14">
      <c r="B598" s="182"/>
      <c r="C598" s="182"/>
      <c r="E598" s="183"/>
      <c r="F598" s="229" t="str">
        <f>IF(OR(D598="",E598=""),"",ROUND(D598/LOOKUP(E598,SMMLV!$A$2:$A$36,SMMLV!$D$2:$D$104),3))</f>
        <v/>
      </c>
      <c r="K598" s="758"/>
      <c r="L598" s="189">
        <v>3</v>
      </c>
      <c r="M598" s="759" t="str">
        <f t="shared" si="57"/>
        <v>NO APLICA</v>
      </c>
      <c r="N598" s="759"/>
    </row>
    <row r="599" spans="2:14">
      <c r="B599" s="182"/>
      <c r="C599" s="182"/>
      <c r="E599" s="183"/>
      <c r="F599" s="229" t="str">
        <f>IF(OR(D599="",E599=""),"",ROUND(D599/LOOKUP(E599,SMMLV!$A$2:$A$36,SMMLV!$D$2:$D$104),3))</f>
        <v/>
      </c>
      <c r="K599" s="758"/>
      <c r="L599" s="189">
        <v>4</v>
      </c>
      <c r="M599" s="759" t="str">
        <f t="shared" si="57"/>
        <v>NO APLICA</v>
      </c>
      <c r="N599" s="759"/>
    </row>
    <row r="600" spans="2:14">
      <c r="B600" s="182"/>
      <c r="C600" s="182"/>
      <c r="E600" s="183"/>
      <c r="F600" s="229" t="str">
        <f>IF(OR(D600="",E600=""),"",ROUND(D600/LOOKUP(E600,SMMLV!$A$2:$A$36,SMMLV!$D$2:$D$104),3))</f>
        <v/>
      </c>
      <c r="K600" s="758"/>
      <c r="L600" s="189">
        <v>5</v>
      </c>
      <c r="M600" s="759" t="str">
        <f t="shared" si="57"/>
        <v>NO APLICA</v>
      </c>
      <c r="N600" s="759"/>
    </row>
    <row r="601" spans="2:14">
      <c r="B601" s="182"/>
      <c r="C601" s="182"/>
      <c r="E601" s="183"/>
      <c r="F601" s="229" t="str">
        <f>IF(OR(D601="",E601=""),"",ROUND(D601/LOOKUP(E601,SMMLV!$A$2:$A$36,SMMLV!$D$2:$D$104),3))</f>
        <v/>
      </c>
      <c r="K601" s="758"/>
      <c r="L601" s="189">
        <v>6</v>
      </c>
      <c r="M601" s="759" t="str">
        <f t="shared" si="57"/>
        <v>NO APLICA</v>
      </c>
      <c r="N601" s="759"/>
    </row>
    <row r="602" spans="2:14">
      <c r="B602" s="182"/>
      <c r="C602" s="182"/>
      <c r="E602" s="183"/>
      <c r="F602" s="229" t="str">
        <f>IF(OR(D602="",E602=""),"",ROUND(D602/LOOKUP(E602,SMMLV!$A$2:$A$36,SMMLV!$D$2:$D$104),3))</f>
        <v/>
      </c>
      <c r="K602" s="758"/>
      <c r="L602" s="189">
        <v>7</v>
      </c>
      <c r="M602" s="759" t="str">
        <f t="shared" si="57"/>
        <v>NO APLICA</v>
      </c>
      <c r="N602" s="759"/>
    </row>
    <row r="603" spans="2:14">
      <c r="B603" s="182"/>
      <c r="C603" s="182"/>
      <c r="E603" s="183"/>
      <c r="F603" s="229" t="str">
        <f>IF(OR(D603="",E603=""),"",ROUND(D603/LOOKUP(E603,SMMLV!$A$2:$A$36,SMMLV!$D$2:$D$104),3))</f>
        <v/>
      </c>
      <c r="K603" s="758"/>
      <c r="L603" s="189">
        <v>8</v>
      </c>
      <c r="M603" s="759" t="str">
        <f t="shared" si="57"/>
        <v>NO APLICA</v>
      </c>
      <c r="N603" s="759"/>
    </row>
    <row r="604" spans="2:14">
      <c r="B604" s="182"/>
      <c r="C604" s="182"/>
      <c r="E604" s="183"/>
      <c r="F604" s="229" t="str">
        <f>IF(OR(D604="",E604=""),"",ROUND(D604/LOOKUP(E604,SMMLV!$A$2:$A$36,SMMLV!$D$2:$D$104),3))</f>
        <v/>
      </c>
      <c r="K604" s="758"/>
      <c r="L604" s="189">
        <v>9</v>
      </c>
      <c r="M604" s="759" t="str">
        <f t="shared" si="57"/>
        <v>NO APLICA</v>
      </c>
      <c r="N604" s="759"/>
    </row>
    <row r="605" spans="2:14">
      <c r="B605" s="182"/>
      <c r="C605" s="182"/>
      <c r="E605" s="183"/>
      <c r="F605" s="229" t="str">
        <f>IF(OR(D605="",E605=""),"",ROUND(D605/LOOKUP(E605,SMMLV!$A$2:$A$36,SMMLV!$D$2:$D$104),3))</f>
        <v/>
      </c>
      <c r="K605" s="758"/>
      <c r="L605" s="189">
        <v>10</v>
      </c>
      <c r="M605" s="759" t="str">
        <f t="shared" si="57"/>
        <v>NO APLICA</v>
      </c>
      <c r="N605" s="759"/>
    </row>
    <row r="606" spans="2:14">
      <c r="B606" s="182"/>
      <c r="C606" s="182"/>
      <c r="E606" s="183"/>
      <c r="F606" s="229" t="str">
        <f>IF(OR(D606="",E606=""),"",ROUND(D606/LOOKUP(E606,SMMLV!$A$2:$A$36,SMMLV!$D$2:$D$104),3))</f>
        <v/>
      </c>
      <c r="K606" s="758">
        <v>61</v>
      </c>
      <c r="L606" s="189">
        <v>1</v>
      </c>
      <c r="M606" s="759" t="str">
        <f t="shared" ref="M606:M615" si="58">IF(SUMIFS($F$5:$F$1200,$B$5:$B$1200,$K$606,$C$5:$C$1200,$L606)=0,"NO APLICA",ROUND(SUMIFS($F$5:$F$1200,$B$5:$B$1200,$K$606,$C$5:$C$1200,$L606),3))</f>
        <v>NO APLICA</v>
      </c>
      <c r="N606" s="759"/>
    </row>
    <row r="607" spans="2:14">
      <c r="B607" s="182"/>
      <c r="C607" s="182"/>
      <c r="E607" s="183"/>
      <c r="F607" s="229" t="str">
        <f>IF(OR(D607="",E607=""),"",ROUND(D607/LOOKUP(E607,SMMLV!$A$2:$A$36,SMMLV!$D$2:$D$104),3))</f>
        <v/>
      </c>
      <c r="K607" s="758"/>
      <c r="L607" s="189">
        <v>2</v>
      </c>
      <c r="M607" s="759" t="str">
        <f t="shared" si="58"/>
        <v>NO APLICA</v>
      </c>
      <c r="N607" s="759"/>
    </row>
    <row r="608" spans="2:14">
      <c r="B608" s="182"/>
      <c r="C608" s="182"/>
      <c r="E608" s="183"/>
      <c r="F608" s="229" t="str">
        <f>IF(OR(D608="",E608=""),"",ROUND(D608/LOOKUP(E608,SMMLV!$A$2:$A$36,SMMLV!$D$2:$D$104),3))</f>
        <v/>
      </c>
      <c r="K608" s="758"/>
      <c r="L608" s="189">
        <v>3</v>
      </c>
      <c r="M608" s="759" t="str">
        <f t="shared" si="58"/>
        <v>NO APLICA</v>
      </c>
      <c r="N608" s="759"/>
    </row>
    <row r="609" spans="2:14">
      <c r="B609" s="182"/>
      <c r="C609" s="182"/>
      <c r="E609" s="183"/>
      <c r="F609" s="229" t="str">
        <f>IF(OR(D609="",E609=""),"",ROUND(D609/LOOKUP(E609,SMMLV!$A$2:$A$36,SMMLV!$D$2:$D$104),3))</f>
        <v/>
      </c>
      <c r="K609" s="758"/>
      <c r="L609" s="189">
        <v>4</v>
      </c>
      <c r="M609" s="759" t="str">
        <f t="shared" si="58"/>
        <v>NO APLICA</v>
      </c>
      <c r="N609" s="759"/>
    </row>
    <row r="610" spans="2:14">
      <c r="B610" s="182"/>
      <c r="C610" s="182"/>
      <c r="E610" s="183"/>
      <c r="F610" s="229" t="str">
        <f>IF(OR(D610="",E610=""),"",ROUND(D610/LOOKUP(E610,SMMLV!$A$2:$A$36,SMMLV!$D$2:$D$104),3))</f>
        <v/>
      </c>
      <c r="K610" s="758"/>
      <c r="L610" s="189">
        <v>5</v>
      </c>
      <c r="M610" s="759" t="str">
        <f t="shared" si="58"/>
        <v>NO APLICA</v>
      </c>
      <c r="N610" s="759"/>
    </row>
    <row r="611" spans="2:14">
      <c r="B611" s="182"/>
      <c r="C611" s="182"/>
      <c r="E611" s="183"/>
      <c r="F611" s="229" t="str">
        <f>IF(OR(D611="",E611=""),"",ROUND(D611/LOOKUP(E611,SMMLV!$A$2:$A$36,SMMLV!$D$2:$D$104),3))</f>
        <v/>
      </c>
      <c r="K611" s="758"/>
      <c r="L611" s="189">
        <v>6</v>
      </c>
      <c r="M611" s="759" t="str">
        <f t="shared" si="58"/>
        <v>NO APLICA</v>
      </c>
      <c r="N611" s="759"/>
    </row>
    <row r="612" spans="2:14">
      <c r="B612" s="182"/>
      <c r="C612" s="182"/>
      <c r="E612" s="183"/>
      <c r="F612" s="229" t="str">
        <f>IF(OR(D612="",E612=""),"",ROUND(D612/LOOKUP(E612,SMMLV!$A$2:$A$36,SMMLV!$D$2:$D$104),3))</f>
        <v/>
      </c>
      <c r="K612" s="758"/>
      <c r="L612" s="189">
        <v>7</v>
      </c>
      <c r="M612" s="759" t="str">
        <f t="shared" si="58"/>
        <v>NO APLICA</v>
      </c>
      <c r="N612" s="759"/>
    </row>
    <row r="613" spans="2:14">
      <c r="B613" s="182"/>
      <c r="C613" s="182"/>
      <c r="E613" s="183"/>
      <c r="F613" s="229" t="str">
        <f>IF(OR(D613="",E613=""),"",ROUND(D613/LOOKUP(E613,SMMLV!$A$2:$A$36,SMMLV!$D$2:$D$104),3))</f>
        <v/>
      </c>
      <c r="K613" s="758"/>
      <c r="L613" s="189">
        <v>8</v>
      </c>
      <c r="M613" s="759" t="str">
        <f t="shared" si="58"/>
        <v>NO APLICA</v>
      </c>
      <c r="N613" s="759"/>
    </row>
    <row r="614" spans="2:14">
      <c r="B614" s="182"/>
      <c r="C614" s="182"/>
      <c r="E614" s="183"/>
      <c r="F614" s="229" t="str">
        <f>IF(OR(D614="",E614=""),"",ROUND(D614/LOOKUP(E614,SMMLV!$A$2:$A$36,SMMLV!$D$2:$D$104),3))</f>
        <v/>
      </c>
      <c r="K614" s="758"/>
      <c r="L614" s="189">
        <v>9</v>
      </c>
      <c r="M614" s="759" t="str">
        <f t="shared" si="58"/>
        <v>NO APLICA</v>
      </c>
      <c r="N614" s="759"/>
    </row>
    <row r="615" spans="2:14">
      <c r="B615" s="182"/>
      <c r="C615" s="182"/>
      <c r="E615" s="183"/>
      <c r="F615" s="229" t="str">
        <f>IF(OR(D615="",E615=""),"",ROUND(D615/LOOKUP(E615,SMMLV!$A$2:$A$36,SMMLV!$D$2:$D$104),3))</f>
        <v/>
      </c>
      <c r="K615" s="758"/>
      <c r="L615" s="189">
        <v>10</v>
      </c>
      <c r="M615" s="759" t="str">
        <f t="shared" si="58"/>
        <v>NO APLICA</v>
      </c>
      <c r="N615" s="759"/>
    </row>
    <row r="616" spans="2:14">
      <c r="B616" s="182"/>
      <c r="C616" s="182"/>
      <c r="E616" s="183"/>
      <c r="F616" s="229" t="str">
        <f>IF(OR(D616="",E616=""),"",ROUND(D616/LOOKUP(E616,SMMLV!$A$2:$A$36,SMMLV!$D$2:$D$104),3))</f>
        <v/>
      </c>
      <c r="K616" s="758">
        <v>62</v>
      </c>
      <c r="L616" s="189">
        <v>1</v>
      </c>
      <c r="M616" s="759" t="str">
        <f t="shared" ref="M616:M625" si="59">IF(SUMIFS($F$5:$F$1200,$B$5:$B$1200,$K$616,$C$5:$C$1200,$L616)=0,"NO APLICA",ROUND(SUMIFS($F$5:$F$1200,$B$5:$B$1200,$K$616,$C$5:$C$1200,$L616),3))</f>
        <v>NO APLICA</v>
      </c>
      <c r="N616" s="759"/>
    </row>
    <row r="617" spans="2:14">
      <c r="B617" s="182"/>
      <c r="C617" s="182"/>
      <c r="E617" s="183"/>
      <c r="F617" s="229" t="str">
        <f>IF(OR(D617="",E617=""),"",ROUND(D617/LOOKUP(E617,SMMLV!$A$2:$A$36,SMMLV!$D$2:$D$104),3))</f>
        <v/>
      </c>
      <c r="K617" s="758"/>
      <c r="L617" s="189">
        <v>2</v>
      </c>
      <c r="M617" s="759" t="str">
        <f t="shared" si="59"/>
        <v>NO APLICA</v>
      </c>
      <c r="N617" s="759"/>
    </row>
    <row r="618" spans="2:14">
      <c r="B618" s="182"/>
      <c r="C618" s="182"/>
      <c r="E618" s="183"/>
      <c r="F618" s="229" t="str">
        <f>IF(OR(D618="",E618=""),"",ROUND(D618/LOOKUP(E618,SMMLV!$A$2:$A$36,SMMLV!$D$2:$D$104),3))</f>
        <v/>
      </c>
      <c r="K618" s="758"/>
      <c r="L618" s="189">
        <v>3</v>
      </c>
      <c r="M618" s="759" t="str">
        <f t="shared" si="59"/>
        <v>NO APLICA</v>
      </c>
      <c r="N618" s="759"/>
    </row>
    <row r="619" spans="2:14">
      <c r="B619" s="182"/>
      <c r="C619" s="182"/>
      <c r="E619" s="183"/>
      <c r="F619" s="229" t="str">
        <f>IF(OR(D619="",E619=""),"",ROUND(D619/LOOKUP(E619,SMMLV!$A$2:$A$36,SMMLV!$D$2:$D$104),3))</f>
        <v/>
      </c>
      <c r="K619" s="758"/>
      <c r="L619" s="189">
        <v>4</v>
      </c>
      <c r="M619" s="759" t="str">
        <f t="shared" si="59"/>
        <v>NO APLICA</v>
      </c>
      <c r="N619" s="759"/>
    </row>
    <row r="620" spans="2:14">
      <c r="B620" s="182"/>
      <c r="C620" s="182"/>
      <c r="E620" s="183"/>
      <c r="F620" s="229" t="str">
        <f>IF(OR(D620="",E620=""),"",ROUND(D620/LOOKUP(E620,SMMLV!$A$2:$A$36,SMMLV!$D$2:$D$104),3))</f>
        <v/>
      </c>
      <c r="K620" s="758"/>
      <c r="L620" s="189">
        <v>5</v>
      </c>
      <c r="M620" s="759" t="str">
        <f t="shared" si="59"/>
        <v>NO APLICA</v>
      </c>
      <c r="N620" s="759"/>
    </row>
    <row r="621" spans="2:14">
      <c r="B621" s="182"/>
      <c r="C621" s="182"/>
      <c r="E621" s="183"/>
      <c r="F621" s="229" t="str">
        <f>IF(OR(D621="",E621=""),"",ROUND(D621/LOOKUP(E621,SMMLV!$A$2:$A$36,SMMLV!$D$2:$D$104),3))</f>
        <v/>
      </c>
      <c r="K621" s="758"/>
      <c r="L621" s="189">
        <v>6</v>
      </c>
      <c r="M621" s="759" t="str">
        <f t="shared" si="59"/>
        <v>NO APLICA</v>
      </c>
      <c r="N621" s="759"/>
    </row>
    <row r="622" spans="2:14">
      <c r="B622" s="182"/>
      <c r="C622" s="182"/>
      <c r="E622" s="183"/>
      <c r="F622" s="229" t="str">
        <f>IF(OR(D622="",E622=""),"",ROUND(D622/LOOKUP(E622,SMMLV!$A$2:$A$36,SMMLV!$D$2:$D$104),3))</f>
        <v/>
      </c>
      <c r="K622" s="758"/>
      <c r="L622" s="189">
        <v>7</v>
      </c>
      <c r="M622" s="759" t="str">
        <f t="shared" si="59"/>
        <v>NO APLICA</v>
      </c>
      <c r="N622" s="759"/>
    </row>
    <row r="623" spans="2:14">
      <c r="B623" s="182"/>
      <c r="C623" s="182"/>
      <c r="E623" s="183"/>
      <c r="F623" s="229" t="str">
        <f>IF(OR(D623="",E623=""),"",ROUND(D623/LOOKUP(E623,SMMLV!$A$2:$A$36,SMMLV!$D$2:$D$104),3))</f>
        <v/>
      </c>
      <c r="K623" s="758"/>
      <c r="L623" s="189">
        <v>8</v>
      </c>
      <c r="M623" s="759" t="str">
        <f t="shared" si="59"/>
        <v>NO APLICA</v>
      </c>
      <c r="N623" s="759"/>
    </row>
    <row r="624" spans="2:14">
      <c r="B624" s="182"/>
      <c r="C624" s="182"/>
      <c r="E624" s="183"/>
      <c r="F624" s="229" t="str">
        <f>IF(OR(D624="",E624=""),"",ROUND(D624/LOOKUP(E624,SMMLV!$A$2:$A$36,SMMLV!$D$2:$D$104),3))</f>
        <v/>
      </c>
      <c r="K624" s="758"/>
      <c r="L624" s="189">
        <v>9</v>
      </c>
      <c r="M624" s="759" t="str">
        <f t="shared" si="59"/>
        <v>NO APLICA</v>
      </c>
      <c r="N624" s="759"/>
    </row>
    <row r="625" spans="2:14">
      <c r="B625" s="182"/>
      <c r="C625" s="182"/>
      <c r="E625" s="183"/>
      <c r="F625" s="229" t="str">
        <f>IF(OR(D625="",E625=""),"",ROUND(D625/LOOKUP(E625,SMMLV!$A$2:$A$36,SMMLV!$D$2:$D$104),3))</f>
        <v/>
      </c>
      <c r="K625" s="758"/>
      <c r="L625" s="189">
        <v>10</v>
      </c>
      <c r="M625" s="759" t="str">
        <f t="shared" si="59"/>
        <v>NO APLICA</v>
      </c>
      <c r="N625" s="759"/>
    </row>
    <row r="626" spans="2:14">
      <c r="B626" s="182"/>
      <c r="C626" s="182"/>
      <c r="E626" s="183"/>
      <c r="F626" s="229" t="str">
        <f>IF(OR(D626="",E626=""),"",ROUND(D626/LOOKUP(E626,SMMLV!$A$2:$A$36,SMMLV!$D$2:$D$104),3))</f>
        <v/>
      </c>
      <c r="K626" s="758">
        <v>63</v>
      </c>
      <c r="L626" s="189">
        <v>1</v>
      </c>
      <c r="M626" s="759" t="str">
        <f t="shared" ref="M626:M635" si="60">IF(SUMIFS($F$5:$F$1200,$B$5:$B$1200,$K$626,$C$5:$C$1200,$L626)=0,"NO APLICA",ROUND(SUMIFS($F$5:$F$1200,$B$5:$B$1200,$K$626,$C$5:$C$1200,$L626),3))</f>
        <v>NO APLICA</v>
      </c>
      <c r="N626" s="759"/>
    </row>
    <row r="627" spans="2:14">
      <c r="B627" s="182"/>
      <c r="C627" s="182"/>
      <c r="E627" s="183"/>
      <c r="F627" s="229" t="str">
        <f>IF(OR(D627="",E627=""),"",ROUND(D627/LOOKUP(E627,SMMLV!$A$2:$A$36,SMMLV!$D$2:$D$104),3))</f>
        <v/>
      </c>
      <c r="K627" s="758"/>
      <c r="L627" s="189">
        <v>2</v>
      </c>
      <c r="M627" s="759" t="str">
        <f t="shared" si="60"/>
        <v>NO APLICA</v>
      </c>
      <c r="N627" s="759"/>
    </row>
    <row r="628" spans="2:14">
      <c r="B628" s="182"/>
      <c r="C628" s="182"/>
      <c r="E628" s="183"/>
      <c r="F628" s="229" t="str">
        <f>IF(OR(D628="",E628=""),"",ROUND(D628/LOOKUP(E628,SMMLV!$A$2:$A$36,SMMLV!$D$2:$D$104),3))</f>
        <v/>
      </c>
      <c r="K628" s="758"/>
      <c r="L628" s="189">
        <v>3</v>
      </c>
      <c r="M628" s="759" t="str">
        <f t="shared" si="60"/>
        <v>NO APLICA</v>
      </c>
      <c r="N628" s="759"/>
    </row>
    <row r="629" spans="2:14">
      <c r="B629" s="182"/>
      <c r="C629" s="182"/>
      <c r="E629" s="183"/>
      <c r="F629" s="229" t="str">
        <f>IF(OR(D629="",E629=""),"",ROUND(D629/LOOKUP(E629,SMMLV!$A$2:$A$36,SMMLV!$D$2:$D$104),3))</f>
        <v/>
      </c>
      <c r="K629" s="758"/>
      <c r="L629" s="189">
        <v>4</v>
      </c>
      <c r="M629" s="759" t="str">
        <f t="shared" si="60"/>
        <v>NO APLICA</v>
      </c>
      <c r="N629" s="759"/>
    </row>
    <row r="630" spans="2:14">
      <c r="B630" s="182"/>
      <c r="C630" s="182"/>
      <c r="E630" s="183"/>
      <c r="F630" s="229" t="str">
        <f>IF(OR(D630="",E630=""),"",ROUND(D630/LOOKUP(E630,SMMLV!$A$2:$A$36,SMMLV!$D$2:$D$104),3))</f>
        <v/>
      </c>
      <c r="K630" s="758"/>
      <c r="L630" s="189">
        <v>5</v>
      </c>
      <c r="M630" s="759" t="str">
        <f t="shared" si="60"/>
        <v>NO APLICA</v>
      </c>
      <c r="N630" s="759"/>
    </row>
    <row r="631" spans="2:14">
      <c r="B631" s="182"/>
      <c r="C631" s="182"/>
      <c r="E631" s="183"/>
      <c r="F631" s="229" t="str">
        <f>IF(OR(D631="",E631=""),"",ROUND(D631/LOOKUP(E631,SMMLV!$A$2:$A$36,SMMLV!$D$2:$D$104),3))</f>
        <v/>
      </c>
      <c r="K631" s="758"/>
      <c r="L631" s="189">
        <v>6</v>
      </c>
      <c r="M631" s="759" t="str">
        <f t="shared" si="60"/>
        <v>NO APLICA</v>
      </c>
      <c r="N631" s="759"/>
    </row>
    <row r="632" spans="2:14">
      <c r="B632" s="182"/>
      <c r="C632" s="182"/>
      <c r="E632" s="183"/>
      <c r="F632" s="229" t="str">
        <f>IF(OR(D632="",E632=""),"",ROUND(D632/LOOKUP(E632,SMMLV!$A$2:$A$36,SMMLV!$D$2:$D$104),3))</f>
        <v/>
      </c>
      <c r="K632" s="758"/>
      <c r="L632" s="189">
        <v>7</v>
      </c>
      <c r="M632" s="759" t="str">
        <f t="shared" si="60"/>
        <v>NO APLICA</v>
      </c>
      <c r="N632" s="759"/>
    </row>
    <row r="633" spans="2:14">
      <c r="B633" s="182"/>
      <c r="C633" s="182"/>
      <c r="E633" s="183"/>
      <c r="F633" s="229" t="str">
        <f>IF(OR(D633="",E633=""),"",ROUND(D633/LOOKUP(E633,SMMLV!$A$2:$A$36,SMMLV!$D$2:$D$104),3))</f>
        <v/>
      </c>
      <c r="K633" s="758"/>
      <c r="L633" s="189">
        <v>8</v>
      </c>
      <c r="M633" s="759" t="str">
        <f t="shared" si="60"/>
        <v>NO APLICA</v>
      </c>
      <c r="N633" s="759"/>
    </row>
    <row r="634" spans="2:14">
      <c r="B634" s="182"/>
      <c r="C634" s="182"/>
      <c r="E634" s="183"/>
      <c r="F634" s="229" t="str">
        <f>IF(OR(D634="",E634=""),"",ROUND(D634/LOOKUP(E634,SMMLV!$A$2:$A$36,SMMLV!$D$2:$D$104),3))</f>
        <v/>
      </c>
      <c r="K634" s="758"/>
      <c r="L634" s="189">
        <v>9</v>
      </c>
      <c r="M634" s="759" t="str">
        <f t="shared" si="60"/>
        <v>NO APLICA</v>
      </c>
      <c r="N634" s="759"/>
    </row>
    <row r="635" spans="2:14">
      <c r="B635" s="182"/>
      <c r="C635" s="182"/>
      <c r="E635" s="183"/>
      <c r="F635" s="229" t="str">
        <f>IF(OR(D635="",E635=""),"",ROUND(D635/LOOKUP(E635,SMMLV!$A$2:$A$36,SMMLV!$D$2:$D$104),3))</f>
        <v/>
      </c>
      <c r="K635" s="758"/>
      <c r="L635" s="189">
        <v>10</v>
      </c>
      <c r="M635" s="759" t="str">
        <f t="shared" si="60"/>
        <v>NO APLICA</v>
      </c>
      <c r="N635" s="759"/>
    </row>
    <row r="636" spans="2:14">
      <c r="B636" s="182"/>
      <c r="C636" s="182"/>
      <c r="E636" s="183"/>
      <c r="F636" s="229" t="str">
        <f>IF(OR(D636="",E636=""),"",ROUND(D636/LOOKUP(E636,SMMLV!$A$2:$A$36,SMMLV!$D$2:$D$104),3))</f>
        <v/>
      </c>
      <c r="K636" s="758">
        <v>64</v>
      </c>
      <c r="L636" s="189">
        <v>1</v>
      </c>
      <c r="M636" s="759" t="str">
        <f t="shared" ref="M636:M645" si="61">IF(SUMIFS($F$5:$F$1200,$B$5:$B$1200,$K$636,$C$5:$C$1200,$L636)=0,"NO APLICA",ROUND(SUMIFS($F$5:$F$1200,$B$5:$B$1200,$K$636,$C$5:$C$1200,$L636),3))</f>
        <v>NO APLICA</v>
      </c>
      <c r="N636" s="759"/>
    </row>
    <row r="637" spans="2:14">
      <c r="B637" s="182"/>
      <c r="C637" s="182"/>
      <c r="E637" s="183"/>
      <c r="F637" s="229" t="str">
        <f>IF(OR(D637="",E637=""),"",ROUND(D637/LOOKUP(E637,SMMLV!$A$2:$A$36,SMMLV!$D$2:$D$104),3))</f>
        <v/>
      </c>
      <c r="K637" s="758"/>
      <c r="L637" s="189">
        <v>2</v>
      </c>
      <c r="M637" s="759" t="str">
        <f t="shared" si="61"/>
        <v>NO APLICA</v>
      </c>
      <c r="N637" s="759"/>
    </row>
    <row r="638" spans="2:14">
      <c r="B638" s="182"/>
      <c r="C638" s="182"/>
      <c r="E638" s="183"/>
      <c r="F638" s="229" t="str">
        <f>IF(OR(D638="",E638=""),"",ROUND(D638/LOOKUP(E638,SMMLV!$A$2:$A$36,SMMLV!$D$2:$D$104),3))</f>
        <v/>
      </c>
      <c r="K638" s="758"/>
      <c r="L638" s="189">
        <v>3</v>
      </c>
      <c r="M638" s="759" t="str">
        <f t="shared" si="61"/>
        <v>NO APLICA</v>
      </c>
      <c r="N638" s="759"/>
    </row>
    <row r="639" spans="2:14">
      <c r="B639" s="182"/>
      <c r="C639" s="182"/>
      <c r="E639" s="183"/>
      <c r="F639" s="229" t="str">
        <f>IF(OR(D639="",E639=""),"",ROUND(D639/LOOKUP(E639,SMMLV!$A$2:$A$36,SMMLV!$D$2:$D$104),3))</f>
        <v/>
      </c>
      <c r="K639" s="758"/>
      <c r="L639" s="189">
        <v>4</v>
      </c>
      <c r="M639" s="759" t="str">
        <f t="shared" si="61"/>
        <v>NO APLICA</v>
      </c>
      <c r="N639" s="759"/>
    </row>
    <row r="640" spans="2:14">
      <c r="B640" s="182"/>
      <c r="C640" s="182"/>
      <c r="E640" s="183"/>
      <c r="F640" s="229" t="str">
        <f>IF(OR(D640="",E640=""),"",ROUND(D640/LOOKUP(E640,SMMLV!$A$2:$A$36,SMMLV!$D$2:$D$104),3))</f>
        <v/>
      </c>
      <c r="K640" s="758"/>
      <c r="L640" s="189">
        <v>5</v>
      </c>
      <c r="M640" s="759" t="str">
        <f t="shared" si="61"/>
        <v>NO APLICA</v>
      </c>
      <c r="N640" s="759"/>
    </row>
    <row r="641" spans="2:14">
      <c r="B641" s="182"/>
      <c r="C641" s="182"/>
      <c r="E641" s="183"/>
      <c r="F641" s="229" t="str">
        <f>IF(OR(D641="",E641=""),"",ROUND(D641/LOOKUP(E641,SMMLV!$A$2:$A$36,SMMLV!$D$2:$D$104),3))</f>
        <v/>
      </c>
      <c r="K641" s="758"/>
      <c r="L641" s="189">
        <v>6</v>
      </c>
      <c r="M641" s="759" t="str">
        <f t="shared" si="61"/>
        <v>NO APLICA</v>
      </c>
      <c r="N641" s="759"/>
    </row>
    <row r="642" spans="2:14">
      <c r="B642" s="182"/>
      <c r="C642" s="182"/>
      <c r="E642" s="183"/>
      <c r="F642" s="229" t="str">
        <f>IF(OR(D642="",E642=""),"",ROUND(D642/LOOKUP(E642,SMMLV!$A$2:$A$36,SMMLV!$D$2:$D$104),3))</f>
        <v/>
      </c>
      <c r="K642" s="758"/>
      <c r="L642" s="189">
        <v>7</v>
      </c>
      <c r="M642" s="759" t="str">
        <f t="shared" si="61"/>
        <v>NO APLICA</v>
      </c>
      <c r="N642" s="759"/>
    </row>
    <row r="643" spans="2:14">
      <c r="B643" s="182"/>
      <c r="C643" s="182"/>
      <c r="E643" s="183"/>
      <c r="F643" s="229" t="str">
        <f>IF(OR(D643="",E643=""),"",ROUND(D643/LOOKUP(E643,SMMLV!$A$2:$A$36,SMMLV!$D$2:$D$104),3))</f>
        <v/>
      </c>
      <c r="K643" s="758"/>
      <c r="L643" s="189">
        <v>8</v>
      </c>
      <c r="M643" s="759" t="str">
        <f t="shared" si="61"/>
        <v>NO APLICA</v>
      </c>
      <c r="N643" s="759"/>
    </row>
    <row r="644" spans="2:14">
      <c r="B644" s="182"/>
      <c r="C644" s="182"/>
      <c r="E644" s="183"/>
      <c r="F644" s="229" t="str">
        <f>IF(OR(D644="",E644=""),"",ROUND(D644/LOOKUP(E644,SMMLV!$A$2:$A$36,SMMLV!$D$2:$D$104),3))</f>
        <v/>
      </c>
      <c r="K644" s="758"/>
      <c r="L644" s="189">
        <v>9</v>
      </c>
      <c r="M644" s="759" t="str">
        <f t="shared" si="61"/>
        <v>NO APLICA</v>
      </c>
      <c r="N644" s="759"/>
    </row>
    <row r="645" spans="2:14">
      <c r="B645" s="182"/>
      <c r="C645" s="182"/>
      <c r="E645" s="183"/>
      <c r="F645" s="229" t="str">
        <f>IF(OR(D645="",E645=""),"",ROUND(D645/LOOKUP(E645,SMMLV!$A$2:$A$36,SMMLV!$D$2:$D$104),3))</f>
        <v/>
      </c>
      <c r="K645" s="758"/>
      <c r="L645" s="189">
        <v>10</v>
      </c>
      <c r="M645" s="759" t="str">
        <f t="shared" si="61"/>
        <v>NO APLICA</v>
      </c>
      <c r="N645" s="759"/>
    </row>
    <row r="646" spans="2:14">
      <c r="B646" s="182"/>
      <c r="C646" s="182"/>
      <c r="E646" s="183"/>
      <c r="F646" s="229" t="str">
        <f>IF(OR(D646="",E646=""),"",ROUND(D646/LOOKUP(E646,SMMLV!$A$2:$A$36,SMMLV!$D$2:$D$104),3))</f>
        <v/>
      </c>
      <c r="K646" s="758">
        <v>65</v>
      </c>
      <c r="L646" s="189">
        <v>1</v>
      </c>
      <c r="M646" s="759" t="str">
        <f t="shared" ref="M646:M655" si="62">IF(SUMIFS($F$5:$F$1200,$B$5:$B$1200,$K$646,$C$5:$C$1200,$L646)=0,"NO APLICA",ROUND(SUMIFS($F$5:$F$1200,$B$5:$B$1200,$K$646,$C$5:$C$1200,$L646),3))</f>
        <v>NO APLICA</v>
      </c>
      <c r="N646" s="759"/>
    </row>
    <row r="647" spans="2:14">
      <c r="B647" s="182"/>
      <c r="C647" s="182"/>
      <c r="E647" s="183"/>
      <c r="F647" s="229" t="str">
        <f>IF(OR(D647="",E647=""),"",ROUND(D647/LOOKUP(E647,SMMLV!$A$2:$A$36,SMMLV!$D$2:$D$104),3))</f>
        <v/>
      </c>
      <c r="K647" s="758"/>
      <c r="L647" s="189">
        <v>2</v>
      </c>
      <c r="M647" s="759" t="str">
        <f t="shared" si="62"/>
        <v>NO APLICA</v>
      </c>
      <c r="N647" s="759"/>
    </row>
    <row r="648" spans="2:14">
      <c r="B648" s="182"/>
      <c r="C648" s="182"/>
      <c r="E648" s="183"/>
      <c r="F648" s="229" t="str">
        <f>IF(OR(D648="",E648=""),"",ROUND(D648/LOOKUP(E648,SMMLV!$A$2:$A$36,SMMLV!$D$2:$D$104),3))</f>
        <v/>
      </c>
      <c r="K648" s="758"/>
      <c r="L648" s="189">
        <v>3</v>
      </c>
      <c r="M648" s="759" t="str">
        <f t="shared" si="62"/>
        <v>NO APLICA</v>
      </c>
      <c r="N648" s="759"/>
    </row>
    <row r="649" spans="2:14">
      <c r="B649" s="182"/>
      <c r="C649" s="182"/>
      <c r="E649" s="183"/>
      <c r="F649" s="229" t="str">
        <f>IF(OR(D649="",E649=""),"",ROUND(D649/LOOKUP(E649,SMMLV!$A$2:$A$36,SMMLV!$D$2:$D$104),3))</f>
        <v/>
      </c>
      <c r="K649" s="758"/>
      <c r="L649" s="189">
        <v>4</v>
      </c>
      <c r="M649" s="759" t="str">
        <f t="shared" si="62"/>
        <v>NO APLICA</v>
      </c>
      <c r="N649" s="759"/>
    </row>
    <row r="650" spans="2:14">
      <c r="B650" s="182"/>
      <c r="C650" s="182"/>
      <c r="E650" s="183"/>
      <c r="F650" s="229" t="str">
        <f>IF(OR(D650="",E650=""),"",ROUND(D650/LOOKUP(E650,SMMLV!$A$2:$A$36,SMMLV!$D$2:$D$104),3))</f>
        <v/>
      </c>
      <c r="K650" s="758"/>
      <c r="L650" s="189">
        <v>5</v>
      </c>
      <c r="M650" s="759" t="str">
        <f t="shared" si="62"/>
        <v>NO APLICA</v>
      </c>
      <c r="N650" s="759"/>
    </row>
    <row r="651" spans="2:14">
      <c r="B651" s="182"/>
      <c r="C651" s="182"/>
      <c r="E651" s="183"/>
      <c r="F651" s="229" t="str">
        <f>IF(OR(D651="",E651=""),"",ROUND(D651/LOOKUP(E651,SMMLV!$A$2:$A$36,SMMLV!$D$2:$D$104),3))</f>
        <v/>
      </c>
      <c r="K651" s="758"/>
      <c r="L651" s="189">
        <v>6</v>
      </c>
      <c r="M651" s="759" t="str">
        <f t="shared" si="62"/>
        <v>NO APLICA</v>
      </c>
      <c r="N651" s="759"/>
    </row>
    <row r="652" spans="2:14">
      <c r="B652" s="182"/>
      <c r="C652" s="182"/>
      <c r="E652" s="183"/>
      <c r="F652" s="229" t="str">
        <f>IF(OR(D652="",E652=""),"",ROUND(D652/LOOKUP(E652,SMMLV!$A$2:$A$36,SMMLV!$D$2:$D$104),3))</f>
        <v/>
      </c>
      <c r="K652" s="758"/>
      <c r="L652" s="189">
        <v>7</v>
      </c>
      <c r="M652" s="759" t="str">
        <f t="shared" si="62"/>
        <v>NO APLICA</v>
      </c>
      <c r="N652" s="759"/>
    </row>
    <row r="653" spans="2:14">
      <c r="B653" s="182"/>
      <c r="C653" s="182"/>
      <c r="E653" s="183"/>
      <c r="F653" s="229" t="str">
        <f>IF(OR(D653="",E653=""),"",ROUND(D653/LOOKUP(E653,SMMLV!$A$2:$A$36,SMMLV!$D$2:$D$104),3))</f>
        <v/>
      </c>
      <c r="K653" s="758"/>
      <c r="L653" s="189">
        <v>8</v>
      </c>
      <c r="M653" s="759" t="str">
        <f t="shared" si="62"/>
        <v>NO APLICA</v>
      </c>
      <c r="N653" s="759"/>
    </row>
    <row r="654" spans="2:14">
      <c r="B654" s="182"/>
      <c r="C654" s="182"/>
      <c r="E654" s="183"/>
      <c r="F654" s="229" t="str">
        <f>IF(OR(D654="",E654=""),"",ROUND(D654/LOOKUP(E654,SMMLV!$A$2:$A$36,SMMLV!$D$2:$D$104),3))</f>
        <v/>
      </c>
      <c r="K654" s="758"/>
      <c r="L654" s="189">
        <v>9</v>
      </c>
      <c r="M654" s="759" t="str">
        <f t="shared" si="62"/>
        <v>NO APLICA</v>
      </c>
      <c r="N654" s="759"/>
    </row>
    <row r="655" spans="2:14">
      <c r="B655" s="182"/>
      <c r="C655" s="182"/>
      <c r="E655" s="183"/>
      <c r="F655" s="229" t="str">
        <f>IF(OR(D655="",E655=""),"",ROUND(D655/LOOKUP(E655,SMMLV!$A$2:$A$36,SMMLV!$D$2:$D$104),3))</f>
        <v/>
      </c>
      <c r="K655" s="758"/>
      <c r="L655" s="189">
        <v>10</v>
      </c>
      <c r="M655" s="759" t="str">
        <f t="shared" si="62"/>
        <v>NO APLICA</v>
      </c>
      <c r="N655" s="759"/>
    </row>
    <row r="656" spans="2:14">
      <c r="B656" s="182"/>
      <c r="C656" s="182"/>
      <c r="E656" s="183"/>
      <c r="F656" s="229" t="str">
        <f>IF(OR(D656="",E656=""),"",ROUND(D656/LOOKUP(E656,SMMLV!$A$2:$A$36,SMMLV!$D$2:$D$104),3))</f>
        <v/>
      </c>
      <c r="K656" s="758">
        <v>66</v>
      </c>
      <c r="L656" s="189">
        <v>1</v>
      </c>
      <c r="M656" s="759" t="str">
        <f t="shared" ref="M656:M665" si="63">IF(SUMIFS($F$5:$F$1200,$B$5:$B$1200,$K$656,$C$5:$C$1200,$L656)=0,"NO APLICA",ROUND(SUMIFS($F$5:$F$1200,$B$5:$B$1200,$K$656,$C$5:$C$1200,$L656),3))</f>
        <v>NO APLICA</v>
      </c>
      <c r="N656" s="759"/>
    </row>
    <row r="657" spans="2:14">
      <c r="B657" s="182"/>
      <c r="C657" s="182"/>
      <c r="E657" s="183"/>
      <c r="F657" s="229" t="str">
        <f>IF(OR(D657="",E657=""),"",ROUND(D657/LOOKUP(E657,SMMLV!$A$2:$A$36,SMMLV!$D$2:$D$104),3))</f>
        <v/>
      </c>
      <c r="K657" s="758"/>
      <c r="L657" s="189">
        <v>2</v>
      </c>
      <c r="M657" s="759" t="str">
        <f t="shared" si="63"/>
        <v>NO APLICA</v>
      </c>
      <c r="N657" s="759"/>
    </row>
    <row r="658" spans="2:14">
      <c r="B658" s="182"/>
      <c r="C658" s="182"/>
      <c r="E658" s="183"/>
      <c r="F658" s="229" t="str">
        <f>IF(OR(D658="",E658=""),"",ROUND(D658/LOOKUP(E658,SMMLV!$A$2:$A$36,SMMLV!$D$2:$D$104),3))</f>
        <v/>
      </c>
      <c r="K658" s="758"/>
      <c r="L658" s="189">
        <v>3</v>
      </c>
      <c r="M658" s="759" t="str">
        <f t="shared" si="63"/>
        <v>NO APLICA</v>
      </c>
      <c r="N658" s="759"/>
    </row>
    <row r="659" spans="2:14">
      <c r="B659" s="182"/>
      <c r="C659" s="182"/>
      <c r="E659" s="183"/>
      <c r="F659" s="229" t="str">
        <f>IF(OR(D659="",E659=""),"",ROUND(D659/LOOKUP(E659,SMMLV!$A$2:$A$36,SMMLV!$D$2:$D$104),3))</f>
        <v/>
      </c>
      <c r="K659" s="758"/>
      <c r="L659" s="189">
        <v>4</v>
      </c>
      <c r="M659" s="759" t="str">
        <f t="shared" si="63"/>
        <v>NO APLICA</v>
      </c>
      <c r="N659" s="759"/>
    </row>
    <row r="660" spans="2:14">
      <c r="B660" s="182"/>
      <c r="C660" s="182"/>
      <c r="E660" s="183"/>
      <c r="F660" s="229" t="str">
        <f>IF(OR(D660="",E660=""),"",ROUND(D660/LOOKUP(E660,SMMLV!$A$2:$A$36,SMMLV!$D$2:$D$104),3))</f>
        <v/>
      </c>
      <c r="K660" s="758"/>
      <c r="L660" s="189">
        <v>5</v>
      </c>
      <c r="M660" s="759" t="str">
        <f t="shared" si="63"/>
        <v>NO APLICA</v>
      </c>
      <c r="N660" s="759"/>
    </row>
    <row r="661" spans="2:14">
      <c r="B661" s="182"/>
      <c r="C661" s="182"/>
      <c r="E661" s="183"/>
      <c r="F661" s="229" t="str">
        <f>IF(OR(D661="",E661=""),"",ROUND(D661/LOOKUP(E661,SMMLV!$A$2:$A$36,SMMLV!$D$2:$D$104),3))</f>
        <v/>
      </c>
      <c r="K661" s="758"/>
      <c r="L661" s="189">
        <v>6</v>
      </c>
      <c r="M661" s="759" t="str">
        <f t="shared" si="63"/>
        <v>NO APLICA</v>
      </c>
      <c r="N661" s="759"/>
    </row>
    <row r="662" spans="2:14">
      <c r="B662" s="182"/>
      <c r="C662" s="182"/>
      <c r="E662" s="183"/>
      <c r="F662" s="229" t="str">
        <f>IF(OR(D662="",E662=""),"",ROUND(D662/LOOKUP(E662,SMMLV!$A$2:$A$36,SMMLV!$D$2:$D$104),3))</f>
        <v/>
      </c>
      <c r="K662" s="758"/>
      <c r="L662" s="189">
        <v>7</v>
      </c>
      <c r="M662" s="759" t="str">
        <f t="shared" si="63"/>
        <v>NO APLICA</v>
      </c>
      <c r="N662" s="759"/>
    </row>
    <row r="663" spans="2:14">
      <c r="B663" s="182"/>
      <c r="C663" s="182"/>
      <c r="E663" s="183"/>
      <c r="F663" s="229" t="str">
        <f>IF(OR(D663="",E663=""),"",ROUND(D663/LOOKUP(E663,SMMLV!$A$2:$A$36,SMMLV!$D$2:$D$104),3))</f>
        <v/>
      </c>
      <c r="K663" s="758"/>
      <c r="L663" s="189">
        <v>8</v>
      </c>
      <c r="M663" s="759" t="str">
        <f t="shared" si="63"/>
        <v>NO APLICA</v>
      </c>
      <c r="N663" s="759"/>
    </row>
    <row r="664" spans="2:14">
      <c r="B664" s="182"/>
      <c r="C664" s="182"/>
      <c r="E664" s="183"/>
      <c r="F664" s="229" t="str">
        <f>IF(OR(D664="",E664=""),"",ROUND(D664/LOOKUP(E664,SMMLV!$A$2:$A$36,SMMLV!$D$2:$D$104),3))</f>
        <v/>
      </c>
      <c r="K664" s="758"/>
      <c r="L664" s="189">
        <v>9</v>
      </c>
      <c r="M664" s="759" t="str">
        <f t="shared" si="63"/>
        <v>NO APLICA</v>
      </c>
      <c r="N664" s="759"/>
    </row>
    <row r="665" spans="2:14">
      <c r="B665" s="182"/>
      <c r="C665" s="182"/>
      <c r="E665" s="183"/>
      <c r="F665" s="229" t="str">
        <f>IF(OR(D665="",E665=""),"",ROUND(D665/LOOKUP(E665,SMMLV!$A$2:$A$36,SMMLV!$D$2:$D$104),3))</f>
        <v/>
      </c>
      <c r="K665" s="758"/>
      <c r="L665" s="189">
        <v>10</v>
      </c>
      <c r="M665" s="759" t="str">
        <f t="shared" si="63"/>
        <v>NO APLICA</v>
      </c>
      <c r="N665" s="759"/>
    </row>
    <row r="666" spans="2:14">
      <c r="B666" s="182"/>
      <c r="C666" s="182"/>
      <c r="E666" s="183"/>
      <c r="F666" s="229" t="str">
        <f>IF(OR(D666="",E666=""),"",ROUND(D666/LOOKUP(E666,SMMLV!$A$2:$A$36,SMMLV!$D$2:$D$104),3))</f>
        <v/>
      </c>
      <c r="K666" s="758">
        <v>67</v>
      </c>
      <c r="L666" s="189">
        <v>1</v>
      </c>
      <c r="M666" s="759" t="str">
        <f t="shared" ref="M666:M675" si="64">IF(SUMIFS($F$5:$F$1200,$B$5:$B$1200,$K$666,$C$5:$C$1200,$L666)=0,"NO APLICA",ROUND(SUMIFS($F$5:$F$1200,$B$5:$B$1200,$K$666,$C$5:$C$1200,$L666),3))</f>
        <v>NO APLICA</v>
      </c>
      <c r="N666" s="759"/>
    </row>
    <row r="667" spans="2:14">
      <c r="B667" s="182"/>
      <c r="C667" s="182"/>
      <c r="E667" s="183"/>
      <c r="F667" s="229" t="str">
        <f>IF(OR(D667="",E667=""),"",ROUND(D667/LOOKUP(E667,SMMLV!$A$2:$A$36,SMMLV!$D$2:$D$104),3))</f>
        <v/>
      </c>
      <c r="K667" s="758"/>
      <c r="L667" s="189">
        <v>2</v>
      </c>
      <c r="M667" s="759" t="str">
        <f t="shared" si="64"/>
        <v>NO APLICA</v>
      </c>
      <c r="N667" s="759"/>
    </row>
    <row r="668" spans="2:14">
      <c r="B668" s="182"/>
      <c r="C668" s="182"/>
      <c r="E668" s="183"/>
      <c r="F668" s="229" t="str">
        <f>IF(OR(D668="",E668=""),"",ROUND(D668/LOOKUP(E668,SMMLV!$A$2:$A$36,SMMLV!$D$2:$D$104),3))</f>
        <v/>
      </c>
      <c r="K668" s="758"/>
      <c r="L668" s="189">
        <v>3</v>
      </c>
      <c r="M668" s="759" t="str">
        <f t="shared" si="64"/>
        <v>NO APLICA</v>
      </c>
      <c r="N668" s="759"/>
    </row>
    <row r="669" spans="2:14">
      <c r="B669" s="182"/>
      <c r="C669" s="182"/>
      <c r="E669" s="183"/>
      <c r="F669" s="229" t="str">
        <f>IF(OR(D669="",E669=""),"",ROUND(D669/LOOKUP(E669,SMMLV!$A$2:$A$36,SMMLV!$D$2:$D$104),3))</f>
        <v/>
      </c>
      <c r="K669" s="758"/>
      <c r="L669" s="189">
        <v>4</v>
      </c>
      <c r="M669" s="759" t="str">
        <f t="shared" si="64"/>
        <v>NO APLICA</v>
      </c>
      <c r="N669" s="759"/>
    </row>
    <row r="670" spans="2:14">
      <c r="B670" s="182"/>
      <c r="C670" s="182"/>
      <c r="E670" s="183"/>
      <c r="F670" s="229" t="str">
        <f>IF(OR(D670="",E670=""),"",ROUND(D670/LOOKUP(E670,SMMLV!$A$2:$A$36,SMMLV!$D$2:$D$104),3))</f>
        <v/>
      </c>
      <c r="K670" s="758"/>
      <c r="L670" s="189">
        <v>5</v>
      </c>
      <c r="M670" s="759" t="str">
        <f t="shared" si="64"/>
        <v>NO APLICA</v>
      </c>
      <c r="N670" s="759"/>
    </row>
    <row r="671" spans="2:14">
      <c r="B671" s="182"/>
      <c r="C671" s="182"/>
      <c r="E671" s="183"/>
      <c r="F671" s="229" t="str">
        <f>IF(OR(D671="",E671=""),"",ROUND(D671/LOOKUP(E671,SMMLV!$A$2:$A$36,SMMLV!$D$2:$D$104),3))</f>
        <v/>
      </c>
      <c r="K671" s="758"/>
      <c r="L671" s="189">
        <v>6</v>
      </c>
      <c r="M671" s="759" t="str">
        <f t="shared" si="64"/>
        <v>NO APLICA</v>
      </c>
      <c r="N671" s="759"/>
    </row>
    <row r="672" spans="2:14">
      <c r="B672" s="182"/>
      <c r="C672" s="182"/>
      <c r="E672" s="183"/>
      <c r="F672" s="229" t="str">
        <f>IF(OR(D672="",E672=""),"",ROUND(D672/LOOKUP(E672,SMMLV!$A$2:$A$36,SMMLV!$D$2:$D$104),3))</f>
        <v/>
      </c>
      <c r="K672" s="758"/>
      <c r="L672" s="189">
        <v>7</v>
      </c>
      <c r="M672" s="759" t="str">
        <f t="shared" si="64"/>
        <v>NO APLICA</v>
      </c>
      <c r="N672" s="759"/>
    </row>
    <row r="673" spans="2:14">
      <c r="B673" s="182"/>
      <c r="C673" s="182"/>
      <c r="E673" s="183"/>
      <c r="F673" s="229" t="str">
        <f>IF(OR(D673="",E673=""),"",ROUND(D673/LOOKUP(E673,SMMLV!$A$2:$A$36,SMMLV!$D$2:$D$104),3))</f>
        <v/>
      </c>
      <c r="K673" s="758"/>
      <c r="L673" s="189">
        <v>8</v>
      </c>
      <c r="M673" s="759" t="str">
        <f t="shared" si="64"/>
        <v>NO APLICA</v>
      </c>
      <c r="N673" s="759"/>
    </row>
    <row r="674" spans="2:14">
      <c r="B674" s="182"/>
      <c r="C674" s="182"/>
      <c r="E674" s="183"/>
      <c r="F674" s="229" t="str">
        <f>IF(OR(D674="",E674=""),"",ROUND(D674/LOOKUP(E674,SMMLV!$A$2:$A$36,SMMLV!$D$2:$D$104),3))</f>
        <v/>
      </c>
      <c r="K674" s="758"/>
      <c r="L674" s="189">
        <v>9</v>
      </c>
      <c r="M674" s="759" t="str">
        <f t="shared" si="64"/>
        <v>NO APLICA</v>
      </c>
      <c r="N674" s="759"/>
    </row>
    <row r="675" spans="2:14">
      <c r="B675" s="182"/>
      <c r="C675" s="182"/>
      <c r="E675" s="183"/>
      <c r="F675" s="229" t="str">
        <f>IF(OR(D675="",E675=""),"",ROUND(D675/LOOKUP(E675,SMMLV!$A$2:$A$36,SMMLV!$D$2:$D$104),3))</f>
        <v/>
      </c>
      <c r="K675" s="758"/>
      <c r="L675" s="189">
        <v>10</v>
      </c>
      <c r="M675" s="759" t="str">
        <f t="shared" si="64"/>
        <v>NO APLICA</v>
      </c>
      <c r="N675" s="759"/>
    </row>
    <row r="676" spans="2:14">
      <c r="B676" s="182"/>
      <c r="C676" s="182"/>
      <c r="E676" s="183"/>
      <c r="F676" s="229" t="str">
        <f>IF(OR(D676="",E676=""),"",ROUND(D676/LOOKUP(E676,SMMLV!$A$2:$A$36,SMMLV!$D$2:$D$104),3))</f>
        <v/>
      </c>
      <c r="K676" s="758">
        <v>68</v>
      </c>
      <c r="L676" s="189">
        <v>1</v>
      </c>
      <c r="M676" s="759" t="str">
        <f t="shared" ref="M676:M685" si="65">IF(SUMIFS($F$5:$F$1200,$B$5:$B$1200,$K$676,$C$5:$C$1200,$L676)=0,"NO APLICA",ROUND(SUMIFS($F$5:$F$1200,$B$5:$B$1200,$K$676,$C$5:$C$1200,$L676),3))</f>
        <v>NO APLICA</v>
      </c>
      <c r="N676" s="759"/>
    </row>
    <row r="677" spans="2:14">
      <c r="B677" s="182"/>
      <c r="C677" s="182"/>
      <c r="E677" s="183"/>
      <c r="F677" s="229" t="str">
        <f>IF(OR(D677="",E677=""),"",ROUND(D677/LOOKUP(E677,SMMLV!$A$2:$A$36,SMMLV!$D$2:$D$104),3))</f>
        <v/>
      </c>
      <c r="K677" s="758"/>
      <c r="L677" s="189">
        <v>2</v>
      </c>
      <c r="M677" s="759" t="str">
        <f t="shared" si="65"/>
        <v>NO APLICA</v>
      </c>
      <c r="N677" s="759"/>
    </row>
    <row r="678" spans="2:14">
      <c r="B678" s="182"/>
      <c r="C678" s="182"/>
      <c r="E678" s="183"/>
      <c r="F678" s="229" t="str">
        <f>IF(OR(D678="",E678=""),"",ROUND(D678/LOOKUP(E678,SMMLV!$A$2:$A$36,SMMLV!$D$2:$D$104),3))</f>
        <v/>
      </c>
      <c r="K678" s="758"/>
      <c r="L678" s="189">
        <v>3</v>
      </c>
      <c r="M678" s="759" t="str">
        <f t="shared" si="65"/>
        <v>NO APLICA</v>
      </c>
      <c r="N678" s="759"/>
    </row>
    <row r="679" spans="2:14">
      <c r="B679" s="182"/>
      <c r="C679" s="182"/>
      <c r="E679" s="183"/>
      <c r="F679" s="229" t="str">
        <f>IF(OR(D679="",E679=""),"",ROUND(D679/LOOKUP(E679,SMMLV!$A$2:$A$36,SMMLV!$D$2:$D$104),3))</f>
        <v/>
      </c>
      <c r="K679" s="758"/>
      <c r="L679" s="189">
        <v>4</v>
      </c>
      <c r="M679" s="759" t="str">
        <f t="shared" si="65"/>
        <v>NO APLICA</v>
      </c>
      <c r="N679" s="759"/>
    </row>
    <row r="680" spans="2:14">
      <c r="B680" s="182"/>
      <c r="C680" s="182"/>
      <c r="E680" s="183"/>
      <c r="F680" s="229" t="str">
        <f>IF(OR(D680="",E680=""),"",ROUND(D680/LOOKUP(E680,SMMLV!$A$2:$A$36,SMMLV!$D$2:$D$104),3))</f>
        <v/>
      </c>
      <c r="K680" s="758"/>
      <c r="L680" s="189">
        <v>5</v>
      </c>
      <c r="M680" s="759" t="str">
        <f t="shared" si="65"/>
        <v>NO APLICA</v>
      </c>
      <c r="N680" s="759"/>
    </row>
    <row r="681" spans="2:14">
      <c r="B681" s="182"/>
      <c r="C681" s="182"/>
      <c r="E681" s="183"/>
      <c r="F681" s="229" t="str">
        <f>IF(OR(D681="",E681=""),"",ROUND(D681/LOOKUP(E681,SMMLV!$A$2:$A$36,SMMLV!$D$2:$D$104),3))</f>
        <v/>
      </c>
      <c r="K681" s="758"/>
      <c r="L681" s="189">
        <v>6</v>
      </c>
      <c r="M681" s="759" t="str">
        <f t="shared" si="65"/>
        <v>NO APLICA</v>
      </c>
      <c r="N681" s="759"/>
    </row>
    <row r="682" spans="2:14">
      <c r="B682" s="182"/>
      <c r="C682" s="182"/>
      <c r="E682" s="183"/>
      <c r="F682" s="229" t="str">
        <f>IF(OR(D682="",E682=""),"",ROUND(D682/LOOKUP(E682,SMMLV!$A$2:$A$36,SMMLV!$D$2:$D$104),3))</f>
        <v/>
      </c>
      <c r="K682" s="758"/>
      <c r="L682" s="189">
        <v>7</v>
      </c>
      <c r="M682" s="759" t="str">
        <f t="shared" si="65"/>
        <v>NO APLICA</v>
      </c>
      <c r="N682" s="759"/>
    </row>
    <row r="683" spans="2:14">
      <c r="B683" s="182"/>
      <c r="C683" s="182"/>
      <c r="E683" s="183"/>
      <c r="F683" s="229" t="str">
        <f>IF(OR(D683="",E683=""),"",ROUND(D683/LOOKUP(E683,SMMLV!$A$2:$A$36,SMMLV!$D$2:$D$104),3))</f>
        <v/>
      </c>
      <c r="K683" s="758"/>
      <c r="L683" s="189">
        <v>8</v>
      </c>
      <c r="M683" s="759" t="str">
        <f t="shared" si="65"/>
        <v>NO APLICA</v>
      </c>
      <c r="N683" s="759"/>
    </row>
    <row r="684" spans="2:14">
      <c r="B684" s="182"/>
      <c r="C684" s="182"/>
      <c r="E684" s="183"/>
      <c r="F684" s="229" t="str">
        <f>IF(OR(D684="",E684=""),"",ROUND(D684/LOOKUP(E684,SMMLV!$A$2:$A$36,SMMLV!$D$2:$D$104),3))</f>
        <v/>
      </c>
      <c r="K684" s="758"/>
      <c r="L684" s="189">
        <v>9</v>
      </c>
      <c r="M684" s="759" t="str">
        <f t="shared" si="65"/>
        <v>NO APLICA</v>
      </c>
      <c r="N684" s="759"/>
    </row>
    <row r="685" spans="2:14">
      <c r="B685" s="182"/>
      <c r="C685" s="182"/>
      <c r="E685" s="183"/>
      <c r="F685" s="229" t="str">
        <f>IF(OR(D685="",E685=""),"",ROUND(D685/LOOKUP(E685,SMMLV!$A$2:$A$36,SMMLV!$D$2:$D$104),3))</f>
        <v/>
      </c>
      <c r="K685" s="758"/>
      <c r="L685" s="189">
        <v>10</v>
      </c>
      <c r="M685" s="759" t="str">
        <f t="shared" si="65"/>
        <v>NO APLICA</v>
      </c>
      <c r="N685" s="759"/>
    </row>
    <row r="686" spans="2:14">
      <c r="B686" s="182"/>
      <c r="C686" s="182"/>
      <c r="E686" s="183"/>
      <c r="F686" s="229" t="str">
        <f>IF(OR(D686="",E686=""),"",ROUND(D686/LOOKUP(E686,SMMLV!$A$2:$A$36,SMMLV!$D$2:$D$104),3))</f>
        <v/>
      </c>
      <c r="K686" s="758">
        <v>69</v>
      </c>
      <c r="L686" s="189">
        <v>1</v>
      </c>
      <c r="M686" s="759" t="str">
        <f t="shared" ref="M686:M695" si="66">IF(SUMIFS($F$5:$F$1200,$B$5:$B$1200,$K$686,$C$5:$C$1200,$L686)=0,"NO APLICA",ROUND(SUMIFS($F$5:$F$1200,$B$5:$B$1200,$K$686,$C$5:$C$1200,$L686),3))</f>
        <v>NO APLICA</v>
      </c>
      <c r="N686" s="759"/>
    </row>
    <row r="687" spans="2:14">
      <c r="B687" s="182"/>
      <c r="C687" s="182"/>
      <c r="E687" s="183"/>
      <c r="F687" s="229" t="str">
        <f>IF(OR(D687="",E687=""),"",ROUND(D687/LOOKUP(E687,SMMLV!$A$2:$A$36,SMMLV!$D$2:$D$104),3))</f>
        <v/>
      </c>
      <c r="K687" s="758"/>
      <c r="L687" s="189">
        <v>2</v>
      </c>
      <c r="M687" s="759" t="str">
        <f t="shared" si="66"/>
        <v>NO APLICA</v>
      </c>
      <c r="N687" s="759"/>
    </row>
    <row r="688" spans="2:14">
      <c r="B688" s="182"/>
      <c r="C688" s="182"/>
      <c r="E688" s="183"/>
      <c r="F688" s="229" t="str">
        <f>IF(OR(D688="",E688=""),"",ROUND(D688/LOOKUP(E688,SMMLV!$A$2:$A$36,SMMLV!$D$2:$D$104),3))</f>
        <v/>
      </c>
      <c r="K688" s="758"/>
      <c r="L688" s="189">
        <v>3</v>
      </c>
      <c r="M688" s="759" t="str">
        <f t="shared" si="66"/>
        <v>NO APLICA</v>
      </c>
      <c r="N688" s="759"/>
    </row>
    <row r="689" spans="2:14">
      <c r="B689" s="182"/>
      <c r="C689" s="182"/>
      <c r="E689" s="183"/>
      <c r="F689" s="229" t="str">
        <f>IF(OR(D689="",E689=""),"",ROUND(D689/LOOKUP(E689,SMMLV!$A$2:$A$36,SMMLV!$D$2:$D$104),3))</f>
        <v/>
      </c>
      <c r="K689" s="758"/>
      <c r="L689" s="189">
        <v>4</v>
      </c>
      <c r="M689" s="759" t="str">
        <f t="shared" si="66"/>
        <v>NO APLICA</v>
      </c>
      <c r="N689" s="759"/>
    </row>
    <row r="690" spans="2:14">
      <c r="B690" s="182"/>
      <c r="C690" s="182"/>
      <c r="E690" s="183"/>
      <c r="F690" s="229" t="str">
        <f>IF(OR(D690="",E690=""),"",ROUND(D690/LOOKUP(E690,SMMLV!$A$2:$A$36,SMMLV!$D$2:$D$104),3))</f>
        <v/>
      </c>
      <c r="K690" s="758"/>
      <c r="L690" s="189">
        <v>5</v>
      </c>
      <c r="M690" s="759" t="str">
        <f t="shared" si="66"/>
        <v>NO APLICA</v>
      </c>
      <c r="N690" s="759"/>
    </row>
    <row r="691" spans="2:14">
      <c r="B691" s="182"/>
      <c r="C691" s="182"/>
      <c r="E691" s="183"/>
      <c r="F691" s="229" t="str">
        <f>IF(OR(D691="",E691=""),"",ROUND(D691/LOOKUP(E691,SMMLV!$A$2:$A$36,SMMLV!$D$2:$D$104),3))</f>
        <v/>
      </c>
      <c r="K691" s="758"/>
      <c r="L691" s="189">
        <v>6</v>
      </c>
      <c r="M691" s="759" t="str">
        <f t="shared" si="66"/>
        <v>NO APLICA</v>
      </c>
      <c r="N691" s="759"/>
    </row>
    <row r="692" spans="2:14">
      <c r="B692" s="182"/>
      <c r="C692" s="182"/>
      <c r="E692" s="183"/>
      <c r="F692" s="229" t="str">
        <f>IF(OR(D692="",E692=""),"",ROUND(D692/LOOKUP(E692,SMMLV!$A$2:$A$36,SMMLV!$D$2:$D$104),3))</f>
        <v/>
      </c>
      <c r="K692" s="758"/>
      <c r="L692" s="189">
        <v>7</v>
      </c>
      <c r="M692" s="759" t="str">
        <f t="shared" si="66"/>
        <v>NO APLICA</v>
      </c>
      <c r="N692" s="759"/>
    </row>
    <row r="693" spans="2:14">
      <c r="B693" s="182"/>
      <c r="C693" s="182"/>
      <c r="E693" s="183"/>
      <c r="F693" s="229" t="str">
        <f>IF(OR(D693="",E693=""),"",ROUND(D693/LOOKUP(E693,SMMLV!$A$2:$A$36,SMMLV!$D$2:$D$104),3))</f>
        <v/>
      </c>
      <c r="K693" s="758"/>
      <c r="L693" s="189">
        <v>8</v>
      </c>
      <c r="M693" s="759" t="str">
        <f t="shared" si="66"/>
        <v>NO APLICA</v>
      </c>
      <c r="N693" s="759"/>
    </row>
    <row r="694" spans="2:14">
      <c r="B694" s="182"/>
      <c r="C694" s="182"/>
      <c r="E694" s="183"/>
      <c r="F694" s="229" t="str">
        <f>IF(OR(D694="",E694=""),"",ROUND(D694/LOOKUP(E694,SMMLV!$A$2:$A$36,SMMLV!$D$2:$D$104),3))</f>
        <v/>
      </c>
      <c r="K694" s="758"/>
      <c r="L694" s="189">
        <v>9</v>
      </c>
      <c r="M694" s="759" t="str">
        <f t="shared" si="66"/>
        <v>NO APLICA</v>
      </c>
      <c r="N694" s="759"/>
    </row>
    <row r="695" spans="2:14">
      <c r="B695" s="182"/>
      <c r="C695" s="182"/>
      <c r="E695" s="183"/>
      <c r="F695" s="229" t="str">
        <f>IF(OR(D695="",E695=""),"",ROUND(D695/LOOKUP(E695,SMMLV!$A$2:$A$36,SMMLV!$D$2:$D$104),3))</f>
        <v/>
      </c>
      <c r="K695" s="758"/>
      <c r="L695" s="189">
        <v>10</v>
      </c>
      <c r="M695" s="759" t="str">
        <f t="shared" si="66"/>
        <v>NO APLICA</v>
      </c>
      <c r="N695" s="759"/>
    </row>
    <row r="696" spans="2:14">
      <c r="B696" s="182"/>
      <c r="C696" s="182"/>
      <c r="E696" s="183"/>
      <c r="F696" s="229" t="str">
        <f>IF(OR(D696="",E696=""),"",ROUND(D696/LOOKUP(E696,SMMLV!$A$2:$A$36,SMMLV!$D$2:$D$104),3))</f>
        <v/>
      </c>
      <c r="K696" s="758">
        <v>70</v>
      </c>
      <c r="L696" s="189">
        <v>1</v>
      </c>
      <c r="M696" s="759" t="str">
        <f t="shared" ref="M696:M705" si="67">IF(SUMIFS($F$5:$F$1200,$B$5:$B$1200,$K$696,$C$5:$C$1200,$L696)=0,"NO APLICA",ROUND(SUMIFS($F$5:$F$1200,$B$5:$B$1200,$K$696,$C$5:$C$1200,$L696),3))</f>
        <v>NO APLICA</v>
      </c>
      <c r="N696" s="759"/>
    </row>
    <row r="697" spans="2:14">
      <c r="B697" s="182"/>
      <c r="C697" s="182"/>
      <c r="E697" s="183"/>
      <c r="F697" s="229" t="str">
        <f>IF(OR(D697="",E697=""),"",ROUND(D697/LOOKUP(E697,SMMLV!$A$2:$A$36,SMMLV!$D$2:$D$104),3))</f>
        <v/>
      </c>
      <c r="K697" s="758"/>
      <c r="L697" s="189">
        <v>2</v>
      </c>
      <c r="M697" s="759" t="str">
        <f t="shared" si="67"/>
        <v>NO APLICA</v>
      </c>
      <c r="N697" s="759"/>
    </row>
    <row r="698" spans="2:14">
      <c r="B698" s="182"/>
      <c r="C698" s="182"/>
      <c r="E698" s="183"/>
      <c r="F698" s="229" t="str">
        <f>IF(OR(D698="",E698=""),"",ROUND(D698/LOOKUP(E698,SMMLV!$A$2:$A$36,SMMLV!$D$2:$D$104),3))</f>
        <v/>
      </c>
      <c r="K698" s="758"/>
      <c r="L698" s="189">
        <v>3</v>
      </c>
      <c r="M698" s="759" t="str">
        <f t="shared" si="67"/>
        <v>NO APLICA</v>
      </c>
      <c r="N698" s="759"/>
    </row>
    <row r="699" spans="2:14">
      <c r="B699" s="182"/>
      <c r="C699" s="182"/>
      <c r="E699" s="183"/>
      <c r="F699" s="229" t="str">
        <f>IF(OR(D699="",E699=""),"",ROUND(D699/LOOKUP(E699,SMMLV!$A$2:$A$36,SMMLV!$D$2:$D$104),3))</f>
        <v/>
      </c>
      <c r="K699" s="758"/>
      <c r="L699" s="189">
        <v>4</v>
      </c>
      <c r="M699" s="759" t="str">
        <f t="shared" si="67"/>
        <v>NO APLICA</v>
      </c>
      <c r="N699" s="759"/>
    </row>
    <row r="700" spans="2:14">
      <c r="B700" s="182"/>
      <c r="C700" s="182"/>
      <c r="E700" s="183"/>
      <c r="F700" s="229" t="str">
        <f>IF(OR(D700="",E700=""),"",ROUND(D700/LOOKUP(E700,SMMLV!$A$2:$A$36,SMMLV!$D$2:$D$104),3))</f>
        <v/>
      </c>
      <c r="K700" s="758"/>
      <c r="L700" s="189">
        <v>5</v>
      </c>
      <c r="M700" s="759" t="str">
        <f t="shared" si="67"/>
        <v>NO APLICA</v>
      </c>
      <c r="N700" s="759"/>
    </row>
    <row r="701" spans="2:14">
      <c r="B701" s="182"/>
      <c r="C701" s="182"/>
      <c r="E701" s="183"/>
      <c r="F701" s="229" t="str">
        <f>IF(OR(D701="",E701=""),"",ROUND(D701/LOOKUP(E701,SMMLV!$A$2:$A$36,SMMLV!$D$2:$D$104),3))</f>
        <v/>
      </c>
      <c r="K701" s="758"/>
      <c r="L701" s="189">
        <v>6</v>
      </c>
      <c r="M701" s="759" t="str">
        <f t="shared" si="67"/>
        <v>NO APLICA</v>
      </c>
      <c r="N701" s="759"/>
    </row>
    <row r="702" spans="2:14">
      <c r="B702" s="182"/>
      <c r="C702" s="182"/>
      <c r="E702" s="183"/>
      <c r="F702" s="229" t="str">
        <f>IF(OR(D702="",E702=""),"",ROUND(D702/LOOKUP(E702,SMMLV!$A$2:$A$36,SMMLV!$D$2:$D$104),3))</f>
        <v/>
      </c>
      <c r="K702" s="758"/>
      <c r="L702" s="189">
        <v>7</v>
      </c>
      <c r="M702" s="759" t="str">
        <f t="shared" si="67"/>
        <v>NO APLICA</v>
      </c>
      <c r="N702" s="759"/>
    </row>
    <row r="703" spans="2:14">
      <c r="B703" s="182"/>
      <c r="C703" s="182"/>
      <c r="E703" s="183"/>
      <c r="F703" s="229" t="str">
        <f>IF(OR(D703="",E703=""),"",ROUND(D703/LOOKUP(E703,SMMLV!$A$2:$A$36,SMMLV!$D$2:$D$104),3))</f>
        <v/>
      </c>
      <c r="K703" s="758"/>
      <c r="L703" s="189">
        <v>8</v>
      </c>
      <c r="M703" s="759" t="str">
        <f t="shared" si="67"/>
        <v>NO APLICA</v>
      </c>
      <c r="N703" s="759"/>
    </row>
    <row r="704" spans="2:14">
      <c r="B704" s="182"/>
      <c r="C704" s="182"/>
      <c r="E704" s="183"/>
      <c r="F704" s="229" t="str">
        <f>IF(OR(D704="",E704=""),"",ROUND(D704/LOOKUP(E704,SMMLV!$A$2:$A$36,SMMLV!$D$2:$D$104),3))</f>
        <v/>
      </c>
      <c r="K704" s="758"/>
      <c r="L704" s="189">
        <v>9</v>
      </c>
      <c r="M704" s="759" t="str">
        <f t="shared" si="67"/>
        <v>NO APLICA</v>
      </c>
      <c r="N704" s="759"/>
    </row>
    <row r="705" spans="2:14">
      <c r="B705" s="182"/>
      <c r="C705" s="182"/>
      <c r="E705" s="183"/>
      <c r="F705" s="229" t="str">
        <f>IF(OR(D705="",E705=""),"",ROUND(D705/LOOKUP(E705,SMMLV!$A$2:$A$36,SMMLV!$D$2:$D$104),3))</f>
        <v/>
      </c>
      <c r="K705" s="758"/>
      <c r="L705" s="189">
        <v>10</v>
      </c>
      <c r="M705" s="759" t="str">
        <f t="shared" si="67"/>
        <v>NO APLICA</v>
      </c>
      <c r="N705" s="759"/>
    </row>
    <row r="706" spans="2:14">
      <c r="B706" s="182"/>
      <c r="C706" s="182"/>
      <c r="E706" s="183"/>
      <c r="F706" s="229" t="str">
        <f>IF(OR(D706="",E706=""),"",ROUND(D706/LOOKUP(E706,SMMLV!$A$2:$A$36,SMMLV!$D$2:$D$104),3))</f>
        <v/>
      </c>
      <c r="K706" s="758">
        <v>71</v>
      </c>
      <c r="L706" s="189">
        <v>1</v>
      </c>
      <c r="M706" s="759" t="str">
        <f t="shared" ref="M706:M715" si="68">IF(SUMIFS($F$5:$F$1200,$B$5:$B$1200,$K$706,$C$5:$C$1200,$L706)=0,"NO APLICA",ROUND(SUMIFS($F$5:$F$1200,$B$5:$B$1200,$K$706,$C$5:$C$1200,$L706),3))</f>
        <v>NO APLICA</v>
      </c>
      <c r="N706" s="759"/>
    </row>
    <row r="707" spans="2:14">
      <c r="B707" s="182"/>
      <c r="C707" s="182"/>
      <c r="E707" s="183"/>
      <c r="F707" s="229" t="str">
        <f>IF(OR(D707="",E707=""),"",ROUND(D707/LOOKUP(E707,SMMLV!$A$2:$A$36,SMMLV!$D$2:$D$104),3))</f>
        <v/>
      </c>
      <c r="K707" s="758"/>
      <c r="L707" s="189">
        <v>2</v>
      </c>
      <c r="M707" s="759" t="str">
        <f t="shared" si="68"/>
        <v>NO APLICA</v>
      </c>
      <c r="N707" s="759"/>
    </row>
    <row r="708" spans="2:14">
      <c r="B708" s="182"/>
      <c r="C708" s="182"/>
      <c r="E708" s="183"/>
      <c r="F708" s="229" t="str">
        <f>IF(OR(D708="",E708=""),"",ROUND(D708/LOOKUP(E708,SMMLV!$A$2:$A$36,SMMLV!$D$2:$D$104),3))</f>
        <v/>
      </c>
      <c r="K708" s="758"/>
      <c r="L708" s="189">
        <v>3</v>
      </c>
      <c r="M708" s="759" t="str">
        <f t="shared" si="68"/>
        <v>NO APLICA</v>
      </c>
      <c r="N708" s="759"/>
    </row>
    <row r="709" spans="2:14">
      <c r="B709" s="182"/>
      <c r="C709" s="182"/>
      <c r="E709" s="183"/>
      <c r="F709" s="229" t="str">
        <f>IF(OR(D709="",E709=""),"",ROUND(D709/LOOKUP(E709,SMMLV!$A$2:$A$36,SMMLV!$D$2:$D$104),3))</f>
        <v/>
      </c>
      <c r="K709" s="758"/>
      <c r="L709" s="189">
        <v>4</v>
      </c>
      <c r="M709" s="759" t="str">
        <f t="shared" si="68"/>
        <v>NO APLICA</v>
      </c>
      <c r="N709" s="759"/>
    </row>
    <row r="710" spans="2:14">
      <c r="B710" s="182"/>
      <c r="C710" s="182"/>
      <c r="E710" s="183"/>
      <c r="F710" s="229" t="str">
        <f>IF(OR(D710="",E710=""),"",ROUND(D710/LOOKUP(E710,SMMLV!$A$2:$A$36,SMMLV!$D$2:$D$104),3))</f>
        <v/>
      </c>
      <c r="K710" s="758"/>
      <c r="L710" s="189">
        <v>5</v>
      </c>
      <c r="M710" s="759" t="str">
        <f t="shared" si="68"/>
        <v>NO APLICA</v>
      </c>
      <c r="N710" s="759"/>
    </row>
    <row r="711" spans="2:14">
      <c r="B711" s="182"/>
      <c r="C711" s="182"/>
      <c r="E711" s="183"/>
      <c r="F711" s="229" t="str">
        <f>IF(OR(D711="",E711=""),"",ROUND(D711/LOOKUP(E711,SMMLV!$A$2:$A$36,SMMLV!$D$2:$D$104),3))</f>
        <v/>
      </c>
      <c r="K711" s="758"/>
      <c r="L711" s="189">
        <v>6</v>
      </c>
      <c r="M711" s="759" t="str">
        <f t="shared" si="68"/>
        <v>NO APLICA</v>
      </c>
      <c r="N711" s="759"/>
    </row>
    <row r="712" spans="2:14">
      <c r="B712" s="182"/>
      <c r="C712" s="182"/>
      <c r="E712" s="183"/>
      <c r="F712" s="229" t="str">
        <f>IF(OR(D712="",E712=""),"",ROUND(D712/LOOKUP(E712,SMMLV!$A$2:$A$36,SMMLV!$D$2:$D$104),3))</f>
        <v/>
      </c>
      <c r="K712" s="758"/>
      <c r="L712" s="189">
        <v>7</v>
      </c>
      <c r="M712" s="759" t="str">
        <f t="shared" si="68"/>
        <v>NO APLICA</v>
      </c>
      <c r="N712" s="759"/>
    </row>
    <row r="713" spans="2:14">
      <c r="B713" s="182"/>
      <c r="C713" s="182"/>
      <c r="E713" s="183"/>
      <c r="F713" s="229" t="str">
        <f>IF(OR(D713="",E713=""),"",ROUND(D713/LOOKUP(E713,SMMLV!$A$2:$A$36,SMMLV!$D$2:$D$104),3))</f>
        <v/>
      </c>
      <c r="K713" s="758"/>
      <c r="L713" s="189">
        <v>8</v>
      </c>
      <c r="M713" s="759" t="str">
        <f t="shared" si="68"/>
        <v>NO APLICA</v>
      </c>
      <c r="N713" s="759"/>
    </row>
    <row r="714" spans="2:14">
      <c r="B714" s="182"/>
      <c r="C714" s="182"/>
      <c r="E714" s="183"/>
      <c r="F714" s="229" t="str">
        <f>IF(OR(D714="",E714=""),"",ROUND(D714/LOOKUP(E714,SMMLV!$A$2:$A$36,SMMLV!$D$2:$D$104),3))</f>
        <v/>
      </c>
      <c r="K714" s="758"/>
      <c r="L714" s="189">
        <v>9</v>
      </c>
      <c r="M714" s="759" t="str">
        <f t="shared" si="68"/>
        <v>NO APLICA</v>
      </c>
      <c r="N714" s="759"/>
    </row>
    <row r="715" spans="2:14">
      <c r="B715" s="182"/>
      <c r="C715" s="182"/>
      <c r="E715" s="183"/>
      <c r="F715" s="229" t="str">
        <f>IF(OR(D715="",E715=""),"",ROUND(D715/LOOKUP(E715,SMMLV!$A$2:$A$36,SMMLV!$D$2:$D$104),3))</f>
        <v/>
      </c>
      <c r="K715" s="758"/>
      <c r="L715" s="189">
        <v>10</v>
      </c>
      <c r="M715" s="759" t="str">
        <f t="shared" si="68"/>
        <v>NO APLICA</v>
      </c>
      <c r="N715" s="759"/>
    </row>
    <row r="716" spans="2:14">
      <c r="B716" s="182"/>
      <c r="C716" s="182"/>
      <c r="E716" s="183"/>
      <c r="F716" s="229" t="str">
        <f>IF(OR(D716="",E716=""),"",ROUND(D716/LOOKUP(E716,SMMLV!$A$2:$A$36,SMMLV!$D$2:$D$104),3))</f>
        <v/>
      </c>
      <c r="K716" s="758">
        <v>72</v>
      </c>
      <c r="L716" s="189">
        <v>1</v>
      </c>
      <c r="M716" s="759" t="str">
        <f t="shared" ref="M716:M725" si="69">IF(SUMIFS($F$5:$F$1200,$B$5:$B$1200,$K$716,$C$5:$C$1200,$L716)=0,"NO APLICA",ROUND(SUMIFS($F$5:$F$1200,$B$5:$B$1200,$K$716,$C$5:$C$1200,$L716),3))</f>
        <v>NO APLICA</v>
      </c>
      <c r="N716" s="759"/>
    </row>
    <row r="717" spans="2:14">
      <c r="B717" s="182"/>
      <c r="C717" s="182"/>
      <c r="E717" s="183"/>
      <c r="F717" s="229" t="str">
        <f>IF(OR(D717="",E717=""),"",ROUND(D717/LOOKUP(E717,SMMLV!$A$2:$A$36,SMMLV!$D$2:$D$104),3))</f>
        <v/>
      </c>
      <c r="K717" s="758"/>
      <c r="L717" s="189">
        <v>2</v>
      </c>
      <c r="M717" s="759" t="str">
        <f t="shared" si="69"/>
        <v>NO APLICA</v>
      </c>
      <c r="N717" s="759"/>
    </row>
    <row r="718" spans="2:14">
      <c r="B718" s="182"/>
      <c r="C718" s="182"/>
      <c r="E718" s="183"/>
      <c r="F718" s="229" t="str">
        <f>IF(OR(D718="",E718=""),"",ROUND(D718/LOOKUP(E718,SMMLV!$A$2:$A$36,SMMLV!$D$2:$D$104),3))</f>
        <v/>
      </c>
      <c r="K718" s="758"/>
      <c r="L718" s="189">
        <v>3</v>
      </c>
      <c r="M718" s="759" t="str">
        <f t="shared" si="69"/>
        <v>NO APLICA</v>
      </c>
      <c r="N718" s="759"/>
    </row>
    <row r="719" spans="2:14">
      <c r="B719" s="182"/>
      <c r="C719" s="182"/>
      <c r="E719" s="183"/>
      <c r="F719" s="229" t="str">
        <f>IF(OR(D719="",E719=""),"",ROUND(D719/LOOKUP(E719,SMMLV!$A$2:$A$36,SMMLV!$D$2:$D$104),3))</f>
        <v/>
      </c>
      <c r="K719" s="758"/>
      <c r="L719" s="189">
        <v>4</v>
      </c>
      <c r="M719" s="759" t="str">
        <f t="shared" si="69"/>
        <v>NO APLICA</v>
      </c>
      <c r="N719" s="759"/>
    </row>
    <row r="720" spans="2:14">
      <c r="B720" s="182"/>
      <c r="C720" s="182"/>
      <c r="E720" s="183"/>
      <c r="F720" s="229" t="str">
        <f>IF(OR(D720="",E720=""),"",ROUND(D720/LOOKUP(E720,SMMLV!$A$2:$A$36,SMMLV!$D$2:$D$104),3))</f>
        <v/>
      </c>
      <c r="K720" s="758"/>
      <c r="L720" s="189">
        <v>5</v>
      </c>
      <c r="M720" s="759" t="str">
        <f t="shared" si="69"/>
        <v>NO APLICA</v>
      </c>
      <c r="N720" s="759"/>
    </row>
    <row r="721" spans="2:14">
      <c r="B721" s="182"/>
      <c r="C721" s="182"/>
      <c r="E721" s="183"/>
      <c r="F721" s="229" t="str">
        <f>IF(OR(D721="",E721=""),"",ROUND(D721/LOOKUP(E721,SMMLV!$A$2:$A$36,SMMLV!$D$2:$D$104),3))</f>
        <v/>
      </c>
      <c r="K721" s="758"/>
      <c r="L721" s="189">
        <v>6</v>
      </c>
      <c r="M721" s="759" t="str">
        <f t="shared" si="69"/>
        <v>NO APLICA</v>
      </c>
      <c r="N721" s="759"/>
    </row>
    <row r="722" spans="2:14">
      <c r="B722" s="182"/>
      <c r="C722" s="182"/>
      <c r="E722" s="183"/>
      <c r="F722" s="229" t="str">
        <f>IF(OR(D722="",E722=""),"",ROUND(D722/LOOKUP(E722,SMMLV!$A$2:$A$36,SMMLV!$D$2:$D$104),3))</f>
        <v/>
      </c>
      <c r="K722" s="758"/>
      <c r="L722" s="189">
        <v>7</v>
      </c>
      <c r="M722" s="759" t="str">
        <f t="shared" si="69"/>
        <v>NO APLICA</v>
      </c>
      <c r="N722" s="759"/>
    </row>
    <row r="723" spans="2:14">
      <c r="B723" s="182"/>
      <c r="C723" s="182"/>
      <c r="E723" s="183"/>
      <c r="F723" s="229" t="str">
        <f>IF(OR(D723="",E723=""),"",ROUND(D723/LOOKUP(E723,SMMLV!$A$2:$A$36,SMMLV!$D$2:$D$104),3))</f>
        <v/>
      </c>
      <c r="K723" s="758"/>
      <c r="L723" s="189">
        <v>8</v>
      </c>
      <c r="M723" s="759" t="str">
        <f t="shared" si="69"/>
        <v>NO APLICA</v>
      </c>
      <c r="N723" s="759"/>
    </row>
    <row r="724" spans="2:14">
      <c r="B724" s="182"/>
      <c r="C724" s="182"/>
      <c r="E724" s="183"/>
      <c r="F724" s="229" t="str">
        <f>IF(OR(D724="",E724=""),"",ROUND(D724/LOOKUP(E724,SMMLV!$A$2:$A$36,SMMLV!$D$2:$D$104),3))</f>
        <v/>
      </c>
      <c r="K724" s="758"/>
      <c r="L724" s="189">
        <v>9</v>
      </c>
      <c r="M724" s="759" t="str">
        <f t="shared" si="69"/>
        <v>NO APLICA</v>
      </c>
      <c r="N724" s="759"/>
    </row>
    <row r="725" spans="2:14">
      <c r="B725" s="182"/>
      <c r="C725" s="182"/>
      <c r="E725" s="183"/>
      <c r="F725" s="229" t="str">
        <f>IF(OR(D725="",E725=""),"",ROUND(D725/LOOKUP(E725,SMMLV!$A$2:$A$36,SMMLV!$D$2:$D$104),3))</f>
        <v/>
      </c>
      <c r="K725" s="758"/>
      <c r="L725" s="189">
        <v>10</v>
      </c>
      <c r="M725" s="759" t="str">
        <f t="shared" si="69"/>
        <v>NO APLICA</v>
      </c>
      <c r="N725" s="759"/>
    </row>
    <row r="726" spans="2:14">
      <c r="B726" s="182"/>
      <c r="C726" s="182"/>
      <c r="E726" s="183"/>
      <c r="F726" s="229" t="str">
        <f>IF(OR(D726="",E726=""),"",ROUND(D726/LOOKUP(E726,SMMLV!$A$2:$A$36,SMMLV!$D$2:$D$104),3))</f>
        <v/>
      </c>
      <c r="K726" s="758">
        <v>73</v>
      </c>
      <c r="L726" s="189">
        <v>1</v>
      </c>
      <c r="M726" s="759" t="str">
        <f t="shared" ref="M726:M735" si="70">IF(SUMIFS($F$5:$F$1200,$B$5:$B$1200,$K$726,$C$5:$C$1200,$L726)=0,"NO APLICA",ROUND(SUMIFS($F$5:$F$1200,$B$5:$B$1200,$K$726,$C$5:$C$1200,$L726),3))</f>
        <v>NO APLICA</v>
      </c>
      <c r="N726" s="759"/>
    </row>
    <row r="727" spans="2:14">
      <c r="B727" s="182"/>
      <c r="C727" s="182"/>
      <c r="E727" s="183"/>
      <c r="F727" s="229" t="str">
        <f>IF(OR(D727="",E727=""),"",ROUND(D727/LOOKUP(E727,SMMLV!$A$2:$A$36,SMMLV!$D$2:$D$104),3))</f>
        <v/>
      </c>
      <c r="K727" s="758"/>
      <c r="L727" s="189">
        <v>2</v>
      </c>
      <c r="M727" s="759" t="str">
        <f t="shared" si="70"/>
        <v>NO APLICA</v>
      </c>
      <c r="N727" s="759"/>
    </row>
    <row r="728" spans="2:14">
      <c r="B728" s="182"/>
      <c r="C728" s="182"/>
      <c r="E728" s="183"/>
      <c r="F728" s="229" t="str">
        <f>IF(OR(D728="",E728=""),"",ROUND(D728/LOOKUP(E728,SMMLV!$A$2:$A$36,SMMLV!$D$2:$D$104),3))</f>
        <v/>
      </c>
      <c r="K728" s="758"/>
      <c r="L728" s="189">
        <v>3</v>
      </c>
      <c r="M728" s="759" t="str">
        <f t="shared" si="70"/>
        <v>NO APLICA</v>
      </c>
      <c r="N728" s="759"/>
    </row>
    <row r="729" spans="2:14">
      <c r="B729" s="182"/>
      <c r="C729" s="182"/>
      <c r="E729" s="183"/>
      <c r="F729" s="229" t="str">
        <f>IF(OR(D729="",E729=""),"",ROUND(D729/LOOKUP(E729,SMMLV!$A$2:$A$36,SMMLV!$D$2:$D$104),3))</f>
        <v/>
      </c>
      <c r="K729" s="758"/>
      <c r="L729" s="189">
        <v>4</v>
      </c>
      <c r="M729" s="759" t="str">
        <f t="shared" si="70"/>
        <v>NO APLICA</v>
      </c>
      <c r="N729" s="759"/>
    </row>
    <row r="730" spans="2:14">
      <c r="B730" s="182"/>
      <c r="C730" s="182"/>
      <c r="E730" s="183"/>
      <c r="F730" s="229" t="str">
        <f>IF(OR(D730="",E730=""),"",ROUND(D730/LOOKUP(E730,SMMLV!$A$2:$A$36,SMMLV!$D$2:$D$104),3))</f>
        <v/>
      </c>
      <c r="K730" s="758"/>
      <c r="L730" s="189">
        <v>5</v>
      </c>
      <c r="M730" s="759" t="str">
        <f t="shared" si="70"/>
        <v>NO APLICA</v>
      </c>
      <c r="N730" s="759"/>
    </row>
    <row r="731" spans="2:14">
      <c r="B731" s="182"/>
      <c r="C731" s="182"/>
      <c r="E731" s="183"/>
      <c r="F731" s="229" t="str">
        <f>IF(OR(D731="",E731=""),"",ROUND(D731/LOOKUP(E731,SMMLV!$A$2:$A$36,SMMLV!$D$2:$D$104),3))</f>
        <v/>
      </c>
      <c r="K731" s="758"/>
      <c r="L731" s="189">
        <v>6</v>
      </c>
      <c r="M731" s="759" t="str">
        <f t="shared" si="70"/>
        <v>NO APLICA</v>
      </c>
      <c r="N731" s="759"/>
    </row>
    <row r="732" spans="2:14">
      <c r="B732" s="182"/>
      <c r="C732" s="182"/>
      <c r="E732" s="183"/>
      <c r="F732" s="229" t="str">
        <f>IF(OR(D732="",E732=""),"",ROUND(D732/LOOKUP(E732,SMMLV!$A$2:$A$36,SMMLV!$D$2:$D$104),3))</f>
        <v/>
      </c>
      <c r="K732" s="758"/>
      <c r="L732" s="189">
        <v>7</v>
      </c>
      <c r="M732" s="759" t="str">
        <f t="shared" si="70"/>
        <v>NO APLICA</v>
      </c>
      <c r="N732" s="759"/>
    </row>
    <row r="733" spans="2:14">
      <c r="B733" s="182"/>
      <c r="C733" s="182"/>
      <c r="E733" s="183"/>
      <c r="F733" s="229" t="str">
        <f>IF(OR(D733="",E733=""),"",ROUND(D733/LOOKUP(E733,SMMLV!$A$2:$A$36,SMMLV!$D$2:$D$104),3))</f>
        <v/>
      </c>
      <c r="K733" s="758"/>
      <c r="L733" s="189">
        <v>8</v>
      </c>
      <c r="M733" s="759" t="str">
        <f t="shared" si="70"/>
        <v>NO APLICA</v>
      </c>
      <c r="N733" s="759"/>
    </row>
    <row r="734" spans="2:14">
      <c r="B734" s="182"/>
      <c r="C734" s="182"/>
      <c r="E734" s="183"/>
      <c r="F734" s="229" t="str">
        <f>IF(OR(D734="",E734=""),"",ROUND(D734/LOOKUP(E734,SMMLV!$A$2:$A$36,SMMLV!$D$2:$D$104),3))</f>
        <v/>
      </c>
      <c r="K734" s="758"/>
      <c r="L734" s="189">
        <v>9</v>
      </c>
      <c r="M734" s="759" t="str">
        <f t="shared" si="70"/>
        <v>NO APLICA</v>
      </c>
      <c r="N734" s="759"/>
    </row>
    <row r="735" spans="2:14">
      <c r="B735" s="182"/>
      <c r="C735" s="182"/>
      <c r="E735" s="183"/>
      <c r="F735" s="229" t="str">
        <f>IF(OR(D735="",E735=""),"",ROUND(D735/LOOKUP(E735,SMMLV!$A$2:$A$36,SMMLV!$D$2:$D$104),3))</f>
        <v/>
      </c>
      <c r="K735" s="758"/>
      <c r="L735" s="189">
        <v>10</v>
      </c>
      <c r="M735" s="759" t="str">
        <f t="shared" si="70"/>
        <v>NO APLICA</v>
      </c>
      <c r="N735" s="759"/>
    </row>
    <row r="736" spans="2:14">
      <c r="B736" s="182"/>
      <c r="C736" s="182"/>
      <c r="E736" s="183"/>
      <c r="F736" s="229" t="str">
        <f>IF(OR(D736="",E736=""),"",ROUND(D736/LOOKUP(E736,SMMLV!$A$2:$A$36,SMMLV!$D$2:$D$104),3))</f>
        <v/>
      </c>
      <c r="K736" s="758">
        <v>74</v>
      </c>
      <c r="L736" s="189">
        <v>1</v>
      </c>
      <c r="M736" s="759" t="str">
        <f t="shared" ref="M736:M745" si="71">IF(SUMIFS($F$5:$F$1200,$B$5:$B$1200,$K$736,$C$5:$C$1200,$L736)=0,"NO APLICA",ROUND(SUMIFS($F$5:$F$1200,$B$5:$B$1200,$K$736,$C$5:$C$1200,$L736),3))</f>
        <v>NO APLICA</v>
      </c>
      <c r="N736" s="759"/>
    </row>
    <row r="737" spans="2:14">
      <c r="B737" s="182"/>
      <c r="C737" s="182"/>
      <c r="E737" s="183"/>
      <c r="F737" s="229" t="str">
        <f>IF(OR(D737="",E737=""),"",ROUND(D737/LOOKUP(E737,SMMLV!$A$2:$A$36,SMMLV!$D$2:$D$104),3))</f>
        <v/>
      </c>
      <c r="K737" s="758"/>
      <c r="L737" s="189">
        <v>2</v>
      </c>
      <c r="M737" s="759" t="str">
        <f t="shared" si="71"/>
        <v>NO APLICA</v>
      </c>
      <c r="N737" s="759"/>
    </row>
    <row r="738" spans="2:14">
      <c r="B738" s="182"/>
      <c r="C738" s="182"/>
      <c r="E738" s="183"/>
      <c r="F738" s="229" t="str">
        <f>IF(OR(D738="",E738=""),"",ROUND(D738/LOOKUP(E738,SMMLV!$A$2:$A$36,SMMLV!$D$2:$D$104),3))</f>
        <v/>
      </c>
      <c r="K738" s="758"/>
      <c r="L738" s="189">
        <v>3</v>
      </c>
      <c r="M738" s="759" t="str">
        <f t="shared" si="71"/>
        <v>NO APLICA</v>
      </c>
      <c r="N738" s="759"/>
    </row>
    <row r="739" spans="2:14">
      <c r="B739" s="182"/>
      <c r="C739" s="182"/>
      <c r="E739" s="183"/>
      <c r="F739" s="229" t="str">
        <f>IF(OR(D739="",E739=""),"",ROUND(D739/LOOKUP(E739,SMMLV!$A$2:$A$36,SMMLV!$D$2:$D$104),3))</f>
        <v/>
      </c>
      <c r="K739" s="758"/>
      <c r="L739" s="189">
        <v>4</v>
      </c>
      <c r="M739" s="759" t="str">
        <f t="shared" si="71"/>
        <v>NO APLICA</v>
      </c>
      <c r="N739" s="759"/>
    </row>
    <row r="740" spans="2:14">
      <c r="B740" s="182"/>
      <c r="C740" s="182"/>
      <c r="E740" s="183"/>
      <c r="F740" s="229" t="str">
        <f>IF(OR(D740="",E740=""),"",ROUND(D740/LOOKUP(E740,SMMLV!$A$2:$A$36,SMMLV!$D$2:$D$104),3))</f>
        <v/>
      </c>
      <c r="K740" s="758"/>
      <c r="L740" s="189">
        <v>5</v>
      </c>
      <c r="M740" s="759" t="str">
        <f t="shared" si="71"/>
        <v>NO APLICA</v>
      </c>
      <c r="N740" s="759"/>
    </row>
    <row r="741" spans="2:14">
      <c r="B741" s="182"/>
      <c r="C741" s="182"/>
      <c r="E741" s="183"/>
      <c r="F741" s="229" t="str">
        <f>IF(OR(D741="",E741=""),"",ROUND(D741/LOOKUP(E741,SMMLV!$A$2:$A$36,SMMLV!$D$2:$D$104),3))</f>
        <v/>
      </c>
      <c r="K741" s="758"/>
      <c r="L741" s="189">
        <v>6</v>
      </c>
      <c r="M741" s="759" t="str">
        <f t="shared" si="71"/>
        <v>NO APLICA</v>
      </c>
      <c r="N741" s="759"/>
    </row>
    <row r="742" spans="2:14">
      <c r="B742" s="182"/>
      <c r="C742" s="182"/>
      <c r="E742" s="183"/>
      <c r="F742" s="229" t="str">
        <f>IF(OR(D742="",E742=""),"",ROUND(D742/LOOKUP(E742,SMMLV!$A$2:$A$36,SMMLV!$D$2:$D$104),3))</f>
        <v/>
      </c>
      <c r="K742" s="758"/>
      <c r="L742" s="189">
        <v>7</v>
      </c>
      <c r="M742" s="759" t="str">
        <f t="shared" si="71"/>
        <v>NO APLICA</v>
      </c>
      <c r="N742" s="759"/>
    </row>
    <row r="743" spans="2:14">
      <c r="B743" s="182"/>
      <c r="C743" s="182"/>
      <c r="E743" s="183"/>
      <c r="F743" s="229" t="str">
        <f>IF(OR(D743="",E743=""),"",ROUND(D743/LOOKUP(E743,SMMLV!$A$2:$A$36,SMMLV!$D$2:$D$104),3))</f>
        <v/>
      </c>
      <c r="K743" s="758"/>
      <c r="L743" s="189">
        <v>8</v>
      </c>
      <c r="M743" s="759" t="str">
        <f t="shared" si="71"/>
        <v>NO APLICA</v>
      </c>
      <c r="N743" s="759"/>
    </row>
    <row r="744" spans="2:14">
      <c r="B744" s="182"/>
      <c r="C744" s="182"/>
      <c r="E744" s="183"/>
      <c r="F744" s="229" t="str">
        <f>IF(OR(D744="",E744=""),"",ROUND(D744/LOOKUP(E744,SMMLV!$A$2:$A$36,SMMLV!$D$2:$D$104),3))</f>
        <v/>
      </c>
      <c r="K744" s="758"/>
      <c r="L744" s="189">
        <v>9</v>
      </c>
      <c r="M744" s="759" t="str">
        <f t="shared" si="71"/>
        <v>NO APLICA</v>
      </c>
      <c r="N744" s="759"/>
    </row>
    <row r="745" spans="2:14">
      <c r="B745" s="182"/>
      <c r="C745" s="182"/>
      <c r="E745" s="183"/>
      <c r="F745" s="229" t="str">
        <f>IF(OR(D745="",E745=""),"",ROUND(D745/LOOKUP(E745,SMMLV!$A$2:$A$36,SMMLV!$D$2:$D$104),3))</f>
        <v/>
      </c>
      <c r="K745" s="758"/>
      <c r="L745" s="189">
        <v>10</v>
      </c>
      <c r="M745" s="759" t="str">
        <f t="shared" si="71"/>
        <v>NO APLICA</v>
      </c>
      <c r="N745" s="759"/>
    </row>
    <row r="746" spans="2:14">
      <c r="B746" s="182"/>
      <c r="C746" s="182"/>
      <c r="E746" s="183"/>
      <c r="F746" s="229" t="str">
        <f>IF(OR(D746="",E746=""),"",ROUND(D746/LOOKUP(E746,SMMLV!$A$2:$A$36,SMMLV!$D$2:$D$104),3))</f>
        <v/>
      </c>
      <c r="K746" s="758">
        <v>75</v>
      </c>
      <c r="L746" s="189">
        <v>1</v>
      </c>
      <c r="M746" s="759" t="str">
        <f t="shared" ref="M746:M755" si="72">IF(SUMIFS($F$5:$F$1200,$B$5:$B$1200,$K$746,$C$5:$C$1200,$L746)=0,"NO APLICA",ROUND(SUMIFS($F$5:$F$1200,$B$5:$B$1200,$K$746,$C$5:$C$1200,$L746),3))</f>
        <v>NO APLICA</v>
      </c>
      <c r="N746" s="759"/>
    </row>
    <row r="747" spans="2:14">
      <c r="B747" s="182"/>
      <c r="C747" s="182"/>
      <c r="E747" s="183"/>
      <c r="F747" s="229" t="str">
        <f>IF(OR(D747="",E747=""),"",ROUND(D747/LOOKUP(E747,SMMLV!$A$2:$A$36,SMMLV!$D$2:$D$104),3))</f>
        <v/>
      </c>
      <c r="K747" s="758"/>
      <c r="L747" s="189">
        <v>2</v>
      </c>
      <c r="M747" s="759" t="str">
        <f t="shared" si="72"/>
        <v>NO APLICA</v>
      </c>
      <c r="N747" s="759"/>
    </row>
    <row r="748" spans="2:14">
      <c r="B748" s="182"/>
      <c r="C748" s="182"/>
      <c r="E748" s="183"/>
      <c r="F748" s="229" t="str">
        <f>IF(OR(D748="",E748=""),"",ROUND(D748/LOOKUP(E748,SMMLV!$A$2:$A$36,SMMLV!$D$2:$D$104),3))</f>
        <v/>
      </c>
      <c r="K748" s="758"/>
      <c r="L748" s="189">
        <v>3</v>
      </c>
      <c r="M748" s="759" t="str">
        <f t="shared" si="72"/>
        <v>NO APLICA</v>
      </c>
      <c r="N748" s="759"/>
    </row>
    <row r="749" spans="2:14">
      <c r="B749" s="182"/>
      <c r="C749" s="182"/>
      <c r="E749" s="183"/>
      <c r="F749" s="229" t="str">
        <f>IF(OR(D749="",E749=""),"",ROUND(D749/LOOKUP(E749,SMMLV!$A$2:$A$36,SMMLV!$D$2:$D$104),3))</f>
        <v/>
      </c>
      <c r="K749" s="758"/>
      <c r="L749" s="189">
        <v>4</v>
      </c>
      <c r="M749" s="759" t="str">
        <f t="shared" si="72"/>
        <v>NO APLICA</v>
      </c>
      <c r="N749" s="759"/>
    </row>
    <row r="750" spans="2:14">
      <c r="B750" s="182"/>
      <c r="C750" s="182"/>
      <c r="E750" s="183"/>
      <c r="F750" s="229" t="str">
        <f>IF(OR(D750="",E750=""),"",ROUND(D750/LOOKUP(E750,SMMLV!$A$2:$A$36,SMMLV!$D$2:$D$104),3))</f>
        <v/>
      </c>
      <c r="K750" s="758"/>
      <c r="L750" s="189">
        <v>5</v>
      </c>
      <c r="M750" s="759" t="str">
        <f t="shared" si="72"/>
        <v>NO APLICA</v>
      </c>
      <c r="N750" s="759"/>
    </row>
    <row r="751" spans="2:14">
      <c r="B751" s="182"/>
      <c r="C751" s="182"/>
      <c r="E751" s="183"/>
      <c r="F751" s="229" t="str">
        <f>IF(OR(D751="",E751=""),"",ROUND(D751/LOOKUP(E751,SMMLV!$A$2:$A$36,SMMLV!$D$2:$D$104),3))</f>
        <v/>
      </c>
      <c r="K751" s="758"/>
      <c r="L751" s="189">
        <v>6</v>
      </c>
      <c r="M751" s="759" t="str">
        <f t="shared" si="72"/>
        <v>NO APLICA</v>
      </c>
      <c r="N751" s="759"/>
    </row>
    <row r="752" spans="2:14">
      <c r="B752" s="182"/>
      <c r="C752" s="182"/>
      <c r="E752" s="183"/>
      <c r="F752" s="229" t="str">
        <f>IF(OR(D752="",E752=""),"",ROUND(D752/LOOKUP(E752,SMMLV!$A$2:$A$36,SMMLV!$D$2:$D$104),3))</f>
        <v/>
      </c>
      <c r="K752" s="758"/>
      <c r="L752" s="189">
        <v>7</v>
      </c>
      <c r="M752" s="759" t="str">
        <f t="shared" si="72"/>
        <v>NO APLICA</v>
      </c>
      <c r="N752" s="759"/>
    </row>
    <row r="753" spans="2:14">
      <c r="B753" s="182"/>
      <c r="C753" s="182"/>
      <c r="E753" s="183"/>
      <c r="F753" s="229" t="str">
        <f>IF(OR(D753="",E753=""),"",ROUND(D753/LOOKUP(E753,SMMLV!$A$2:$A$36,SMMLV!$D$2:$D$104),3))</f>
        <v/>
      </c>
      <c r="K753" s="758"/>
      <c r="L753" s="189">
        <v>8</v>
      </c>
      <c r="M753" s="759" t="str">
        <f t="shared" si="72"/>
        <v>NO APLICA</v>
      </c>
      <c r="N753" s="759"/>
    </row>
    <row r="754" spans="2:14">
      <c r="B754" s="182"/>
      <c r="C754" s="182"/>
      <c r="E754" s="183"/>
      <c r="F754" s="229" t="str">
        <f>IF(OR(D754="",E754=""),"",ROUND(D754/LOOKUP(E754,SMMLV!$A$2:$A$36,SMMLV!$D$2:$D$104),3))</f>
        <v/>
      </c>
      <c r="K754" s="758"/>
      <c r="L754" s="189">
        <v>9</v>
      </c>
      <c r="M754" s="759" t="str">
        <f t="shared" si="72"/>
        <v>NO APLICA</v>
      </c>
      <c r="N754" s="759"/>
    </row>
    <row r="755" spans="2:14">
      <c r="B755" s="182"/>
      <c r="C755" s="182"/>
      <c r="E755" s="183"/>
      <c r="F755" s="229" t="str">
        <f>IF(OR(D755="",E755=""),"",ROUND(D755/LOOKUP(E755,SMMLV!$A$2:$A$36,SMMLV!$D$2:$D$104),3))</f>
        <v/>
      </c>
      <c r="K755" s="758"/>
      <c r="L755" s="189">
        <v>10</v>
      </c>
      <c r="M755" s="759" t="str">
        <f t="shared" si="72"/>
        <v>NO APLICA</v>
      </c>
      <c r="N755" s="759"/>
    </row>
    <row r="756" spans="2:14">
      <c r="B756" s="182"/>
      <c r="C756" s="182"/>
      <c r="E756" s="183"/>
      <c r="F756" s="229" t="str">
        <f>IF(OR(D756="",E756=""),"",ROUND(D756/LOOKUP(E756,SMMLV!$A$2:$A$36,SMMLV!$D$2:$D$104),3))</f>
        <v/>
      </c>
      <c r="K756" s="758">
        <v>76</v>
      </c>
      <c r="L756" s="189">
        <v>1</v>
      </c>
      <c r="M756" s="759" t="str">
        <f t="shared" ref="M756:M765" si="73">IF(SUMIFS($F$5:$F$1200,$B$5:$B$1200,$K$756,$C$5:$C$1200,$L756)=0,"NO APLICA",ROUND(SUMIFS($F$5:$F$1200,$B$5:$B$1200,$K$756,$C$5:$C$1200,$L756),3))</f>
        <v>NO APLICA</v>
      </c>
      <c r="N756" s="759"/>
    </row>
    <row r="757" spans="2:14">
      <c r="B757" s="182"/>
      <c r="C757" s="182"/>
      <c r="E757" s="183"/>
      <c r="F757" s="229" t="str">
        <f>IF(OR(D757="",E757=""),"",ROUND(D757/LOOKUP(E757,SMMLV!$A$2:$A$36,SMMLV!$D$2:$D$104),3))</f>
        <v/>
      </c>
      <c r="K757" s="758"/>
      <c r="L757" s="189">
        <v>2</v>
      </c>
      <c r="M757" s="759" t="str">
        <f t="shared" si="73"/>
        <v>NO APLICA</v>
      </c>
      <c r="N757" s="759"/>
    </row>
    <row r="758" spans="2:14">
      <c r="B758" s="182"/>
      <c r="C758" s="182"/>
      <c r="E758" s="183"/>
      <c r="F758" s="229" t="str">
        <f>IF(OR(D758="",E758=""),"",ROUND(D758/LOOKUP(E758,SMMLV!$A$2:$A$36,SMMLV!$D$2:$D$104),3))</f>
        <v/>
      </c>
      <c r="K758" s="758"/>
      <c r="L758" s="189">
        <v>3</v>
      </c>
      <c r="M758" s="759" t="str">
        <f t="shared" si="73"/>
        <v>NO APLICA</v>
      </c>
      <c r="N758" s="759"/>
    </row>
    <row r="759" spans="2:14">
      <c r="B759" s="182"/>
      <c r="C759" s="182"/>
      <c r="E759" s="183"/>
      <c r="F759" s="229" t="str">
        <f>IF(OR(D759="",E759=""),"",ROUND(D759/LOOKUP(E759,SMMLV!$A$2:$A$36,SMMLV!$D$2:$D$104),3))</f>
        <v/>
      </c>
      <c r="K759" s="758"/>
      <c r="L759" s="189">
        <v>4</v>
      </c>
      <c r="M759" s="759" t="str">
        <f t="shared" si="73"/>
        <v>NO APLICA</v>
      </c>
      <c r="N759" s="759"/>
    </row>
    <row r="760" spans="2:14">
      <c r="B760" s="182"/>
      <c r="C760" s="182"/>
      <c r="E760" s="183"/>
      <c r="F760" s="229" t="str">
        <f>IF(OR(D760="",E760=""),"",ROUND(D760/LOOKUP(E760,SMMLV!$A$2:$A$36,SMMLV!$D$2:$D$104),3))</f>
        <v/>
      </c>
      <c r="K760" s="758"/>
      <c r="L760" s="189">
        <v>5</v>
      </c>
      <c r="M760" s="759" t="str">
        <f t="shared" si="73"/>
        <v>NO APLICA</v>
      </c>
      <c r="N760" s="759"/>
    </row>
    <row r="761" spans="2:14">
      <c r="B761" s="182"/>
      <c r="C761" s="182"/>
      <c r="E761" s="183"/>
      <c r="F761" s="229" t="str">
        <f>IF(OR(D761="",E761=""),"",ROUND(D761/LOOKUP(E761,SMMLV!$A$2:$A$36,SMMLV!$D$2:$D$104),3))</f>
        <v/>
      </c>
      <c r="K761" s="758"/>
      <c r="L761" s="189">
        <v>6</v>
      </c>
      <c r="M761" s="759" t="str">
        <f t="shared" si="73"/>
        <v>NO APLICA</v>
      </c>
      <c r="N761" s="759"/>
    </row>
    <row r="762" spans="2:14">
      <c r="B762" s="182"/>
      <c r="C762" s="182"/>
      <c r="E762" s="183"/>
      <c r="F762" s="229" t="str">
        <f>IF(OR(D762="",E762=""),"",ROUND(D762/LOOKUP(E762,SMMLV!$A$2:$A$36,SMMLV!$D$2:$D$104),3))</f>
        <v/>
      </c>
      <c r="K762" s="758"/>
      <c r="L762" s="189">
        <v>7</v>
      </c>
      <c r="M762" s="759" t="str">
        <f t="shared" si="73"/>
        <v>NO APLICA</v>
      </c>
      <c r="N762" s="759"/>
    </row>
    <row r="763" spans="2:14">
      <c r="B763" s="182"/>
      <c r="C763" s="182"/>
      <c r="E763" s="183"/>
      <c r="F763" s="229" t="str">
        <f>IF(OR(D763="",E763=""),"",ROUND(D763/LOOKUP(E763,SMMLV!$A$2:$A$36,SMMLV!$D$2:$D$104),3))</f>
        <v/>
      </c>
      <c r="K763" s="758"/>
      <c r="L763" s="189">
        <v>8</v>
      </c>
      <c r="M763" s="759" t="str">
        <f t="shared" si="73"/>
        <v>NO APLICA</v>
      </c>
      <c r="N763" s="759"/>
    </row>
    <row r="764" spans="2:14">
      <c r="B764" s="182"/>
      <c r="C764" s="182"/>
      <c r="E764" s="183"/>
      <c r="F764" s="229" t="str">
        <f>IF(OR(D764="",E764=""),"",ROUND(D764/LOOKUP(E764,SMMLV!$A$2:$A$36,SMMLV!$D$2:$D$104),3))</f>
        <v/>
      </c>
      <c r="K764" s="758"/>
      <c r="L764" s="189">
        <v>9</v>
      </c>
      <c r="M764" s="759" t="str">
        <f t="shared" si="73"/>
        <v>NO APLICA</v>
      </c>
      <c r="N764" s="759"/>
    </row>
    <row r="765" spans="2:14">
      <c r="B765" s="182"/>
      <c r="C765" s="182"/>
      <c r="E765" s="183"/>
      <c r="F765" s="229" t="str">
        <f>IF(OR(D765="",E765=""),"",ROUND(D765/LOOKUP(E765,SMMLV!$A$2:$A$36,SMMLV!$D$2:$D$104),3))</f>
        <v/>
      </c>
      <c r="K765" s="758"/>
      <c r="L765" s="189">
        <v>10</v>
      </c>
      <c r="M765" s="759" t="str">
        <f t="shared" si="73"/>
        <v>NO APLICA</v>
      </c>
      <c r="N765" s="759"/>
    </row>
    <row r="766" spans="2:14">
      <c r="B766" s="182"/>
      <c r="C766" s="182"/>
      <c r="E766" s="183"/>
      <c r="F766" s="229" t="str">
        <f>IF(OR(D766="",E766=""),"",ROUND(D766/LOOKUP(E766,SMMLV!$A$2:$A$36,SMMLV!$D$2:$D$104),3))</f>
        <v/>
      </c>
      <c r="K766" s="758">
        <v>77</v>
      </c>
      <c r="L766" s="189">
        <v>1</v>
      </c>
      <c r="M766" s="759" t="str">
        <f t="shared" ref="M766:M775" si="74">IF(SUMIFS($F$5:$F$1200,$B$5:$B$1200,$K$766,$C$5:$C$1200,$L766)=0,"NO APLICA",ROUND(SUMIFS($F$5:$F$1200,$B$5:$B$1200,$K$766,$C$5:$C$1200,$L766),3))</f>
        <v>NO APLICA</v>
      </c>
      <c r="N766" s="759"/>
    </row>
    <row r="767" spans="2:14">
      <c r="B767" s="182"/>
      <c r="C767" s="182"/>
      <c r="E767" s="183"/>
      <c r="F767" s="229" t="str">
        <f>IF(OR(D767="",E767=""),"",ROUND(D767/LOOKUP(E767,SMMLV!$A$2:$A$36,SMMLV!$D$2:$D$104),3))</f>
        <v/>
      </c>
      <c r="K767" s="758"/>
      <c r="L767" s="189">
        <v>2</v>
      </c>
      <c r="M767" s="759" t="str">
        <f t="shared" si="74"/>
        <v>NO APLICA</v>
      </c>
      <c r="N767" s="759"/>
    </row>
    <row r="768" spans="2:14">
      <c r="B768" s="182"/>
      <c r="C768" s="182"/>
      <c r="E768" s="183"/>
      <c r="F768" s="229" t="str">
        <f>IF(OR(D768="",E768=""),"",ROUND(D768/LOOKUP(E768,SMMLV!$A$2:$A$36,SMMLV!$D$2:$D$104),3))</f>
        <v/>
      </c>
      <c r="K768" s="758"/>
      <c r="L768" s="189">
        <v>3</v>
      </c>
      <c r="M768" s="759" t="str">
        <f t="shared" si="74"/>
        <v>NO APLICA</v>
      </c>
      <c r="N768" s="759"/>
    </row>
    <row r="769" spans="2:14">
      <c r="B769" s="182"/>
      <c r="C769" s="182"/>
      <c r="E769" s="183"/>
      <c r="F769" s="229" t="str">
        <f>IF(OR(D769="",E769=""),"",ROUND(D769/LOOKUP(E769,SMMLV!$A$2:$A$36,SMMLV!$D$2:$D$104),3))</f>
        <v/>
      </c>
      <c r="K769" s="758"/>
      <c r="L769" s="189">
        <v>4</v>
      </c>
      <c r="M769" s="759" t="str">
        <f t="shared" si="74"/>
        <v>NO APLICA</v>
      </c>
      <c r="N769" s="759"/>
    </row>
    <row r="770" spans="2:14">
      <c r="B770" s="182"/>
      <c r="C770" s="182"/>
      <c r="E770" s="183"/>
      <c r="F770" s="229" t="str">
        <f>IF(OR(D770="",E770=""),"",ROUND(D770/LOOKUP(E770,SMMLV!$A$2:$A$36,SMMLV!$D$2:$D$104),3))</f>
        <v/>
      </c>
      <c r="K770" s="758"/>
      <c r="L770" s="189">
        <v>5</v>
      </c>
      <c r="M770" s="759" t="str">
        <f t="shared" si="74"/>
        <v>NO APLICA</v>
      </c>
      <c r="N770" s="759"/>
    </row>
    <row r="771" spans="2:14">
      <c r="B771" s="182"/>
      <c r="C771" s="182"/>
      <c r="E771" s="183"/>
      <c r="F771" s="229" t="str">
        <f>IF(OR(D771="",E771=""),"",ROUND(D771/LOOKUP(E771,SMMLV!$A$2:$A$36,SMMLV!$D$2:$D$104),3))</f>
        <v/>
      </c>
      <c r="K771" s="758"/>
      <c r="L771" s="189">
        <v>6</v>
      </c>
      <c r="M771" s="759" t="str">
        <f t="shared" si="74"/>
        <v>NO APLICA</v>
      </c>
      <c r="N771" s="759"/>
    </row>
    <row r="772" spans="2:14">
      <c r="B772" s="182"/>
      <c r="C772" s="182"/>
      <c r="E772" s="183"/>
      <c r="F772" s="229" t="str">
        <f>IF(OR(D772="",E772=""),"",ROUND(D772/LOOKUP(E772,SMMLV!$A$2:$A$36,SMMLV!$D$2:$D$104),3))</f>
        <v/>
      </c>
      <c r="K772" s="758"/>
      <c r="L772" s="189">
        <v>7</v>
      </c>
      <c r="M772" s="759" t="str">
        <f t="shared" si="74"/>
        <v>NO APLICA</v>
      </c>
      <c r="N772" s="759"/>
    </row>
    <row r="773" spans="2:14">
      <c r="B773" s="182"/>
      <c r="C773" s="182"/>
      <c r="E773" s="183"/>
      <c r="F773" s="229" t="str">
        <f>IF(OR(D773="",E773=""),"",ROUND(D773/LOOKUP(E773,SMMLV!$A$2:$A$36,SMMLV!$D$2:$D$104),3))</f>
        <v/>
      </c>
      <c r="K773" s="758"/>
      <c r="L773" s="189">
        <v>8</v>
      </c>
      <c r="M773" s="759" t="str">
        <f t="shared" si="74"/>
        <v>NO APLICA</v>
      </c>
      <c r="N773" s="759"/>
    </row>
    <row r="774" spans="2:14">
      <c r="B774" s="182"/>
      <c r="C774" s="182"/>
      <c r="E774" s="183"/>
      <c r="F774" s="229" t="str">
        <f>IF(OR(D774="",E774=""),"",ROUND(D774/LOOKUP(E774,SMMLV!$A$2:$A$36,SMMLV!$D$2:$D$104),3))</f>
        <v/>
      </c>
      <c r="K774" s="758"/>
      <c r="L774" s="189">
        <v>9</v>
      </c>
      <c r="M774" s="759" t="str">
        <f t="shared" si="74"/>
        <v>NO APLICA</v>
      </c>
      <c r="N774" s="759"/>
    </row>
    <row r="775" spans="2:14">
      <c r="B775" s="182"/>
      <c r="C775" s="182"/>
      <c r="E775" s="183"/>
      <c r="F775" s="229" t="str">
        <f>IF(OR(D775="",E775=""),"",ROUND(D775/LOOKUP(E775,SMMLV!$A$2:$A$36,SMMLV!$D$2:$D$104),3))</f>
        <v/>
      </c>
      <c r="K775" s="758"/>
      <c r="L775" s="189">
        <v>10</v>
      </c>
      <c r="M775" s="759" t="str">
        <f t="shared" si="74"/>
        <v>NO APLICA</v>
      </c>
      <c r="N775" s="759"/>
    </row>
    <row r="776" spans="2:14">
      <c r="B776" s="182"/>
      <c r="C776" s="182"/>
      <c r="E776" s="183"/>
      <c r="F776" s="229" t="str">
        <f>IF(OR(D776="",E776=""),"",ROUND(D776/LOOKUP(E776,SMMLV!$A$2:$A$36,SMMLV!$D$2:$D$104),3))</f>
        <v/>
      </c>
      <c r="K776" s="758">
        <v>78</v>
      </c>
      <c r="L776" s="189">
        <v>1</v>
      </c>
      <c r="M776" s="759" t="str">
        <f t="shared" ref="M776:M785" si="75">IF(SUMIFS($F$5:$F$1200,$B$5:$B$1200,$K$776,$C$5:$C$1200,$L776)=0,"NO APLICA",ROUND(SUMIFS($F$5:$F$1200,$B$5:$B$1200,$K$776,$C$5:$C$1200,$L776),3))</f>
        <v>NO APLICA</v>
      </c>
      <c r="N776" s="759"/>
    </row>
    <row r="777" spans="2:14">
      <c r="B777" s="182"/>
      <c r="C777" s="182"/>
      <c r="E777" s="183"/>
      <c r="F777" s="229" t="str">
        <f>IF(OR(D777="",E777=""),"",ROUND(D777/LOOKUP(E777,SMMLV!$A$2:$A$36,SMMLV!$D$2:$D$104),3))</f>
        <v/>
      </c>
      <c r="K777" s="758"/>
      <c r="L777" s="189">
        <v>2</v>
      </c>
      <c r="M777" s="759" t="str">
        <f t="shared" si="75"/>
        <v>NO APLICA</v>
      </c>
      <c r="N777" s="759"/>
    </row>
    <row r="778" spans="2:14">
      <c r="B778" s="182"/>
      <c r="C778" s="182"/>
      <c r="E778" s="183"/>
      <c r="F778" s="229" t="str">
        <f>IF(OR(D778="",E778=""),"",ROUND(D778/LOOKUP(E778,SMMLV!$A$2:$A$36,SMMLV!$D$2:$D$104),3))</f>
        <v/>
      </c>
      <c r="K778" s="758"/>
      <c r="L778" s="189">
        <v>3</v>
      </c>
      <c r="M778" s="759" t="str">
        <f t="shared" si="75"/>
        <v>NO APLICA</v>
      </c>
      <c r="N778" s="759"/>
    </row>
    <row r="779" spans="2:14">
      <c r="B779" s="182"/>
      <c r="C779" s="182"/>
      <c r="E779" s="183"/>
      <c r="F779" s="229" t="str">
        <f>IF(OR(D779="",E779=""),"",ROUND(D779/LOOKUP(E779,SMMLV!$A$2:$A$36,SMMLV!$D$2:$D$104),3))</f>
        <v/>
      </c>
      <c r="K779" s="758"/>
      <c r="L779" s="189">
        <v>4</v>
      </c>
      <c r="M779" s="759" t="str">
        <f t="shared" si="75"/>
        <v>NO APLICA</v>
      </c>
      <c r="N779" s="759"/>
    </row>
    <row r="780" spans="2:14">
      <c r="B780" s="182"/>
      <c r="C780" s="182"/>
      <c r="E780" s="183"/>
      <c r="F780" s="229" t="str">
        <f>IF(OR(D780="",E780=""),"",ROUND(D780/LOOKUP(E780,SMMLV!$A$2:$A$36,SMMLV!$D$2:$D$104),3))</f>
        <v/>
      </c>
      <c r="K780" s="758"/>
      <c r="L780" s="189">
        <v>5</v>
      </c>
      <c r="M780" s="759" t="str">
        <f t="shared" si="75"/>
        <v>NO APLICA</v>
      </c>
      <c r="N780" s="759"/>
    </row>
    <row r="781" spans="2:14">
      <c r="B781" s="182"/>
      <c r="C781" s="182"/>
      <c r="E781" s="183"/>
      <c r="F781" s="229" t="str">
        <f>IF(OR(D781="",E781=""),"",ROUND(D781/LOOKUP(E781,SMMLV!$A$2:$A$36,SMMLV!$D$2:$D$104),3))</f>
        <v/>
      </c>
      <c r="K781" s="758"/>
      <c r="L781" s="189">
        <v>6</v>
      </c>
      <c r="M781" s="759" t="str">
        <f t="shared" si="75"/>
        <v>NO APLICA</v>
      </c>
      <c r="N781" s="759"/>
    </row>
    <row r="782" spans="2:14">
      <c r="B782" s="182"/>
      <c r="C782" s="182"/>
      <c r="E782" s="183"/>
      <c r="F782" s="229" t="str">
        <f>IF(OR(D782="",E782=""),"",ROUND(D782/LOOKUP(E782,SMMLV!$A$2:$A$36,SMMLV!$D$2:$D$104),3))</f>
        <v/>
      </c>
      <c r="K782" s="758"/>
      <c r="L782" s="189">
        <v>7</v>
      </c>
      <c r="M782" s="759" t="str">
        <f t="shared" si="75"/>
        <v>NO APLICA</v>
      </c>
      <c r="N782" s="759"/>
    </row>
    <row r="783" spans="2:14">
      <c r="B783" s="182"/>
      <c r="C783" s="182"/>
      <c r="E783" s="183"/>
      <c r="F783" s="229" t="str">
        <f>IF(OR(D783="",E783=""),"",ROUND(D783/LOOKUP(E783,SMMLV!$A$2:$A$36,SMMLV!$D$2:$D$104),3))</f>
        <v/>
      </c>
      <c r="K783" s="758"/>
      <c r="L783" s="189">
        <v>8</v>
      </c>
      <c r="M783" s="759" t="str">
        <f t="shared" si="75"/>
        <v>NO APLICA</v>
      </c>
      <c r="N783" s="759"/>
    </row>
    <row r="784" spans="2:14">
      <c r="B784" s="182"/>
      <c r="C784" s="182"/>
      <c r="E784" s="183"/>
      <c r="F784" s="229" t="str">
        <f>IF(OR(D784="",E784=""),"",ROUND(D784/LOOKUP(E784,SMMLV!$A$2:$A$36,SMMLV!$D$2:$D$104),3))</f>
        <v/>
      </c>
      <c r="K784" s="758"/>
      <c r="L784" s="189">
        <v>9</v>
      </c>
      <c r="M784" s="759" t="str">
        <f t="shared" si="75"/>
        <v>NO APLICA</v>
      </c>
      <c r="N784" s="759"/>
    </row>
    <row r="785" spans="2:14">
      <c r="B785" s="182"/>
      <c r="C785" s="182"/>
      <c r="E785" s="183"/>
      <c r="F785" s="229" t="str">
        <f>IF(OR(D785="",E785=""),"",ROUND(D785/LOOKUP(E785,SMMLV!$A$2:$A$36,SMMLV!$D$2:$D$104),3))</f>
        <v/>
      </c>
      <c r="K785" s="758"/>
      <c r="L785" s="189">
        <v>10</v>
      </c>
      <c r="M785" s="759" t="str">
        <f t="shared" si="75"/>
        <v>NO APLICA</v>
      </c>
      <c r="N785" s="759"/>
    </row>
    <row r="786" spans="2:14">
      <c r="B786" s="182"/>
      <c r="C786" s="182"/>
      <c r="E786" s="183"/>
      <c r="F786" s="229" t="str">
        <f>IF(OR(D786="",E786=""),"",ROUND(D786/LOOKUP(E786,SMMLV!$A$2:$A$36,SMMLV!$D$2:$D$104),3))</f>
        <v/>
      </c>
      <c r="K786" s="758">
        <v>79</v>
      </c>
      <c r="L786" s="189">
        <v>1</v>
      </c>
      <c r="M786" s="759" t="str">
        <f t="shared" ref="M786:M795" si="76">IF(SUMIFS($F$5:$F$1200,$B$5:$B$1200,$K$786,$C$5:$C$1200,$L786)=0,"NO APLICA",ROUND(SUMIFS($F$5:$F$1200,$B$5:$B$1200,$K$786,$C$5:$C$1200,$L786),3))</f>
        <v>NO APLICA</v>
      </c>
      <c r="N786" s="759"/>
    </row>
    <row r="787" spans="2:14">
      <c r="B787" s="182"/>
      <c r="C787" s="182"/>
      <c r="E787" s="183"/>
      <c r="F787" s="229" t="str">
        <f>IF(OR(D787="",E787=""),"",ROUND(D787/LOOKUP(E787,SMMLV!$A$2:$A$36,SMMLV!$D$2:$D$104),3))</f>
        <v/>
      </c>
      <c r="K787" s="758"/>
      <c r="L787" s="189">
        <v>2</v>
      </c>
      <c r="M787" s="759" t="str">
        <f t="shared" si="76"/>
        <v>NO APLICA</v>
      </c>
      <c r="N787" s="759"/>
    </row>
    <row r="788" spans="2:14">
      <c r="B788" s="182"/>
      <c r="C788" s="182"/>
      <c r="E788" s="183"/>
      <c r="F788" s="229" t="str">
        <f>IF(OR(D788="",E788=""),"",ROUND(D788/LOOKUP(E788,SMMLV!$A$2:$A$36,SMMLV!$D$2:$D$104),3))</f>
        <v/>
      </c>
      <c r="K788" s="758"/>
      <c r="L788" s="189">
        <v>3</v>
      </c>
      <c r="M788" s="759" t="str">
        <f t="shared" si="76"/>
        <v>NO APLICA</v>
      </c>
      <c r="N788" s="759"/>
    </row>
    <row r="789" spans="2:14">
      <c r="B789" s="182"/>
      <c r="C789" s="182"/>
      <c r="E789" s="183"/>
      <c r="F789" s="229" t="str">
        <f>IF(OR(D789="",E789=""),"",ROUND(D789/LOOKUP(E789,SMMLV!$A$2:$A$36,SMMLV!$D$2:$D$104),3))</f>
        <v/>
      </c>
      <c r="K789" s="758"/>
      <c r="L789" s="189">
        <v>4</v>
      </c>
      <c r="M789" s="759" t="str">
        <f t="shared" si="76"/>
        <v>NO APLICA</v>
      </c>
      <c r="N789" s="759"/>
    </row>
    <row r="790" spans="2:14">
      <c r="B790" s="182"/>
      <c r="C790" s="182"/>
      <c r="E790" s="183"/>
      <c r="F790" s="229" t="str">
        <f>IF(OR(D790="",E790=""),"",ROUND(D790/LOOKUP(E790,SMMLV!$A$2:$A$36,SMMLV!$D$2:$D$104),3))</f>
        <v/>
      </c>
      <c r="K790" s="758"/>
      <c r="L790" s="189">
        <v>5</v>
      </c>
      <c r="M790" s="759" t="str">
        <f t="shared" si="76"/>
        <v>NO APLICA</v>
      </c>
      <c r="N790" s="759"/>
    </row>
    <row r="791" spans="2:14">
      <c r="B791" s="182"/>
      <c r="C791" s="182"/>
      <c r="E791" s="183"/>
      <c r="F791" s="229" t="str">
        <f>IF(OR(D791="",E791=""),"",ROUND(D791/LOOKUP(E791,SMMLV!$A$2:$A$36,SMMLV!$D$2:$D$104),3))</f>
        <v/>
      </c>
      <c r="K791" s="758"/>
      <c r="L791" s="189">
        <v>6</v>
      </c>
      <c r="M791" s="759" t="str">
        <f t="shared" si="76"/>
        <v>NO APLICA</v>
      </c>
      <c r="N791" s="759"/>
    </row>
    <row r="792" spans="2:14">
      <c r="B792" s="182"/>
      <c r="C792" s="182"/>
      <c r="E792" s="183"/>
      <c r="F792" s="229" t="str">
        <f>IF(OR(D792="",E792=""),"",ROUND(D792/LOOKUP(E792,SMMLV!$A$2:$A$36,SMMLV!$D$2:$D$104),3))</f>
        <v/>
      </c>
      <c r="K792" s="758"/>
      <c r="L792" s="189">
        <v>7</v>
      </c>
      <c r="M792" s="759" t="str">
        <f t="shared" si="76"/>
        <v>NO APLICA</v>
      </c>
      <c r="N792" s="759"/>
    </row>
    <row r="793" spans="2:14">
      <c r="B793" s="182"/>
      <c r="C793" s="182"/>
      <c r="E793" s="183"/>
      <c r="F793" s="229" t="str">
        <f>IF(OR(D793="",E793=""),"",ROUND(D793/LOOKUP(E793,SMMLV!$A$2:$A$36,SMMLV!$D$2:$D$104),3))</f>
        <v/>
      </c>
      <c r="K793" s="758"/>
      <c r="L793" s="189">
        <v>8</v>
      </c>
      <c r="M793" s="759" t="str">
        <f t="shared" si="76"/>
        <v>NO APLICA</v>
      </c>
      <c r="N793" s="759"/>
    </row>
    <row r="794" spans="2:14">
      <c r="B794" s="182"/>
      <c r="C794" s="182"/>
      <c r="E794" s="183"/>
      <c r="F794" s="229" t="str">
        <f>IF(OR(D794="",E794=""),"",ROUND(D794/LOOKUP(E794,SMMLV!$A$2:$A$36,SMMLV!$D$2:$D$104),3))</f>
        <v/>
      </c>
      <c r="K794" s="758"/>
      <c r="L794" s="189">
        <v>9</v>
      </c>
      <c r="M794" s="759" t="str">
        <f t="shared" si="76"/>
        <v>NO APLICA</v>
      </c>
      <c r="N794" s="759"/>
    </row>
    <row r="795" spans="2:14">
      <c r="B795" s="182"/>
      <c r="C795" s="182"/>
      <c r="E795" s="183"/>
      <c r="F795" s="229" t="str">
        <f>IF(OR(D795="",E795=""),"",ROUND(D795/LOOKUP(E795,SMMLV!$A$2:$A$36,SMMLV!$D$2:$D$104),3))</f>
        <v/>
      </c>
      <c r="K795" s="758"/>
      <c r="L795" s="189">
        <v>10</v>
      </c>
      <c r="M795" s="759" t="str">
        <f t="shared" si="76"/>
        <v>NO APLICA</v>
      </c>
      <c r="N795" s="759"/>
    </row>
    <row r="796" spans="2:14">
      <c r="B796" s="182"/>
      <c r="C796" s="182"/>
      <c r="E796" s="183"/>
      <c r="F796" s="229" t="str">
        <f>IF(OR(D796="",E796=""),"",ROUND(D796/LOOKUP(E796,SMMLV!$A$2:$A$36,SMMLV!$D$2:$D$104),3))</f>
        <v/>
      </c>
      <c r="K796" s="758">
        <v>80</v>
      </c>
      <c r="L796" s="189">
        <v>1</v>
      </c>
      <c r="M796" s="759" t="str">
        <f t="shared" ref="M796:M805" si="77">IF(SUMIFS($F$5:$F$1200,$B$5:$B$1200,$K$796,$C$5:$C$1200,$L796)=0,"NO APLICA",ROUND(SUMIFS($F$5:$F$1200,$B$5:$B$1200,$K$796,$C$5:$C$1200,$L796),3))</f>
        <v>NO APLICA</v>
      </c>
      <c r="N796" s="759"/>
    </row>
    <row r="797" spans="2:14">
      <c r="B797" s="182"/>
      <c r="C797" s="182"/>
      <c r="E797" s="183"/>
      <c r="F797" s="229" t="str">
        <f>IF(OR(D797="",E797=""),"",ROUND(D797/LOOKUP(E797,SMMLV!$A$2:$A$36,SMMLV!$D$2:$D$104),3))</f>
        <v/>
      </c>
      <c r="K797" s="758"/>
      <c r="L797" s="189">
        <v>2</v>
      </c>
      <c r="M797" s="759" t="str">
        <f t="shared" si="77"/>
        <v>NO APLICA</v>
      </c>
      <c r="N797" s="759"/>
    </row>
    <row r="798" spans="2:14">
      <c r="B798" s="182"/>
      <c r="C798" s="182"/>
      <c r="E798" s="183"/>
      <c r="F798" s="229" t="str">
        <f>IF(OR(D798="",E798=""),"",ROUND(D798/LOOKUP(E798,SMMLV!$A$2:$A$36,SMMLV!$D$2:$D$104),3))</f>
        <v/>
      </c>
      <c r="K798" s="758"/>
      <c r="L798" s="189">
        <v>3</v>
      </c>
      <c r="M798" s="759" t="str">
        <f t="shared" si="77"/>
        <v>NO APLICA</v>
      </c>
      <c r="N798" s="759"/>
    </row>
    <row r="799" spans="2:14">
      <c r="B799" s="182"/>
      <c r="C799" s="182"/>
      <c r="E799" s="183"/>
      <c r="F799" s="229" t="str">
        <f>IF(OR(D799="",E799=""),"",ROUND(D799/LOOKUP(E799,SMMLV!$A$2:$A$36,SMMLV!$D$2:$D$104),3))</f>
        <v/>
      </c>
      <c r="K799" s="758"/>
      <c r="L799" s="189">
        <v>4</v>
      </c>
      <c r="M799" s="759" t="str">
        <f t="shared" si="77"/>
        <v>NO APLICA</v>
      </c>
      <c r="N799" s="759"/>
    </row>
    <row r="800" spans="2:14">
      <c r="B800" s="182"/>
      <c r="C800" s="182"/>
      <c r="E800" s="183"/>
      <c r="F800" s="229" t="str">
        <f>IF(OR(D800="",E800=""),"",ROUND(D800/LOOKUP(E800,SMMLV!$A$2:$A$36,SMMLV!$D$2:$D$104),3))</f>
        <v/>
      </c>
      <c r="K800" s="758"/>
      <c r="L800" s="189">
        <v>5</v>
      </c>
      <c r="M800" s="759" t="str">
        <f t="shared" si="77"/>
        <v>NO APLICA</v>
      </c>
      <c r="N800" s="759"/>
    </row>
    <row r="801" spans="2:14">
      <c r="B801" s="182"/>
      <c r="C801" s="182"/>
      <c r="E801" s="183"/>
      <c r="F801" s="229" t="str">
        <f>IF(OR(D801="",E801=""),"",ROUND(D801/LOOKUP(E801,SMMLV!$A$2:$A$36,SMMLV!$D$2:$D$104),3))</f>
        <v/>
      </c>
      <c r="K801" s="758"/>
      <c r="L801" s="189">
        <v>6</v>
      </c>
      <c r="M801" s="759" t="str">
        <f t="shared" si="77"/>
        <v>NO APLICA</v>
      </c>
      <c r="N801" s="759"/>
    </row>
    <row r="802" spans="2:14">
      <c r="B802" s="182"/>
      <c r="C802" s="182"/>
      <c r="E802" s="183"/>
      <c r="F802" s="229" t="str">
        <f>IF(OR(D802="",E802=""),"",ROUND(D802/LOOKUP(E802,SMMLV!$A$2:$A$36,SMMLV!$D$2:$D$104),3))</f>
        <v/>
      </c>
      <c r="K802" s="758"/>
      <c r="L802" s="189">
        <v>7</v>
      </c>
      <c r="M802" s="759" t="str">
        <f t="shared" si="77"/>
        <v>NO APLICA</v>
      </c>
      <c r="N802" s="759"/>
    </row>
    <row r="803" spans="2:14">
      <c r="B803" s="182"/>
      <c r="C803" s="182"/>
      <c r="E803" s="183"/>
      <c r="F803" s="229" t="str">
        <f>IF(OR(D803="",E803=""),"",ROUND(D803/LOOKUP(E803,SMMLV!$A$2:$A$36,SMMLV!$D$2:$D$104),3))</f>
        <v/>
      </c>
      <c r="K803" s="758"/>
      <c r="L803" s="189">
        <v>8</v>
      </c>
      <c r="M803" s="759" t="str">
        <f t="shared" si="77"/>
        <v>NO APLICA</v>
      </c>
      <c r="N803" s="759"/>
    </row>
    <row r="804" spans="2:14">
      <c r="B804" s="182"/>
      <c r="C804" s="182"/>
      <c r="E804" s="183"/>
      <c r="F804" s="229" t="str">
        <f>IF(OR(D804="",E804=""),"",ROUND(D804/LOOKUP(E804,SMMLV!$A$2:$A$36,SMMLV!$D$2:$D$104),3))</f>
        <v/>
      </c>
      <c r="K804" s="758"/>
      <c r="L804" s="189">
        <v>9</v>
      </c>
      <c r="M804" s="759" t="str">
        <f t="shared" si="77"/>
        <v>NO APLICA</v>
      </c>
      <c r="N804" s="759"/>
    </row>
    <row r="805" spans="2:14">
      <c r="B805" s="182"/>
      <c r="C805" s="182"/>
      <c r="E805" s="183"/>
      <c r="F805" s="229" t="str">
        <f>IF(OR(D805="",E805=""),"",ROUND(D805/LOOKUP(E805,SMMLV!$A$2:$A$36,SMMLV!$D$2:$D$104),3))</f>
        <v/>
      </c>
      <c r="K805" s="758"/>
      <c r="L805" s="189">
        <v>10</v>
      </c>
      <c r="M805" s="759" t="str">
        <f t="shared" si="77"/>
        <v>NO APLICA</v>
      </c>
      <c r="N805" s="759"/>
    </row>
    <row r="806" spans="2:14">
      <c r="B806" s="182"/>
      <c r="C806" s="182"/>
      <c r="E806" s="183"/>
      <c r="F806" s="229" t="str">
        <f>IF(OR(D806="",E806=""),"",ROUND(D806/LOOKUP(E806,SMMLV!$A$2:$A$36,SMMLV!$D$2:$D$104),3))</f>
        <v/>
      </c>
      <c r="K806" s="758">
        <v>81</v>
      </c>
      <c r="L806" s="189">
        <v>1</v>
      </c>
      <c r="M806" s="759" t="str">
        <f t="shared" ref="M806:M815" si="78">IF(SUMIFS($F$5:$F$1200,$B$5:$B$1200,$K$806,$C$5:$C$1200,$L806)=0,"NO APLICA",ROUND(SUMIFS($F$5:$F$1200,$B$5:$B$1200,$K$806,$C$5:$C$1200,$L806),3))</f>
        <v>NO APLICA</v>
      </c>
      <c r="N806" s="759"/>
    </row>
    <row r="807" spans="2:14">
      <c r="B807" s="182"/>
      <c r="C807" s="182"/>
      <c r="E807" s="183"/>
      <c r="F807" s="229" t="str">
        <f>IF(OR(D807="",E807=""),"",ROUND(D807/LOOKUP(E807,SMMLV!$A$2:$A$36,SMMLV!$D$2:$D$104),3))</f>
        <v/>
      </c>
      <c r="K807" s="758"/>
      <c r="L807" s="189">
        <v>2</v>
      </c>
      <c r="M807" s="759" t="str">
        <f t="shared" si="78"/>
        <v>NO APLICA</v>
      </c>
      <c r="N807" s="759"/>
    </row>
    <row r="808" spans="2:14">
      <c r="B808" s="182"/>
      <c r="C808" s="182"/>
      <c r="E808" s="183"/>
      <c r="F808" s="229" t="str">
        <f>IF(OR(D808="",E808=""),"",ROUND(D808/LOOKUP(E808,SMMLV!$A$2:$A$36,SMMLV!$D$2:$D$104),3))</f>
        <v/>
      </c>
      <c r="K808" s="758"/>
      <c r="L808" s="189">
        <v>3</v>
      </c>
      <c r="M808" s="759" t="str">
        <f t="shared" si="78"/>
        <v>NO APLICA</v>
      </c>
      <c r="N808" s="759"/>
    </row>
    <row r="809" spans="2:14">
      <c r="B809" s="182"/>
      <c r="C809" s="182"/>
      <c r="E809" s="183"/>
      <c r="F809" s="229" t="str">
        <f>IF(OR(D809="",E809=""),"",ROUND(D809/LOOKUP(E809,SMMLV!$A$2:$A$36,SMMLV!$D$2:$D$104),3))</f>
        <v/>
      </c>
      <c r="K809" s="758"/>
      <c r="L809" s="189">
        <v>4</v>
      </c>
      <c r="M809" s="759" t="str">
        <f t="shared" si="78"/>
        <v>NO APLICA</v>
      </c>
      <c r="N809" s="759"/>
    </row>
    <row r="810" spans="2:14">
      <c r="B810" s="182"/>
      <c r="C810" s="182"/>
      <c r="E810" s="183"/>
      <c r="F810" s="229" t="str">
        <f>IF(OR(D810="",E810=""),"",ROUND(D810/LOOKUP(E810,SMMLV!$A$2:$A$36,SMMLV!$D$2:$D$104),3))</f>
        <v/>
      </c>
      <c r="K810" s="758"/>
      <c r="L810" s="189">
        <v>5</v>
      </c>
      <c r="M810" s="759" t="str">
        <f t="shared" si="78"/>
        <v>NO APLICA</v>
      </c>
      <c r="N810" s="759"/>
    </row>
    <row r="811" spans="2:14">
      <c r="B811" s="182"/>
      <c r="C811" s="182"/>
      <c r="E811" s="183"/>
      <c r="F811" s="229" t="str">
        <f>IF(OR(D811="",E811=""),"",ROUND(D811/LOOKUP(E811,SMMLV!$A$2:$A$36,SMMLV!$D$2:$D$104),3))</f>
        <v/>
      </c>
      <c r="K811" s="758"/>
      <c r="L811" s="189">
        <v>6</v>
      </c>
      <c r="M811" s="759" t="str">
        <f t="shared" si="78"/>
        <v>NO APLICA</v>
      </c>
      <c r="N811" s="759"/>
    </row>
    <row r="812" spans="2:14">
      <c r="B812" s="182"/>
      <c r="C812" s="182"/>
      <c r="E812" s="183"/>
      <c r="F812" s="229" t="str">
        <f>IF(OR(D812="",E812=""),"",ROUND(D812/LOOKUP(E812,SMMLV!$A$2:$A$36,SMMLV!$D$2:$D$104),3))</f>
        <v/>
      </c>
      <c r="K812" s="758"/>
      <c r="L812" s="189">
        <v>7</v>
      </c>
      <c r="M812" s="759" t="str">
        <f t="shared" si="78"/>
        <v>NO APLICA</v>
      </c>
      <c r="N812" s="759"/>
    </row>
    <row r="813" spans="2:14">
      <c r="B813" s="182"/>
      <c r="C813" s="182"/>
      <c r="E813" s="183"/>
      <c r="F813" s="229" t="str">
        <f>IF(OR(D813="",E813=""),"",ROUND(D813/LOOKUP(E813,SMMLV!$A$2:$A$36,SMMLV!$D$2:$D$104),3))</f>
        <v/>
      </c>
      <c r="K813" s="758"/>
      <c r="L813" s="189">
        <v>8</v>
      </c>
      <c r="M813" s="759" t="str">
        <f t="shared" si="78"/>
        <v>NO APLICA</v>
      </c>
      <c r="N813" s="759"/>
    </row>
    <row r="814" spans="2:14">
      <c r="B814" s="182"/>
      <c r="C814" s="182"/>
      <c r="E814" s="183"/>
      <c r="F814" s="229" t="str">
        <f>IF(OR(D814="",E814=""),"",ROUND(D814/LOOKUP(E814,SMMLV!$A$2:$A$36,SMMLV!$D$2:$D$104),3))</f>
        <v/>
      </c>
      <c r="K814" s="758"/>
      <c r="L814" s="189">
        <v>9</v>
      </c>
      <c r="M814" s="759" t="str">
        <f t="shared" si="78"/>
        <v>NO APLICA</v>
      </c>
      <c r="N814" s="759"/>
    </row>
    <row r="815" spans="2:14">
      <c r="B815" s="182"/>
      <c r="C815" s="182"/>
      <c r="E815" s="183"/>
      <c r="F815" s="229" t="str">
        <f>IF(OR(D815="",E815=""),"",ROUND(D815/LOOKUP(E815,SMMLV!$A$2:$A$36,SMMLV!$D$2:$D$104),3))</f>
        <v/>
      </c>
      <c r="K815" s="758"/>
      <c r="L815" s="189">
        <v>10</v>
      </c>
      <c r="M815" s="759" t="str">
        <f t="shared" si="78"/>
        <v>NO APLICA</v>
      </c>
      <c r="N815" s="759"/>
    </row>
    <row r="816" spans="2:14">
      <c r="B816" s="182"/>
      <c r="C816" s="182"/>
      <c r="E816" s="183"/>
      <c r="F816" s="229" t="str">
        <f>IF(OR(D816="",E816=""),"",ROUND(D816/LOOKUP(E816,SMMLV!$A$2:$A$36,SMMLV!$D$2:$D$104),3))</f>
        <v/>
      </c>
      <c r="K816" s="758">
        <v>82</v>
      </c>
      <c r="L816" s="189">
        <v>1</v>
      </c>
      <c r="M816" s="759" t="str">
        <f t="shared" ref="M816:M825" si="79">IF(SUMIFS($F$5:$F$1200,$B$5:$B$1200,$K$816,$C$5:$C$1200,$L816)=0,"NO APLICA",ROUND(SUMIFS($F$5:$F$1200,$B$5:$B$1200,$K$816,$C$5:$C$1200,$L816),3))</f>
        <v>NO APLICA</v>
      </c>
      <c r="N816" s="759"/>
    </row>
    <row r="817" spans="2:14">
      <c r="B817" s="182"/>
      <c r="C817" s="182"/>
      <c r="E817" s="183"/>
      <c r="F817" s="229" t="str">
        <f>IF(OR(D817="",E817=""),"",ROUND(D817/LOOKUP(E817,SMMLV!$A$2:$A$36,SMMLV!$D$2:$D$104),3))</f>
        <v/>
      </c>
      <c r="K817" s="758"/>
      <c r="L817" s="189">
        <v>2</v>
      </c>
      <c r="M817" s="759" t="str">
        <f t="shared" si="79"/>
        <v>NO APLICA</v>
      </c>
      <c r="N817" s="759"/>
    </row>
    <row r="818" spans="2:14">
      <c r="B818" s="182"/>
      <c r="C818" s="182"/>
      <c r="E818" s="183"/>
      <c r="F818" s="229" t="str">
        <f>IF(OR(D818="",E818=""),"",ROUND(D818/LOOKUP(E818,SMMLV!$A$2:$A$36,SMMLV!$D$2:$D$104),3))</f>
        <v/>
      </c>
      <c r="K818" s="758"/>
      <c r="L818" s="189">
        <v>3</v>
      </c>
      <c r="M818" s="759" t="str">
        <f t="shared" si="79"/>
        <v>NO APLICA</v>
      </c>
      <c r="N818" s="759"/>
    </row>
    <row r="819" spans="2:14">
      <c r="B819" s="182"/>
      <c r="C819" s="182"/>
      <c r="E819" s="183"/>
      <c r="F819" s="229" t="str">
        <f>IF(OR(D819="",E819=""),"",ROUND(D819/LOOKUP(E819,SMMLV!$A$2:$A$36,SMMLV!$D$2:$D$104),3))</f>
        <v/>
      </c>
      <c r="K819" s="758"/>
      <c r="L819" s="189">
        <v>4</v>
      </c>
      <c r="M819" s="759" t="str">
        <f t="shared" si="79"/>
        <v>NO APLICA</v>
      </c>
      <c r="N819" s="759"/>
    </row>
    <row r="820" spans="2:14">
      <c r="B820" s="182"/>
      <c r="C820" s="182"/>
      <c r="E820" s="183"/>
      <c r="F820" s="229" t="str">
        <f>IF(OR(D820="",E820=""),"",ROUND(D820/LOOKUP(E820,SMMLV!$A$2:$A$36,SMMLV!$D$2:$D$104),3))</f>
        <v/>
      </c>
      <c r="K820" s="758"/>
      <c r="L820" s="189">
        <v>5</v>
      </c>
      <c r="M820" s="759" t="str">
        <f t="shared" si="79"/>
        <v>NO APLICA</v>
      </c>
      <c r="N820" s="759"/>
    </row>
    <row r="821" spans="2:14">
      <c r="B821" s="182"/>
      <c r="C821" s="182"/>
      <c r="E821" s="183"/>
      <c r="F821" s="229" t="str">
        <f>IF(OR(D821="",E821=""),"",ROUND(D821/LOOKUP(E821,SMMLV!$A$2:$A$36,SMMLV!$D$2:$D$104),3))</f>
        <v/>
      </c>
      <c r="K821" s="758"/>
      <c r="L821" s="189">
        <v>6</v>
      </c>
      <c r="M821" s="759" t="str">
        <f t="shared" si="79"/>
        <v>NO APLICA</v>
      </c>
      <c r="N821" s="759"/>
    </row>
    <row r="822" spans="2:14">
      <c r="B822" s="182"/>
      <c r="C822" s="182"/>
      <c r="E822" s="183"/>
      <c r="F822" s="229" t="str">
        <f>IF(OR(D822="",E822=""),"",ROUND(D822/LOOKUP(E822,SMMLV!$A$2:$A$36,SMMLV!$D$2:$D$104),3))</f>
        <v/>
      </c>
      <c r="K822" s="758"/>
      <c r="L822" s="189">
        <v>7</v>
      </c>
      <c r="M822" s="759" t="str">
        <f t="shared" si="79"/>
        <v>NO APLICA</v>
      </c>
      <c r="N822" s="759"/>
    </row>
    <row r="823" spans="2:14">
      <c r="B823" s="182"/>
      <c r="C823" s="182"/>
      <c r="E823" s="183"/>
      <c r="F823" s="229" t="str">
        <f>IF(OR(D823="",E823=""),"",ROUND(D823/LOOKUP(E823,SMMLV!$A$2:$A$36,SMMLV!$D$2:$D$104),3))</f>
        <v/>
      </c>
      <c r="K823" s="758"/>
      <c r="L823" s="189">
        <v>8</v>
      </c>
      <c r="M823" s="759" t="str">
        <f t="shared" si="79"/>
        <v>NO APLICA</v>
      </c>
      <c r="N823" s="759"/>
    </row>
    <row r="824" spans="2:14">
      <c r="B824" s="182"/>
      <c r="C824" s="182"/>
      <c r="E824" s="183"/>
      <c r="F824" s="229" t="str">
        <f>IF(OR(D824="",E824=""),"",ROUND(D824/LOOKUP(E824,SMMLV!$A$2:$A$36,SMMLV!$D$2:$D$104),3))</f>
        <v/>
      </c>
      <c r="K824" s="758"/>
      <c r="L824" s="189">
        <v>9</v>
      </c>
      <c r="M824" s="759" t="str">
        <f t="shared" si="79"/>
        <v>NO APLICA</v>
      </c>
      <c r="N824" s="759"/>
    </row>
    <row r="825" spans="2:14">
      <c r="B825" s="182"/>
      <c r="C825" s="182"/>
      <c r="E825" s="183"/>
      <c r="F825" s="229" t="str">
        <f>IF(OR(D825="",E825=""),"",ROUND(D825/LOOKUP(E825,SMMLV!$A$2:$A$36,SMMLV!$D$2:$D$104),3))</f>
        <v/>
      </c>
      <c r="K825" s="758"/>
      <c r="L825" s="189">
        <v>10</v>
      </c>
      <c r="M825" s="759" t="str">
        <f t="shared" si="79"/>
        <v>NO APLICA</v>
      </c>
      <c r="N825" s="759"/>
    </row>
    <row r="826" spans="2:14">
      <c r="B826" s="182"/>
      <c r="C826" s="182"/>
      <c r="E826" s="183"/>
      <c r="F826" s="229" t="str">
        <f>IF(OR(D826="",E826=""),"",ROUND(D826/LOOKUP(E826,SMMLV!$A$2:$A$36,SMMLV!$D$2:$D$104),3))</f>
        <v/>
      </c>
      <c r="K826" s="758">
        <v>83</v>
      </c>
      <c r="L826" s="189">
        <v>1</v>
      </c>
      <c r="M826" s="759" t="str">
        <f t="shared" ref="M826:M835" si="80">IF(SUMIFS($F$5:$F$1200,$B$5:$B$1200,$K$826,$C$5:$C$1200,$L826)=0,"NO APLICA",ROUND(SUMIFS($F$5:$F$1200,$B$5:$B$1200,$K$826,$C$5:$C$1200,$L826),3))</f>
        <v>NO APLICA</v>
      </c>
      <c r="N826" s="759"/>
    </row>
    <row r="827" spans="2:14">
      <c r="B827" s="182"/>
      <c r="C827" s="182"/>
      <c r="E827" s="183"/>
      <c r="F827" s="229" t="str">
        <f>IF(OR(D827="",E827=""),"",ROUND(D827/LOOKUP(E827,SMMLV!$A$2:$A$36,SMMLV!$D$2:$D$104),3))</f>
        <v/>
      </c>
      <c r="K827" s="758"/>
      <c r="L827" s="189">
        <v>2</v>
      </c>
      <c r="M827" s="759" t="str">
        <f t="shared" si="80"/>
        <v>NO APLICA</v>
      </c>
      <c r="N827" s="759"/>
    </row>
    <row r="828" spans="2:14">
      <c r="B828" s="182"/>
      <c r="C828" s="182"/>
      <c r="E828" s="183"/>
      <c r="F828" s="229" t="str">
        <f>IF(OR(D828="",E828=""),"",ROUND(D828/LOOKUP(E828,SMMLV!$A$2:$A$36,SMMLV!$D$2:$D$104),3))</f>
        <v/>
      </c>
      <c r="K828" s="758"/>
      <c r="L828" s="189">
        <v>3</v>
      </c>
      <c r="M828" s="759" t="str">
        <f t="shared" si="80"/>
        <v>NO APLICA</v>
      </c>
      <c r="N828" s="759"/>
    </row>
    <row r="829" spans="2:14">
      <c r="B829" s="182"/>
      <c r="C829" s="182"/>
      <c r="E829" s="183"/>
      <c r="F829" s="229" t="str">
        <f>IF(OR(D829="",E829=""),"",ROUND(D829/LOOKUP(E829,SMMLV!$A$2:$A$36,SMMLV!$D$2:$D$104),3))</f>
        <v/>
      </c>
      <c r="K829" s="758"/>
      <c r="L829" s="189">
        <v>4</v>
      </c>
      <c r="M829" s="759" t="str">
        <f t="shared" si="80"/>
        <v>NO APLICA</v>
      </c>
      <c r="N829" s="759"/>
    </row>
    <row r="830" spans="2:14">
      <c r="B830" s="182"/>
      <c r="C830" s="182"/>
      <c r="E830" s="183"/>
      <c r="F830" s="229" t="str">
        <f>IF(OR(D830="",E830=""),"",ROUND(D830/LOOKUP(E830,SMMLV!$A$2:$A$36,SMMLV!$D$2:$D$104),3))</f>
        <v/>
      </c>
      <c r="K830" s="758"/>
      <c r="L830" s="189">
        <v>5</v>
      </c>
      <c r="M830" s="759" t="str">
        <f t="shared" si="80"/>
        <v>NO APLICA</v>
      </c>
      <c r="N830" s="759"/>
    </row>
    <row r="831" spans="2:14">
      <c r="B831" s="182"/>
      <c r="C831" s="182"/>
      <c r="E831" s="183"/>
      <c r="F831" s="229" t="str">
        <f>IF(OR(D831="",E831=""),"",ROUND(D831/LOOKUP(E831,SMMLV!$A$2:$A$36,SMMLV!$D$2:$D$104),3))</f>
        <v/>
      </c>
      <c r="K831" s="758"/>
      <c r="L831" s="189">
        <v>6</v>
      </c>
      <c r="M831" s="759" t="str">
        <f t="shared" si="80"/>
        <v>NO APLICA</v>
      </c>
      <c r="N831" s="759"/>
    </row>
    <row r="832" spans="2:14">
      <c r="B832" s="182"/>
      <c r="C832" s="182"/>
      <c r="E832" s="183"/>
      <c r="F832" s="229" t="str">
        <f>IF(OR(D832="",E832=""),"",ROUND(D832/LOOKUP(E832,SMMLV!$A$2:$A$36,SMMLV!$D$2:$D$104),3))</f>
        <v/>
      </c>
      <c r="K832" s="758"/>
      <c r="L832" s="189">
        <v>7</v>
      </c>
      <c r="M832" s="759" t="str">
        <f t="shared" si="80"/>
        <v>NO APLICA</v>
      </c>
      <c r="N832" s="759"/>
    </row>
    <row r="833" spans="2:14">
      <c r="B833" s="182"/>
      <c r="C833" s="182"/>
      <c r="E833" s="183"/>
      <c r="F833" s="229" t="str">
        <f>IF(OR(D833="",E833=""),"",ROUND(D833/LOOKUP(E833,SMMLV!$A$2:$A$36,SMMLV!$D$2:$D$104),3))</f>
        <v/>
      </c>
      <c r="K833" s="758"/>
      <c r="L833" s="189">
        <v>8</v>
      </c>
      <c r="M833" s="759" t="str">
        <f t="shared" si="80"/>
        <v>NO APLICA</v>
      </c>
      <c r="N833" s="759"/>
    </row>
    <row r="834" spans="2:14">
      <c r="B834" s="182"/>
      <c r="C834" s="182"/>
      <c r="E834" s="183"/>
      <c r="F834" s="229" t="str">
        <f>IF(OR(D834="",E834=""),"",ROUND(D834/LOOKUP(E834,SMMLV!$A$2:$A$36,SMMLV!$D$2:$D$104),3))</f>
        <v/>
      </c>
      <c r="K834" s="758"/>
      <c r="L834" s="189">
        <v>9</v>
      </c>
      <c r="M834" s="759" t="str">
        <f t="shared" si="80"/>
        <v>NO APLICA</v>
      </c>
      <c r="N834" s="759"/>
    </row>
    <row r="835" spans="2:14">
      <c r="B835" s="182"/>
      <c r="C835" s="182"/>
      <c r="E835" s="183"/>
      <c r="F835" s="229" t="str">
        <f>IF(OR(D835="",E835=""),"",ROUND(D835/LOOKUP(E835,SMMLV!$A$2:$A$36,SMMLV!$D$2:$D$104),3))</f>
        <v/>
      </c>
      <c r="K835" s="758"/>
      <c r="L835" s="189">
        <v>10</v>
      </c>
      <c r="M835" s="759" t="str">
        <f t="shared" si="80"/>
        <v>NO APLICA</v>
      </c>
      <c r="N835" s="759"/>
    </row>
    <row r="836" spans="2:14">
      <c r="B836" s="182"/>
      <c r="C836" s="182"/>
      <c r="E836" s="183"/>
      <c r="F836" s="229" t="str">
        <f>IF(OR(D836="",E836=""),"",ROUND(D836/LOOKUP(E836,SMMLV!$A$2:$A$36,SMMLV!$D$2:$D$104),3))</f>
        <v/>
      </c>
      <c r="K836" s="758">
        <v>84</v>
      </c>
      <c r="L836" s="189">
        <v>1</v>
      </c>
      <c r="M836" s="759" t="str">
        <f t="shared" ref="M836:M845" si="81">IF(SUMIFS($F$5:$F$1200,$B$5:$B$1200,$K$836,$C$5:$C$1200,$L836)=0,"NO APLICA",ROUND(SUMIFS($F$5:$F$1200,$B$5:$B$1200,$K$836,$C$5:$C$1200,$L836),3))</f>
        <v>NO APLICA</v>
      </c>
      <c r="N836" s="759"/>
    </row>
    <row r="837" spans="2:14">
      <c r="B837" s="182"/>
      <c r="C837" s="182"/>
      <c r="E837" s="183"/>
      <c r="F837" s="229" t="str">
        <f>IF(OR(D837="",E837=""),"",ROUND(D837/LOOKUP(E837,SMMLV!$A$2:$A$36,SMMLV!$D$2:$D$104),3))</f>
        <v/>
      </c>
      <c r="K837" s="758"/>
      <c r="L837" s="189">
        <v>2</v>
      </c>
      <c r="M837" s="759" t="str">
        <f t="shared" si="81"/>
        <v>NO APLICA</v>
      </c>
      <c r="N837" s="759"/>
    </row>
    <row r="838" spans="2:14">
      <c r="B838" s="182"/>
      <c r="C838" s="182"/>
      <c r="E838" s="183"/>
      <c r="F838" s="229" t="str">
        <f>IF(OR(D838="",E838=""),"",ROUND(D838/LOOKUP(E838,SMMLV!$A$2:$A$36,SMMLV!$D$2:$D$104),3))</f>
        <v/>
      </c>
      <c r="K838" s="758"/>
      <c r="L838" s="189">
        <v>3</v>
      </c>
      <c r="M838" s="759" t="str">
        <f t="shared" si="81"/>
        <v>NO APLICA</v>
      </c>
      <c r="N838" s="759"/>
    </row>
    <row r="839" spans="2:14">
      <c r="B839" s="182"/>
      <c r="C839" s="182"/>
      <c r="E839" s="183"/>
      <c r="F839" s="229" t="str">
        <f>IF(OR(D839="",E839=""),"",ROUND(D839/LOOKUP(E839,SMMLV!$A$2:$A$36,SMMLV!$D$2:$D$104),3))</f>
        <v/>
      </c>
      <c r="K839" s="758"/>
      <c r="L839" s="189">
        <v>4</v>
      </c>
      <c r="M839" s="759" t="str">
        <f t="shared" si="81"/>
        <v>NO APLICA</v>
      </c>
      <c r="N839" s="759"/>
    </row>
    <row r="840" spans="2:14">
      <c r="B840" s="182"/>
      <c r="C840" s="182"/>
      <c r="E840" s="183"/>
      <c r="F840" s="229" t="str">
        <f>IF(OR(D840="",E840=""),"",ROUND(D840/LOOKUP(E840,SMMLV!$A$2:$A$36,SMMLV!$D$2:$D$104),3))</f>
        <v/>
      </c>
      <c r="K840" s="758"/>
      <c r="L840" s="189">
        <v>5</v>
      </c>
      <c r="M840" s="759" t="str">
        <f t="shared" si="81"/>
        <v>NO APLICA</v>
      </c>
      <c r="N840" s="759"/>
    </row>
    <row r="841" spans="2:14">
      <c r="B841" s="182"/>
      <c r="C841" s="182"/>
      <c r="E841" s="183"/>
      <c r="F841" s="229" t="str">
        <f>IF(OR(D841="",E841=""),"",ROUND(D841/LOOKUP(E841,SMMLV!$A$2:$A$36,SMMLV!$D$2:$D$104),3))</f>
        <v/>
      </c>
      <c r="K841" s="758"/>
      <c r="L841" s="189">
        <v>6</v>
      </c>
      <c r="M841" s="759" t="str">
        <f t="shared" si="81"/>
        <v>NO APLICA</v>
      </c>
      <c r="N841" s="759"/>
    </row>
    <row r="842" spans="2:14">
      <c r="B842" s="182"/>
      <c r="C842" s="182"/>
      <c r="E842" s="183"/>
      <c r="F842" s="229" t="str">
        <f>IF(OR(D842="",E842=""),"",ROUND(D842/LOOKUP(E842,SMMLV!$A$2:$A$36,SMMLV!$D$2:$D$104),3))</f>
        <v/>
      </c>
      <c r="K842" s="758"/>
      <c r="L842" s="189">
        <v>7</v>
      </c>
      <c r="M842" s="759" t="str">
        <f t="shared" si="81"/>
        <v>NO APLICA</v>
      </c>
      <c r="N842" s="759"/>
    </row>
    <row r="843" spans="2:14">
      <c r="B843" s="182"/>
      <c r="C843" s="182"/>
      <c r="E843" s="183"/>
      <c r="F843" s="229" t="str">
        <f>IF(OR(D843="",E843=""),"",ROUND(D843/LOOKUP(E843,SMMLV!$A$2:$A$36,SMMLV!$D$2:$D$104),3))</f>
        <v/>
      </c>
      <c r="K843" s="758"/>
      <c r="L843" s="189">
        <v>8</v>
      </c>
      <c r="M843" s="759" t="str">
        <f t="shared" si="81"/>
        <v>NO APLICA</v>
      </c>
      <c r="N843" s="759"/>
    </row>
    <row r="844" spans="2:14">
      <c r="B844" s="182"/>
      <c r="C844" s="182"/>
      <c r="E844" s="183"/>
      <c r="F844" s="229" t="str">
        <f>IF(OR(D844="",E844=""),"",ROUND(D844/LOOKUP(E844,SMMLV!$A$2:$A$36,SMMLV!$D$2:$D$104),3))</f>
        <v/>
      </c>
      <c r="K844" s="758"/>
      <c r="L844" s="189">
        <v>9</v>
      </c>
      <c r="M844" s="759" t="str">
        <f t="shared" si="81"/>
        <v>NO APLICA</v>
      </c>
      <c r="N844" s="759"/>
    </row>
    <row r="845" spans="2:14">
      <c r="B845" s="182"/>
      <c r="C845" s="182"/>
      <c r="E845" s="183"/>
      <c r="F845" s="229" t="str">
        <f>IF(OR(D845="",E845=""),"",ROUND(D845/LOOKUP(E845,SMMLV!$A$2:$A$36,SMMLV!$D$2:$D$104),3))</f>
        <v/>
      </c>
      <c r="K845" s="758"/>
      <c r="L845" s="189">
        <v>10</v>
      </c>
      <c r="M845" s="759" t="str">
        <f t="shared" si="81"/>
        <v>NO APLICA</v>
      </c>
      <c r="N845" s="759"/>
    </row>
    <row r="846" spans="2:14">
      <c r="B846" s="182"/>
      <c r="C846" s="182"/>
      <c r="E846" s="183"/>
      <c r="F846" s="229" t="str">
        <f>IF(OR(D846="",E846=""),"",ROUND(D846/LOOKUP(E846,SMMLV!$A$2:$A$36,SMMLV!$D$2:$D$104),3))</f>
        <v/>
      </c>
      <c r="K846" s="758">
        <v>85</v>
      </c>
      <c r="L846" s="189">
        <v>1</v>
      </c>
      <c r="M846" s="759" t="str">
        <f t="shared" ref="M846:M855" si="82">IF(SUMIFS($F$5:$F$1200,$B$5:$B$1200,$K$846,$C$5:$C$1200,$L846)=0,"NO APLICA",ROUND(SUMIFS($F$5:$F$1200,$B$5:$B$1200,$K$846,$C$5:$C$1200,$L846),3))</f>
        <v>NO APLICA</v>
      </c>
      <c r="N846" s="759"/>
    </row>
    <row r="847" spans="2:14">
      <c r="B847" s="182"/>
      <c r="C847" s="182"/>
      <c r="E847" s="183"/>
      <c r="F847" s="229" t="str">
        <f>IF(OR(D847="",E847=""),"",ROUND(D847/LOOKUP(E847,SMMLV!$A$2:$A$36,SMMLV!$D$2:$D$104),3))</f>
        <v/>
      </c>
      <c r="K847" s="758"/>
      <c r="L847" s="189">
        <v>2</v>
      </c>
      <c r="M847" s="759" t="str">
        <f t="shared" si="82"/>
        <v>NO APLICA</v>
      </c>
      <c r="N847" s="759"/>
    </row>
    <row r="848" spans="2:14">
      <c r="B848" s="182"/>
      <c r="C848" s="182"/>
      <c r="E848" s="183"/>
      <c r="F848" s="229" t="str">
        <f>IF(OR(D848="",E848=""),"",ROUND(D848/LOOKUP(E848,SMMLV!$A$2:$A$36,SMMLV!$D$2:$D$104),3))</f>
        <v/>
      </c>
      <c r="K848" s="758"/>
      <c r="L848" s="189">
        <v>3</v>
      </c>
      <c r="M848" s="759" t="str">
        <f t="shared" si="82"/>
        <v>NO APLICA</v>
      </c>
      <c r="N848" s="759"/>
    </row>
    <row r="849" spans="2:14">
      <c r="B849" s="182"/>
      <c r="C849" s="182"/>
      <c r="E849" s="183"/>
      <c r="F849" s="229" t="str">
        <f>IF(OR(D849="",E849=""),"",ROUND(D849/LOOKUP(E849,SMMLV!$A$2:$A$36,SMMLV!$D$2:$D$104),3))</f>
        <v/>
      </c>
      <c r="K849" s="758"/>
      <c r="L849" s="189">
        <v>4</v>
      </c>
      <c r="M849" s="759" t="str">
        <f t="shared" si="82"/>
        <v>NO APLICA</v>
      </c>
      <c r="N849" s="759"/>
    </row>
    <row r="850" spans="2:14">
      <c r="B850" s="182"/>
      <c r="C850" s="182"/>
      <c r="E850" s="183"/>
      <c r="F850" s="229" t="str">
        <f>IF(OR(D850="",E850=""),"",ROUND(D850/LOOKUP(E850,SMMLV!$A$2:$A$36,SMMLV!$D$2:$D$104),3))</f>
        <v/>
      </c>
      <c r="K850" s="758"/>
      <c r="L850" s="189">
        <v>5</v>
      </c>
      <c r="M850" s="759" t="str">
        <f t="shared" si="82"/>
        <v>NO APLICA</v>
      </c>
      <c r="N850" s="759"/>
    </row>
    <row r="851" spans="2:14">
      <c r="B851" s="182"/>
      <c r="C851" s="182"/>
      <c r="E851" s="183"/>
      <c r="F851" s="229" t="str">
        <f>IF(OR(D851="",E851=""),"",ROUND(D851/LOOKUP(E851,SMMLV!$A$2:$A$36,SMMLV!$D$2:$D$104),3))</f>
        <v/>
      </c>
      <c r="K851" s="758"/>
      <c r="L851" s="189">
        <v>6</v>
      </c>
      <c r="M851" s="759" t="str">
        <f t="shared" si="82"/>
        <v>NO APLICA</v>
      </c>
      <c r="N851" s="759"/>
    </row>
    <row r="852" spans="2:14">
      <c r="B852" s="182"/>
      <c r="C852" s="182"/>
      <c r="E852" s="183"/>
      <c r="F852" s="229" t="str">
        <f>IF(OR(D852="",E852=""),"",ROUND(D852/LOOKUP(E852,SMMLV!$A$2:$A$36,SMMLV!$D$2:$D$104),3))</f>
        <v/>
      </c>
      <c r="K852" s="758"/>
      <c r="L852" s="189">
        <v>7</v>
      </c>
      <c r="M852" s="759" t="str">
        <f t="shared" si="82"/>
        <v>NO APLICA</v>
      </c>
      <c r="N852" s="759"/>
    </row>
    <row r="853" spans="2:14">
      <c r="B853" s="182"/>
      <c r="C853" s="182"/>
      <c r="E853" s="183"/>
      <c r="F853" s="229" t="str">
        <f>IF(OR(D853="",E853=""),"",ROUND(D853/LOOKUP(E853,SMMLV!$A$2:$A$36,SMMLV!$D$2:$D$104),3))</f>
        <v/>
      </c>
      <c r="K853" s="758"/>
      <c r="L853" s="189">
        <v>8</v>
      </c>
      <c r="M853" s="759" t="str">
        <f t="shared" si="82"/>
        <v>NO APLICA</v>
      </c>
      <c r="N853" s="759"/>
    </row>
    <row r="854" spans="2:14">
      <c r="B854" s="182"/>
      <c r="C854" s="182"/>
      <c r="E854" s="183"/>
      <c r="F854" s="229" t="str">
        <f>IF(OR(D854="",E854=""),"",ROUND(D854/LOOKUP(E854,SMMLV!$A$2:$A$36,SMMLV!$D$2:$D$104),3))</f>
        <v/>
      </c>
      <c r="K854" s="758"/>
      <c r="L854" s="189">
        <v>9</v>
      </c>
      <c r="M854" s="759" t="str">
        <f t="shared" si="82"/>
        <v>NO APLICA</v>
      </c>
      <c r="N854" s="759"/>
    </row>
    <row r="855" spans="2:14">
      <c r="B855" s="182"/>
      <c r="C855" s="182"/>
      <c r="E855" s="183"/>
      <c r="F855" s="229" t="str">
        <f>IF(OR(D855="",E855=""),"",ROUND(D855/LOOKUP(E855,SMMLV!$A$2:$A$36,SMMLV!$D$2:$D$104),3))</f>
        <v/>
      </c>
      <c r="K855" s="758"/>
      <c r="L855" s="189">
        <v>10</v>
      </c>
      <c r="M855" s="759" t="str">
        <f t="shared" si="82"/>
        <v>NO APLICA</v>
      </c>
      <c r="N855" s="759"/>
    </row>
    <row r="856" spans="2:14">
      <c r="B856" s="182"/>
      <c r="C856" s="182"/>
      <c r="E856" s="183"/>
      <c r="F856" s="229" t="str">
        <f>IF(OR(D856="",E856=""),"",ROUND(D856/LOOKUP(E856,SMMLV!$A$2:$A$36,SMMLV!$D$2:$D$104),3))</f>
        <v/>
      </c>
      <c r="K856" s="758">
        <v>86</v>
      </c>
      <c r="L856" s="189">
        <v>1</v>
      </c>
      <c r="M856" s="759" t="str">
        <f t="shared" ref="M856:M865" si="83">IF(SUMIFS($F$5:$F$1200,$B$5:$B$1200,$K$856,$C$5:$C$1200,$L856)=0,"NO APLICA",ROUND(SUMIFS($F$5:$F$1200,$B$5:$B$1200,$K$856,$C$5:$C$1200,$L856),3))</f>
        <v>NO APLICA</v>
      </c>
      <c r="N856" s="759"/>
    </row>
    <row r="857" spans="2:14">
      <c r="B857" s="182"/>
      <c r="C857" s="182"/>
      <c r="E857" s="183"/>
      <c r="F857" s="229" t="str">
        <f>IF(OR(D857="",E857=""),"",ROUND(D857/LOOKUP(E857,SMMLV!$A$2:$A$36,SMMLV!$D$2:$D$104),3))</f>
        <v/>
      </c>
      <c r="K857" s="758"/>
      <c r="L857" s="189">
        <v>2</v>
      </c>
      <c r="M857" s="759" t="str">
        <f t="shared" si="83"/>
        <v>NO APLICA</v>
      </c>
      <c r="N857" s="759"/>
    </row>
    <row r="858" spans="2:14">
      <c r="B858" s="182"/>
      <c r="C858" s="182"/>
      <c r="E858" s="183"/>
      <c r="F858" s="229" t="str">
        <f>IF(OR(D858="",E858=""),"",ROUND(D858/LOOKUP(E858,SMMLV!$A$2:$A$36,SMMLV!$D$2:$D$104),3))</f>
        <v/>
      </c>
      <c r="K858" s="758"/>
      <c r="L858" s="189">
        <v>3</v>
      </c>
      <c r="M858" s="759" t="str">
        <f t="shared" si="83"/>
        <v>NO APLICA</v>
      </c>
      <c r="N858" s="759"/>
    </row>
    <row r="859" spans="2:14">
      <c r="B859" s="182"/>
      <c r="C859" s="182"/>
      <c r="E859" s="183"/>
      <c r="F859" s="229" t="str">
        <f>IF(OR(D859="",E859=""),"",ROUND(D859/LOOKUP(E859,SMMLV!$A$2:$A$36,SMMLV!$D$2:$D$104),3))</f>
        <v/>
      </c>
      <c r="K859" s="758"/>
      <c r="L859" s="189">
        <v>4</v>
      </c>
      <c r="M859" s="759" t="str">
        <f t="shared" si="83"/>
        <v>NO APLICA</v>
      </c>
      <c r="N859" s="759"/>
    </row>
    <row r="860" spans="2:14">
      <c r="B860" s="182"/>
      <c r="C860" s="182"/>
      <c r="E860" s="183"/>
      <c r="F860" s="229" t="str">
        <f>IF(OR(D860="",E860=""),"",ROUND(D860/LOOKUP(E860,SMMLV!$A$2:$A$36,SMMLV!$D$2:$D$104),3))</f>
        <v/>
      </c>
      <c r="K860" s="758"/>
      <c r="L860" s="189">
        <v>5</v>
      </c>
      <c r="M860" s="759" t="str">
        <f t="shared" si="83"/>
        <v>NO APLICA</v>
      </c>
      <c r="N860" s="759"/>
    </row>
    <row r="861" spans="2:14">
      <c r="B861" s="182"/>
      <c r="C861" s="182"/>
      <c r="E861" s="183"/>
      <c r="F861" s="229" t="str">
        <f>IF(OR(D861="",E861=""),"",ROUND(D861/LOOKUP(E861,SMMLV!$A$2:$A$36,SMMLV!$D$2:$D$104),3))</f>
        <v/>
      </c>
      <c r="K861" s="758"/>
      <c r="L861" s="189">
        <v>6</v>
      </c>
      <c r="M861" s="759" t="str">
        <f t="shared" si="83"/>
        <v>NO APLICA</v>
      </c>
      <c r="N861" s="759"/>
    </row>
    <row r="862" spans="2:14">
      <c r="B862" s="182"/>
      <c r="C862" s="182"/>
      <c r="E862" s="183"/>
      <c r="F862" s="229" t="str">
        <f>IF(OR(D862="",E862=""),"",ROUND(D862/LOOKUP(E862,SMMLV!$A$2:$A$36,SMMLV!$D$2:$D$104),3))</f>
        <v/>
      </c>
      <c r="K862" s="758"/>
      <c r="L862" s="189">
        <v>7</v>
      </c>
      <c r="M862" s="759" t="str">
        <f t="shared" si="83"/>
        <v>NO APLICA</v>
      </c>
      <c r="N862" s="759"/>
    </row>
    <row r="863" spans="2:14">
      <c r="B863" s="182"/>
      <c r="C863" s="182"/>
      <c r="E863" s="183"/>
      <c r="F863" s="229" t="str">
        <f>IF(OR(D863="",E863=""),"",ROUND(D863/LOOKUP(E863,SMMLV!$A$2:$A$36,SMMLV!$D$2:$D$104),3))</f>
        <v/>
      </c>
      <c r="K863" s="758"/>
      <c r="L863" s="189">
        <v>8</v>
      </c>
      <c r="M863" s="759" t="str">
        <f t="shared" si="83"/>
        <v>NO APLICA</v>
      </c>
      <c r="N863" s="759"/>
    </row>
    <row r="864" spans="2:14">
      <c r="B864" s="182"/>
      <c r="C864" s="182"/>
      <c r="E864" s="183"/>
      <c r="F864" s="229" t="str">
        <f>IF(OR(D864="",E864=""),"",ROUND(D864/LOOKUP(E864,SMMLV!$A$2:$A$36,SMMLV!$D$2:$D$104),3))</f>
        <v/>
      </c>
      <c r="K864" s="758"/>
      <c r="L864" s="189">
        <v>9</v>
      </c>
      <c r="M864" s="759" t="str">
        <f t="shared" si="83"/>
        <v>NO APLICA</v>
      </c>
      <c r="N864" s="759"/>
    </row>
    <row r="865" spans="2:14">
      <c r="B865" s="182"/>
      <c r="C865" s="182"/>
      <c r="E865" s="183"/>
      <c r="F865" s="229" t="str">
        <f>IF(OR(D865="",E865=""),"",ROUND(D865/LOOKUP(E865,SMMLV!$A$2:$A$36,SMMLV!$D$2:$D$104),3))</f>
        <v/>
      </c>
      <c r="K865" s="758"/>
      <c r="L865" s="189">
        <v>10</v>
      </c>
      <c r="M865" s="759" t="str">
        <f t="shared" si="83"/>
        <v>NO APLICA</v>
      </c>
      <c r="N865" s="759"/>
    </row>
    <row r="866" spans="2:14">
      <c r="B866" s="182"/>
      <c r="C866" s="182"/>
      <c r="E866" s="183"/>
      <c r="F866" s="229" t="str">
        <f>IF(OR(D866="",E866=""),"",ROUND(D866/LOOKUP(E866,SMMLV!$A$2:$A$36,SMMLV!$D$2:$D$104),3))</f>
        <v/>
      </c>
      <c r="K866" s="758">
        <v>87</v>
      </c>
      <c r="L866" s="189">
        <v>1</v>
      </c>
      <c r="M866" s="759" t="str">
        <f t="shared" ref="M866:M875" si="84">IF(SUMIFS($F$5:$F$1200,$B$5:$B$1200,$K$866,$C$5:$C$1200,$L866)=0,"NO APLICA",ROUND(SUMIFS($F$5:$F$1200,$B$5:$B$1200,$K$866,$C$5:$C$1200,$L866),3))</f>
        <v>NO APLICA</v>
      </c>
      <c r="N866" s="759"/>
    </row>
    <row r="867" spans="2:14">
      <c r="B867" s="182"/>
      <c r="C867" s="182"/>
      <c r="E867" s="183"/>
      <c r="F867" s="229" t="str">
        <f>IF(OR(D867="",E867=""),"",ROUND(D867/LOOKUP(E867,SMMLV!$A$2:$A$36,SMMLV!$D$2:$D$104),3))</f>
        <v/>
      </c>
      <c r="K867" s="758"/>
      <c r="L867" s="189">
        <v>2</v>
      </c>
      <c r="M867" s="759" t="str">
        <f t="shared" si="84"/>
        <v>NO APLICA</v>
      </c>
      <c r="N867" s="759"/>
    </row>
    <row r="868" spans="2:14">
      <c r="B868" s="182"/>
      <c r="C868" s="182"/>
      <c r="E868" s="183"/>
      <c r="F868" s="229" t="str">
        <f>IF(OR(D868="",E868=""),"",ROUND(D868/LOOKUP(E868,SMMLV!$A$2:$A$36,SMMLV!$D$2:$D$104),3))</f>
        <v/>
      </c>
      <c r="K868" s="758"/>
      <c r="L868" s="189">
        <v>3</v>
      </c>
      <c r="M868" s="759" t="str">
        <f t="shared" si="84"/>
        <v>NO APLICA</v>
      </c>
      <c r="N868" s="759"/>
    </row>
    <row r="869" spans="2:14">
      <c r="B869" s="182"/>
      <c r="C869" s="182"/>
      <c r="E869" s="183"/>
      <c r="F869" s="229" t="str">
        <f>IF(OR(D869="",E869=""),"",ROUND(D869/LOOKUP(E869,SMMLV!$A$2:$A$36,SMMLV!$D$2:$D$104),3))</f>
        <v/>
      </c>
      <c r="K869" s="758"/>
      <c r="L869" s="189">
        <v>4</v>
      </c>
      <c r="M869" s="759" t="str">
        <f t="shared" si="84"/>
        <v>NO APLICA</v>
      </c>
      <c r="N869" s="759"/>
    </row>
    <row r="870" spans="2:14">
      <c r="B870" s="182"/>
      <c r="C870" s="182"/>
      <c r="E870" s="183"/>
      <c r="F870" s="229" t="str">
        <f>IF(OR(D870="",E870=""),"",ROUND(D870/LOOKUP(E870,SMMLV!$A$2:$A$36,SMMLV!$D$2:$D$104),3))</f>
        <v/>
      </c>
      <c r="K870" s="758"/>
      <c r="L870" s="189">
        <v>5</v>
      </c>
      <c r="M870" s="759" t="str">
        <f t="shared" si="84"/>
        <v>NO APLICA</v>
      </c>
      <c r="N870" s="759"/>
    </row>
    <row r="871" spans="2:14">
      <c r="B871" s="182"/>
      <c r="C871" s="182"/>
      <c r="E871" s="183"/>
      <c r="F871" s="229" t="str">
        <f>IF(OR(D871="",E871=""),"",ROUND(D871/LOOKUP(E871,SMMLV!$A$2:$A$36,SMMLV!$D$2:$D$104),3))</f>
        <v/>
      </c>
      <c r="K871" s="758"/>
      <c r="L871" s="189">
        <v>6</v>
      </c>
      <c r="M871" s="759" t="str">
        <f t="shared" si="84"/>
        <v>NO APLICA</v>
      </c>
      <c r="N871" s="759"/>
    </row>
    <row r="872" spans="2:14">
      <c r="B872" s="182"/>
      <c r="C872" s="182"/>
      <c r="E872" s="183"/>
      <c r="F872" s="229" t="str">
        <f>IF(OR(D872="",E872=""),"",ROUND(D872/LOOKUP(E872,SMMLV!$A$2:$A$36,SMMLV!$D$2:$D$104),3))</f>
        <v/>
      </c>
      <c r="K872" s="758"/>
      <c r="L872" s="189">
        <v>7</v>
      </c>
      <c r="M872" s="759" t="str">
        <f t="shared" si="84"/>
        <v>NO APLICA</v>
      </c>
      <c r="N872" s="759"/>
    </row>
    <row r="873" spans="2:14">
      <c r="B873" s="182"/>
      <c r="C873" s="182"/>
      <c r="E873" s="183"/>
      <c r="F873" s="229" t="str">
        <f>IF(OR(D873="",E873=""),"",ROUND(D873/LOOKUP(E873,SMMLV!$A$2:$A$36,SMMLV!$D$2:$D$104),3))</f>
        <v/>
      </c>
      <c r="K873" s="758"/>
      <c r="L873" s="189">
        <v>8</v>
      </c>
      <c r="M873" s="759" t="str">
        <f t="shared" si="84"/>
        <v>NO APLICA</v>
      </c>
      <c r="N873" s="759"/>
    </row>
    <row r="874" spans="2:14">
      <c r="B874" s="182"/>
      <c r="C874" s="182"/>
      <c r="E874" s="183"/>
      <c r="F874" s="229" t="str">
        <f>IF(OR(D874="",E874=""),"",ROUND(D874/LOOKUP(E874,SMMLV!$A$2:$A$36,SMMLV!$D$2:$D$104),3))</f>
        <v/>
      </c>
      <c r="K874" s="758"/>
      <c r="L874" s="189">
        <v>9</v>
      </c>
      <c r="M874" s="759" t="str">
        <f t="shared" si="84"/>
        <v>NO APLICA</v>
      </c>
      <c r="N874" s="759"/>
    </row>
    <row r="875" spans="2:14">
      <c r="B875" s="182"/>
      <c r="C875" s="182"/>
      <c r="E875" s="183"/>
      <c r="F875" s="229" t="str">
        <f>IF(OR(D875="",E875=""),"",ROUND(D875/LOOKUP(E875,SMMLV!$A$2:$A$36,SMMLV!$D$2:$D$104),3))</f>
        <v/>
      </c>
      <c r="K875" s="758"/>
      <c r="L875" s="189">
        <v>10</v>
      </c>
      <c r="M875" s="759" t="str">
        <f t="shared" si="84"/>
        <v>NO APLICA</v>
      </c>
      <c r="N875" s="759"/>
    </row>
    <row r="876" spans="2:14">
      <c r="B876" s="182"/>
      <c r="C876" s="182"/>
      <c r="E876" s="183"/>
      <c r="F876" s="229" t="str">
        <f>IF(OR(D876="",E876=""),"",ROUND(D876/LOOKUP(E876,SMMLV!$A$2:$A$36,SMMLV!$D$2:$D$104),3))</f>
        <v/>
      </c>
      <c r="K876" s="758">
        <v>88</v>
      </c>
      <c r="L876" s="189">
        <v>1</v>
      </c>
      <c r="M876" s="759" t="str">
        <f t="shared" ref="M876:M885" si="85">IF(SUMIFS($F$5:$F$1200,$B$5:$B$1200,$K$876,$C$5:$C$1200,$L876)=0,"NO APLICA",ROUND(SUMIFS($F$5:$F$1200,$B$5:$B$1200,$K$876,$C$5:$C$1200,$L876),3))</f>
        <v>NO APLICA</v>
      </c>
      <c r="N876" s="759"/>
    </row>
    <row r="877" spans="2:14">
      <c r="B877" s="182"/>
      <c r="C877" s="182"/>
      <c r="E877" s="183"/>
      <c r="F877" s="229" t="str">
        <f>IF(OR(D877="",E877=""),"",ROUND(D877/LOOKUP(E877,SMMLV!$A$2:$A$36,SMMLV!$D$2:$D$104),3))</f>
        <v/>
      </c>
      <c r="K877" s="758"/>
      <c r="L877" s="189">
        <v>2</v>
      </c>
      <c r="M877" s="759" t="str">
        <f t="shared" si="85"/>
        <v>NO APLICA</v>
      </c>
      <c r="N877" s="759"/>
    </row>
    <row r="878" spans="2:14">
      <c r="B878" s="182"/>
      <c r="C878" s="182"/>
      <c r="E878" s="183"/>
      <c r="F878" s="229" t="str">
        <f>IF(OR(D878="",E878=""),"",ROUND(D878/LOOKUP(E878,SMMLV!$A$2:$A$36,SMMLV!$D$2:$D$104),3))</f>
        <v/>
      </c>
      <c r="K878" s="758"/>
      <c r="L878" s="189">
        <v>3</v>
      </c>
      <c r="M878" s="759" t="str">
        <f t="shared" si="85"/>
        <v>NO APLICA</v>
      </c>
      <c r="N878" s="759"/>
    </row>
    <row r="879" spans="2:14">
      <c r="B879" s="182"/>
      <c r="C879" s="182"/>
      <c r="E879" s="183"/>
      <c r="F879" s="229" t="str">
        <f>IF(OR(D879="",E879=""),"",ROUND(D879/LOOKUP(E879,SMMLV!$A$2:$A$36,SMMLV!$D$2:$D$104),3))</f>
        <v/>
      </c>
      <c r="K879" s="758"/>
      <c r="L879" s="189">
        <v>4</v>
      </c>
      <c r="M879" s="759" t="str">
        <f t="shared" si="85"/>
        <v>NO APLICA</v>
      </c>
      <c r="N879" s="759"/>
    </row>
    <row r="880" spans="2:14">
      <c r="B880" s="182"/>
      <c r="C880" s="182"/>
      <c r="E880" s="183"/>
      <c r="F880" s="229" t="str">
        <f>IF(OR(D880="",E880=""),"",ROUND(D880/LOOKUP(E880,SMMLV!$A$2:$A$36,SMMLV!$D$2:$D$104),3))</f>
        <v/>
      </c>
      <c r="K880" s="758"/>
      <c r="L880" s="189">
        <v>5</v>
      </c>
      <c r="M880" s="759" t="str">
        <f t="shared" si="85"/>
        <v>NO APLICA</v>
      </c>
      <c r="N880" s="759"/>
    </row>
    <row r="881" spans="2:14">
      <c r="B881" s="182"/>
      <c r="C881" s="182"/>
      <c r="E881" s="183"/>
      <c r="F881" s="229" t="str">
        <f>IF(OR(D881="",E881=""),"",ROUND(D881/LOOKUP(E881,SMMLV!$A$2:$A$36,SMMLV!$D$2:$D$104),3))</f>
        <v/>
      </c>
      <c r="K881" s="758"/>
      <c r="L881" s="189">
        <v>6</v>
      </c>
      <c r="M881" s="759" t="str">
        <f t="shared" si="85"/>
        <v>NO APLICA</v>
      </c>
      <c r="N881" s="759"/>
    </row>
    <row r="882" spans="2:14">
      <c r="B882" s="182"/>
      <c r="C882" s="182"/>
      <c r="E882" s="183"/>
      <c r="F882" s="229" t="str">
        <f>IF(OR(D882="",E882=""),"",ROUND(D882/LOOKUP(E882,SMMLV!$A$2:$A$36,SMMLV!$D$2:$D$104),3))</f>
        <v/>
      </c>
      <c r="K882" s="758"/>
      <c r="L882" s="189">
        <v>7</v>
      </c>
      <c r="M882" s="759" t="str">
        <f t="shared" si="85"/>
        <v>NO APLICA</v>
      </c>
      <c r="N882" s="759"/>
    </row>
    <row r="883" spans="2:14">
      <c r="B883" s="182"/>
      <c r="C883" s="182"/>
      <c r="E883" s="183"/>
      <c r="F883" s="229" t="str">
        <f>IF(OR(D883="",E883=""),"",ROUND(D883/LOOKUP(E883,SMMLV!$A$2:$A$36,SMMLV!$D$2:$D$104),3))</f>
        <v/>
      </c>
      <c r="K883" s="758"/>
      <c r="L883" s="189">
        <v>8</v>
      </c>
      <c r="M883" s="759" t="str">
        <f t="shared" si="85"/>
        <v>NO APLICA</v>
      </c>
      <c r="N883" s="759"/>
    </row>
    <row r="884" spans="2:14">
      <c r="B884" s="182"/>
      <c r="C884" s="182"/>
      <c r="E884" s="183"/>
      <c r="F884" s="229" t="str">
        <f>IF(OR(D884="",E884=""),"",ROUND(D884/LOOKUP(E884,SMMLV!$A$2:$A$36,SMMLV!$D$2:$D$104),3))</f>
        <v/>
      </c>
      <c r="K884" s="758"/>
      <c r="L884" s="189">
        <v>9</v>
      </c>
      <c r="M884" s="759" t="str">
        <f t="shared" si="85"/>
        <v>NO APLICA</v>
      </c>
      <c r="N884" s="759"/>
    </row>
    <row r="885" spans="2:14">
      <c r="B885" s="182"/>
      <c r="C885" s="182"/>
      <c r="E885" s="183"/>
      <c r="F885" s="229" t="str">
        <f>IF(OR(D885="",E885=""),"",ROUND(D885/LOOKUP(E885,SMMLV!$A$2:$A$36,SMMLV!$D$2:$D$104),3))</f>
        <v/>
      </c>
      <c r="K885" s="758"/>
      <c r="L885" s="189">
        <v>10</v>
      </c>
      <c r="M885" s="759" t="str">
        <f t="shared" si="85"/>
        <v>NO APLICA</v>
      </c>
      <c r="N885" s="759"/>
    </row>
    <row r="886" spans="2:14">
      <c r="B886" s="182"/>
      <c r="C886" s="182"/>
      <c r="E886" s="183"/>
      <c r="F886" s="229" t="str">
        <f>IF(OR(D886="",E886=""),"",ROUND(D886/LOOKUP(E886,SMMLV!$A$2:$A$36,SMMLV!$D$2:$D$104),3))</f>
        <v/>
      </c>
      <c r="K886" s="758">
        <v>89</v>
      </c>
      <c r="L886" s="189">
        <v>1</v>
      </c>
      <c r="M886" s="759" t="str">
        <f t="shared" ref="M886:M895" si="86">IF(SUMIFS($F$5:$F$1200,$B$5:$B$1200,$K$886,$C$5:$C$1200,$L886)=0,"NO APLICA",ROUND(SUMIFS($F$5:$F$1200,$B$5:$B$1200,$K$886,$C$5:$C$1200,$L886),3))</f>
        <v>NO APLICA</v>
      </c>
      <c r="N886" s="759"/>
    </row>
    <row r="887" spans="2:14">
      <c r="B887" s="182"/>
      <c r="C887" s="182"/>
      <c r="E887" s="183"/>
      <c r="F887" s="229" t="str">
        <f>IF(OR(D887="",E887=""),"",ROUND(D887/LOOKUP(E887,SMMLV!$A$2:$A$36,SMMLV!$D$2:$D$104),3))</f>
        <v/>
      </c>
      <c r="K887" s="758"/>
      <c r="L887" s="189">
        <v>2</v>
      </c>
      <c r="M887" s="759" t="str">
        <f t="shared" si="86"/>
        <v>NO APLICA</v>
      </c>
      <c r="N887" s="759"/>
    </row>
    <row r="888" spans="2:14">
      <c r="B888" s="182"/>
      <c r="C888" s="182"/>
      <c r="E888" s="183"/>
      <c r="F888" s="229" t="str">
        <f>IF(OR(D888="",E888=""),"",ROUND(D888/LOOKUP(E888,SMMLV!$A$2:$A$36,SMMLV!$D$2:$D$104),3))</f>
        <v/>
      </c>
      <c r="K888" s="758"/>
      <c r="L888" s="189">
        <v>3</v>
      </c>
      <c r="M888" s="759" t="str">
        <f t="shared" si="86"/>
        <v>NO APLICA</v>
      </c>
      <c r="N888" s="759"/>
    </row>
    <row r="889" spans="2:14">
      <c r="B889" s="182"/>
      <c r="C889" s="182"/>
      <c r="E889" s="183"/>
      <c r="F889" s="229" t="str">
        <f>IF(OR(D889="",E889=""),"",ROUND(D889/LOOKUP(E889,SMMLV!$A$2:$A$36,SMMLV!$D$2:$D$104),3))</f>
        <v/>
      </c>
      <c r="K889" s="758"/>
      <c r="L889" s="189">
        <v>4</v>
      </c>
      <c r="M889" s="759" t="str">
        <f t="shared" si="86"/>
        <v>NO APLICA</v>
      </c>
      <c r="N889" s="759"/>
    </row>
    <row r="890" spans="2:14">
      <c r="B890" s="182"/>
      <c r="C890" s="182"/>
      <c r="E890" s="183"/>
      <c r="F890" s="229" t="str">
        <f>IF(OR(D890="",E890=""),"",ROUND(D890/LOOKUP(E890,SMMLV!$A$2:$A$36,SMMLV!$D$2:$D$104),3))</f>
        <v/>
      </c>
      <c r="K890" s="758"/>
      <c r="L890" s="189">
        <v>5</v>
      </c>
      <c r="M890" s="759" t="str">
        <f t="shared" si="86"/>
        <v>NO APLICA</v>
      </c>
      <c r="N890" s="759"/>
    </row>
    <row r="891" spans="2:14">
      <c r="B891" s="182"/>
      <c r="C891" s="182"/>
      <c r="E891" s="183"/>
      <c r="F891" s="229" t="str">
        <f>IF(OR(D891="",E891=""),"",ROUND(D891/LOOKUP(E891,SMMLV!$A$2:$A$36,SMMLV!$D$2:$D$104),3))</f>
        <v/>
      </c>
      <c r="K891" s="758"/>
      <c r="L891" s="189">
        <v>6</v>
      </c>
      <c r="M891" s="759" t="str">
        <f t="shared" si="86"/>
        <v>NO APLICA</v>
      </c>
      <c r="N891" s="759"/>
    </row>
    <row r="892" spans="2:14">
      <c r="B892" s="182"/>
      <c r="C892" s="182"/>
      <c r="E892" s="183"/>
      <c r="F892" s="229" t="str">
        <f>IF(OR(D892="",E892=""),"",ROUND(D892/LOOKUP(E892,SMMLV!$A$2:$A$36,SMMLV!$D$2:$D$104),3))</f>
        <v/>
      </c>
      <c r="K892" s="758"/>
      <c r="L892" s="189">
        <v>7</v>
      </c>
      <c r="M892" s="759" t="str">
        <f t="shared" si="86"/>
        <v>NO APLICA</v>
      </c>
      <c r="N892" s="759"/>
    </row>
    <row r="893" spans="2:14">
      <c r="B893" s="182"/>
      <c r="C893" s="182"/>
      <c r="E893" s="183"/>
      <c r="F893" s="229" t="str">
        <f>IF(OR(D893="",E893=""),"",ROUND(D893/LOOKUP(E893,SMMLV!$A$2:$A$36,SMMLV!$D$2:$D$104),3))</f>
        <v/>
      </c>
      <c r="K893" s="758"/>
      <c r="L893" s="189">
        <v>8</v>
      </c>
      <c r="M893" s="759" t="str">
        <f t="shared" si="86"/>
        <v>NO APLICA</v>
      </c>
      <c r="N893" s="759"/>
    </row>
    <row r="894" spans="2:14">
      <c r="B894" s="182"/>
      <c r="C894" s="182"/>
      <c r="E894" s="183"/>
      <c r="F894" s="229" t="str">
        <f>IF(OR(D894="",E894=""),"",ROUND(D894/LOOKUP(E894,SMMLV!$A$2:$A$36,SMMLV!$D$2:$D$104),3))</f>
        <v/>
      </c>
      <c r="K894" s="758"/>
      <c r="L894" s="189">
        <v>9</v>
      </c>
      <c r="M894" s="759" t="str">
        <f t="shared" si="86"/>
        <v>NO APLICA</v>
      </c>
      <c r="N894" s="759"/>
    </row>
    <row r="895" spans="2:14">
      <c r="B895" s="182"/>
      <c r="C895" s="182"/>
      <c r="E895" s="183"/>
      <c r="F895" s="229" t="str">
        <f>IF(OR(D895="",E895=""),"",ROUND(D895/LOOKUP(E895,SMMLV!$A$2:$A$36,SMMLV!$D$2:$D$104),3))</f>
        <v/>
      </c>
      <c r="K895" s="758"/>
      <c r="L895" s="189">
        <v>10</v>
      </c>
      <c r="M895" s="759" t="str">
        <f t="shared" si="86"/>
        <v>NO APLICA</v>
      </c>
      <c r="N895" s="759"/>
    </row>
    <row r="896" spans="2:14">
      <c r="B896" s="182"/>
      <c r="C896" s="182"/>
      <c r="E896" s="183"/>
      <c r="F896" s="229" t="str">
        <f>IF(OR(D896="",E896=""),"",ROUND(D896/LOOKUP(E896,SMMLV!$A$2:$A$36,SMMLV!$D$2:$D$104),3))</f>
        <v/>
      </c>
      <c r="K896" s="758">
        <v>90</v>
      </c>
      <c r="L896" s="189">
        <v>1</v>
      </c>
      <c r="M896" s="759" t="str">
        <f t="shared" ref="M896:M905" si="87">IF(SUMIFS($F$5:$F$1200,$B$5:$B$1200,$K$896,$C$5:$C$1200,$L896)=0,"NO APLICA",ROUND(SUMIFS($F$5:$F$1200,$B$5:$B$1200,$K$896,$C$5:$C$1200,$L896),3))</f>
        <v>NO APLICA</v>
      </c>
      <c r="N896" s="759"/>
    </row>
    <row r="897" spans="2:14">
      <c r="B897" s="182"/>
      <c r="C897" s="182"/>
      <c r="E897" s="183"/>
      <c r="F897" s="229" t="str">
        <f>IF(OR(D897="",E897=""),"",ROUND(D897/LOOKUP(E897,SMMLV!$A$2:$A$36,SMMLV!$D$2:$D$104),3))</f>
        <v/>
      </c>
      <c r="K897" s="758"/>
      <c r="L897" s="189">
        <v>2</v>
      </c>
      <c r="M897" s="759" t="str">
        <f t="shared" si="87"/>
        <v>NO APLICA</v>
      </c>
      <c r="N897" s="759"/>
    </row>
    <row r="898" spans="2:14">
      <c r="B898" s="182"/>
      <c r="C898" s="182"/>
      <c r="E898" s="183"/>
      <c r="F898" s="229" t="str">
        <f>IF(OR(D898="",E898=""),"",ROUND(D898/LOOKUP(E898,SMMLV!$A$2:$A$36,SMMLV!$D$2:$D$104),3))</f>
        <v/>
      </c>
      <c r="K898" s="758"/>
      <c r="L898" s="189">
        <v>3</v>
      </c>
      <c r="M898" s="759" t="str">
        <f t="shared" si="87"/>
        <v>NO APLICA</v>
      </c>
      <c r="N898" s="759"/>
    </row>
    <row r="899" spans="2:14">
      <c r="B899" s="182"/>
      <c r="C899" s="182"/>
      <c r="E899" s="183"/>
      <c r="F899" s="229" t="str">
        <f>IF(OR(D899="",E899=""),"",ROUND(D899/LOOKUP(E899,SMMLV!$A$2:$A$36,SMMLV!$D$2:$D$104),3))</f>
        <v/>
      </c>
      <c r="K899" s="758"/>
      <c r="L899" s="189">
        <v>4</v>
      </c>
      <c r="M899" s="759" t="str">
        <f t="shared" si="87"/>
        <v>NO APLICA</v>
      </c>
      <c r="N899" s="759"/>
    </row>
    <row r="900" spans="2:14">
      <c r="B900" s="182"/>
      <c r="C900" s="182"/>
      <c r="E900" s="183"/>
      <c r="F900" s="229" t="str">
        <f>IF(OR(D900="",E900=""),"",ROUND(D900/LOOKUP(E900,SMMLV!$A$2:$A$36,SMMLV!$D$2:$D$104),3))</f>
        <v/>
      </c>
      <c r="K900" s="758"/>
      <c r="L900" s="189">
        <v>5</v>
      </c>
      <c r="M900" s="759" t="str">
        <f t="shared" si="87"/>
        <v>NO APLICA</v>
      </c>
      <c r="N900" s="759"/>
    </row>
    <row r="901" spans="2:14">
      <c r="B901" s="182"/>
      <c r="C901" s="182"/>
      <c r="E901" s="183"/>
      <c r="F901" s="229" t="str">
        <f>IF(OR(D901="",E901=""),"",ROUND(D901/LOOKUP(E901,SMMLV!$A$2:$A$36,SMMLV!$D$2:$D$104),3))</f>
        <v/>
      </c>
      <c r="K901" s="758"/>
      <c r="L901" s="189">
        <v>6</v>
      </c>
      <c r="M901" s="759" t="str">
        <f t="shared" si="87"/>
        <v>NO APLICA</v>
      </c>
      <c r="N901" s="759"/>
    </row>
    <row r="902" spans="2:14">
      <c r="B902" s="182"/>
      <c r="C902" s="182"/>
      <c r="E902" s="183"/>
      <c r="F902" s="229" t="str">
        <f>IF(OR(D902="",E902=""),"",ROUND(D902/LOOKUP(E902,SMMLV!$A$2:$A$36,SMMLV!$D$2:$D$104),3))</f>
        <v/>
      </c>
      <c r="K902" s="758"/>
      <c r="L902" s="189">
        <v>7</v>
      </c>
      <c r="M902" s="759" t="str">
        <f t="shared" si="87"/>
        <v>NO APLICA</v>
      </c>
      <c r="N902" s="759"/>
    </row>
    <row r="903" spans="2:14">
      <c r="B903" s="182"/>
      <c r="C903" s="182"/>
      <c r="E903" s="183"/>
      <c r="F903" s="229" t="str">
        <f>IF(OR(D903="",E903=""),"",ROUND(D903/LOOKUP(E903,SMMLV!$A$2:$A$36,SMMLV!$D$2:$D$104),3))</f>
        <v/>
      </c>
      <c r="K903" s="758"/>
      <c r="L903" s="189">
        <v>8</v>
      </c>
      <c r="M903" s="759" t="str">
        <f t="shared" si="87"/>
        <v>NO APLICA</v>
      </c>
      <c r="N903" s="759"/>
    </row>
    <row r="904" spans="2:14">
      <c r="B904" s="182"/>
      <c r="C904" s="182"/>
      <c r="E904" s="183"/>
      <c r="F904" s="229" t="str">
        <f>IF(OR(D904="",E904=""),"",ROUND(D904/LOOKUP(E904,SMMLV!$A$2:$A$36,SMMLV!$D$2:$D$104),3))</f>
        <v/>
      </c>
      <c r="K904" s="758"/>
      <c r="L904" s="189">
        <v>9</v>
      </c>
      <c r="M904" s="759" t="str">
        <f t="shared" si="87"/>
        <v>NO APLICA</v>
      </c>
      <c r="N904" s="759"/>
    </row>
    <row r="905" spans="2:14">
      <c r="B905" s="182"/>
      <c r="C905" s="182"/>
      <c r="E905" s="183"/>
      <c r="F905" s="229" t="str">
        <f>IF(OR(D905="",E905=""),"",ROUND(D905/LOOKUP(E905,SMMLV!$A$2:$A$36,SMMLV!$D$2:$D$104),3))</f>
        <v/>
      </c>
      <c r="K905" s="758"/>
      <c r="L905" s="189">
        <v>10</v>
      </c>
      <c r="M905" s="759" t="str">
        <f t="shared" si="87"/>
        <v>NO APLICA</v>
      </c>
      <c r="N905" s="759"/>
    </row>
    <row r="906" spans="2:14">
      <c r="B906" s="182"/>
      <c r="C906" s="182"/>
      <c r="E906" s="183"/>
      <c r="F906" s="229" t="str">
        <f>IF(OR(D906="",E906=""),"",ROUND(D906/LOOKUP(E906,SMMLV!$A$2:$A$36,SMMLV!$D$2:$D$104),3))</f>
        <v/>
      </c>
      <c r="K906" s="758">
        <v>91</v>
      </c>
      <c r="L906" s="189">
        <v>1</v>
      </c>
      <c r="M906" s="759" t="str">
        <f t="shared" ref="M906:M915" si="88">IF(SUMIFS($F$5:$F$1200,$B$5:$B$1200,$K$906,$C$5:$C$1200,$L906)=0,"NO APLICA",ROUND(SUMIFS($F$5:$F$1200,$B$5:$B$1200,$K$906,$C$5:$C$1200,$L906),3))</f>
        <v>NO APLICA</v>
      </c>
      <c r="N906" s="759"/>
    </row>
    <row r="907" spans="2:14">
      <c r="B907" s="182"/>
      <c r="C907" s="182"/>
      <c r="E907" s="183"/>
      <c r="F907" s="229" t="str">
        <f>IF(OR(D907="",E907=""),"",ROUND(D907/LOOKUP(E907,SMMLV!$A$2:$A$36,SMMLV!$D$2:$D$104),3))</f>
        <v/>
      </c>
      <c r="K907" s="758"/>
      <c r="L907" s="189">
        <v>2</v>
      </c>
      <c r="M907" s="759" t="str">
        <f t="shared" si="88"/>
        <v>NO APLICA</v>
      </c>
      <c r="N907" s="759"/>
    </row>
    <row r="908" spans="2:14">
      <c r="B908" s="182"/>
      <c r="C908" s="182"/>
      <c r="E908" s="183"/>
      <c r="F908" s="229" t="str">
        <f>IF(OR(D908="",E908=""),"",ROUND(D908/LOOKUP(E908,SMMLV!$A$2:$A$36,SMMLV!$D$2:$D$104),3))</f>
        <v/>
      </c>
      <c r="K908" s="758"/>
      <c r="L908" s="189">
        <v>3</v>
      </c>
      <c r="M908" s="759" t="str">
        <f t="shared" si="88"/>
        <v>NO APLICA</v>
      </c>
      <c r="N908" s="759"/>
    </row>
    <row r="909" spans="2:14">
      <c r="B909" s="182"/>
      <c r="C909" s="182"/>
      <c r="E909" s="183"/>
      <c r="F909" s="229" t="str">
        <f>IF(OR(D909="",E909=""),"",ROUND(D909/LOOKUP(E909,SMMLV!$A$2:$A$36,SMMLV!$D$2:$D$104),3))</f>
        <v/>
      </c>
      <c r="K909" s="758"/>
      <c r="L909" s="189">
        <v>4</v>
      </c>
      <c r="M909" s="759" t="str">
        <f t="shared" si="88"/>
        <v>NO APLICA</v>
      </c>
      <c r="N909" s="759"/>
    </row>
    <row r="910" spans="2:14">
      <c r="B910" s="182"/>
      <c r="C910" s="182"/>
      <c r="E910" s="183"/>
      <c r="F910" s="229" t="str">
        <f>IF(OR(D910="",E910=""),"",ROUND(D910/LOOKUP(E910,SMMLV!$A$2:$A$36,SMMLV!$D$2:$D$104),3))</f>
        <v/>
      </c>
      <c r="K910" s="758"/>
      <c r="L910" s="189">
        <v>5</v>
      </c>
      <c r="M910" s="759" t="str">
        <f t="shared" si="88"/>
        <v>NO APLICA</v>
      </c>
      <c r="N910" s="759"/>
    </row>
    <row r="911" spans="2:14">
      <c r="B911" s="182"/>
      <c r="C911" s="182"/>
      <c r="E911" s="183"/>
      <c r="F911" s="229" t="str">
        <f>IF(OR(D911="",E911=""),"",ROUND(D911/LOOKUP(E911,SMMLV!$A$2:$A$36,SMMLV!$D$2:$D$104),3))</f>
        <v/>
      </c>
      <c r="K911" s="758"/>
      <c r="L911" s="189">
        <v>6</v>
      </c>
      <c r="M911" s="759" t="str">
        <f t="shared" si="88"/>
        <v>NO APLICA</v>
      </c>
      <c r="N911" s="759"/>
    </row>
    <row r="912" spans="2:14">
      <c r="B912" s="182"/>
      <c r="C912" s="182"/>
      <c r="E912" s="183"/>
      <c r="F912" s="229" t="str">
        <f>IF(OR(D912="",E912=""),"",ROUND(D912/LOOKUP(E912,SMMLV!$A$2:$A$36,SMMLV!$D$2:$D$104),3))</f>
        <v/>
      </c>
      <c r="K912" s="758"/>
      <c r="L912" s="189">
        <v>7</v>
      </c>
      <c r="M912" s="759" t="str">
        <f t="shared" si="88"/>
        <v>NO APLICA</v>
      </c>
      <c r="N912" s="759"/>
    </row>
    <row r="913" spans="2:14">
      <c r="B913" s="182"/>
      <c r="C913" s="182"/>
      <c r="E913" s="183"/>
      <c r="F913" s="229" t="str">
        <f>IF(OR(D913="",E913=""),"",ROUND(D913/LOOKUP(E913,SMMLV!$A$2:$A$36,SMMLV!$D$2:$D$104),3))</f>
        <v/>
      </c>
      <c r="K913" s="758"/>
      <c r="L913" s="189">
        <v>8</v>
      </c>
      <c r="M913" s="759" t="str">
        <f t="shared" si="88"/>
        <v>NO APLICA</v>
      </c>
      <c r="N913" s="759"/>
    </row>
    <row r="914" spans="2:14">
      <c r="B914" s="182"/>
      <c r="C914" s="182"/>
      <c r="E914" s="183"/>
      <c r="F914" s="229" t="str">
        <f>IF(OR(D914="",E914=""),"",ROUND(D914/LOOKUP(E914,SMMLV!$A$2:$A$36,SMMLV!$D$2:$D$104),3))</f>
        <v/>
      </c>
      <c r="K914" s="758"/>
      <c r="L914" s="189">
        <v>9</v>
      </c>
      <c r="M914" s="759" t="str">
        <f t="shared" si="88"/>
        <v>NO APLICA</v>
      </c>
      <c r="N914" s="759"/>
    </row>
    <row r="915" spans="2:14">
      <c r="B915" s="182"/>
      <c r="C915" s="182"/>
      <c r="E915" s="183"/>
      <c r="F915" s="229" t="str">
        <f>IF(OR(D915="",E915=""),"",ROUND(D915/LOOKUP(E915,SMMLV!$A$2:$A$36,SMMLV!$D$2:$D$104),3))</f>
        <v/>
      </c>
      <c r="K915" s="758"/>
      <c r="L915" s="189">
        <v>10</v>
      </c>
      <c r="M915" s="759" t="str">
        <f t="shared" si="88"/>
        <v>NO APLICA</v>
      </c>
      <c r="N915" s="759"/>
    </row>
    <row r="916" spans="2:14">
      <c r="B916" s="182"/>
      <c r="C916" s="182"/>
      <c r="E916" s="183"/>
      <c r="F916" s="229" t="str">
        <f>IF(OR(D916="",E916=""),"",ROUND(D916/LOOKUP(E916,SMMLV!$A$2:$A$36,SMMLV!$D$2:$D$104),3))</f>
        <v/>
      </c>
      <c r="K916" s="758">
        <v>92</v>
      </c>
      <c r="L916" s="189">
        <v>1</v>
      </c>
      <c r="M916" s="759" t="str">
        <f t="shared" ref="M916:M925" si="89">IF(SUMIFS($F$5:$F$1200,$B$5:$B$1200,$K$916,$C$5:$C$1200,$L916)=0,"NO APLICA",ROUND(SUMIFS($F$5:$F$1200,$B$5:$B$1200,$K$916,$C$5:$C$1200,$L916),3))</f>
        <v>NO APLICA</v>
      </c>
      <c r="N916" s="759"/>
    </row>
    <row r="917" spans="2:14">
      <c r="B917" s="182"/>
      <c r="C917" s="182"/>
      <c r="E917" s="183"/>
      <c r="F917" s="229" t="str">
        <f>IF(OR(D917="",E917=""),"",ROUND(D917/LOOKUP(E917,SMMLV!$A$2:$A$36,SMMLV!$D$2:$D$104),3))</f>
        <v/>
      </c>
      <c r="K917" s="758"/>
      <c r="L917" s="189">
        <v>2</v>
      </c>
      <c r="M917" s="759" t="str">
        <f t="shared" si="89"/>
        <v>NO APLICA</v>
      </c>
      <c r="N917" s="759"/>
    </row>
    <row r="918" spans="2:14">
      <c r="B918" s="182"/>
      <c r="C918" s="182"/>
      <c r="E918" s="183"/>
      <c r="F918" s="229" t="str">
        <f>IF(OR(D918="",E918=""),"",ROUND(D918/LOOKUP(E918,SMMLV!$A$2:$A$36,SMMLV!$D$2:$D$104),3))</f>
        <v/>
      </c>
      <c r="K918" s="758"/>
      <c r="L918" s="189">
        <v>3</v>
      </c>
      <c r="M918" s="759" t="str">
        <f t="shared" si="89"/>
        <v>NO APLICA</v>
      </c>
      <c r="N918" s="759"/>
    </row>
    <row r="919" spans="2:14">
      <c r="B919" s="182"/>
      <c r="C919" s="182"/>
      <c r="E919" s="183"/>
      <c r="F919" s="229" t="str">
        <f>IF(OR(D919="",E919=""),"",ROUND(D919/LOOKUP(E919,SMMLV!$A$2:$A$36,SMMLV!$D$2:$D$104),3))</f>
        <v/>
      </c>
      <c r="K919" s="758"/>
      <c r="L919" s="189">
        <v>4</v>
      </c>
      <c r="M919" s="759" t="str">
        <f t="shared" si="89"/>
        <v>NO APLICA</v>
      </c>
      <c r="N919" s="759"/>
    </row>
    <row r="920" spans="2:14">
      <c r="B920" s="182"/>
      <c r="C920" s="182"/>
      <c r="E920" s="183"/>
      <c r="F920" s="229" t="str">
        <f>IF(OR(D920="",E920=""),"",ROUND(D920/LOOKUP(E920,SMMLV!$A$2:$A$36,SMMLV!$D$2:$D$104),3))</f>
        <v/>
      </c>
      <c r="K920" s="758"/>
      <c r="L920" s="189">
        <v>5</v>
      </c>
      <c r="M920" s="759" t="str">
        <f t="shared" si="89"/>
        <v>NO APLICA</v>
      </c>
      <c r="N920" s="759"/>
    </row>
    <row r="921" spans="2:14">
      <c r="B921" s="182"/>
      <c r="C921" s="182"/>
      <c r="E921" s="183"/>
      <c r="F921" s="229" t="str">
        <f>IF(OR(D921="",E921=""),"",ROUND(D921/LOOKUP(E921,SMMLV!$A$2:$A$36,SMMLV!$D$2:$D$104),3))</f>
        <v/>
      </c>
      <c r="K921" s="758"/>
      <c r="L921" s="189">
        <v>6</v>
      </c>
      <c r="M921" s="759" t="str">
        <f t="shared" si="89"/>
        <v>NO APLICA</v>
      </c>
      <c r="N921" s="759"/>
    </row>
    <row r="922" spans="2:14">
      <c r="B922" s="182"/>
      <c r="C922" s="182"/>
      <c r="E922" s="183"/>
      <c r="F922" s="229" t="str">
        <f>IF(OR(D922="",E922=""),"",ROUND(D922/LOOKUP(E922,SMMLV!$A$2:$A$36,SMMLV!$D$2:$D$104),3))</f>
        <v/>
      </c>
      <c r="K922" s="758"/>
      <c r="L922" s="189">
        <v>7</v>
      </c>
      <c r="M922" s="759" t="str">
        <f t="shared" si="89"/>
        <v>NO APLICA</v>
      </c>
      <c r="N922" s="759"/>
    </row>
    <row r="923" spans="2:14">
      <c r="B923" s="182"/>
      <c r="C923" s="182"/>
      <c r="E923" s="183"/>
      <c r="F923" s="229" t="str">
        <f>IF(OR(D923="",E923=""),"",ROUND(D923/LOOKUP(E923,SMMLV!$A$2:$A$36,SMMLV!$D$2:$D$104),3))</f>
        <v/>
      </c>
      <c r="K923" s="758"/>
      <c r="L923" s="189">
        <v>8</v>
      </c>
      <c r="M923" s="759" t="str">
        <f t="shared" si="89"/>
        <v>NO APLICA</v>
      </c>
      <c r="N923" s="759"/>
    </row>
    <row r="924" spans="2:14">
      <c r="B924" s="182"/>
      <c r="C924" s="182"/>
      <c r="E924" s="183"/>
      <c r="F924" s="229" t="str">
        <f>IF(OR(D924="",E924=""),"",ROUND(D924/LOOKUP(E924,SMMLV!$A$2:$A$36,SMMLV!$D$2:$D$104),3))</f>
        <v/>
      </c>
      <c r="K924" s="758"/>
      <c r="L924" s="189">
        <v>9</v>
      </c>
      <c r="M924" s="759" t="str">
        <f t="shared" si="89"/>
        <v>NO APLICA</v>
      </c>
      <c r="N924" s="759"/>
    </row>
    <row r="925" spans="2:14">
      <c r="B925" s="182"/>
      <c r="C925" s="182"/>
      <c r="E925" s="183"/>
      <c r="F925" s="229" t="str">
        <f>IF(OR(D925="",E925=""),"",ROUND(D925/LOOKUP(E925,SMMLV!$A$2:$A$36,SMMLV!$D$2:$D$104),3))</f>
        <v/>
      </c>
      <c r="K925" s="758"/>
      <c r="L925" s="189">
        <v>10</v>
      </c>
      <c r="M925" s="759" t="str">
        <f t="shared" si="89"/>
        <v>NO APLICA</v>
      </c>
      <c r="N925" s="759"/>
    </row>
    <row r="926" spans="2:14">
      <c r="B926" s="182"/>
      <c r="C926" s="182"/>
      <c r="E926" s="183"/>
      <c r="F926" s="229" t="str">
        <f>IF(OR(D926="",E926=""),"",ROUND(D926/LOOKUP(E926,SMMLV!$A$2:$A$36,SMMLV!$D$2:$D$104),3))</f>
        <v/>
      </c>
      <c r="K926" s="758">
        <v>93</v>
      </c>
      <c r="L926" s="189">
        <v>1</v>
      </c>
      <c r="M926" s="759" t="str">
        <f t="shared" ref="M926:M935" si="90">IF(SUMIFS($F$5:$F$1200,$B$5:$B$1200,$K$926,$C$5:$C$1200,$L926)=0,"NO APLICA",ROUND(SUMIFS($F$5:$F$1200,$B$5:$B$1200,$K$926,$C$5:$C$1200,$L926),3))</f>
        <v>NO APLICA</v>
      </c>
      <c r="N926" s="759"/>
    </row>
    <row r="927" spans="2:14">
      <c r="B927" s="182"/>
      <c r="C927" s="182"/>
      <c r="E927" s="183"/>
      <c r="F927" s="229" t="str">
        <f>IF(OR(D927="",E927=""),"",ROUND(D927/LOOKUP(E927,SMMLV!$A$2:$A$36,SMMLV!$D$2:$D$104),3))</f>
        <v/>
      </c>
      <c r="K927" s="758"/>
      <c r="L927" s="189">
        <v>2</v>
      </c>
      <c r="M927" s="759" t="str">
        <f t="shared" si="90"/>
        <v>NO APLICA</v>
      </c>
      <c r="N927" s="759"/>
    </row>
    <row r="928" spans="2:14">
      <c r="B928" s="182"/>
      <c r="C928" s="182"/>
      <c r="E928" s="183"/>
      <c r="F928" s="229" t="str">
        <f>IF(OR(D928="",E928=""),"",ROUND(D928/LOOKUP(E928,SMMLV!$A$2:$A$36,SMMLV!$D$2:$D$104),3))</f>
        <v/>
      </c>
      <c r="K928" s="758"/>
      <c r="L928" s="189">
        <v>3</v>
      </c>
      <c r="M928" s="759" t="str">
        <f t="shared" si="90"/>
        <v>NO APLICA</v>
      </c>
      <c r="N928" s="759"/>
    </row>
    <row r="929" spans="2:14">
      <c r="B929" s="182"/>
      <c r="C929" s="182"/>
      <c r="E929" s="183"/>
      <c r="F929" s="229" t="str">
        <f>IF(OR(D929="",E929=""),"",ROUND(D929/LOOKUP(E929,SMMLV!$A$2:$A$36,SMMLV!$D$2:$D$104),3))</f>
        <v/>
      </c>
      <c r="K929" s="758"/>
      <c r="L929" s="189">
        <v>4</v>
      </c>
      <c r="M929" s="759" t="str">
        <f t="shared" si="90"/>
        <v>NO APLICA</v>
      </c>
      <c r="N929" s="759"/>
    </row>
    <row r="930" spans="2:14">
      <c r="B930" s="182"/>
      <c r="C930" s="182"/>
      <c r="E930" s="183"/>
      <c r="F930" s="229" t="str">
        <f>IF(OR(D930="",E930=""),"",ROUND(D930/LOOKUP(E930,SMMLV!$A$2:$A$36,SMMLV!$D$2:$D$104),3))</f>
        <v/>
      </c>
      <c r="K930" s="758"/>
      <c r="L930" s="189">
        <v>5</v>
      </c>
      <c r="M930" s="759" t="str">
        <f t="shared" si="90"/>
        <v>NO APLICA</v>
      </c>
      <c r="N930" s="759"/>
    </row>
    <row r="931" spans="2:14">
      <c r="B931" s="182"/>
      <c r="C931" s="182"/>
      <c r="E931" s="183"/>
      <c r="F931" s="229" t="str">
        <f>IF(OR(D931="",E931=""),"",ROUND(D931/LOOKUP(E931,SMMLV!$A$2:$A$36,SMMLV!$D$2:$D$104),3))</f>
        <v/>
      </c>
      <c r="K931" s="758"/>
      <c r="L931" s="189">
        <v>6</v>
      </c>
      <c r="M931" s="759" t="str">
        <f t="shared" si="90"/>
        <v>NO APLICA</v>
      </c>
      <c r="N931" s="759"/>
    </row>
    <row r="932" spans="2:14">
      <c r="B932" s="182"/>
      <c r="C932" s="182"/>
      <c r="E932" s="183"/>
      <c r="F932" s="229" t="str">
        <f>IF(OR(D932="",E932=""),"",ROUND(D932/LOOKUP(E932,SMMLV!$A$2:$A$36,SMMLV!$D$2:$D$104),3))</f>
        <v/>
      </c>
      <c r="K932" s="758"/>
      <c r="L932" s="189">
        <v>7</v>
      </c>
      <c r="M932" s="759" t="str">
        <f t="shared" si="90"/>
        <v>NO APLICA</v>
      </c>
      <c r="N932" s="759"/>
    </row>
    <row r="933" spans="2:14">
      <c r="B933" s="182"/>
      <c r="C933" s="182"/>
      <c r="E933" s="183"/>
      <c r="F933" s="229" t="str">
        <f>IF(OR(D933="",E933=""),"",ROUND(D933/LOOKUP(E933,SMMLV!$A$2:$A$36,SMMLV!$D$2:$D$104),3))</f>
        <v/>
      </c>
      <c r="K933" s="758"/>
      <c r="L933" s="189">
        <v>8</v>
      </c>
      <c r="M933" s="759" t="str">
        <f t="shared" si="90"/>
        <v>NO APLICA</v>
      </c>
      <c r="N933" s="759"/>
    </row>
    <row r="934" spans="2:14">
      <c r="B934" s="182"/>
      <c r="C934" s="182"/>
      <c r="E934" s="183"/>
      <c r="F934" s="229" t="str">
        <f>IF(OR(D934="",E934=""),"",ROUND(D934/LOOKUP(E934,SMMLV!$A$2:$A$36,SMMLV!$D$2:$D$104),3))</f>
        <v/>
      </c>
      <c r="K934" s="758"/>
      <c r="L934" s="189">
        <v>9</v>
      </c>
      <c r="M934" s="759" t="str">
        <f t="shared" si="90"/>
        <v>NO APLICA</v>
      </c>
      <c r="N934" s="759"/>
    </row>
    <row r="935" spans="2:14">
      <c r="B935" s="182"/>
      <c r="C935" s="182"/>
      <c r="E935" s="183"/>
      <c r="F935" s="229" t="str">
        <f>IF(OR(D935="",E935=""),"",ROUND(D935/LOOKUP(E935,SMMLV!$A$2:$A$36,SMMLV!$D$2:$D$104),3))</f>
        <v/>
      </c>
      <c r="K935" s="758"/>
      <c r="L935" s="189">
        <v>10</v>
      </c>
      <c r="M935" s="759" t="str">
        <f t="shared" si="90"/>
        <v>NO APLICA</v>
      </c>
      <c r="N935" s="759"/>
    </row>
    <row r="936" spans="2:14">
      <c r="B936" s="182"/>
      <c r="C936" s="182"/>
      <c r="E936" s="183"/>
      <c r="F936" s="229" t="str">
        <f>IF(OR(D936="",E936=""),"",ROUND(D936/LOOKUP(E936,SMMLV!$A$2:$A$36,SMMLV!$D$2:$D$104),3))</f>
        <v/>
      </c>
      <c r="K936" s="758">
        <v>94</v>
      </c>
      <c r="L936" s="189">
        <v>1</v>
      </c>
      <c r="M936" s="759" t="str">
        <f t="shared" ref="M936:M945" si="91">IF(SUMIFS($F$5:$F$1200,$B$5:$B$1200,$K$936,$C$5:$C$1200,$L936)=0,"NO APLICA",ROUND(SUMIFS($F$5:$F$1200,$B$5:$B$1200,$K$936,$C$5:$C$1200,$L936),3))</f>
        <v>NO APLICA</v>
      </c>
      <c r="N936" s="759"/>
    </row>
    <row r="937" spans="2:14">
      <c r="B937" s="182"/>
      <c r="C937" s="182"/>
      <c r="E937" s="183"/>
      <c r="F937" s="229" t="str">
        <f>IF(OR(D937="",E937=""),"",ROUND(D937/LOOKUP(E937,SMMLV!$A$2:$A$36,SMMLV!$D$2:$D$104),3))</f>
        <v/>
      </c>
      <c r="K937" s="758"/>
      <c r="L937" s="189">
        <v>2</v>
      </c>
      <c r="M937" s="759" t="str">
        <f t="shared" si="91"/>
        <v>NO APLICA</v>
      </c>
      <c r="N937" s="759"/>
    </row>
    <row r="938" spans="2:14">
      <c r="B938" s="182"/>
      <c r="C938" s="182"/>
      <c r="E938" s="183"/>
      <c r="F938" s="229" t="str">
        <f>IF(OR(D938="",E938=""),"",ROUND(D938/LOOKUP(E938,SMMLV!$A$2:$A$36,SMMLV!$D$2:$D$104),3))</f>
        <v/>
      </c>
      <c r="K938" s="758"/>
      <c r="L938" s="189">
        <v>3</v>
      </c>
      <c r="M938" s="759" t="str">
        <f t="shared" si="91"/>
        <v>NO APLICA</v>
      </c>
      <c r="N938" s="759"/>
    </row>
    <row r="939" spans="2:14">
      <c r="B939" s="182"/>
      <c r="C939" s="182"/>
      <c r="E939" s="183"/>
      <c r="F939" s="229" t="str">
        <f>IF(OR(D939="",E939=""),"",ROUND(D939/LOOKUP(E939,SMMLV!$A$2:$A$36,SMMLV!$D$2:$D$104),3))</f>
        <v/>
      </c>
      <c r="K939" s="758"/>
      <c r="L939" s="189">
        <v>4</v>
      </c>
      <c r="M939" s="759" t="str">
        <f t="shared" si="91"/>
        <v>NO APLICA</v>
      </c>
      <c r="N939" s="759"/>
    </row>
    <row r="940" spans="2:14">
      <c r="B940" s="182"/>
      <c r="C940" s="182"/>
      <c r="E940" s="183"/>
      <c r="F940" s="229" t="str">
        <f>IF(OR(D940="",E940=""),"",ROUND(D940/LOOKUP(E940,SMMLV!$A$2:$A$36,SMMLV!$D$2:$D$104),3))</f>
        <v/>
      </c>
      <c r="K940" s="758"/>
      <c r="L940" s="189">
        <v>5</v>
      </c>
      <c r="M940" s="759" t="str">
        <f t="shared" si="91"/>
        <v>NO APLICA</v>
      </c>
      <c r="N940" s="759"/>
    </row>
    <row r="941" spans="2:14">
      <c r="B941" s="182"/>
      <c r="C941" s="182"/>
      <c r="E941" s="183"/>
      <c r="F941" s="229" t="str">
        <f>IF(OR(D941="",E941=""),"",ROUND(D941/LOOKUP(E941,SMMLV!$A$2:$A$36,SMMLV!$D$2:$D$104),3))</f>
        <v/>
      </c>
      <c r="K941" s="758"/>
      <c r="L941" s="189">
        <v>6</v>
      </c>
      <c r="M941" s="759" t="str">
        <f t="shared" si="91"/>
        <v>NO APLICA</v>
      </c>
      <c r="N941" s="759"/>
    </row>
    <row r="942" spans="2:14">
      <c r="B942" s="182"/>
      <c r="C942" s="182"/>
      <c r="E942" s="183"/>
      <c r="F942" s="229" t="str">
        <f>IF(OR(D942="",E942=""),"",ROUND(D942/LOOKUP(E942,SMMLV!$A$2:$A$36,SMMLV!$D$2:$D$104),3))</f>
        <v/>
      </c>
      <c r="K942" s="758"/>
      <c r="L942" s="189">
        <v>7</v>
      </c>
      <c r="M942" s="759" t="str">
        <f t="shared" si="91"/>
        <v>NO APLICA</v>
      </c>
      <c r="N942" s="759"/>
    </row>
    <row r="943" spans="2:14">
      <c r="B943" s="182"/>
      <c r="C943" s="182"/>
      <c r="E943" s="183"/>
      <c r="F943" s="229" t="str">
        <f>IF(OR(D943="",E943=""),"",ROUND(D943/LOOKUP(E943,SMMLV!$A$2:$A$36,SMMLV!$D$2:$D$104),3))</f>
        <v/>
      </c>
      <c r="K943" s="758"/>
      <c r="L943" s="189">
        <v>8</v>
      </c>
      <c r="M943" s="759" t="str">
        <f t="shared" si="91"/>
        <v>NO APLICA</v>
      </c>
      <c r="N943" s="759"/>
    </row>
    <row r="944" spans="2:14">
      <c r="B944" s="182"/>
      <c r="C944" s="182"/>
      <c r="E944" s="183"/>
      <c r="F944" s="229" t="str">
        <f>IF(OR(D944="",E944=""),"",ROUND(D944/LOOKUP(E944,SMMLV!$A$2:$A$36,SMMLV!$D$2:$D$104),3))</f>
        <v/>
      </c>
      <c r="K944" s="758"/>
      <c r="L944" s="189">
        <v>9</v>
      </c>
      <c r="M944" s="759" t="str">
        <f t="shared" si="91"/>
        <v>NO APLICA</v>
      </c>
      <c r="N944" s="759"/>
    </row>
    <row r="945" spans="2:14">
      <c r="B945" s="182"/>
      <c r="C945" s="182"/>
      <c r="E945" s="183"/>
      <c r="F945" s="229" t="str">
        <f>IF(OR(D945="",E945=""),"",ROUND(D945/LOOKUP(E945,SMMLV!$A$2:$A$36,SMMLV!$D$2:$D$104),3))</f>
        <v/>
      </c>
      <c r="K945" s="758"/>
      <c r="L945" s="189">
        <v>10</v>
      </c>
      <c r="M945" s="759" t="str">
        <f t="shared" si="91"/>
        <v>NO APLICA</v>
      </c>
      <c r="N945" s="759"/>
    </row>
    <row r="946" spans="2:14">
      <c r="B946" s="182"/>
      <c r="C946" s="182"/>
      <c r="E946" s="183"/>
      <c r="F946" s="229" t="str">
        <f>IF(OR(D946="",E946=""),"",ROUND(D946/LOOKUP(E946,SMMLV!$A$2:$A$36,SMMLV!$D$2:$D$104),3))</f>
        <v/>
      </c>
      <c r="K946" s="758">
        <v>95</v>
      </c>
      <c r="L946" s="189">
        <v>1</v>
      </c>
      <c r="M946" s="759" t="str">
        <f t="shared" ref="M946:M955" si="92">IF(SUMIFS($F$5:$F$1200,$B$5:$B$1200,$K$946,$C$5:$C$1200,$L946)=0,"NO APLICA",ROUND(SUMIFS($F$5:$F$1200,$B$5:$B$1200,$K$946,$C$5:$C$1200,$L946),3))</f>
        <v>NO APLICA</v>
      </c>
      <c r="N946" s="759"/>
    </row>
    <row r="947" spans="2:14">
      <c r="B947" s="182"/>
      <c r="C947" s="182"/>
      <c r="E947" s="183"/>
      <c r="F947" s="229" t="str">
        <f>IF(OR(D947="",E947=""),"",ROUND(D947/LOOKUP(E947,SMMLV!$A$2:$A$36,SMMLV!$D$2:$D$104),3))</f>
        <v/>
      </c>
      <c r="K947" s="758"/>
      <c r="L947" s="189">
        <v>2</v>
      </c>
      <c r="M947" s="759" t="str">
        <f t="shared" si="92"/>
        <v>NO APLICA</v>
      </c>
      <c r="N947" s="759"/>
    </row>
    <row r="948" spans="2:14">
      <c r="B948" s="182"/>
      <c r="C948" s="182"/>
      <c r="E948" s="183"/>
      <c r="F948" s="229" t="str">
        <f>IF(OR(D948="",E948=""),"",ROUND(D948/LOOKUP(E948,SMMLV!$A$2:$A$36,SMMLV!$D$2:$D$104),3))</f>
        <v/>
      </c>
      <c r="K948" s="758"/>
      <c r="L948" s="189">
        <v>3</v>
      </c>
      <c r="M948" s="759" t="str">
        <f t="shared" si="92"/>
        <v>NO APLICA</v>
      </c>
      <c r="N948" s="759"/>
    </row>
    <row r="949" spans="2:14">
      <c r="B949" s="182"/>
      <c r="C949" s="182"/>
      <c r="E949" s="183"/>
      <c r="F949" s="229" t="str">
        <f>IF(OR(D949="",E949=""),"",ROUND(D949/LOOKUP(E949,SMMLV!$A$2:$A$36,SMMLV!$D$2:$D$104),3))</f>
        <v/>
      </c>
      <c r="K949" s="758"/>
      <c r="L949" s="189">
        <v>4</v>
      </c>
      <c r="M949" s="759" t="str">
        <f t="shared" si="92"/>
        <v>NO APLICA</v>
      </c>
      <c r="N949" s="759"/>
    </row>
    <row r="950" spans="2:14">
      <c r="B950" s="182"/>
      <c r="C950" s="182"/>
      <c r="E950" s="183"/>
      <c r="F950" s="229" t="str">
        <f>IF(OR(D950="",E950=""),"",ROUND(D950/LOOKUP(E950,SMMLV!$A$2:$A$36,SMMLV!$D$2:$D$104),3))</f>
        <v/>
      </c>
      <c r="K950" s="758"/>
      <c r="L950" s="189">
        <v>5</v>
      </c>
      <c r="M950" s="759" t="str">
        <f t="shared" si="92"/>
        <v>NO APLICA</v>
      </c>
      <c r="N950" s="759"/>
    </row>
    <row r="951" spans="2:14">
      <c r="B951" s="182"/>
      <c r="C951" s="182"/>
      <c r="E951" s="183"/>
      <c r="F951" s="229" t="str">
        <f>IF(OR(D951="",E951=""),"",ROUND(D951/LOOKUP(E951,SMMLV!$A$2:$A$36,SMMLV!$D$2:$D$104),3))</f>
        <v/>
      </c>
      <c r="K951" s="758"/>
      <c r="L951" s="189">
        <v>6</v>
      </c>
      <c r="M951" s="759" t="str">
        <f t="shared" si="92"/>
        <v>NO APLICA</v>
      </c>
      <c r="N951" s="759"/>
    </row>
    <row r="952" spans="2:14">
      <c r="B952" s="182"/>
      <c r="C952" s="182"/>
      <c r="E952" s="183"/>
      <c r="F952" s="229" t="str">
        <f>IF(OR(D952="",E952=""),"",ROUND(D952/LOOKUP(E952,SMMLV!$A$2:$A$36,SMMLV!$D$2:$D$104),3))</f>
        <v/>
      </c>
      <c r="K952" s="758"/>
      <c r="L952" s="189">
        <v>7</v>
      </c>
      <c r="M952" s="759" t="str">
        <f t="shared" si="92"/>
        <v>NO APLICA</v>
      </c>
      <c r="N952" s="759"/>
    </row>
    <row r="953" spans="2:14">
      <c r="B953" s="182"/>
      <c r="C953" s="182"/>
      <c r="E953" s="183"/>
      <c r="F953" s="229" t="str">
        <f>IF(OR(D953="",E953=""),"",ROUND(D953/LOOKUP(E953,SMMLV!$A$2:$A$36,SMMLV!$D$2:$D$104),3))</f>
        <v/>
      </c>
      <c r="K953" s="758"/>
      <c r="L953" s="189">
        <v>8</v>
      </c>
      <c r="M953" s="759" t="str">
        <f t="shared" si="92"/>
        <v>NO APLICA</v>
      </c>
      <c r="N953" s="759"/>
    </row>
    <row r="954" spans="2:14">
      <c r="B954" s="182"/>
      <c r="C954" s="182"/>
      <c r="E954" s="183"/>
      <c r="F954" s="229" t="str">
        <f>IF(OR(D954="",E954=""),"",ROUND(D954/LOOKUP(E954,SMMLV!$A$2:$A$36,SMMLV!$D$2:$D$104),3))</f>
        <v/>
      </c>
      <c r="K954" s="758"/>
      <c r="L954" s="189">
        <v>9</v>
      </c>
      <c r="M954" s="759" t="str">
        <f t="shared" si="92"/>
        <v>NO APLICA</v>
      </c>
      <c r="N954" s="759"/>
    </row>
    <row r="955" spans="2:14">
      <c r="B955" s="182"/>
      <c r="C955" s="182"/>
      <c r="E955" s="183"/>
      <c r="F955" s="229" t="str">
        <f>IF(OR(D955="",E955=""),"",ROUND(D955/LOOKUP(E955,SMMLV!$A$2:$A$36,SMMLV!$D$2:$D$104),3))</f>
        <v/>
      </c>
      <c r="K955" s="758"/>
      <c r="L955" s="189">
        <v>10</v>
      </c>
      <c r="M955" s="759" t="str">
        <f t="shared" si="92"/>
        <v>NO APLICA</v>
      </c>
      <c r="N955" s="759"/>
    </row>
    <row r="956" spans="2:14">
      <c r="B956" s="182"/>
      <c r="C956" s="182"/>
      <c r="E956" s="183"/>
      <c r="F956" s="229" t="str">
        <f>IF(OR(D956="",E956=""),"",ROUND(D956/LOOKUP(E956,SMMLV!$A$2:$A$36,SMMLV!$D$2:$D$104),3))</f>
        <v/>
      </c>
      <c r="K956" s="758">
        <v>96</v>
      </c>
      <c r="L956" s="189">
        <v>1</v>
      </c>
      <c r="M956" s="759" t="str">
        <f t="shared" ref="M956:M965" si="93">IF(SUMIFS($F$5:$F$1200,$B$5:$B$1200,$K$956,$C$5:$C$1200,$L956)=0,"NO APLICA",ROUND(SUMIFS($F$5:$F$1200,$B$5:$B$1200,$K$956,$C$5:$C$1200,$L956),3))</f>
        <v>NO APLICA</v>
      </c>
      <c r="N956" s="759"/>
    </row>
    <row r="957" spans="2:14">
      <c r="B957" s="182"/>
      <c r="C957" s="182"/>
      <c r="E957" s="183"/>
      <c r="F957" s="229" t="str">
        <f>IF(OR(D957="",E957=""),"",ROUND(D957/LOOKUP(E957,SMMLV!$A$2:$A$36,SMMLV!$D$2:$D$104),3))</f>
        <v/>
      </c>
      <c r="K957" s="758"/>
      <c r="L957" s="189">
        <v>2</v>
      </c>
      <c r="M957" s="759" t="str">
        <f t="shared" si="93"/>
        <v>NO APLICA</v>
      </c>
      <c r="N957" s="759"/>
    </row>
    <row r="958" spans="2:14">
      <c r="B958" s="182"/>
      <c r="C958" s="182"/>
      <c r="E958" s="183"/>
      <c r="F958" s="229" t="str">
        <f>IF(OR(D958="",E958=""),"",ROUND(D958/LOOKUP(E958,SMMLV!$A$2:$A$36,SMMLV!$D$2:$D$104),3))</f>
        <v/>
      </c>
      <c r="K958" s="758"/>
      <c r="L958" s="189">
        <v>3</v>
      </c>
      <c r="M958" s="759" t="str">
        <f t="shared" si="93"/>
        <v>NO APLICA</v>
      </c>
      <c r="N958" s="759"/>
    </row>
    <row r="959" spans="2:14">
      <c r="B959" s="182"/>
      <c r="C959" s="182"/>
      <c r="E959" s="183"/>
      <c r="F959" s="229" t="str">
        <f>IF(OR(D959="",E959=""),"",ROUND(D959/LOOKUP(E959,SMMLV!$A$2:$A$36,SMMLV!$D$2:$D$104),3))</f>
        <v/>
      </c>
      <c r="K959" s="758"/>
      <c r="L959" s="189">
        <v>4</v>
      </c>
      <c r="M959" s="759" t="str">
        <f t="shared" si="93"/>
        <v>NO APLICA</v>
      </c>
      <c r="N959" s="759"/>
    </row>
    <row r="960" spans="2:14">
      <c r="B960" s="182"/>
      <c r="C960" s="182"/>
      <c r="E960" s="183"/>
      <c r="F960" s="229" t="str">
        <f>IF(OR(D960="",E960=""),"",ROUND(D960/LOOKUP(E960,SMMLV!$A$2:$A$36,SMMLV!$D$2:$D$104),3))</f>
        <v/>
      </c>
      <c r="K960" s="758"/>
      <c r="L960" s="189">
        <v>5</v>
      </c>
      <c r="M960" s="759" t="str">
        <f t="shared" si="93"/>
        <v>NO APLICA</v>
      </c>
      <c r="N960" s="759"/>
    </row>
    <row r="961" spans="2:14">
      <c r="B961" s="182"/>
      <c r="C961" s="182"/>
      <c r="E961" s="183"/>
      <c r="F961" s="229" t="str">
        <f>IF(OR(D961="",E961=""),"",ROUND(D961/LOOKUP(E961,SMMLV!$A$2:$A$36,SMMLV!$D$2:$D$104),3))</f>
        <v/>
      </c>
      <c r="K961" s="758"/>
      <c r="L961" s="189">
        <v>6</v>
      </c>
      <c r="M961" s="759" t="str">
        <f t="shared" si="93"/>
        <v>NO APLICA</v>
      </c>
      <c r="N961" s="759"/>
    </row>
    <row r="962" spans="2:14">
      <c r="B962" s="182"/>
      <c r="C962" s="182"/>
      <c r="E962" s="183"/>
      <c r="F962" s="229" t="str">
        <f>IF(OR(D962="",E962=""),"",ROUND(D962/LOOKUP(E962,SMMLV!$A$2:$A$36,SMMLV!$D$2:$D$104),3))</f>
        <v/>
      </c>
      <c r="K962" s="758"/>
      <c r="L962" s="189">
        <v>7</v>
      </c>
      <c r="M962" s="759" t="str">
        <f t="shared" si="93"/>
        <v>NO APLICA</v>
      </c>
      <c r="N962" s="759"/>
    </row>
    <row r="963" spans="2:14">
      <c r="B963" s="182"/>
      <c r="C963" s="182"/>
      <c r="E963" s="183"/>
      <c r="F963" s="229" t="str">
        <f>IF(OR(D963="",E963=""),"",ROUND(D963/LOOKUP(E963,SMMLV!$A$2:$A$36,SMMLV!$D$2:$D$104),3))</f>
        <v/>
      </c>
      <c r="K963" s="758"/>
      <c r="L963" s="189">
        <v>8</v>
      </c>
      <c r="M963" s="759" t="str">
        <f t="shared" si="93"/>
        <v>NO APLICA</v>
      </c>
      <c r="N963" s="759"/>
    </row>
    <row r="964" spans="2:14">
      <c r="B964" s="182"/>
      <c r="C964" s="182"/>
      <c r="E964" s="183"/>
      <c r="F964" s="229" t="str">
        <f>IF(OR(D964="",E964=""),"",ROUND(D964/LOOKUP(E964,SMMLV!$A$2:$A$36,SMMLV!$D$2:$D$104),3))</f>
        <v/>
      </c>
      <c r="K964" s="758"/>
      <c r="L964" s="189">
        <v>9</v>
      </c>
      <c r="M964" s="759" t="str">
        <f t="shared" si="93"/>
        <v>NO APLICA</v>
      </c>
      <c r="N964" s="759"/>
    </row>
    <row r="965" spans="2:14">
      <c r="B965" s="182"/>
      <c r="C965" s="182"/>
      <c r="E965" s="183"/>
      <c r="F965" s="229" t="str">
        <f>IF(OR(D965="",E965=""),"",ROUND(D965/LOOKUP(E965,SMMLV!$A$2:$A$36,SMMLV!$D$2:$D$104),3))</f>
        <v/>
      </c>
      <c r="K965" s="758"/>
      <c r="L965" s="189">
        <v>10</v>
      </c>
      <c r="M965" s="759" t="str">
        <f t="shared" si="93"/>
        <v>NO APLICA</v>
      </c>
      <c r="N965" s="759"/>
    </row>
    <row r="966" spans="2:14">
      <c r="B966" s="182"/>
      <c r="C966" s="182"/>
      <c r="E966" s="183"/>
      <c r="F966" s="229" t="str">
        <f>IF(OR(D966="",E966=""),"",ROUND(D966/LOOKUP(E966,SMMLV!$A$2:$A$36,SMMLV!$D$2:$D$104),3))</f>
        <v/>
      </c>
      <c r="K966" s="758">
        <v>97</v>
      </c>
      <c r="L966" s="189">
        <v>1</v>
      </c>
      <c r="M966" s="759" t="str">
        <f t="shared" ref="M966:M975" si="94">IF(SUMIFS($F$5:$F$1200,$B$5:$B$1200,$K$966,$C$5:$C$1200,$L966)=0,"NO APLICA",ROUND(SUMIFS($F$5:$F$1200,$B$5:$B$1200,$K$966,$C$5:$C$1200,$L966),3))</f>
        <v>NO APLICA</v>
      </c>
      <c r="N966" s="759"/>
    </row>
    <row r="967" spans="2:14">
      <c r="B967" s="182"/>
      <c r="C967" s="182"/>
      <c r="E967" s="183"/>
      <c r="F967" s="229" t="str">
        <f>IF(OR(D967="",E967=""),"",ROUND(D967/LOOKUP(E967,SMMLV!$A$2:$A$36,SMMLV!$D$2:$D$104),3))</f>
        <v/>
      </c>
      <c r="K967" s="758"/>
      <c r="L967" s="189">
        <v>2</v>
      </c>
      <c r="M967" s="759" t="str">
        <f t="shared" si="94"/>
        <v>NO APLICA</v>
      </c>
      <c r="N967" s="759"/>
    </row>
    <row r="968" spans="2:14">
      <c r="B968" s="182"/>
      <c r="C968" s="182"/>
      <c r="E968" s="183"/>
      <c r="F968" s="229" t="str">
        <f>IF(OR(D968="",E968=""),"",ROUND(D968/LOOKUP(E968,SMMLV!$A$2:$A$36,SMMLV!$D$2:$D$104),3))</f>
        <v/>
      </c>
      <c r="K968" s="758"/>
      <c r="L968" s="189">
        <v>3</v>
      </c>
      <c r="M968" s="759" t="str">
        <f t="shared" si="94"/>
        <v>NO APLICA</v>
      </c>
      <c r="N968" s="759"/>
    </row>
    <row r="969" spans="2:14">
      <c r="B969" s="182"/>
      <c r="C969" s="182"/>
      <c r="E969" s="183"/>
      <c r="F969" s="229" t="str">
        <f>IF(OR(D969="",E969=""),"",ROUND(D969/LOOKUP(E969,SMMLV!$A$2:$A$36,SMMLV!$D$2:$D$104),3))</f>
        <v/>
      </c>
      <c r="K969" s="758"/>
      <c r="L969" s="189">
        <v>4</v>
      </c>
      <c r="M969" s="759" t="str">
        <f t="shared" si="94"/>
        <v>NO APLICA</v>
      </c>
      <c r="N969" s="759"/>
    </row>
    <row r="970" spans="2:14">
      <c r="B970" s="182"/>
      <c r="C970" s="182"/>
      <c r="E970" s="183"/>
      <c r="F970" s="229" t="str">
        <f>IF(OR(D970="",E970=""),"",ROUND(D970/LOOKUP(E970,SMMLV!$A$2:$A$36,SMMLV!$D$2:$D$104),3))</f>
        <v/>
      </c>
      <c r="K970" s="758"/>
      <c r="L970" s="189">
        <v>5</v>
      </c>
      <c r="M970" s="759" t="str">
        <f t="shared" si="94"/>
        <v>NO APLICA</v>
      </c>
      <c r="N970" s="759"/>
    </row>
    <row r="971" spans="2:14">
      <c r="B971" s="182"/>
      <c r="C971" s="182"/>
      <c r="E971" s="183"/>
      <c r="F971" s="229" t="str">
        <f>IF(OR(D971="",E971=""),"",ROUND(D971/LOOKUP(E971,SMMLV!$A$2:$A$36,SMMLV!$D$2:$D$104),3))</f>
        <v/>
      </c>
      <c r="K971" s="758"/>
      <c r="L971" s="189">
        <v>6</v>
      </c>
      <c r="M971" s="759" t="str">
        <f t="shared" si="94"/>
        <v>NO APLICA</v>
      </c>
      <c r="N971" s="759"/>
    </row>
    <row r="972" spans="2:14">
      <c r="B972" s="182"/>
      <c r="C972" s="182"/>
      <c r="E972" s="183"/>
      <c r="F972" s="229" t="str">
        <f>IF(OR(D972="",E972=""),"",ROUND(D972/LOOKUP(E972,SMMLV!$A$2:$A$36,SMMLV!$D$2:$D$104),3))</f>
        <v/>
      </c>
      <c r="K972" s="758"/>
      <c r="L972" s="189">
        <v>7</v>
      </c>
      <c r="M972" s="759" t="str">
        <f t="shared" si="94"/>
        <v>NO APLICA</v>
      </c>
      <c r="N972" s="759"/>
    </row>
    <row r="973" spans="2:14">
      <c r="B973" s="182"/>
      <c r="C973" s="182"/>
      <c r="E973" s="183"/>
      <c r="F973" s="229" t="str">
        <f>IF(OR(D973="",E973=""),"",ROUND(D973/LOOKUP(E973,SMMLV!$A$2:$A$36,SMMLV!$D$2:$D$104),3))</f>
        <v/>
      </c>
      <c r="K973" s="758"/>
      <c r="L973" s="189">
        <v>8</v>
      </c>
      <c r="M973" s="759" t="str">
        <f t="shared" si="94"/>
        <v>NO APLICA</v>
      </c>
      <c r="N973" s="759"/>
    </row>
    <row r="974" spans="2:14">
      <c r="B974" s="182"/>
      <c r="C974" s="182"/>
      <c r="E974" s="183"/>
      <c r="F974" s="229" t="str">
        <f>IF(OR(D974="",E974=""),"",ROUND(D974/LOOKUP(E974,SMMLV!$A$2:$A$36,SMMLV!$D$2:$D$104),3))</f>
        <v/>
      </c>
      <c r="K974" s="758"/>
      <c r="L974" s="189">
        <v>9</v>
      </c>
      <c r="M974" s="759" t="str">
        <f t="shared" si="94"/>
        <v>NO APLICA</v>
      </c>
      <c r="N974" s="759"/>
    </row>
    <row r="975" spans="2:14">
      <c r="B975" s="182"/>
      <c r="C975" s="182"/>
      <c r="E975" s="183"/>
      <c r="F975" s="229" t="str">
        <f>IF(OR(D975="",E975=""),"",ROUND(D975/LOOKUP(E975,SMMLV!$A$2:$A$36,SMMLV!$D$2:$D$104),3))</f>
        <v/>
      </c>
      <c r="K975" s="758"/>
      <c r="L975" s="189">
        <v>10</v>
      </c>
      <c r="M975" s="759" t="str">
        <f t="shared" si="94"/>
        <v>NO APLICA</v>
      </c>
      <c r="N975" s="759"/>
    </row>
    <row r="976" spans="2:14">
      <c r="B976" s="182"/>
      <c r="C976" s="182"/>
      <c r="E976" s="183"/>
      <c r="F976" s="229" t="str">
        <f>IF(OR(D976="",E976=""),"",ROUND(D976/LOOKUP(E976,SMMLV!$A$2:$A$36,SMMLV!$D$2:$D$104),3))</f>
        <v/>
      </c>
      <c r="K976" s="758">
        <v>98</v>
      </c>
      <c r="L976" s="189">
        <v>1</v>
      </c>
      <c r="M976" s="759" t="str">
        <f t="shared" ref="M976:M985" si="95">IF(SUMIFS($F$5:$F$1200,$B$5:$B$1200,$K$976,$C$5:$C$1200,$L976)=0,"NO APLICA",ROUND(SUMIFS($F$5:$F$1200,$B$5:$B$1200,$K$976,$C$5:$C$1200,$L976),3))</f>
        <v>NO APLICA</v>
      </c>
      <c r="N976" s="759"/>
    </row>
    <row r="977" spans="2:14">
      <c r="B977" s="182"/>
      <c r="C977" s="182"/>
      <c r="E977" s="183"/>
      <c r="F977" s="229" t="str">
        <f>IF(OR(D977="",E977=""),"",ROUND(D977/LOOKUP(E977,SMMLV!$A$2:$A$36,SMMLV!$D$2:$D$104),3))</f>
        <v/>
      </c>
      <c r="K977" s="758"/>
      <c r="L977" s="189">
        <v>2</v>
      </c>
      <c r="M977" s="759" t="str">
        <f t="shared" si="95"/>
        <v>NO APLICA</v>
      </c>
      <c r="N977" s="759"/>
    </row>
    <row r="978" spans="2:14">
      <c r="B978" s="182"/>
      <c r="C978" s="182"/>
      <c r="E978" s="183"/>
      <c r="F978" s="229" t="str">
        <f>IF(OR(D978="",E978=""),"",ROUND(D978/LOOKUP(E978,SMMLV!$A$2:$A$36,SMMLV!$D$2:$D$104),3))</f>
        <v/>
      </c>
      <c r="K978" s="758"/>
      <c r="L978" s="189">
        <v>3</v>
      </c>
      <c r="M978" s="759" t="str">
        <f t="shared" si="95"/>
        <v>NO APLICA</v>
      </c>
      <c r="N978" s="759"/>
    </row>
    <row r="979" spans="2:14">
      <c r="B979" s="182"/>
      <c r="C979" s="182"/>
      <c r="E979" s="183"/>
      <c r="F979" s="229" t="str">
        <f>IF(OR(D979="",E979=""),"",ROUND(D979/LOOKUP(E979,SMMLV!$A$2:$A$36,SMMLV!$D$2:$D$104),3))</f>
        <v/>
      </c>
      <c r="K979" s="758"/>
      <c r="L979" s="189">
        <v>4</v>
      </c>
      <c r="M979" s="759" t="str">
        <f t="shared" si="95"/>
        <v>NO APLICA</v>
      </c>
      <c r="N979" s="759"/>
    </row>
    <row r="980" spans="2:14">
      <c r="B980" s="182"/>
      <c r="C980" s="182"/>
      <c r="E980" s="183"/>
      <c r="F980" s="229" t="str">
        <f>IF(OR(D980="",E980=""),"",ROUND(D980/LOOKUP(E980,SMMLV!$A$2:$A$36,SMMLV!$D$2:$D$104),3))</f>
        <v/>
      </c>
      <c r="K980" s="758"/>
      <c r="L980" s="189">
        <v>5</v>
      </c>
      <c r="M980" s="759" t="str">
        <f t="shared" si="95"/>
        <v>NO APLICA</v>
      </c>
      <c r="N980" s="759"/>
    </row>
    <row r="981" spans="2:14">
      <c r="B981" s="182"/>
      <c r="C981" s="182"/>
      <c r="E981" s="183"/>
      <c r="F981" s="229" t="str">
        <f>IF(OR(D981="",E981=""),"",ROUND(D981/LOOKUP(E981,SMMLV!$A$2:$A$36,SMMLV!$D$2:$D$104),3))</f>
        <v/>
      </c>
      <c r="K981" s="758"/>
      <c r="L981" s="189">
        <v>6</v>
      </c>
      <c r="M981" s="759" t="str">
        <f t="shared" si="95"/>
        <v>NO APLICA</v>
      </c>
      <c r="N981" s="759"/>
    </row>
    <row r="982" spans="2:14">
      <c r="B982" s="182"/>
      <c r="C982" s="182"/>
      <c r="E982" s="183"/>
      <c r="F982" s="229" t="str">
        <f>IF(OR(D982="",E982=""),"",ROUND(D982/LOOKUP(E982,SMMLV!$A$2:$A$36,SMMLV!$D$2:$D$104),3))</f>
        <v/>
      </c>
      <c r="K982" s="758"/>
      <c r="L982" s="189">
        <v>7</v>
      </c>
      <c r="M982" s="759" t="str">
        <f t="shared" si="95"/>
        <v>NO APLICA</v>
      </c>
      <c r="N982" s="759"/>
    </row>
    <row r="983" spans="2:14">
      <c r="B983" s="182"/>
      <c r="C983" s="182"/>
      <c r="E983" s="183"/>
      <c r="F983" s="229" t="str">
        <f>IF(OR(D983="",E983=""),"",ROUND(D983/LOOKUP(E983,SMMLV!$A$2:$A$36,SMMLV!$D$2:$D$104),3))</f>
        <v/>
      </c>
      <c r="K983" s="758"/>
      <c r="L983" s="189">
        <v>8</v>
      </c>
      <c r="M983" s="759" t="str">
        <f t="shared" si="95"/>
        <v>NO APLICA</v>
      </c>
      <c r="N983" s="759"/>
    </row>
    <row r="984" spans="2:14">
      <c r="B984" s="182"/>
      <c r="C984" s="182"/>
      <c r="E984" s="183"/>
      <c r="F984" s="229" t="str">
        <f>IF(OR(D984="",E984=""),"",ROUND(D984/LOOKUP(E984,SMMLV!$A$2:$A$36,SMMLV!$D$2:$D$104),3))</f>
        <v/>
      </c>
      <c r="K984" s="758"/>
      <c r="L984" s="189">
        <v>9</v>
      </c>
      <c r="M984" s="759" t="str">
        <f t="shared" si="95"/>
        <v>NO APLICA</v>
      </c>
      <c r="N984" s="759"/>
    </row>
    <row r="985" spans="2:14">
      <c r="B985" s="182"/>
      <c r="C985" s="182"/>
      <c r="E985" s="183"/>
      <c r="F985" s="229" t="str">
        <f>IF(OR(D985="",E985=""),"",ROUND(D985/LOOKUP(E985,SMMLV!$A$2:$A$36,SMMLV!$D$2:$D$104),3))</f>
        <v/>
      </c>
      <c r="K985" s="758"/>
      <c r="L985" s="189">
        <v>10</v>
      </c>
      <c r="M985" s="759" t="str">
        <f t="shared" si="95"/>
        <v>NO APLICA</v>
      </c>
      <c r="N985" s="759"/>
    </row>
    <row r="986" spans="2:14">
      <c r="B986" s="182"/>
      <c r="C986" s="182"/>
      <c r="E986" s="183"/>
      <c r="F986" s="229" t="str">
        <f>IF(OR(D986="",E986=""),"",ROUND(D986/LOOKUP(E986,SMMLV!$A$2:$A$36,SMMLV!$D$2:$D$104),3))</f>
        <v/>
      </c>
      <c r="K986" s="758">
        <v>99</v>
      </c>
      <c r="L986" s="189">
        <v>1</v>
      </c>
      <c r="M986" s="759" t="str">
        <f t="shared" ref="M986:M995" si="96">IF(SUMIFS($F$5:$F$1200,$B$5:$B$1200,$K$986,$C$5:$C$1200,$L986)=0,"NO APLICA",ROUND(SUMIFS($F$5:$F$1200,$B$5:$B$1200,$K$986,$C$5:$C$1200,$L986),3))</f>
        <v>NO APLICA</v>
      </c>
      <c r="N986" s="759"/>
    </row>
    <row r="987" spans="2:14">
      <c r="B987" s="182"/>
      <c r="C987" s="182"/>
      <c r="E987" s="183"/>
      <c r="F987" s="229" t="str">
        <f>IF(OR(D987="",E987=""),"",ROUND(D987/LOOKUP(E987,SMMLV!$A$2:$A$36,SMMLV!$D$2:$D$104),3))</f>
        <v/>
      </c>
      <c r="K987" s="758"/>
      <c r="L987" s="189">
        <v>2</v>
      </c>
      <c r="M987" s="759" t="str">
        <f t="shared" si="96"/>
        <v>NO APLICA</v>
      </c>
      <c r="N987" s="759"/>
    </row>
    <row r="988" spans="2:14">
      <c r="B988" s="182"/>
      <c r="C988" s="182"/>
      <c r="E988" s="183"/>
      <c r="F988" s="229" t="str">
        <f>IF(OR(D988="",E988=""),"",ROUND(D988/LOOKUP(E988,SMMLV!$A$2:$A$36,SMMLV!$D$2:$D$104),3))</f>
        <v/>
      </c>
      <c r="K988" s="758"/>
      <c r="L988" s="189">
        <v>3</v>
      </c>
      <c r="M988" s="759" t="str">
        <f t="shared" si="96"/>
        <v>NO APLICA</v>
      </c>
      <c r="N988" s="759"/>
    </row>
    <row r="989" spans="2:14">
      <c r="B989" s="182"/>
      <c r="C989" s="182"/>
      <c r="E989" s="183"/>
      <c r="F989" s="229" t="str">
        <f>IF(OR(D989="",E989=""),"",ROUND(D989/LOOKUP(E989,SMMLV!$A$2:$A$36,SMMLV!$D$2:$D$104),3))</f>
        <v/>
      </c>
      <c r="K989" s="758"/>
      <c r="L989" s="189">
        <v>4</v>
      </c>
      <c r="M989" s="759" t="str">
        <f t="shared" si="96"/>
        <v>NO APLICA</v>
      </c>
      <c r="N989" s="759"/>
    </row>
    <row r="990" spans="2:14">
      <c r="B990" s="182"/>
      <c r="C990" s="182"/>
      <c r="E990" s="183"/>
      <c r="F990" s="229" t="str">
        <f>IF(OR(D990="",E990=""),"",ROUND(D990/LOOKUP(E990,SMMLV!$A$2:$A$36,SMMLV!$D$2:$D$104),3))</f>
        <v/>
      </c>
      <c r="K990" s="758"/>
      <c r="L990" s="189">
        <v>5</v>
      </c>
      <c r="M990" s="759" t="str">
        <f t="shared" si="96"/>
        <v>NO APLICA</v>
      </c>
      <c r="N990" s="759"/>
    </row>
    <row r="991" spans="2:14">
      <c r="B991" s="182"/>
      <c r="C991" s="182"/>
      <c r="E991" s="183"/>
      <c r="F991" s="229" t="str">
        <f>IF(OR(D991="",E991=""),"",ROUND(D991/LOOKUP(E991,SMMLV!$A$2:$A$36,SMMLV!$D$2:$D$104),3))</f>
        <v/>
      </c>
      <c r="K991" s="758"/>
      <c r="L991" s="189">
        <v>6</v>
      </c>
      <c r="M991" s="759" t="str">
        <f t="shared" si="96"/>
        <v>NO APLICA</v>
      </c>
      <c r="N991" s="759"/>
    </row>
    <row r="992" spans="2:14">
      <c r="B992" s="182"/>
      <c r="C992" s="182"/>
      <c r="E992" s="183"/>
      <c r="F992" s="229" t="str">
        <f>IF(OR(D992="",E992=""),"",ROUND(D992/LOOKUP(E992,SMMLV!$A$2:$A$36,SMMLV!$D$2:$D$104),3))</f>
        <v/>
      </c>
      <c r="K992" s="758"/>
      <c r="L992" s="189">
        <v>7</v>
      </c>
      <c r="M992" s="759" t="str">
        <f t="shared" si="96"/>
        <v>NO APLICA</v>
      </c>
      <c r="N992" s="759"/>
    </row>
    <row r="993" spans="2:14">
      <c r="B993" s="182"/>
      <c r="C993" s="182"/>
      <c r="E993" s="183"/>
      <c r="F993" s="229" t="str">
        <f>IF(OR(D993="",E993=""),"",ROUND(D993/LOOKUP(E993,SMMLV!$A$2:$A$36,SMMLV!$D$2:$D$104),3))</f>
        <v/>
      </c>
      <c r="K993" s="758"/>
      <c r="L993" s="189">
        <v>8</v>
      </c>
      <c r="M993" s="759" t="str">
        <f t="shared" si="96"/>
        <v>NO APLICA</v>
      </c>
      <c r="N993" s="759"/>
    </row>
    <row r="994" spans="2:14">
      <c r="B994" s="182"/>
      <c r="C994" s="182"/>
      <c r="E994" s="183"/>
      <c r="F994" s="229" t="str">
        <f>IF(OR(D994="",E994=""),"",ROUND(D994/LOOKUP(E994,SMMLV!$A$2:$A$36,SMMLV!$D$2:$D$104),3))</f>
        <v/>
      </c>
      <c r="K994" s="758"/>
      <c r="L994" s="189">
        <v>9</v>
      </c>
      <c r="M994" s="759" t="str">
        <f t="shared" si="96"/>
        <v>NO APLICA</v>
      </c>
      <c r="N994" s="759"/>
    </row>
    <row r="995" spans="2:14">
      <c r="B995" s="182"/>
      <c r="C995" s="182"/>
      <c r="E995" s="183"/>
      <c r="F995" s="229" t="str">
        <f>IF(OR(D995="",E995=""),"",ROUND(D995/LOOKUP(E995,SMMLV!$A$2:$A$36,SMMLV!$D$2:$D$104),3))</f>
        <v/>
      </c>
      <c r="K995" s="758"/>
      <c r="L995" s="189">
        <v>10</v>
      </c>
      <c r="M995" s="759" t="str">
        <f t="shared" si="96"/>
        <v>NO APLICA</v>
      </c>
      <c r="N995" s="759"/>
    </row>
    <row r="996" spans="2:14">
      <c r="B996" s="182"/>
      <c r="C996" s="182"/>
      <c r="E996" s="183"/>
      <c r="F996" s="229" t="str">
        <f>IF(OR(D996="",E996=""),"",ROUND(D996/LOOKUP(E996,SMMLV!$A$2:$A$36,SMMLV!$D$2:$D$104),3))</f>
        <v/>
      </c>
      <c r="K996" s="758">
        <v>100</v>
      </c>
      <c r="L996" s="189">
        <v>1</v>
      </c>
      <c r="M996" s="759" t="str">
        <f t="shared" ref="M996:M1005" si="97">IF(SUMIFS($F$5:$F$1200,$B$5:$B$1200,$K$996,$C$5:$C$1200,$L996)=0,"NO APLICA",ROUND(SUMIFS($F$5:$F$1200,$B$5:$B$1200,$K$996,$C$5:$C$1200,$L996),3))</f>
        <v>NO APLICA</v>
      </c>
      <c r="N996" s="759"/>
    </row>
    <row r="997" spans="2:14">
      <c r="B997" s="182"/>
      <c r="C997" s="182"/>
      <c r="E997" s="183"/>
      <c r="F997" s="229" t="str">
        <f>IF(OR(D997="",E997=""),"",ROUND(D997/LOOKUP(E997,SMMLV!$A$2:$A$36,SMMLV!$D$2:$D$104),3))</f>
        <v/>
      </c>
      <c r="K997" s="758"/>
      <c r="L997" s="189">
        <v>2</v>
      </c>
      <c r="M997" s="759" t="str">
        <f t="shared" si="97"/>
        <v>NO APLICA</v>
      </c>
      <c r="N997" s="759"/>
    </row>
    <row r="998" spans="2:14">
      <c r="B998" s="182"/>
      <c r="C998" s="182"/>
      <c r="E998" s="183"/>
      <c r="F998" s="229" t="str">
        <f>IF(OR(D998="",E998=""),"",ROUND(D998/LOOKUP(E998,SMMLV!$A$2:$A$36,SMMLV!$D$2:$D$104),3))</f>
        <v/>
      </c>
      <c r="K998" s="758"/>
      <c r="L998" s="189">
        <v>3</v>
      </c>
      <c r="M998" s="759" t="str">
        <f t="shared" si="97"/>
        <v>NO APLICA</v>
      </c>
      <c r="N998" s="759"/>
    </row>
    <row r="999" spans="2:14">
      <c r="B999" s="182"/>
      <c r="C999" s="182"/>
      <c r="E999" s="183"/>
      <c r="F999" s="229" t="str">
        <f>IF(OR(D999="",E999=""),"",ROUND(D999/LOOKUP(E999,SMMLV!$A$2:$A$36,SMMLV!$D$2:$D$104),3))</f>
        <v/>
      </c>
      <c r="K999" s="758"/>
      <c r="L999" s="189">
        <v>4</v>
      </c>
      <c r="M999" s="759" t="str">
        <f t="shared" si="97"/>
        <v>NO APLICA</v>
      </c>
      <c r="N999" s="759"/>
    </row>
    <row r="1000" spans="2:14">
      <c r="B1000" s="182"/>
      <c r="C1000" s="182"/>
      <c r="E1000" s="183"/>
      <c r="F1000" s="229" t="str">
        <f>IF(OR(D1000="",E1000=""),"",ROUND(D1000/LOOKUP(E1000,SMMLV!$A$2:$A$36,SMMLV!$D$2:$D$104),3))</f>
        <v/>
      </c>
      <c r="K1000" s="758"/>
      <c r="L1000" s="189">
        <v>5</v>
      </c>
      <c r="M1000" s="759" t="str">
        <f t="shared" si="97"/>
        <v>NO APLICA</v>
      </c>
      <c r="N1000" s="759"/>
    </row>
    <row r="1001" spans="2:14">
      <c r="B1001" s="182"/>
      <c r="C1001" s="182"/>
      <c r="E1001" s="183"/>
      <c r="F1001" s="229" t="str">
        <f>IF(OR(D1001="",E1001=""),"",ROUND(D1001/LOOKUP(E1001,SMMLV!$A$2:$A$36,SMMLV!$D$2:$D$104),3))</f>
        <v/>
      </c>
      <c r="K1001" s="758"/>
      <c r="L1001" s="189">
        <v>6</v>
      </c>
      <c r="M1001" s="759" t="str">
        <f t="shared" si="97"/>
        <v>NO APLICA</v>
      </c>
      <c r="N1001" s="759"/>
    </row>
    <row r="1002" spans="2:14">
      <c r="B1002" s="182"/>
      <c r="C1002" s="182"/>
      <c r="E1002" s="183"/>
      <c r="F1002" s="229" t="str">
        <f>IF(OR(D1002="",E1002=""),"",ROUND(D1002/LOOKUP(E1002,SMMLV!$A$2:$A$36,SMMLV!$D$2:$D$104),3))</f>
        <v/>
      </c>
      <c r="K1002" s="758"/>
      <c r="L1002" s="189">
        <v>7</v>
      </c>
      <c r="M1002" s="759" t="str">
        <f t="shared" si="97"/>
        <v>NO APLICA</v>
      </c>
      <c r="N1002" s="759"/>
    </row>
    <row r="1003" spans="2:14">
      <c r="B1003" s="182"/>
      <c r="C1003" s="182"/>
      <c r="E1003" s="183"/>
      <c r="F1003" s="229" t="str">
        <f>IF(OR(D1003="",E1003=""),"",ROUND(D1003/LOOKUP(E1003,SMMLV!$A$2:$A$36,SMMLV!$D$2:$D$104),3))</f>
        <v/>
      </c>
      <c r="K1003" s="758"/>
      <c r="L1003" s="189">
        <v>8</v>
      </c>
      <c r="M1003" s="759" t="str">
        <f t="shared" si="97"/>
        <v>NO APLICA</v>
      </c>
      <c r="N1003" s="759"/>
    </row>
    <row r="1004" spans="2:14">
      <c r="B1004" s="182"/>
      <c r="C1004" s="182"/>
      <c r="E1004" s="183"/>
      <c r="F1004" s="229" t="str">
        <f>IF(OR(D1004="",E1004=""),"",ROUND(D1004/LOOKUP(E1004,SMMLV!$A$2:$A$36,SMMLV!$D$2:$D$104),3))</f>
        <v/>
      </c>
      <c r="K1004" s="758"/>
      <c r="L1004" s="189">
        <v>9</v>
      </c>
      <c r="M1004" s="759" t="str">
        <f t="shared" si="97"/>
        <v>NO APLICA</v>
      </c>
      <c r="N1004" s="759"/>
    </row>
    <row r="1005" spans="2:14">
      <c r="B1005" s="182"/>
      <c r="C1005" s="182"/>
      <c r="E1005" s="183"/>
      <c r="F1005" s="229" t="str">
        <f>IF(OR(D1005="",E1005=""),"",ROUND(D1005/LOOKUP(E1005,SMMLV!$A$2:$A$36,SMMLV!$D$2:$D$104),3))</f>
        <v/>
      </c>
      <c r="K1005" s="758"/>
      <c r="L1005" s="189">
        <v>10</v>
      </c>
      <c r="M1005" s="759" t="str">
        <f t="shared" si="97"/>
        <v>NO APLICA</v>
      </c>
      <c r="N1005" s="759"/>
    </row>
    <row r="1006" spans="2:14">
      <c r="B1006" s="182"/>
      <c r="C1006" s="182"/>
      <c r="E1006" s="183"/>
      <c r="F1006" s="229" t="str">
        <f>IF(OR(D1006="",E1006=""),"",ROUND(D1006/LOOKUP(E1006,SMMLV!$A$2:$A$36,SMMLV!$D$2:$D$104),3))</f>
        <v/>
      </c>
    </row>
    <row r="1007" spans="2:14">
      <c r="B1007" s="182"/>
      <c r="C1007" s="182"/>
      <c r="E1007" s="183"/>
      <c r="F1007" s="229" t="str">
        <f>IF(OR(D1007="",E1007=""),"",ROUND(D1007/LOOKUP(E1007,SMMLV!$A$2:$A$36,SMMLV!$D$2:$D$104),3))</f>
        <v/>
      </c>
    </row>
    <row r="1008" spans="2:14">
      <c r="B1008" s="182"/>
      <c r="C1008" s="182"/>
      <c r="E1008" s="183"/>
      <c r="F1008" s="229" t="str">
        <f>IF(OR(D1008="",E1008=""),"",ROUND(D1008/LOOKUP(E1008,SMMLV!$A$2:$A$36,SMMLV!$D$2:$D$104),3))</f>
        <v/>
      </c>
    </row>
    <row r="1009" spans="2:6">
      <c r="B1009" s="182"/>
      <c r="C1009" s="182"/>
      <c r="E1009" s="183"/>
      <c r="F1009" s="229" t="str">
        <f>IF(OR(D1009="",E1009=""),"",ROUND(D1009/LOOKUP(E1009,SMMLV!$A$2:$A$36,SMMLV!$D$2:$D$104),3))</f>
        <v/>
      </c>
    </row>
    <row r="1010" spans="2:6">
      <c r="B1010" s="182"/>
      <c r="C1010" s="182"/>
      <c r="E1010" s="183"/>
      <c r="F1010" s="229" t="str">
        <f>IF(OR(D1010="",E1010=""),"",ROUND(D1010/LOOKUP(E1010,SMMLV!$A$2:$A$36,SMMLV!$D$2:$D$104),3))</f>
        <v/>
      </c>
    </row>
    <row r="1011" spans="2:6">
      <c r="B1011" s="182"/>
      <c r="C1011" s="182"/>
      <c r="E1011" s="183"/>
      <c r="F1011" s="229" t="str">
        <f>IF(OR(D1011="",E1011=""),"",ROUND(D1011/LOOKUP(E1011,SMMLV!$A$2:$A$36,SMMLV!$D$2:$D$104),3))</f>
        <v/>
      </c>
    </row>
    <row r="1012" spans="2:6">
      <c r="B1012" s="182"/>
      <c r="C1012" s="182"/>
      <c r="E1012" s="183"/>
      <c r="F1012" s="229" t="str">
        <f>IF(OR(D1012="",E1012=""),"",ROUND(D1012/LOOKUP(E1012,SMMLV!$A$2:$A$36,SMMLV!$D$2:$D$104),3))</f>
        <v/>
      </c>
    </row>
    <row r="1013" spans="2:6">
      <c r="B1013" s="182"/>
      <c r="C1013" s="182"/>
      <c r="E1013" s="183"/>
      <c r="F1013" s="229" t="str">
        <f>IF(OR(D1013="",E1013=""),"",ROUND(D1013/LOOKUP(E1013,SMMLV!$A$2:$A$36,SMMLV!$D$2:$D$104),3))</f>
        <v/>
      </c>
    </row>
    <row r="1014" spans="2:6">
      <c r="B1014" s="182"/>
      <c r="C1014" s="182"/>
      <c r="E1014" s="183"/>
      <c r="F1014" s="229" t="str">
        <f>IF(OR(D1014="",E1014=""),"",ROUND(D1014/LOOKUP(E1014,SMMLV!$A$2:$A$36,SMMLV!$D$2:$D$104),3))</f>
        <v/>
      </c>
    </row>
    <row r="1015" spans="2:6">
      <c r="B1015" s="182"/>
      <c r="C1015" s="182"/>
      <c r="E1015" s="183"/>
      <c r="F1015" s="229" t="str">
        <f>IF(OR(D1015="",E1015=""),"",ROUND(D1015/LOOKUP(E1015,SMMLV!$A$2:$A$36,SMMLV!$D$2:$D$104),3))</f>
        <v/>
      </c>
    </row>
    <row r="1016" spans="2:6">
      <c r="B1016" s="182"/>
      <c r="C1016" s="182"/>
      <c r="E1016" s="183"/>
      <c r="F1016" s="229" t="str">
        <f>IF(OR(D1016="",E1016=""),"",ROUND(D1016/LOOKUP(E1016,SMMLV!$A$2:$A$36,SMMLV!$D$2:$D$104),3))</f>
        <v/>
      </c>
    </row>
    <row r="1017" spans="2:6">
      <c r="B1017" s="182"/>
      <c r="C1017" s="182"/>
      <c r="E1017" s="183"/>
      <c r="F1017" s="229" t="str">
        <f>IF(OR(D1017="",E1017=""),"",ROUND(D1017/LOOKUP(E1017,SMMLV!$A$2:$A$36,SMMLV!$D$2:$D$104),3))</f>
        <v/>
      </c>
    </row>
    <row r="1018" spans="2:6">
      <c r="B1018" s="182"/>
      <c r="C1018" s="182"/>
      <c r="E1018" s="183"/>
      <c r="F1018" s="229" t="str">
        <f>IF(OR(D1018="",E1018=""),"",ROUND(D1018/LOOKUP(E1018,SMMLV!$A$2:$A$36,SMMLV!$D$2:$D$104),3))</f>
        <v/>
      </c>
    </row>
    <row r="1019" spans="2:6">
      <c r="B1019" s="182"/>
      <c r="C1019" s="182"/>
      <c r="E1019" s="183"/>
      <c r="F1019" s="229" t="str">
        <f>IF(OR(D1019="",E1019=""),"",ROUND(D1019/LOOKUP(E1019,SMMLV!$A$2:$A$36,SMMLV!$D$2:$D$104),3))</f>
        <v/>
      </c>
    </row>
    <row r="1020" spans="2:6">
      <c r="B1020" s="182"/>
      <c r="C1020" s="182"/>
      <c r="E1020" s="183"/>
      <c r="F1020" s="229" t="str">
        <f>IF(OR(D1020="",E1020=""),"",ROUND(D1020/LOOKUP(E1020,SMMLV!$A$2:$A$36,SMMLV!$D$2:$D$104),3))</f>
        <v/>
      </c>
    </row>
    <row r="1021" spans="2:6">
      <c r="B1021" s="182"/>
      <c r="C1021" s="182"/>
      <c r="E1021" s="183"/>
      <c r="F1021" s="229" t="str">
        <f>IF(OR(D1021="",E1021=""),"",ROUND(D1021/LOOKUP(E1021,SMMLV!$A$2:$A$36,SMMLV!$D$2:$D$104),3))</f>
        <v/>
      </c>
    </row>
    <row r="1022" spans="2:6">
      <c r="B1022" s="182"/>
      <c r="C1022" s="182"/>
      <c r="E1022" s="183"/>
      <c r="F1022" s="229" t="str">
        <f>IF(OR(D1022="",E1022=""),"",ROUND(D1022/LOOKUP(E1022,SMMLV!$A$2:$A$36,SMMLV!$D$2:$D$104),3))</f>
        <v/>
      </c>
    </row>
    <row r="1023" spans="2:6">
      <c r="B1023" s="182"/>
      <c r="C1023" s="182"/>
      <c r="E1023" s="183"/>
      <c r="F1023" s="229" t="str">
        <f>IF(OR(D1023="",E1023=""),"",ROUND(D1023/LOOKUP(E1023,SMMLV!$A$2:$A$36,SMMLV!$D$2:$D$104),3))</f>
        <v/>
      </c>
    </row>
    <row r="1024" spans="2:6">
      <c r="B1024" s="182"/>
      <c r="C1024" s="182"/>
      <c r="E1024" s="183"/>
      <c r="F1024" s="229" t="str">
        <f>IF(OR(D1024="",E1024=""),"",ROUND(D1024/LOOKUP(E1024,SMMLV!$A$2:$A$36,SMMLV!$D$2:$D$104),3))</f>
        <v/>
      </c>
    </row>
    <row r="1025" spans="2:6">
      <c r="B1025" s="182"/>
      <c r="C1025" s="182"/>
      <c r="E1025" s="183"/>
      <c r="F1025" s="229" t="str">
        <f>IF(OR(D1025="",E1025=""),"",ROUND(D1025/LOOKUP(E1025,SMMLV!$A$2:$A$36,SMMLV!$D$2:$D$104),3))</f>
        <v/>
      </c>
    </row>
    <row r="1026" spans="2:6">
      <c r="B1026" s="182"/>
      <c r="C1026" s="182"/>
      <c r="E1026" s="183"/>
      <c r="F1026" s="229" t="str">
        <f>IF(OR(D1026="",E1026=""),"",ROUND(D1026/LOOKUP(E1026,SMMLV!$A$2:$A$36,SMMLV!$D$2:$D$104),3))</f>
        <v/>
      </c>
    </row>
    <row r="1027" spans="2:6">
      <c r="B1027" s="182"/>
      <c r="C1027" s="182"/>
      <c r="E1027" s="183"/>
      <c r="F1027" s="229" t="str">
        <f>IF(OR(D1027="",E1027=""),"",ROUND(D1027/LOOKUP(E1027,SMMLV!$A$2:$A$36,SMMLV!$D$2:$D$104),3))</f>
        <v/>
      </c>
    </row>
    <row r="1028" spans="2:6">
      <c r="B1028" s="182"/>
      <c r="C1028" s="182"/>
      <c r="E1028" s="183"/>
      <c r="F1028" s="229" t="str">
        <f>IF(OR(D1028="",E1028=""),"",ROUND(D1028/LOOKUP(E1028,SMMLV!$A$2:$A$36,SMMLV!$D$2:$D$104),3))</f>
        <v/>
      </c>
    </row>
    <row r="1029" spans="2:6">
      <c r="B1029" s="182"/>
      <c r="C1029" s="182"/>
      <c r="E1029" s="183"/>
      <c r="F1029" s="229" t="str">
        <f>IF(OR(D1029="",E1029=""),"",ROUND(D1029/LOOKUP(E1029,SMMLV!$A$2:$A$36,SMMLV!$D$2:$D$104),3))</f>
        <v/>
      </c>
    </row>
    <row r="1030" spans="2:6">
      <c r="B1030" s="182"/>
      <c r="C1030" s="182"/>
      <c r="E1030" s="183"/>
      <c r="F1030" s="229" t="str">
        <f>IF(OR(D1030="",E1030=""),"",ROUND(D1030/LOOKUP(E1030,SMMLV!$A$2:$A$36,SMMLV!$D$2:$D$104),3))</f>
        <v/>
      </c>
    </row>
    <row r="1031" spans="2:6">
      <c r="B1031" s="182"/>
      <c r="C1031" s="182"/>
      <c r="E1031" s="183"/>
      <c r="F1031" s="229" t="str">
        <f>IF(OR(D1031="",E1031=""),"",ROUND(D1031/LOOKUP(E1031,SMMLV!$A$2:$A$36,SMMLV!$D$2:$D$104),3))</f>
        <v/>
      </c>
    </row>
    <row r="1032" spans="2:6">
      <c r="B1032" s="182"/>
      <c r="C1032" s="182"/>
      <c r="E1032" s="183"/>
      <c r="F1032" s="229" t="str">
        <f>IF(OR(D1032="",E1032=""),"",ROUND(D1032/LOOKUP(E1032,SMMLV!$A$2:$A$36,SMMLV!$D$2:$D$104),3))</f>
        <v/>
      </c>
    </row>
    <row r="1033" spans="2:6">
      <c r="B1033" s="182"/>
      <c r="C1033" s="182"/>
      <c r="E1033" s="183"/>
      <c r="F1033" s="229" t="str">
        <f>IF(OR(D1033="",E1033=""),"",ROUND(D1033/LOOKUP(E1033,SMMLV!$A$2:$A$36,SMMLV!$D$2:$D$104),3))</f>
        <v/>
      </c>
    </row>
    <row r="1034" spans="2:6">
      <c r="B1034" s="182"/>
      <c r="C1034" s="182"/>
      <c r="E1034" s="183"/>
      <c r="F1034" s="229" t="str">
        <f>IF(OR(D1034="",E1034=""),"",ROUND(D1034/LOOKUP(E1034,SMMLV!$A$2:$A$36,SMMLV!$D$2:$D$104),3))</f>
        <v/>
      </c>
    </row>
    <row r="1035" spans="2:6">
      <c r="B1035" s="182"/>
      <c r="C1035" s="182"/>
      <c r="E1035" s="183"/>
      <c r="F1035" s="229" t="str">
        <f>IF(OR(D1035="",E1035=""),"",ROUND(D1035/LOOKUP(E1035,SMMLV!$A$2:$A$36,SMMLV!$D$2:$D$104),3))</f>
        <v/>
      </c>
    </row>
    <row r="1036" spans="2:6">
      <c r="B1036" s="182"/>
      <c r="C1036" s="182"/>
      <c r="E1036" s="183"/>
      <c r="F1036" s="229" t="str">
        <f>IF(OR(D1036="",E1036=""),"",ROUND(D1036/LOOKUP(E1036,SMMLV!$A$2:$A$36,SMMLV!$D$2:$D$104),3))</f>
        <v/>
      </c>
    </row>
    <row r="1037" spans="2:6">
      <c r="B1037" s="182"/>
      <c r="C1037" s="182"/>
      <c r="E1037" s="183"/>
      <c r="F1037" s="229" t="str">
        <f>IF(OR(D1037="",E1037=""),"",ROUND(D1037/LOOKUP(E1037,SMMLV!$A$2:$A$36,SMMLV!$D$2:$D$104),3))</f>
        <v/>
      </c>
    </row>
    <row r="1038" spans="2:6">
      <c r="B1038" s="182"/>
      <c r="C1038" s="182"/>
      <c r="E1038" s="183"/>
      <c r="F1038" s="229" t="str">
        <f>IF(OR(D1038="",E1038=""),"",ROUND(D1038/LOOKUP(E1038,SMMLV!$A$2:$A$36,SMMLV!$D$2:$D$104),3))</f>
        <v/>
      </c>
    </row>
    <row r="1039" spans="2:6">
      <c r="B1039" s="182"/>
      <c r="C1039" s="182"/>
      <c r="E1039" s="183"/>
      <c r="F1039" s="229" t="str">
        <f>IF(OR(D1039="",E1039=""),"",ROUND(D1039/LOOKUP(E1039,SMMLV!$A$2:$A$36,SMMLV!$D$2:$D$104),3))</f>
        <v/>
      </c>
    </row>
    <row r="1040" spans="2:6">
      <c r="B1040" s="182"/>
      <c r="C1040" s="182"/>
      <c r="E1040" s="183"/>
      <c r="F1040" s="229" t="str">
        <f>IF(OR(D1040="",E1040=""),"",ROUND(D1040/LOOKUP(E1040,SMMLV!$A$2:$A$36,SMMLV!$D$2:$D$104),3))</f>
        <v/>
      </c>
    </row>
    <row r="1041" spans="2:6">
      <c r="B1041" s="182"/>
      <c r="C1041" s="182"/>
      <c r="E1041" s="183"/>
      <c r="F1041" s="229" t="str">
        <f>IF(OR(D1041="",E1041=""),"",ROUND(D1041/LOOKUP(E1041,SMMLV!$A$2:$A$36,SMMLV!$D$2:$D$104),3))</f>
        <v/>
      </c>
    </row>
    <row r="1042" spans="2:6">
      <c r="B1042" s="182"/>
      <c r="C1042" s="182"/>
      <c r="E1042" s="183"/>
      <c r="F1042" s="229" t="str">
        <f>IF(OR(D1042="",E1042=""),"",ROUND(D1042/LOOKUP(E1042,SMMLV!$A$2:$A$36,SMMLV!$D$2:$D$104),3))</f>
        <v/>
      </c>
    </row>
    <row r="1043" spans="2:6">
      <c r="B1043" s="182"/>
      <c r="C1043" s="182"/>
      <c r="E1043" s="183"/>
      <c r="F1043" s="229" t="str">
        <f>IF(OR(D1043="",E1043=""),"",ROUND(D1043/LOOKUP(E1043,SMMLV!$A$2:$A$36,SMMLV!$D$2:$D$104),3))</f>
        <v/>
      </c>
    </row>
    <row r="1044" spans="2:6">
      <c r="B1044" s="182"/>
      <c r="C1044" s="182"/>
      <c r="E1044" s="183"/>
      <c r="F1044" s="229" t="str">
        <f>IF(OR(D1044="",E1044=""),"",ROUND(D1044/LOOKUP(E1044,SMMLV!$A$2:$A$36,SMMLV!$D$2:$D$104),3))</f>
        <v/>
      </c>
    </row>
    <row r="1045" spans="2:6">
      <c r="B1045" s="182"/>
      <c r="C1045" s="182"/>
      <c r="E1045" s="183"/>
      <c r="F1045" s="229" t="str">
        <f>IF(OR(D1045="",E1045=""),"",ROUND(D1045/LOOKUP(E1045,SMMLV!$A$2:$A$36,SMMLV!$D$2:$D$104),3))</f>
        <v/>
      </c>
    </row>
    <row r="1046" spans="2:6">
      <c r="B1046" s="182"/>
      <c r="C1046" s="182"/>
      <c r="E1046" s="183"/>
      <c r="F1046" s="229" t="str">
        <f>IF(OR(D1046="",E1046=""),"",ROUND(D1046/LOOKUP(E1046,SMMLV!$A$2:$A$36,SMMLV!$D$2:$D$104),3))</f>
        <v/>
      </c>
    </row>
    <row r="1047" spans="2:6">
      <c r="B1047" s="182"/>
      <c r="C1047" s="182"/>
      <c r="E1047" s="183"/>
      <c r="F1047" s="229" t="str">
        <f>IF(OR(D1047="",E1047=""),"",ROUND(D1047/LOOKUP(E1047,SMMLV!$A$2:$A$36,SMMLV!$D$2:$D$104),3))</f>
        <v/>
      </c>
    </row>
    <row r="1048" spans="2:6">
      <c r="B1048" s="182"/>
      <c r="C1048" s="182"/>
      <c r="E1048" s="183"/>
      <c r="F1048" s="229" t="str">
        <f>IF(OR(D1048="",E1048=""),"",ROUND(D1048/LOOKUP(E1048,SMMLV!$A$2:$A$36,SMMLV!$D$2:$D$104),3))</f>
        <v/>
      </c>
    </row>
    <row r="1049" spans="2:6">
      <c r="B1049" s="182"/>
      <c r="C1049" s="182"/>
      <c r="E1049" s="183"/>
      <c r="F1049" s="229" t="str">
        <f>IF(OR(D1049="",E1049=""),"",ROUND(D1049/LOOKUP(E1049,SMMLV!$A$2:$A$36,SMMLV!$D$2:$D$104),3))</f>
        <v/>
      </c>
    </row>
    <row r="1050" spans="2:6">
      <c r="B1050" s="182"/>
      <c r="C1050" s="182"/>
      <c r="E1050" s="183"/>
      <c r="F1050" s="229" t="str">
        <f>IF(OR(D1050="",E1050=""),"",ROUND(D1050/LOOKUP(E1050,SMMLV!$A$2:$A$36,SMMLV!$D$2:$D$104),3))</f>
        <v/>
      </c>
    </row>
    <row r="1051" spans="2:6">
      <c r="B1051" s="182"/>
      <c r="C1051" s="182"/>
      <c r="E1051" s="183"/>
      <c r="F1051" s="229" t="str">
        <f>IF(OR(D1051="",E1051=""),"",ROUND(D1051/LOOKUP(E1051,SMMLV!$A$2:$A$36,SMMLV!$D$2:$D$104),3))</f>
        <v/>
      </c>
    </row>
    <row r="1052" spans="2:6">
      <c r="B1052" s="182"/>
      <c r="C1052" s="182"/>
      <c r="E1052" s="183"/>
      <c r="F1052" s="229" t="str">
        <f>IF(OR(D1052="",E1052=""),"",ROUND(D1052/LOOKUP(E1052,SMMLV!$A$2:$A$36,SMMLV!$D$2:$D$104),3))</f>
        <v/>
      </c>
    </row>
    <row r="1053" spans="2:6">
      <c r="B1053" s="182"/>
      <c r="C1053" s="182"/>
      <c r="E1053" s="183"/>
      <c r="F1053" s="229" t="str">
        <f>IF(OR(D1053="",E1053=""),"",ROUND(D1053/LOOKUP(E1053,SMMLV!$A$2:$A$36,SMMLV!$D$2:$D$104),3))</f>
        <v/>
      </c>
    </row>
    <row r="1054" spans="2:6">
      <c r="B1054" s="182"/>
      <c r="C1054" s="182"/>
      <c r="E1054" s="183"/>
      <c r="F1054" s="229" t="str">
        <f>IF(OR(D1054="",E1054=""),"",ROUND(D1054/LOOKUP(E1054,SMMLV!$A$2:$A$36,SMMLV!$D$2:$D$104),3))</f>
        <v/>
      </c>
    </row>
    <row r="1055" spans="2:6">
      <c r="B1055" s="182"/>
      <c r="C1055" s="182"/>
      <c r="E1055" s="183"/>
      <c r="F1055" s="229" t="str">
        <f>IF(OR(D1055="",E1055=""),"",ROUND(D1055/LOOKUP(E1055,SMMLV!$A$2:$A$36,SMMLV!$D$2:$D$104),3))</f>
        <v/>
      </c>
    </row>
    <row r="1056" spans="2:6">
      <c r="B1056" s="182"/>
      <c r="C1056" s="182"/>
      <c r="E1056" s="183"/>
      <c r="F1056" s="229" t="str">
        <f>IF(OR(D1056="",E1056=""),"",ROUND(D1056/LOOKUP(E1056,SMMLV!$A$2:$A$36,SMMLV!$D$2:$D$104),3))</f>
        <v/>
      </c>
    </row>
    <row r="1057" spans="2:6">
      <c r="B1057" s="182"/>
      <c r="C1057" s="182"/>
      <c r="E1057" s="183"/>
      <c r="F1057" s="229" t="str">
        <f>IF(OR(D1057="",E1057=""),"",ROUND(D1057/LOOKUP(E1057,SMMLV!$A$2:$A$36,SMMLV!$D$2:$D$104),3))</f>
        <v/>
      </c>
    </row>
    <row r="1058" spans="2:6">
      <c r="B1058" s="182"/>
      <c r="C1058" s="182"/>
      <c r="E1058" s="183"/>
      <c r="F1058" s="229" t="str">
        <f>IF(OR(D1058="",E1058=""),"",ROUND(D1058/LOOKUP(E1058,SMMLV!$A$2:$A$36,SMMLV!$D$2:$D$104),3))</f>
        <v/>
      </c>
    </row>
    <row r="1059" spans="2:6">
      <c r="B1059" s="182"/>
      <c r="C1059" s="182"/>
      <c r="E1059" s="183"/>
      <c r="F1059" s="229" t="str">
        <f>IF(OR(D1059="",E1059=""),"",ROUND(D1059/LOOKUP(E1059,SMMLV!$A$2:$A$36,SMMLV!$D$2:$D$104),3))</f>
        <v/>
      </c>
    </row>
    <row r="1060" spans="2:6">
      <c r="B1060" s="182"/>
      <c r="C1060" s="182"/>
      <c r="E1060" s="183"/>
      <c r="F1060" s="229" t="str">
        <f>IF(OR(D1060="",E1060=""),"",ROUND(D1060/LOOKUP(E1060,SMMLV!$A$2:$A$36,SMMLV!$D$2:$D$104),3))</f>
        <v/>
      </c>
    </row>
    <row r="1061" spans="2:6">
      <c r="B1061" s="182"/>
      <c r="C1061" s="182"/>
      <c r="E1061" s="183"/>
      <c r="F1061" s="229" t="str">
        <f>IF(OR(D1061="",E1061=""),"",ROUND(D1061/LOOKUP(E1061,SMMLV!$A$2:$A$36,SMMLV!$D$2:$D$104),3))</f>
        <v/>
      </c>
    </row>
    <row r="1062" spans="2:6">
      <c r="B1062" s="182"/>
      <c r="C1062" s="182"/>
      <c r="E1062" s="183"/>
      <c r="F1062" s="229" t="str">
        <f>IF(OR(D1062="",E1062=""),"",ROUND(D1062/LOOKUP(E1062,SMMLV!$A$2:$A$36,SMMLV!$D$2:$D$104),3))</f>
        <v/>
      </c>
    </row>
    <row r="1063" spans="2:6">
      <c r="B1063" s="182"/>
      <c r="C1063" s="182"/>
      <c r="E1063" s="183"/>
      <c r="F1063" s="229" t="str">
        <f>IF(OR(D1063="",E1063=""),"",ROUND(D1063/LOOKUP(E1063,SMMLV!$A$2:$A$36,SMMLV!$D$2:$D$104),3))</f>
        <v/>
      </c>
    </row>
    <row r="1064" spans="2:6">
      <c r="B1064" s="182"/>
      <c r="C1064" s="182"/>
      <c r="E1064" s="183"/>
      <c r="F1064" s="229" t="str">
        <f>IF(OR(D1064="",E1064=""),"",ROUND(D1064/LOOKUP(E1064,SMMLV!$A$2:$A$36,SMMLV!$D$2:$D$104),3))</f>
        <v/>
      </c>
    </row>
    <row r="1065" spans="2:6">
      <c r="B1065" s="182"/>
      <c r="C1065" s="182"/>
      <c r="E1065" s="183"/>
      <c r="F1065" s="229" t="str">
        <f>IF(OR(D1065="",E1065=""),"",ROUND(D1065/LOOKUP(E1065,SMMLV!$A$2:$A$36,SMMLV!$D$2:$D$104),3))</f>
        <v/>
      </c>
    </row>
    <row r="1066" spans="2:6">
      <c r="B1066" s="182"/>
      <c r="C1066" s="182"/>
      <c r="E1066" s="183"/>
      <c r="F1066" s="229" t="str">
        <f>IF(OR(D1066="",E1066=""),"",ROUND(D1066/LOOKUP(E1066,SMMLV!$A$2:$A$36,SMMLV!$D$2:$D$104),3))</f>
        <v/>
      </c>
    </row>
    <row r="1067" spans="2:6">
      <c r="B1067" s="182"/>
      <c r="C1067" s="182"/>
      <c r="E1067" s="183"/>
      <c r="F1067" s="229" t="str">
        <f>IF(OR(D1067="",E1067=""),"",ROUND(D1067/LOOKUP(E1067,SMMLV!$A$2:$A$36,SMMLV!$D$2:$D$104),3))</f>
        <v/>
      </c>
    </row>
    <row r="1068" spans="2:6">
      <c r="B1068" s="182"/>
      <c r="C1068" s="182"/>
      <c r="E1068" s="183"/>
      <c r="F1068" s="229" t="str">
        <f>IF(OR(D1068="",E1068=""),"",ROUND(D1068/LOOKUP(E1068,SMMLV!$A$2:$A$36,SMMLV!$D$2:$D$104),3))</f>
        <v/>
      </c>
    </row>
    <row r="1069" spans="2:6">
      <c r="B1069" s="182"/>
      <c r="C1069" s="182"/>
      <c r="E1069" s="183"/>
      <c r="F1069" s="229" t="str">
        <f>IF(OR(D1069="",E1069=""),"",ROUND(D1069/LOOKUP(E1069,SMMLV!$A$2:$A$36,SMMLV!$D$2:$D$104),3))</f>
        <v/>
      </c>
    </row>
    <row r="1070" spans="2:6">
      <c r="B1070" s="182"/>
      <c r="C1070" s="182"/>
      <c r="E1070" s="183"/>
      <c r="F1070" s="229" t="str">
        <f>IF(OR(D1070="",E1070=""),"",ROUND(D1070/LOOKUP(E1070,SMMLV!$A$2:$A$36,SMMLV!$D$2:$D$104),3))</f>
        <v/>
      </c>
    </row>
    <row r="1071" spans="2:6">
      <c r="B1071" s="182"/>
      <c r="C1071" s="182"/>
      <c r="E1071" s="183"/>
      <c r="F1071" s="229" t="str">
        <f>IF(OR(D1071="",E1071=""),"",ROUND(D1071/LOOKUP(E1071,SMMLV!$A$2:$A$36,SMMLV!$D$2:$D$104),3))</f>
        <v/>
      </c>
    </row>
    <row r="1072" spans="2:6">
      <c r="B1072" s="182"/>
      <c r="C1072" s="182"/>
      <c r="E1072" s="183"/>
      <c r="F1072" s="229" t="str">
        <f>IF(OR(D1072="",E1072=""),"",ROUND(D1072/LOOKUP(E1072,SMMLV!$A$2:$A$36,SMMLV!$D$2:$D$104),3))</f>
        <v/>
      </c>
    </row>
    <row r="1073" spans="2:6">
      <c r="B1073" s="182"/>
      <c r="C1073" s="182"/>
      <c r="E1073" s="183"/>
      <c r="F1073" s="229" t="str">
        <f>IF(OR(D1073="",E1073=""),"",ROUND(D1073/LOOKUP(E1073,SMMLV!$A$2:$A$36,SMMLV!$D$2:$D$104),3))</f>
        <v/>
      </c>
    </row>
    <row r="1074" spans="2:6">
      <c r="B1074" s="182"/>
      <c r="C1074" s="182"/>
      <c r="E1074" s="183"/>
      <c r="F1074" s="229" t="str">
        <f>IF(OR(D1074="",E1074=""),"",ROUND(D1074/LOOKUP(E1074,SMMLV!$A$2:$A$36,SMMLV!$D$2:$D$104),3))</f>
        <v/>
      </c>
    </row>
    <row r="1075" spans="2:6">
      <c r="B1075" s="182"/>
      <c r="C1075" s="182"/>
      <c r="E1075" s="183"/>
      <c r="F1075" s="229" t="str">
        <f>IF(OR(D1075="",E1075=""),"",ROUND(D1075/LOOKUP(E1075,SMMLV!$A$2:$A$36,SMMLV!$D$2:$D$104),3))</f>
        <v/>
      </c>
    </row>
    <row r="1076" spans="2:6">
      <c r="B1076" s="182"/>
      <c r="C1076" s="182"/>
      <c r="E1076" s="183"/>
      <c r="F1076" s="229" t="str">
        <f>IF(OR(D1076="",E1076=""),"",ROUND(D1076/LOOKUP(E1076,SMMLV!$A$2:$A$36,SMMLV!$D$2:$D$104),3))</f>
        <v/>
      </c>
    </row>
    <row r="1077" spans="2:6">
      <c r="B1077" s="182"/>
      <c r="C1077" s="182"/>
      <c r="E1077" s="183"/>
      <c r="F1077" s="229" t="str">
        <f>IF(OR(D1077="",E1077=""),"",ROUND(D1077/LOOKUP(E1077,SMMLV!$A$2:$A$36,SMMLV!$D$2:$D$104),3))</f>
        <v/>
      </c>
    </row>
    <row r="1078" spans="2:6">
      <c r="B1078" s="182"/>
      <c r="C1078" s="182"/>
      <c r="E1078" s="183"/>
      <c r="F1078" s="229" t="str">
        <f>IF(OR(D1078="",E1078=""),"",ROUND(D1078/LOOKUP(E1078,SMMLV!$A$2:$A$36,SMMLV!$D$2:$D$104),3))</f>
        <v/>
      </c>
    </row>
    <row r="1079" spans="2:6">
      <c r="B1079" s="182"/>
      <c r="C1079" s="182"/>
      <c r="E1079" s="183"/>
      <c r="F1079" s="229" t="str">
        <f>IF(OR(D1079="",E1079=""),"",ROUND(D1079/LOOKUP(E1079,SMMLV!$A$2:$A$36,SMMLV!$D$2:$D$104),3))</f>
        <v/>
      </c>
    </row>
    <row r="1080" spans="2:6">
      <c r="B1080" s="182"/>
      <c r="C1080" s="182"/>
      <c r="E1080" s="183"/>
      <c r="F1080" s="229" t="str">
        <f>IF(OR(D1080="",E1080=""),"",ROUND(D1080/LOOKUP(E1080,SMMLV!$A$2:$A$36,SMMLV!$D$2:$D$104),3))</f>
        <v/>
      </c>
    </row>
    <row r="1081" spans="2:6">
      <c r="B1081" s="182"/>
      <c r="C1081" s="182"/>
      <c r="E1081" s="183"/>
      <c r="F1081" s="229" t="str">
        <f>IF(OR(D1081="",E1081=""),"",ROUND(D1081/LOOKUP(E1081,SMMLV!$A$2:$A$36,SMMLV!$D$2:$D$104),3))</f>
        <v/>
      </c>
    </row>
    <row r="1082" spans="2:6">
      <c r="B1082" s="182"/>
      <c r="C1082" s="182"/>
      <c r="E1082" s="183"/>
      <c r="F1082" s="229" t="str">
        <f>IF(OR(D1082="",E1082=""),"",ROUND(D1082/LOOKUP(E1082,SMMLV!$A$2:$A$36,SMMLV!$D$2:$D$104),3))</f>
        <v/>
      </c>
    </row>
    <row r="1083" spans="2:6">
      <c r="B1083" s="182"/>
      <c r="C1083" s="182"/>
      <c r="E1083" s="183"/>
      <c r="F1083" s="229" t="str">
        <f>IF(OR(D1083="",E1083=""),"",ROUND(D1083/LOOKUP(E1083,SMMLV!$A$2:$A$36,SMMLV!$D$2:$D$104),3))</f>
        <v/>
      </c>
    </row>
    <row r="1084" spans="2:6">
      <c r="B1084" s="182"/>
      <c r="C1084" s="182"/>
      <c r="E1084" s="183"/>
      <c r="F1084" s="229" t="str">
        <f>IF(OR(D1084="",E1084=""),"",ROUND(D1084/LOOKUP(E1084,SMMLV!$A$2:$A$36,SMMLV!$D$2:$D$104),3))</f>
        <v/>
      </c>
    </row>
    <row r="1085" spans="2:6">
      <c r="B1085" s="182"/>
      <c r="C1085" s="182"/>
      <c r="E1085" s="183"/>
      <c r="F1085" s="229" t="str">
        <f>IF(OR(D1085="",E1085=""),"",ROUND(D1085/LOOKUP(E1085,SMMLV!$A$2:$A$36,SMMLV!$D$2:$D$104),3))</f>
        <v/>
      </c>
    </row>
    <row r="1086" spans="2:6">
      <c r="B1086" s="182"/>
      <c r="C1086" s="182"/>
      <c r="E1086" s="183"/>
      <c r="F1086" s="229" t="str">
        <f>IF(OR(D1086="",E1086=""),"",ROUND(D1086/LOOKUP(E1086,SMMLV!$A$2:$A$36,SMMLV!$D$2:$D$104),3))</f>
        <v/>
      </c>
    </row>
    <row r="1087" spans="2:6">
      <c r="B1087" s="182"/>
      <c r="C1087" s="182"/>
      <c r="E1087" s="183"/>
      <c r="F1087" s="229" t="str">
        <f>IF(OR(D1087="",E1087=""),"",ROUND(D1087/LOOKUP(E1087,SMMLV!$A$2:$A$36,SMMLV!$D$2:$D$104),3))</f>
        <v/>
      </c>
    </row>
    <row r="1088" spans="2:6">
      <c r="B1088" s="182"/>
      <c r="C1088" s="182"/>
      <c r="E1088" s="183"/>
      <c r="F1088" s="229" t="str">
        <f>IF(OR(D1088="",E1088=""),"",ROUND(D1088/LOOKUP(E1088,SMMLV!$A$2:$A$36,SMMLV!$D$2:$D$104),3))</f>
        <v/>
      </c>
    </row>
    <row r="1089" spans="2:6">
      <c r="B1089" s="182"/>
      <c r="C1089" s="182"/>
      <c r="E1089" s="183"/>
      <c r="F1089" s="229" t="str">
        <f>IF(OR(D1089="",E1089=""),"",ROUND(D1089/LOOKUP(E1089,SMMLV!$A$2:$A$36,SMMLV!$D$2:$D$104),3))</f>
        <v/>
      </c>
    </row>
    <row r="1090" spans="2:6">
      <c r="B1090" s="182"/>
      <c r="C1090" s="182"/>
      <c r="E1090" s="183"/>
      <c r="F1090" s="229" t="str">
        <f>IF(OR(D1090="",E1090=""),"",ROUND(D1090/LOOKUP(E1090,SMMLV!$A$2:$A$36,SMMLV!$D$2:$D$104),3))</f>
        <v/>
      </c>
    </row>
    <row r="1091" spans="2:6">
      <c r="B1091" s="182"/>
      <c r="C1091" s="182"/>
      <c r="E1091" s="183"/>
      <c r="F1091" s="229" t="str">
        <f>IF(OR(D1091="",E1091=""),"",ROUND(D1091/LOOKUP(E1091,SMMLV!$A$2:$A$36,SMMLV!$D$2:$D$104),3))</f>
        <v/>
      </c>
    </row>
    <row r="1092" spans="2:6">
      <c r="B1092" s="182"/>
      <c r="C1092" s="182"/>
      <c r="E1092" s="183"/>
      <c r="F1092" s="229" t="str">
        <f>IF(OR(D1092="",E1092=""),"",ROUND(D1092/LOOKUP(E1092,SMMLV!$A$2:$A$36,SMMLV!$D$2:$D$104),3))</f>
        <v/>
      </c>
    </row>
    <row r="1093" spans="2:6">
      <c r="B1093" s="182"/>
      <c r="C1093" s="182"/>
      <c r="E1093" s="183"/>
      <c r="F1093" s="229" t="str">
        <f>IF(OR(D1093="",E1093=""),"",ROUND(D1093/LOOKUP(E1093,SMMLV!$A$2:$A$36,SMMLV!$D$2:$D$104),3))</f>
        <v/>
      </c>
    </row>
    <row r="1094" spans="2:6">
      <c r="B1094" s="182"/>
      <c r="C1094" s="182"/>
      <c r="E1094" s="183"/>
      <c r="F1094" s="229" t="str">
        <f>IF(OR(D1094="",E1094=""),"",ROUND(D1094/LOOKUP(E1094,SMMLV!$A$2:$A$36,SMMLV!$D$2:$D$104),3))</f>
        <v/>
      </c>
    </row>
    <row r="1095" spans="2:6">
      <c r="B1095" s="182"/>
      <c r="C1095" s="182"/>
      <c r="E1095" s="183"/>
      <c r="F1095" s="229" t="str">
        <f>IF(OR(D1095="",E1095=""),"",ROUND(D1095/LOOKUP(E1095,SMMLV!$A$2:$A$36,SMMLV!$D$2:$D$104),3))</f>
        <v/>
      </c>
    </row>
    <row r="1096" spans="2:6">
      <c r="B1096" s="182"/>
      <c r="C1096" s="182"/>
      <c r="E1096" s="183"/>
      <c r="F1096" s="229" t="str">
        <f>IF(OR(D1096="",E1096=""),"",ROUND(D1096/LOOKUP(E1096,SMMLV!$A$2:$A$36,SMMLV!$D$2:$D$104),3))</f>
        <v/>
      </c>
    </row>
    <row r="1097" spans="2:6">
      <c r="B1097" s="182"/>
      <c r="C1097" s="182"/>
      <c r="E1097" s="183"/>
      <c r="F1097" s="229" t="str">
        <f>IF(OR(D1097="",E1097=""),"",ROUND(D1097/LOOKUP(E1097,SMMLV!$A$2:$A$36,SMMLV!$D$2:$D$104),3))</f>
        <v/>
      </c>
    </row>
    <row r="1098" spans="2:6">
      <c r="B1098" s="182"/>
      <c r="C1098" s="182"/>
      <c r="E1098" s="183"/>
      <c r="F1098" s="229" t="str">
        <f>IF(OR(D1098="",E1098=""),"",ROUND(D1098/LOOKUP(E1098,SMMLV!$A$2:$A$36,SMMLV!$D$2:$D$104),3))</f>
        <v/>
      </c>
    </row>
    <row r="1099" spans="2:6">
      <c r="B1099" s="182"/>
      <c r="C1099" s="182"/>
      <c r="E1099" s="183"/>
      <c r="F1099" s="229" t="str">
        <f>IF(OR(D1099="",E1099=""),"",ROUND(D1099/LOOKUP(E1099,SMMLV!$A$2:$A$36,SMMLV!$D$2:$D$104),3))</f>
        <v/>
      </c>
    </row>
    <row r="1100" spans="2:6">
      <c r="B1100" s="182"/>
      <c r="C1100" s="182"/>
      <c r="E1100" s="183"/>
      <c r="F1100" s="229" t="str">
        <f>IF(OR(D1100="",E1100=""),"",ROUND(D1100/LOOKUP(E1100,SMMLV!$A$2:$A$36,SMMLV!$D$2:$D$104),3))</f>
        <v/>
      </c>
    </row>
    <row r="1101" spans="2:6">
      <c r="B1101" s="182"/>
      <c r="C1101" s="182"/>
      <c r="E1101" s="183"/>
      <c r="F1101" s="229" t="str">
        <f>IF(OR(D1101="",E1101=""),"",ROUND(D1101/LOOKUP(E1101,SMMLV!$A$2:$A$36,SMMLV!$D$2:$D$104),3))</f>
        <v/>
      </c>
    </row>
    <row r="1102" spans="2:6">
      <c r="B1102" s="182"/>
      <c r="C1102" s="182"/>
      <c r="E1102" s="183"/>
      <c r="F1102" s="229" t="str">
        <f>IF(OR(D1102="",E1102=""),"",ROUND(D1102/LOOKUP(E1102,SMMLV!$A$2:$A$36,SMMLV!$D$2:$D$104),3))</f>
        <v/>
      </c>
    </row>
    <row r="1103" spans="2:6">
      <c r="B1103" s="182"/>
      <c r="C1103" s="182"/>
      <c r="E1103" s="183"/>
      <c r="F1103" s="229" t="str">
        <f>IF(OR(D1103="",E1103=""),"",ROUND(D1103/LOOKUP(E1103,SMMLV!$A$2:$A$36,SMMLV!$D$2:$D$104),3))</f>
        <v/>
      </c>
    </row>
    <row r="1104" spans="2:6">
      <c r="B1104" s="182"/>
      <c r="C1104" s="182"/>
      <c r="E1104" s="183"/>
      <c r="F1104" s="229" t="str">
        <f>IF(OR(D1104="",E1104=""),"",ROUND(D1104/LOOKUP(E1104,SMMLV!$A$2:$A$36,SMMLV!$D$2:$D$104),3))</f>
        <v/>
      </c>
    </row>
    <row r="1105" spans="2:6">
      <c r="B1105" s="182"/>
      <c r="C1105" s="182"/>
      <c r="E1105" s="183"/>
      <c r="F1105" s="229" t="str">
        <f>IF(OR(D1105="",E1105=""),"",ROUND(D1105/LOOKUP(E1105,SMMLV!$A$2:$A$36,SMMLV!$D$2:$D$104),3))</f>
        <v/>
      </c>
    </row>
    <row r="1106" spans="2:6">
      <c r="B1106" s="182"/>
      <c r="C1106" s="182"/>
      <c r="E1106" s="183"/>
      <c r="F1106" s="229" t="str">
        <f>IF(OR(D1106="",E1106=""),"",ROUND(D1106/LOOKUP(E1106,SMMLV!$A$2:$A$36,SMMLV!$D$2:$D$104),3))</f>
        <v/>
      </c>
    </row>
    <row r="1107" spans="2:6">
      <c r="B1107" s="182"/>
      <c r="C1107" s="182"/>
      <c r="E1107" s="183"/>
      <c r="F1107" s="229" t="str">
        <f>IF(OR(D1107="",E1107=""),"",ROUND(D1107/LOOKUP(E1107,SMMLV!$A$2:$A$36,SMMLV!$D$2:$D$104),3))</f>
        <v/>
      </c>
    </row>
    <row r="1108" spans="2:6">
      <c r="B1108" s="182"/>
      <c r="C1108" s="182"/>
      <c r="E1108" s="183"/>
      <c r="F1108" s="229" t="str">
        <f>IF(OR(D1108="",E1108=""),"",ROUND(D1108/LOOKUP(E1108,SMMLV!$A$2:$A$36,SMMLV!$D$2:$D$104),3))</f>
        <v/>
      </c>
    </row>
    <row r="1109" spans="2:6">
      <c r="B1109" s="182"/>
      <c r="C1109" s="182"/>
      <c r="E1109" s="183"/>
      <c r="F1109" s="229" t="str">
        <f>IF(OR(D1109="",E1109=""),"",ROUND(D1109/LOOKUP(E1109,SMMLV!$A$2:$A$36,SMMLV!$D$2:$D$104),3))</f>
        <v/>
      </c>
    </row>
    <row r="1110" spans="2:6">
      <c r="B1110" s="182"/>
      <c r="C1110" s="182"/>
      <c r="E1110" s="183"/>
      <c r="F1110" s="229" t="str">
        <f>IF(OR(D1110="",E1110=""),"",ROUND(D1110/LOOKUP(E1110,SMMLV!$A$2:$A$36,SMMLV!$D$2:$D$104),3))</f>
        <v/>
      </c>
    </row>
    <row r="1111" spans="2:6">
      <c r="B1111" s="182"/>
      <c r="C1111" s="182"/>
      <c r="E1111" s="183"/>
      <c r="F1111" s="229" t="str">
        <f>IF(OR(D1111="",E1111=""),"",ROUND(D1111/LOOKUP(E1111,SMMLV!$A$2:$A$36,SMMLV!$D$2:$D$104),3))</f>
        <v/>
      </c>
    </row>
    <row r="1112" spans="2:6">
      <c r="B1112" s="182"/>
      <c r="C1112" s="182"/>
      <c r="E1112" s="183"/>
      <c r="F1112" s="229" t="str">
        <f>IF(OR(D1112="",E1112=""),"",ROUND(D1112/LOOKUP(E1112,SMMLV!$A$2:$A$36,SMMLV!$D$2:$D$104),3))</f>
        <v/>
      </c>
    </row>
    <row r="1113" spans="2:6">
      <c r="B1113" s="182"/>
      <c r="C1113" s="182"/>
      <c r="E1113" s="183"/>
      <c r="F1113" s="229" t="str">
        <f>IF(OR(D1113="",E1113=""),"",ROUND(D1113/LOOKUP(E1113,SMMLV!$A$2:$A$36,SMMLV!$D$2:$D$104),3))</f>
        <v/>
      </c>
    </row>
    <row r="1114" spans="2:6">
      <c r="B1114" s="182"/>
      <c r="C1114" s="182"/>
      <c r="E1114" s="183"/>
      <c r="F1114" s="229" t="str">
        <f>IF(OR(D1114="",E1114=""),"",ROUND(D1114/LOOKUP(E1114,SMMLV!$A$2:$A$36,SMMLV!$D$2:$D$104),3))</f>
        <v/>
      </c>
    </row>
    <row r="1115" spans="2:6">
      <c r="B1115" s="182"/>
      <c r="C1115" s="182"/>
      <c r="E1115" s="183"/>
      <c r="F1115" s="229" t="str">
        <f>IF(OR(D1115="",E1115=""),"",ROUND(D1115/LOOKUP(E1115,SMMLV!$A$2:$A$36,SMMLV!$D$2:$D$104),3))</f>
        <v/>
      </c>
    </row>
    <row r="1116" spans="2:6">
      <c r="B1116" s="182"/>
      <c r="C1116" s="182"/>
      <c r="E1116" s="183"/>
      <c r="F1116" s="229" t="str">
        <f>IF(OR(D1116="",E1116=""),"",ROUND(D1116/LOOKUP(E1116,SMMLV!$A$2:$A$36,SMMLV!$D$2:$D$104),3))</f>
        <v/>
      </c>
    </row>
    <row r="1117" spans="2:6">
      <c r="B1117" s="182"/>
      <c r="C1117" s="182"/>
      <c r="E1117" s="183"/>
      <c r="F1117" s="229" t="str">
        <f>IF(OR(D1117="",E1117=""),"",ROUND(D1117/LOOKUP(E1117,SMMLV!$A$2:$A$36,SMMLV!$D$2:$D$104),3))</f>
        <v/>
      </c>
    </row>
    <row r="1118" spans="2:6">
      <c r="B1118" s="182"/>
      <c r="C1118" s="182"/>
      <c r="E1118" s="183"/>
      <c r="F1118" s="229" t="str">
        <f>IF(OR(D1118="",E1118=""),"",ROUND(D1118/LOOKUP(E1118,SMMLV!$A$2:$A$36,SMMLV!$D$2:$D$104),3))</f>
        <v/>
      </c>
    </row>
    <row r="1119" spans="2:6">
      <c r="B1119" s="182"/>
      <c r="C1119" s="182"/>
      <c r="E1119" s="183"/>
      <c r="F1119" s="229" t="str">
        <f>IF(OR(D1119="",E1119=""),"",ROUND(D1119/LOOKUP(E1119,SMMLV!$A$2:$A$36,SMMLV!$D$2:$D$104),3))</f>
        <v/>
      </c>
    </row>
    <row r="1120" spans="2:6">
      <c r="B1120" s="182"/>
      <c r="C1120" s="182"/>
      <c r="E1120" s="183"/>
      <c r="F1120" s="229" t="str">
        <f>IF(OR(D1120="",E1120=""),"",ROUND(D1120/LOOKUP(E1120,SMMLV!$A$2:$A$36,SMMLV!$D$2:$D$104),3))</f>
        <v/>
      </c>
    </row>
    <row r="1121" spans="2:6">
      <c r="B1121" s="182"/>
      <c r="C1121" s="182"/>
      <c r="E1121" s="183"/>
      <c r="F1121" s="229" t="str">
        <f>IF(OR(D1121="",E1121=""),"",ROUND(D1121/LOOKUP(E1121,SMMLV!$A$2:$A$36,SMMLV!$D$2:$D$104),3))</f>
        <v/>
      </c>
    </row>
    <row r="1122" spans="2:6">
      <c r="B1122" s="182"/>
      <c r="C1122" s="182"/>
      <c r="E1122" s="183"/>
      <c r="F1122" s="229" t="str">
        <f>IF(OR(D1122="",E1122=""),"",ROUND(D1122/LOOKUP(E1122,SMMLV!$A$2:$A$36,SMMLV!$D$2:$D$104),3))</f>
        <v/>
      </c>
    </row>
    <row r="1123" spans="2:6">
      <c r="B1123" s="182"/>
      <c r="C1123" s="182"/>
      <c r="E1123" s="183"/>
      <c r="F1123" s="229" t="str">
        <f>IF(OR(D1123="",E1123=""),"",ROUND(D1123/LOOKUP(E1123,SMMLV!$A$2:$A$36,SMMLV!$D$2:$D$104),3))</f>
        <v/>
      </c>
    </row>
    <row r="1124" spans="2:6">
      <c r="B1124" s="182"/>
      <c r="C1124" s="182"/>
      <c r="E1124" s="183"/>
      <c r="F1124" s="229" t="str">
        <f>IF(OR(D1124="",E1124=""),"",ROUND(D1124/LOOKUP(E1124,SMMLV!$A$2:$A$36,SMMLV!$D$2:$D$104),3))</f>
        <v/>
      </c>
    </row>
    <row r="1125" spans="2:6">
      <c r="B1125" s="182"/>
      <c r="C1125" s="182"/>
      <c r="E1125" s="183"/>
      <c r="F1125" s="229" t="str">
        <f>IF(OR(D1125="",E1125=""),"",ROUND(D1125/LOOKUP(E1125,SMMLV!$A$2:$A$36,SMMLV!$D$2:$D$104),3))</f>
        <v/>
      </c>
    </row>
    <row r="1126" spans="2:6">
      <c r="B1126" s="182"/>
      <c r="C1126" s="182"/>
      <c r="E1126" s="183"/>
      <c r="F1126" s="229" t="str">
        <f>IF(OR(D1126="",E1126=""),"",ROUND(D1126/LOOKUP(E1126,SMMLV!$A$2:$A$36,SMMLV!$D$2:$D$104),3))</f>
        <v/>
      </c>
    </row>
    <row r="1127" spans="2:6">
      <c r="B1127" s="182"/>
      <c r="C1127" s="182"/>
      <c r="E1127" s="183"/>
      <c r="F1127" s="229" t="str">
        <f>IF(OR(D1127="",E1127=""),"",ROUND(D1127/LOOKUP(E1127,SMMLV!$A$2:$A$36,SMMLV!$D$2:$D$104),3))</f>
        <v/>
      </c>
    </row>
    <row r="1128" spans="2:6">
      <c r="B1128" s="182"/>
      <c r="C1128" s="182"/>
      <c r="E1128" s="183"/>
      <c r="F1128" s="229" t="str">
        <f>IF(OR(D1128="",E1128=""),"",ROUND(D1128/LOOKUP(E1128,SMMLV!$A$2:$A$36,SMMLV!$D$2:$D$104),3))</f>
        <v/>
      </c>
    </row>
    <row r="1129" spans="2:6">
      <c r="B1129" s="182"/>
      <c r="C1129" s="182"/>
      <c r="E1129" s="183"/>
      <c r="F1129" s="229" t="str">
        <f>IF(OR(D1129="",E1129=""),"",ROUND(D1129/LOOKUP(E1129,SMMLV!$A$2:$A$36,SMMLV!$D$2:$D$104),3))</f>
        <v/>
      </c>
    </row>
    <row r="1130" spans="2:6">
      <c r="B1130" s="182"/>
      <c r="C1130" s="182"/>
      <c r="E1130" s="183"/>
      <c r="F1130" s="229" t="str">
        <f>IF(OR(D1130="",E1130=""),"",ROUND(D1130/LOOKUP(E1130,SMMLV!$A$2:$A$36,SMMLV!$D$2:$D$104),3))</f>
        <v/>
      </c>
    </row>
    <row r="1131" spans="2:6">
      <c r="B1131" s="182"/>
      <c r="C1131" s="182"/>
      <c r="E1131" s="183"/>
      <c r="F1131" s="229" t="str">
        <f>IF(OR(D1131="",E1131=""),"",ROUND(D1131/LOOKUP(E1131,SMMLV!$A$2:$A$36,SMMLV!$D$2:$D$104),3))</f>
        <v/>
      </c>
    </row>
    <row r="1132" spans="2:6">
      <c r="B1132" s="182"/>
      <c r="C1132" s="182"/>
      <c r="E1132" s="183"/>
      <c r="F1132" s="229" t="str">
        <f>IF(OR(D1132="",E1132=""),"",ROUND(D1132/LOOKUP(E1132,SMMLV!$A$2:$A$36,SMMLV!$D$2:$D$104),3))</f>
        <v/>
      </c>
    </row>
    <row r="1133" spans="2:6">
      <c r="B1133" s="182"/>
      <c r="C1133" s="182"/>
      <c r="E1133" s="183"/>
      <c r="F1133" s="229" t="str">
        <f>IF(OR(D1133="",E1133=""),"",ROUND(D1133/LOOKUP(E1133,SMMLV!$A$2:$A$36,SMMLV!$D$2:$D$104),3))</f>
        <v/>
      </c>
    </row>
    <row r="1134" spans="2:6">
      <c r="B1134" s="182"/>
      <c r="C1134" s="182"/>
      <c r="E1134" s="183"/>
      <c r="F1134" s="229" t="str">
        <f>IF(OR(D1134="",E1134=""),"",ROUND(D1134/LOOKUP(E1134,SMMLV!$A$2:$A$36,SMMLV!$D$2:$D$104),3))</f>
        <v/>
      </c>
    </row>
    <row r="1135" spans="2:6">
      <c r="B1135" s="182"/>
      <c r="C1135" s="182"/>
      <c r="E1135" s="183"/>
      <c r="F1135" s="229" t="str">
        <f>IF(OR(D1135="",E1135=""),"",ROUND(D1135/LOOKUP(E1135,SMMLV!$A$2:$A$36,SMMLV!$D$2:$D$104),3))</f>
        <v/>
      </c>
    </row>
    <row r="1136" spans="2:6">
      <c r="B1136" s="182"/>
      <c r="C1136" s="182"/>
      <c r="E1136" s="183"/>
      <c r="F1136" s="229" t="str">
        <f>IF(OR(D1136="",E1136=""),"",ROUND(D1136/LOOKUP(E1136,SMMLV!$A$2:$A$36,SMMLV!$D$2:$D$104),3))</f>
        <v/>
      </c>
    </row>
    <row r="1137" spans="2:6">
      <c r="B1137" s="182"/>
      <c r="C1137" s="182"/>
      <c r="E1137" s="183"/>
      <c r="F1137" s="229" t="str">
        <f>IF(OR(D1137="",E1137=""),"",ROUND(D1137/LOOKUP(E1137,SMMLV!$A$2:$A$36,SMMLV!$D$2:$D$104),3))</f>
        <v/>
      </c>
    </row>
    <row r="1138" spans="2:6">
      <c r="B1138" s="182"/>
      <c r="C1138" s="182"/>
      <c r="E1138" s="183"/>
      <c r="F1138" s="229" t="str">
        <f>IF(OR(D1138="",E1138=""),"",ROUND(D1138/LOOKUP(E1138,SMMLV!$A$2:$A$36,SMMLV!$D$2:$D$104),3))</f>
        <v/>
      </c>
    </row>
    <row r="1139" spans="2:6">
      <c r="B1139" s="182"/>
      <c r="C1139" s="182"/>
      <c r="E1139" s="183"/>
      <c r="F1139" s="229" t="str">
        <f>IF(OR(D1139="",E1139=""),"",ROUND(D1139/LOOKUP(E1139,SMMLV!$A$2:$A$36,SMMLV!$D$2:$D$104),3))</f>
        <v/>
      </c>
    </row>
    <row r="1140" spans="2:6">
      <c r="B1140" s="182"/>
      <c r="C1140" s="182"/>
      <c r="E1140" s="183"/>
      <c r="F1140" s="229" t="str">
        <f>IF(OR(D1140="",E1140=""),"",ROUND(D1140/LOOKUP(E1140,SMMLV!$A$2:$A$36,SMMLV!$D$2:$D$104),3))</f>
        <v/>
      </c>
    </row>
    <row r="1141" spans="2:6">
      <c r="B1141" s="182"/>
      <c r="C1141" s="182"/>
      <c r="E1141" s="183"/>
      <c r="F1141" s="229" t="str">
        <f>IF(OR(D1141="",E1141=""),"",ROUND(D1141/LOOKUP(E1141,SMMLV!$A$2:$A$36,SMMLV!$D$2:$D$104),3))</f>
        <v/>
      </c>
    </row>
    <row r="1142" spans="2:6">
      <c r="B1142" s="182"/>
      <c r="C1142" s="182"/>
      <c r="E1142" s="183"/>
      <c r="F1142" s="229" t="str">
        <f>IF(OR(D1142="",E1142=""),"",ROUND(D1142/LOOKUP(E1142,SMMLV!$A$2:$A$36,SMMLV!$D$2:$D$104),3))</f>
        <v/>
      </c>
    </row>
    <row r="1143" spans="2:6">
      <c r="B1143" s="182"/>
      <c r="C1143" s="182"/>
      <c r="E1143" s="183"/>
      <c r="F1143" s="229" t="str">
        <f>IF(OR(D1143="",E1143=""),"",ROUND(D1143/LOOKUP(E1143,SMMLV!$A$2:$A$36,SMMLV!$D$2:$D$104),3))</f>
        <v/>
      </c>
    </row>
    <row r="1144" spans="2:6">
      <c r="B1144" s="182"/>
      <c r="C1144" s="182"/>
      <c r="E1144" s="183"/>
      <c r="F1144" s="229" t="str">
        <f>IF(OR(D1144="",E1144=""),"",ROUND(D1144/LOOKUP(E1144,SMMLV!$A$2:$A$36,SMMLV!$D$2:$D$104),3))</f>
        <v/>
      </c>
    </row>
    <row r="1145" spans="2:6">
      <c r="B1145" s="182"/>
      <c r="C1145" s="182"/>
      <c r="E1145" s="183"/>
      <c r="F1145" s="229" t="str">
        <f>IF(OR(D1145="",E1145=""),"",ROUND(D1145/LOOKUP(E1145,SMMLV!$A$2:$A$36,SMMLV!$D$2:$D$104),3))</f>
        <v/>
      </c>
    </row>
    <row r="1146" spans="2:6">
      <c r="B1146" s="182"/>
      <c r="C1146" s="182"/>
      <c r="E1146" s="183"/>
      <c r="F1146" s="229" t="str">
        <f>IF(OR(D1146="",E1146=""),"",ROUND(D1146/LOOKUP(E1146,SMMLV!$A$2:$A$36,SMMLV!$D$2:$D$104),3))</f>
        <v/>
      </c>
    </row>
    <row r="1147" spans="2:6">
      <c r="B1147" s="182"/>
      <c r="C1147" s="182"/>
      <c r="E1147" s="183"/>
      <c r="F1147" s="229" t="str">
        <f>IF(OR(D1147="",E1147=""),"",ROUND(D1147/LOOKUP(E1147,SMMLV!$A$2:$A$36,SMMLV!$D$2:$D$104),3))</f>
        <v/>
      </c>
    </row>
    <row r="1148" spans="2:6">
      <c r="B1148" s="182"/>
      <c r="C1148" s="182"/>
      <c r="E1148" s="183"/>
      <c r="F1148" s="229" t="str">
        <f>IF(OR(D1148="",E1148=""),"",ROUND(D1148/LOOKUP(E1148,SMMLV!$A$2:$A$36,SMMLV!$D$2:$D$104),3))</f>
        <v/>
      </c>
    </row>
    <row r="1149" spans="2:6">
      <c r="B1149" s="182"/>
      <c r="C1149" s="182"/>
      <c r="E1149" s="183"/>
      <c r="F1149" s="229" t="str">
        <f>IF(OR(D1149="",E1149=""),"",ROUND(D1149/LOOKUP(E1149,SMMLV!$A$2:$A$36,SMMLV!$D$2:$D$104),3))</f>
        <v/>
      </c>
    </row>
    <row r="1150" spans="2:6">
      <c r="B1150" s="182"/>
      <c r="C1150" s="182"/>
      <c r="E1150" s="183"/>
      <c r="F1150" s="229" t="str">
        <f>IF(OR(D1150="",E1150=""),"",ROUND(D1150/LOOKUP(E1150,SMMLV!$A$2:$A$36,SMMLV!$D$2:$D$104),3))</f>
        <v/>
      </c>
    </row>
    <row r="1151" spans="2:6">
      <c r="B1151" s="182"/>
      <c r="C1151" s="182"/>
      <c r="E1151" s="183"/>
      <c r="F1151" s="229" t="str">
        <f>IF(OR(D1151="",E1151=""),"",ROUND(D1151/LOOKUP(E1151,SMMLV!$A$2:$A$36,SMMLV!$D$2:$D$104),3))</f>
        <v/>
      </c>
    </row>
    <row r="1152" spans="2:6">
      <c r="B1152" s="182"/>
      <c r="C1152" s="182"/>
      <c r="E1152" s="183"/>
      <c r="F1152" s="229" t="str">
        <f>IF(OR(D1152="",E1152=""),"",ROUND(D1152/LOOKUP(E1152,SMMLV!$A$2:$A$36,SMMLV!$D$2:$D$104),3))</f>
        <v/>
      </c>
    </row>
    <row r="1153" spans="2:6">
      <c r="B1153" s="182"/>
      <c r="C1153" s="182"/>
      <c r="E1153" s="183"/>
      <c r="F1153" s="229" t="str">
        <f>IF(OR(D1153="",E1153=""),"",ROUND(D1153/LOOKUP(E1153,SMMLV!$A$2:$A$36,SMMLV!$D$2:$D$104),3))</f>
        <v/>
      </c>
    </row>
    <row r="1154" spans="2:6">
      <c r="B1154" s="182"/>
      <c r="C1154" s="182"/>
      <c r="E1154" s="183"/>
      <c r="F1154" s="229" t="str">
        <f>IF(OR(D1154="",E1154=""),"",ROUND(D1154/LOOKUP(E1154,SMMLV!$A$2:$A$36,SMMLV!$D$2:$D$104),3))</f>
        <v/>
      </c>
    </row>
    <row r="1155" spans="2:6">
      <c r="B1155" s="182"/>
      <c r="C1155" s="182"/>
      <c r="E1155" s="183"/>
      <c r="F1155" s="229" t="str">
        <f>IF(OR(D1155="",E1155=""),"",ROUND(D1155/LOOKUP(E1155,SMMLV!$A$2:$A$36,SMMLV!$D$2:$D$104),3))</f>
        <v/>
      </c>
    </row>
    <row r="1156" spans="2:6">
      <c r="B1156" s="182"/>
      <c r="C1156" s="182"/>
      <c r="E1156" s="183"/>
      <c r="F1156" s="229" t="str">
        <f>IF(OR(D1156="",E1156=""),"",ROUND(D1156/LOOKUP(E1156,SMMLV!$A$2:$A$36,SMMLV!$D$2:$D$104),3))</f>
        <v/>
      </c>
    </row>
    <row r="1157" spans="2:6">
      <c r="B1157" s="182"/>
      <c r="C1157" s="182"/>
      <c r="E1157" s="183"/>
      <c r="F1157" s="229" t="str">
        <f>IF(OR(D1157="",E1157=""),"",ROUND(D1157/LOOKUP(E1157,SMMLV!$A$2:$A$36,SMMLV!$D$2:$D$104),3))</f>
        <v/>
      </c>
    </row>
    <row r="1158" spans="2:6">
      <c r="B1158" s="182"/>
      <c r="C1158" s="182"/>
      <c r="E1158" s="183"/>
      <c r="F1158" s="229" t="str">
        <f>IF(OR(D1158="",E1158=""),"",ROUND(D1158/LOOKUP(E1158,SMMLV!$A$2:$A$36,SMMLV!$D$2:$D$104),3))</f>
        <v/>
      </c>
    </row>
    <row r="1159" spans="2:6">
      <c r="B1159" s="182"/>
      <c r="C1159" s="182"/>
      <c r="E1159" s="183"/>
      <c r="F1159" s="229" t="str">
        <f>IF(OR(D1159="",E1159=""),"",ROUND(D1159/LOOKUP(E1159,SMMLV!$A$2:$A$36,SMMLV!$D$2:$D$104),3))</f>
        <v/>
      </c>
    </row>
    <row r="1160" spans="2:6">
      <c r="B1160" s="182"/>
      <c r="C1160" s="182"/>
      <c r="E1160" s="183"/>
      <c r="F1160" s="229" t="str">
        <f>IF(OR(D1160="",E1160=""),"",ROUND(D1160/LOOKUP(E1160,SMMLV!$A$2:$A$36,SMMLV!$D$2:$D$104),3))</f>
        <v/>
      </c>
    </row>
    <row r="1161" spans="2:6">
      <c r="B1161" s="182"/>
      <c r="C1161" s="182"/>
      <c r="E1161" s="183"/>
      <c r="F1161" s="229" t="str">
        <f>IF(OR(D1161="",E1161=""),"",ROUND(D1161/LOOKUP(E1161,SMMLV!$A$2:$A$36,SMMLV!$D$2:$D$104),3))</f>
        <v/>
      </c>
    </row>
    <row r="1162" spans="2:6">
      <c r="B1162" s="182"/>
      <c r="C1162" s="182"/>
      <c r="E1162" s="183"/>
      <c r="F1162" s="229" t="str">
        <f>IF(OR(D1162="",E1162=""),"",ROUND(D1162/LOOKUP(E1162,SMMLV!$A$2:$A$36,SMMLV!$D$2:$D$104),3))</f>
        <v/>
      </c>
    </row>
    <row r="1163" spans="2:6">
      <c r="B1163" s="182"/>
      <c r="C1163" s="182"/>
      <c r="E1163" s="183"/>
      <c r="F1163" s="229" t="str">
        <f>IF(OR(D1163="",E1163=""),"",ROUND(D1163/LOOKUP(E1163,SMMLV!$A$2:$A$36,SMMLV!$D$2:$D$104),3))</f>
        <v/>
      </c>
    </row>
    <row r="1164" spans="2:6">
      <c r="B1164" s="182"/>
      <c r="C1164" s="182"/>
      <c r="E1164" s="183"/>
      <c r="F1164" s="229" t="str">
        <f>IF(OR(D1164="",E1164=""),"",ROUND(D1164/LOOKUP(E1164,SMMLV!$A$2:$A$36,SMMLV!$D$2:$D$104),3))</f>
        <v/>
      </c>
    </row>
    <row r="1165" spans="2:6">
      <c r="B1165" s="182"/>
      <c r="C1165" s="182"/>
      <c r="E1165" s="183"/>
      <c r="F1165" s="229" t="str">
        <f>IF(OR(D1165="",E1165=""),"",ROUND(D1165/LOOKUP(E1165,SMMLV!$A$2:$A$36,SMMLV!$D$2:$D$104),3))</f>
        <v/>
      </c>
    </row>
    <row r="1166" spans="2:6">
      <c r="B1166" s="182"/>
      <c r="C1166" s="182"/>
      <c r="E1166" s="183"/>
      <c r="F1166" s="229" t="str">
        <f>IF(OR(D1166="",E1166=""),"",ROUND(D1166/LOOKUP(E1166,SMMLV!$A$2:$A$36,SMMLV!$D$2:$D$104),3))</f>
        <v/>
      </c>
    </row>
    <row r="1167" spans="2:6">
      <c r="B1167" s="182"/>
      <c r="C1167" s="182"/>
      <c r="E1167" s="183"/>
      <c r="F1167" s="229" t="str">
        <f>IF(OR(D1167="",E1167=""),"",ROUND(D1167/LOOKUP(E1167,SMMLV!$A$2:$A$36,SMMLV!$D$2:$D$104),3))</f>
        <v/>
      </c>
    </row>
    <row r="1168" spans="2:6">
      <c r="B1168" s="182"/>
      <c r="C1168" s="182"/>
      <c r="E1168" s="183"/>
      <c r="F1168" s="229" t="str">
        <f>IF(OR(D1168="",E1168=""),"",ROUND(D1168/LOOKUP(E1168,SMMLV!$A$2:$A$36,SMMLV!$D$2:$D$104),3))</f>
        <v/>
      </c>
    </row>
    <row r="1169" spans="2:6">
      <c r="B1169" s="182"/>
      <c r="C1169" s="182"/>
      <c r="E1169" s="183"/>
      <c r="F1169" s="229" t="str">
        <f>IF(OR(D1169="",E1169=""),"",ROUND(D1169/LOOKUP(E1169,SMMLV!$A$2:$A$36,SMMLV!$D$2:$D$104),3))</f>
        <v/>
      </c>
    </row>
    <row r="1170" spans="2:6">
      <c r="B1170" s="182"/>
      <c r="C1170" s="182"/>
      <c r="E1170" s="183"/>
      <c r="F1170" s="229" t="str">
        <f>IF(OR(D1170="",E1170=""),"",ROUND(D1170/LOOKUP(E1170,SMMLV!$A$2:$A$36,SMMLV!$D$2:$D$104),3))</f>
        <v/>
      </c>
    </row>
    <row r="1171" spans="2:6">
      <c r="B1171" s="182"/>
      <c r="C1171" s="182"/>
      <c r="E1171" s="183"/>
      <c r="F1171" s="229" t="str">
        <f>IF(OR(D1171="",E1171=""),"",ROUND(D1171/LOOKUP(E1171,SMMLV!$A$2:$A$36,SMMLV!$D$2:$D$104),3))</f>
        <v/>
      </c>
    </row>
    <row r="1172" spans="2:6">
      <c r="B1172" s="182"/>
      <c r="C1172" s="182"/>
      <c r="E1172" s="183"/>
      <c r="F1172" s="229" t="str">
        <f>IF(OR(D1172="",E1172=""),"",ROUND(D1172/LOOKUP(E1172,SMMLV!$A$2:$A$36,SMMLV!$D$2:$D$104),3))</f>
        <v/>
      </c>
    </row>
    <row r="1173" spans="2:6">
      <c r="B1173" s="182"/>
      <c r="C1173" s="182"/>
      <c r="E1173" s="183"/>
      <c r="F1173" s="229" t="str">
        <f>IF(OR(D1173="",E1173=""),"",ROUND(D1173/LOOKUP(E1173,SMMLV!$A$2:$A$36,SMMLV!$D$2:$D$104),3))</f>
        <v/>
      </c>
    </row>
    <row r="1174" spans="2:6">
      <c r="B1174" s="182"/>
      <c r="C1174" s="182"/>
      <c r="E1174" s="183"/>
      <c r="F1174" s="229" t="str">
        <f>IF(OR(D1174="",E1174=""),"",ROUND(D1174/LOOKUP(E1174,SMMLV!$A$2:$A$36,SMMLV!$D$2:$D$104),3))</f>
        <v/>
      </c>
    </row>
    <row r="1175" spans="2:6">
      <c r="B1175" s="182"/>
      <c r="C1175" s="182"/>
      <c r="E1175" s="183"/>
      <c r="F1175" s="229" t="str">
        <f>IF(OR(D1175="",E1175=""),"",ROUND(D1175/LOOKUP(E1175,SMMLV!$A$2:$A$36,SMMLV!$D$2:$D$104),3))</f>
        <v/>
      </c>
    </row>
    <row r="1176" spans="2:6">
      <c r="B1176" s="182"/>
      <c r="C1176" s="182"/>
      <c r="E1176" s="183"/>
      <c r="F1176" s="229" t="str">
        <f>IF(OR(D1176="",E1176=""),"",ROUND(D1176/LOOKUP(E1176,SMMLV!$A$2:$A$36,SMMLV!$D$2:$D$104),3))</f>
        <v/>
      </c>
    </row>
    <row r="1177" spans="2:6">
      <c r="B1177" s="182"/>
      <c r="C1177" s="182"/>
      <c r="E1177" s="183"/>
      <c r="F1177" s="229" t="str">
        <f>IF(OR(D1177="",E1177=""),"",ROUND(D1177/LOOKUP(E1177,SMMLV!$A$2:$A$36,SMMLV!$D$2:$D$104),3))</f>
        <v/>
      </c>
    </row>
    <row r="1178" spans="2:6">
      <c r="B1178" s="182"/>
      <c r="C1178" s="182"/>
      <c r="E1178" s="183"/>
      <c r="F1178" s="229" t="str">
        <f>IF(OR(D1178="",E1178=""),"",ROUND(D1178/LOOKUP(E1178,SMMLV!$A$2:$A$36,SMMLV!$D$2:$D$104),3))</f>
        <v/>
      </c>
    </row>
    <row r="1179" spans="2:6">
      <c r="B1179" s="182"/>
      <c r="C1179" s="182"/>
      <c r="E1179" s="183"/>
      <c r="F1179" s="229" t="str">
        <f>IF(OR(D1179="",E1179=""),"",ROUND(D1179/LOOKUP(E1179,SMMLV!$A$2:$A$36,SMMLV!$D$2:$D$104),3))</f>
        <v/>
      </c>
    </row>
    <row r="1180" spans="2:6">
      <c r="B1180" s="182"/>
      <c r="C1180" s="182"/>
      <c r="E1180" s="183"/>
      <c r="F1180" s="229" t="str">
        <f>IF(OR(D1180="",E1180=""),"",ROUND(D1180/LOOKUP(E1180,SMMLV!$A$2:$A$36,SMMLV!$D$2:$D$104),3))</f>
        <v/>
      </c>
    </row>
    <row r="1181" spans="2:6">
      <c r="B1181" s="182"/>
      <c r="C1181" s="182"/>
      <c r="E1181" s="183"/>
      <c r="F1181" s="229" t="str">
        <f>IF(OR(D1181="",E1181=""),"",ROUND(D1181/LOOKUP(E1181,SMMLV!$A$2:$A$36,SMMLV!$D$2:$D$104),3))</f>
        <v/>
      </c>
    </row>
    <row r="1182" spans="2:6">
      <c r="B1182" s="182"/>
      <c r="C1182" s="182"/>
      <c r="E1182" s="183"/>
      <c r="F1182" s="229" t="str">
        <f>IF(OR(D1182="",E1182=""),"",ROUND(D1182/LOOKUP(E1182,SMMLV!$A$2:$A$36,SMMLV!$D$2:$D$104),3))</f>
        <v/>
      </c>
    </row>
    <row r="1183" spans="2:6">
      <c r="B1183" s="182"/>
      <c r="C1183" s="182"/>
      <c r="E1183" s="183"/>
      <c r="F1183" s="229" t="str">
        <f>IF(OR(D1183="",E1183=""),"",ROUND(D1183/LOOKUP(E1183,SMMLV!$A$2:$A$36,SMMLV!$D$2:$D$104),3))</f>
        <v/>
      </c>
    </row>
    <row r="1184" spans="2:6">
      <c r="B1184" s="182"/>
      <c r="C1184" s="182"/>
      <c r="E1184" s="183"/>
      <c r="F1184" s="229" t="str">
        <f>IF(OR(D1184="",E1184=""),"",ROUND(D1184/LOOKUP(E1184,SMMLV!$A$2:$A$36,SMMLV!$D$2:$D$104),3))</f>
        <v/>
      </c>
    </row>
    <row r="1185" spans="2:6">
      <c r="B1185" s="182"/>
      <c r="C1185" s="182"/>
      <c r="E1185" s="183"/>
      <c r="F1185" s="229" t="str">
        <f>IF(OR(D1185="",E1185=""),"",ROUND(D1185/LOOKUP(E1185,SMMLV!$A$2:$A$36,SMMLV!$D$2:$D$104),3))</f>
        <v/>
      </c>
    </row>
    <row r="1186" spans="2:6">
      <c r="B1186" s="182"/>
      <c r="C1186" s="182"/>
      <c r="E1186" s="183"/>
      <c r="F1186" s="229" t="str">
        <f>IF(OR(D1186="",E1186=""),"",ROUND(D1186/LOOKUP(E1186,SMMLV!$A$2:$A$36,SMMLV!$D$2:$D$104),3))</f>
        <v/>
      </c>
    </row>
    <row r="1187" spans="2:6">
      <c r="B1187" s="182"/>
      <c r="C1187" s="182"/>
      <c r="E1187" s="183"/>
      <c r="F1187" s="229" t="str">
        <f>IF(OR(D1187="",E1187=""),"",ROUND(D1187/LOOKUP(E1187,SMMLV!$A$2:$A$36,SMMLV!$D$2:$D$104),3))</f>
        <v/>
      </c>
    </row>
    <row r="1188" spans="2:6">
      <c r="B1188" s="182"/>
      <c r="C1188" s="182"/>
      <c r="E1188" s="183"/>
      <c r="F1188" s="229" t="str">
        <f>IF(OR(D1188="",E1188=""),"",ROUND(D1188/LOOKUP(E1188,SMMLV!$A$2:$A$36,SMMLV!$D$2:$D$104),3))</f>
        <v/>
      </c>
    </row>
    <row r="1189" spans="2:6">
      <c r="B1189" s="182"/>
      <c r="C1189" s="182"/>
      <c r="E1189" s="183"/>
      <c r="F1189" s="229" t="str">
        <f>IF(OR(D1189="",E1189=""),"",ROUND(D1189/LOOKUP(E1189,SMMLV!$A$2:$A$36,SMMLV!$D$2:$D$104),3))</f>
        <v/>
      </c>
    </row>
    <row r="1190" spans="2:6">
      <c r="B1190" s="182"/>
      <c r="C1190" s="182"/>
      <c r="E1190" s="183"/>
      <c r="F1190" s="229" t="str">
        <f>IF(OR(D1190="",E1190=""),"",ROUND(D1190/LOOKUP(E1190,SMMLV!$A$2:$A$36,SMMLV!$D$2:$D$104),3))</f>
        <v/>
      </c>
    </row>
    <row r="1191" spans="2:6">
      <c r="B1191" s="182"/>
      <c r="C1191" s="182"/>
      <c r="E1191" s="183"/>
      <c r="F1191" s="229" t="str">
        <f>IF(OR(D1191="",E1191=""),"",ROUND(D1191/LOOKUP(E1191,SMMLV!$A$2:$A$36,SMMLV!$D$2:$D$104),3))</f>
        <v/>
      </c>
    </row>
    <row r="1192" spans="2:6">
      <c r="B1192" s="182"/>
      <c r="C1192" s="182"/>
      <c r="E1192" s="183"/>
      <c r="F1192" s="229" t="str">
        <f>IF(OR(D1192="",E1192=""),"",ROUND(D1192/LOOKUP(E1192,SMMLV!$A$2:$A$36,SMMLV!$D$2:$D$104),3))</f>
        <v/>
      </c>
    </row>
    <row r="1193" spans="2:6">
      <c r="B1193" s="182"/>
      <c r="C1193" s="182"/>
      <c r="E1193" s="183"/>
      <c r="F1193" s="229" t="str">
        <f>IF(OR(D1193="",E1193=""),"",ROUND(D1193/LOOKUP(E1193,SMMLV!$A$2:$A$36,SMMLV!$D$2:$D$104),3))</f>
        <v/>
      </c>
    </row>
    <row r="1194" spans="2:6">
      <c r="B1194" s="182"/>
      <c r="C1194" s="182"/>
      <c r="E1194" s="183"/>
      <c r="F1194" s="229" t="str">
        <f>IF(OR(D1194="",E1194=""),"",ROUND(D1194/LOOKUP(E1194,SMMLV!$A$2:$A$36,SMMLV!$D$2:$D$104),3))</f>
        <v/>
      </c>
    </row>
    <row r="1195" spans="2:6">
      <c r="B1195" s="182"/>
      <c r="C1195" s="182"/>
      <c r="E1195" s="183"/>
      <c r="F1195" s="229" t="str">
        <f>IF(OR(D1195="",E1195=""),"",ROUND(D1195/LOOKUP(E1195,SMMLV!$A$2:$A$36,SMMLV!$D$2:$D$104),3))</f>
        <v/>
      </c>
    </row>
    <row r="1196" spans="2:6">
      <c r="B1196" s="182"/>
      <c r="C1196" s="182"/>
      <c r="E1196" s="183"/>
      <c r="F1196" s="229" t="str">
        <f>IF(OR(D1196="",E1196=""),"",ROUND(D1196/LOOKUP(E1196,SMMLV!$A$2:$A$36,SMMLV!$D$2:$D$104),3))</f>
        <v/>
      </c>
    </row>
    <row r="1197" spans="2:6">
      <c r="B1197" s="182"/>
      <c r="C1197" s="182"/>
      <c r="E1197" s="183"/>
      <c r="F1197" s="229" t="str">
        <f>IF(OR(D1197="",E1197=""),"",ROUND(D1197/LOOKUP(E1197,SMMLV!$A$2:$A$36,SMMLV!$D$2:$D$104),3))</f>
        <v/>
      </c>
    </row>
    <row r="1198" spans="2:6">
      <c r="B1198" s="182"/>
      <c r="C1198" s="182"/>
      <c r="E1198" s="183"/>
      <c r="F1198" s="229" t="str">
        <f>IF(OR(D1198="",E1198=""),"",ROUND(D1198/LOOKUP(E1198,SMMLV!$A$2:$A$36,SMMLV!$D$2:$D$104),3))</f>
        <v/>
      </c>
    </row>
    <row r="1199" spans="2:6">
      <c r="B1199" s="182"/>
      <c r="C1199" s="182"/>
      <c r="E1199" s="183"/>
      <c r="F1199" s="229" t="str">
        <f>IF(OR(D1199="",E1199=""),"",ROUND(D1199/LOOKUP(E1199,SMMLV!$A$2:$A$36,SMMLV!$D$2:$D$104),3))</f>
        <v/>
      </c>
    </row>
    <row r="1200" spans="2:6">
      <c r="B1200" s="182"/>
      <c r="C1200" s="182"/>
      <c r="E1200" s="183"/>
      <c r="F1200" s="229" t="str">
        <f>IF(OR(D1200="",E1200=""),"",ROUND(D1200/LOOKUP(E1200,SMMLV!$A$2:$A$36,SMMLV!$D$2:$D$104),3))</f>
        <v/>
      </c>
    </row>
    <row r="1201" spans="2:6">
      <c r="B1201" s="182"/>
      <c r="C1201" s="182"/>
      <c r="E1201" s="183"/>
      <c r="F1201" s="229" t="str">
        <f>IF(OR(D1201="",E1201=""),"",ROUND(D1201/LOOKUP(E1201,SMMLV!$A$2:$A$36,SMMLV!$D$2:$D$104),3))</f>
        <v/>
      </c>
    </row>
    <row r="1202" spans="2:6">
      <c r="B1202" s="182"/>
      <c r="C1202" s="182"/>
      <c r="E1202" s="183"/>
      <c r="F1202" s="229" t="str">
        <f>IF(OR(D1202="",E1202=""),"",ROUND(D1202/LOOKUP(E1202,SMMLV!$A$2:$A$36,SMMLV!$D$2:$D$104),3))</f>
        <v/>
      </c>
    </row>
    <row r="1203" spans="2:6">
      <c r="B1203" s="182"/>
      <c r="C1203" s="182"/>
      <c r="E1203" s="183"/>
      <c r="F1203" s="229" t="str">
        <f>IF(OR(D1203="",E1203=""),"",ROUND(D1203/LOOKUP(E1203,SMMLV!$A$2:$A$36,SMMLV!$D$2:$D$104),3))</f>
        <v/>
      </c>
    </row>
    <row r="1204" spans="2:6">
      <c r="B1204" s="182"/>
      <c r="C1204" s="182"/>
      <c r="E1204" s="183"/>
      <c r="F1204" s="229" t="str">
        <f>IF(OR(D1204="",E1204=""),"",ROUND(D1204/LOOKUP(E1204,SMMLV!$A$2:$A$36,SMMLV!$D$2:$D$104),3))</f>
        <v/>
      </c>
    </row>
    <row r="1205" spans="2:6">
      <c r="B1205" s="182"/>
      <c r="C1205" s="182"/>
      <c r="E1205" s="183"/>
      <c r="F1205" s="229" t="str">
        <f>IF(OR(D1205="",E1205=""),"",ROUND(D1205/LOOKUP(E1205,SMMLV!$A$2:$A$36,SMMLV!$D$2:$D$104),3))</f>
        <v/>
      </c>
    </row>
    <row r="1206" spans="2:6">
      <c r="B1206" s="182"/>
      <c r="C1206" s="182"/>
      <c r="E1206" s="183"/>
      <c r="F1206" s="229" t="str">
        <f>IF(OR(D1206="",E1206=""),"",ROUND(D1206/LOOKUP(E1206,SMMLV!$A$2:$A$36,SMMLV!$D$2:$D$104),3))</f>
        <v/>
      </c>
    </row>
    <row r="1207" spans="2:6">
      <c r="B1207" s="182"/>
      <c r="C1207" s="182"/>
      <c r="E1207" s="183"/>
      <c r="F1207" s="229" t="str">
        <f>IF(OR(D1207="",E1207=""),"",ROUND(D1207/LOOKUP(E1207,SMMLV!$A$2:$A$36,SMMLV!$D$2:$D$104),3))</f>
        <v/>
      </c>
    </row>
    <row r="1208" spans="2:6">
      <c r="B1208" s="182"/>
      <c r="C1208" s="182"/>
      <c r="E1208" s="183"/>
      <c r="F1208" s="229" t="str">
        <f>IF(OR(D1208="",E1208=""),"",ROUND(D1208/LOOKUP(E1208,SMMLV!$A$2:$A$36,SMMLV!$D$2:$D$104),3))</f>
        <v/>
      </c>
    </row>
    <row r="1209" spans="2:6">
      <c r="B1209" s="182"/>
      <c r="C1209" s="182"/>
      <c r="E1209" s="183"/>
      <c r="F1209" s="229" t="str">
        <f>IF(OR(D1209="",E1209=""),"",ROUND(D1209/LOOKUP(E1209,SMMLV!$A$2:$A$36,SMMLV!$D$2:$D$104),3))</f>
        <v/>
      </c>
    </row>
    <row r="1210" spans="2:6">
      <c r="B1210" s="182"/>
      <c r="C1210" s="182"/>
      <c r="E1210" s="183"/>
      <c r="F1210" s="229" t="str">
        <f>IF(OR(D1210="",E1210=""),"",ROUND(D1210/LOOKUP(E1210,SMMLV!$A$2:$A$36,SMMLV!$D$2:$D$104),3))</f>
        <v/>
      </c>
    </row>
    <row r="1211" spans="2:6">
      <c r="B1211" s="182"/>
      <c r="C1211" s="182"/>
      <c r="E1211" s="183"/>
      <c r="F1211" s="229" t="str">
        <f>IF(OR(D1211="",E1211=""),"",ROUND(D1211/LOOKUP(E1211,SMMLV!$A$2:$A$36,SMMLV!$D$2:$D$104),3))</f>
        <v/>
      </c>
    </row>
    <row r="1212" spans="2:6">
      <c r="B1212" s="182"/>
      <c r="C1212" s="182"/>
      <c r="E1212" s="183"/>
      <c r="F1212" s="229" t="str">
        <f>IF(OR(D1212="",E1212=""),"",ROUND(D1212/LOOKUP(E1212,SMMLV!$A$2:$A$36,SMMLV!$D$2:$D$104),3))</f>
        <v/>
      </c>
    </row>
    <row r="1213" spans="2:6">
      <c r="B1213" s="182"/>
      <c r="C1213" s="182"/>
      <c r="E1213" s="183"/>
      <c r="F1213" s="229" t="str">
        <f>IF(OR(D1213="",E1213=""),"",ROUND(D1213/LOOKUP(E1213,SMMLV!$A$2:$A$36,SMMLV!$D$2:$D$104),3))</f>
        <v/>
      </c>
    </row>
    <row r="1214" spans="2:6">
      <c r="B1214" s="182"/>
      <c r="C1214" s="182"/>
      <c r="E1214" s="183"/>
      <c r="F1214" s="229" t="str">
        <f>IF(OR(D1214="",E1214=""),"",ROUND(D1214/LOOKUP(E1214,SMMLV!$A$2:$A$36,SMMLV!$D$2:$D$104),3))</f>
        <v/>
      </c>
    </row>
    <row r="1215" spans="2:6">
      <c r="B1215" s="182"/>
      <c r="C1215" s="182"/>
      <c r="E1215" s="183"/>
      <c r="F1215" s="229" t="str">
        <f>IF(OR(D1215="",E1215=""),"",ROUND(D1215/LOOKUP(E1215,SMMLV!$A$2:$A$36,SMMLV!$D$2:$D$104),3))</f>
        <v/>
      </c>
    </row>
    <row r="1216" spans="2:6">
      <c r="B1216" s="182"/>
      <c r="C1216" s="182"/>
      <c r="E1216" s="183"/>
      <c r="F1216" s="229" t="str">
        <f>IF(OR(D1216="",E1216=""),"",ROUND(D1216/LOOKUP(E1216,SMMLV!$A$2:$A$36,SMMLV!$D$2:$D$104),3))</f>
        <v/>
      </c>
    </row>
    <row r="1217" spans="2:6">
      <c r="B1217" s="182"/>
      <c r="C1217" s="182"/>
      <c r="E1217" s="183"/>
      <c r="F1217" s="229" t="str">
        <f>IF(OR(D1217="",E1217=""),"",ROUND(D1217/LOOKUP(E1217,SMMLV!$A$2:$A$36,SMMLV!$D$2:$D$104),3))</f>
        <v/>
      </c>
    </row>
    <row r="1218" spans="2:6">
      <c r="B1218" s="182"/>
      <c r="C1218" s="182"/>
      <c r="E1218" s="183"/>
      <c r="F1218" s="229" t="str">
        <f>IF(OR(D1218="",E1218=""),"",ROUND(D1218/LOOKUP(E1218,SMMLV!$A$2:$A$36,SMMLV!$D$2:$D$104),3))</f>
        <v/>
      </c>
    </row>
    <row r="1219" spans="2:6">
      <c r="B1219" s="182"/>
      <c r="C1219" s="182"/>
      <c r="E1219" s="183"/>
      <c r="F1219" s="229" t="str">
        <f>IF(OR(D1219="",E1219=""),"",ROUND(D1219/LOOKUP(E1219,SMMLV!$A$2:$A$36,SMMLV!$D$2:$D$104),3))</f>
        <v/>
      </c>
    </row>
    <row r="1220" spans="2:6">
      <c r="B1220" s="182"/>
      <c r="C1220" s="182"/>
      <c r="E1220" s="183"/>
      <c r="F1220" s="229" t="str">
        <f>IF(OR(D1220="",E1220=""),"",ROUND(D1220/LOOKUP(E1220,SMMLV!$A$2:$A$36,SMMLV!$D$2:$D$104),3))</f>
        <v/>
      </c>
    </row>
    <row r="1221" spans="2:6">
      <c r="B1221" s="182"/>
      <c r="C1221" s="182"/>
      <c r="E1221" s="183"/>
      <c r="F1221" s="229" t="str">
        <f>IF(OR(D1221="",E1221=""),"",ROUND(D1221/LOOKUP(E1221,SMMLV!$A$2:$A$36,SMMLV!$D$2:$D$104),3))</f>
        <v/>
      </c>
    </row>
    <row r="1222" spans="2:6">
      <c r="B1222" s="182"/>
      <c r="C1222" s="182"/>
      <c r="E1222" s="183"/>
      <c r="F1222" s="229" t="str">
        <f>IF(OR(D1222="",E1222=""),"",ROUND(D1222/LOOKUP(E1222,SMMLV!$A$2:$A$36,SMMLV!$D$2:$D$104),3))</f>
        <v/>
      </c>
    </row>
    <row r="1223" spans="2:6">
      <c r="B1223" s="182"/>
      <c r="C1223" s="182"/>
      <c r="E1223" s="183"/>
      <c r="F1223" s="229" t="str">
        <f>IF(OR(D1223="",E1223=""),"",ROUND(D1223/LOOKUP(E1223,SMMLV!$A$2:$A$36,SMMLV!$D$2:$D$104),3))</f>
        <v/>
      </c>
    </row>
    <row r="1224" spans="2:6">
      <c r="B1224" s="182"/>
      <c r="C1224" s="182"/>
      <c r="E1224" s="183"/>
      <c r="F1224" s="229" t="str">
        <f>IF(OR(D1224="",E1224=""),"",ROUND(D1224/LOOKUP(E1224,SMMLV!$A$2:$A$36,SMMLV!$D$2:$D$104),3))</f>
        <v/>
      </c>
    </row>
    <row r="1225" spans="2:6">
      <c r="B1225" s="182"/>
      <c r="C1225" s="182"/>
      <c r="E1225" s="183"/>
      <c r="F1225" s="229" t="str">
        <f>IF(OR(D1225="",E1225=""),"",ROUND(D1225/LOOKUP(E1225,SMMLV!$A$2:$A$36,SMMLV!$D$2:$D$104),3))</f>
        <v/>
      </c>
    </row>
    <row r="1226" spans="2:6">
      <c r="B1226" s="182"/>
      <c r="C1226" s="182"/>
      <c r="E1226" s="183"/>
      <c r="F1226" s="229" t="str">
        <f>IF(OR(D1226="",E1226=""),"",ROUND(D1226/LOOKUP(E1226,SMMLV!$A$2:$A$36,SMMLV!$D$2:$D$104),3))</f>
        <v/>
      </c>
    </row>
    <row r="1227" spans="2:6">
      <c r="B1227" s="182"/>
      <c r="C1227" s="182"/>
      <c r="E1227" s="183"/>
      <c r="F1227" s="229" t="str">
        <f>IF(OR(D1227="",E1227=""),"",ROUND(D1227/LOOKUP(E1227,SMMLV!$A$2:$A$36,SMMLV!$D$2:$D$104),3))</f>
        <v/>
      </c>
    </row>
    <row r="1228" spans="2:6">
      <c r="B1228" s="182"/>
      <c r="C1228" s="182"/>
      <c r="E1228" s="183"/>
      <c r="F1228" s="229" t="str">
        <f>IF(OR(D1228="",E1228=""),"",ROUND(D1228/LOOKUP(E1228,SMMLV!$A$2:$A$36,SMMLV!$D$2:$D$104),3))</f>
        <v/>
      </c>
    </row>
    <row r="1229" spans="2:6">
      <c r="B1229" s="182"/>
      <c r="C1229" s="182"/>
      <c r="E1229" s="183"/>
      <c r="F1229" s="229" t="str">
        <f>IF(OR(D1229="",E1229=""),"",ROUND(D1229/LOOKUP(E1229,SMMLV!$A$2:$A$36,SMMLV!$D$2:$D$104),3))</f>
        <v/>
      </c>
    </row>
    <row r="1230" spans="2:6">
      <c r="B1230" s="182"/>
      <c r="C1230" s="182"/>
      <c r="E1230" s="183"/>
      <c r="F1230" s="229" t="str">
        <f>IF(OR(D1230="",E1230=""),"",ROUND(D1230/LOOKUP(E1230,SMMLV!$A$2:$A$36,SMMLV!$D$2:$D$104),3))</f>
        <v/>
      </c>
    </row>
    <row r="1231" spans="2:6">
      <c r="B1231" s="182"/>
      <c r="C1231" s="182"/>
      <c r="E1231" s="183"/>
      <c r="F1231" s="229" t="str">
        <f>IF(OR(D1231="",E1231=""),"",ROUND(D1231/LOOKUP(E1231,SMMLV!$A$2:$A$36,SMMLV!$D$2:$D$104),3))</f>
        <v/>
      </c>
    </row>
    <row r="1232" spans="2:6">
      <c r="B1232" s="182"/>
      <c r="C1232" s="182"/>
      <c r="E1232" s="183"/>
      <c r="F1232" s="229" t="str">
        <f>IF(OR(D1232="",E1232=""),"",ROUND(D1232/LOOKUP(E1232,SMMLV!$A$2:$A$36,SMMLV!$D$2:$D$104),3))</f>
        <v/>
      </c>
    </row>
    <row r="1233" spans="2:6">
      <c r="B1233" s="182"/>
      <c r="C1233" s="182"/>
      <c r="E1233" s="183"/>
      <c r="F1233" s="229" t="str">
        <f>IF(OR(D1233="",E1233=""),"",ROUND(D1233/LOOKUP(E1233,SMMLV!$A$2:$A$36,SMMLV!$D$2:$D$104),3))</f>
        <v/>
      </c>
    </row>
    <row r="1234" spans="2:6">
      <c r="B1234" s="182"/>
      <c r="C1234" s="182"/>
      <c r="E1234" s="183"/>
      <c r="F1234" s="229" t="str">
        <f>IF(OR(D1234="",E1234=""),"",ROUND(D1234/LOOKUP(E1234,SMMLV!$A$2:$A$36,SMMLV!$D$2:$D$104),3))</f>
        <v/>
      </c>
    </row>
    <row r="1235" spans="2:6">
      <c r="B1235" s="182"/>
      <c r="C1235" s="182"/>
      <c r="E1235" s="183"/>
      <c r="F1235" s="229" t="str">
        <f>IF(OR(D1235="",E1235=""),"",ROUND(D1235/LOOKUP(E1235,SMMLV!$A$2:$A$36,SMMLV!$D$2:$D$104),3))</f>
        <v/>
      </c>
    </row>
    <row r="1236" spans="2:6">
      <c r="B1236" s="182"/>
      <c r="C1236" s="182"/>
      <c r="E1236" s="183"/>
      <c r="F1236" s="229" t="str">
        <f>IF(OR(D1236="",E1236=""),"",ROUND(D1236/LOOKUP(E1236,SMMLV!$A$2:$A$36,SMMLV!$D$2:$D$104),3))</f>
        <v/>
      </c>
    </row>
    <row r="1237" spans="2:6">
      <c r="B1237" s="182"/>
      <c r="C1237" s="182"/>
      <c r="E1237" s="183"/>
      <c r="F1237" s="229" t="str">
        <f>IF(OR(D1237="",E1237=""),"",ROUND(D1237/LOOKUP(E1237,SMMLV!$A$2:$A$36,SMMLV!$D$2:$D$104),3))</f>
        <v/>
      </c>
    </row>
    <row r="1238" spans="2:6">
      <c r="B1238" s="182"/>
      <c r="C1238" s="182"/>
      <c r="E1238" s="183"/>
      <c r="F1238" s="229" t="str">
        <f>IF(OR(D1238="",E1238=""),"",ROUND(D1238/LOOKUP(E1238,SMMLV!$A$2:$A$36,SMMLV!$D$2:$D$104),3))</f>
        <v/>
      </c>
    </row>
    <row r="1239" spans="2:6">
      <c r="B1239" s="182"/>
      <c r="C1239" s="182"/>
      <c r="E1239" s="183"/>
      <c r="F1239" s="229" t="str">
        <f>IF(OR(D1239="",E1239=""),"",ROUND(D1239/LOOKUP(E1239,SMMLV!$A$2:$A$36,SMMLV!$D$2:$D$104),3))</f>
        <v/>
      </c>
    </row>
    <row r="1240" spans="2:6">
      <c r="B1240" s="182"/>
      <c r="C1240" s="182"/>
      <c r="E1240" s="183"/>
      <c r="F1240" s="229" t="str">
        <f>IF(OR(D1240="",E1240=""),"",ROUND(D1240/LOOKUP(E1240,SMMLV!$A$2:$A$36,SMMLV!$D$2:$D$104),3))</f>
        <v/>
      </c>
    </row>
    <row r="1241" spans="2:6">
      <c r="B1241" s="182"/>
      <c r="C1241" s="182"/>
      <c r="E1241" s="183"/>
      <c r="F1241" s="229" t="str">
        <f>IF(OR(D1241="",E1241=""),"",ROUND(D1241/LOOKUP(E1241,SMMLV!$A$2:$A$36,SMMLV!$D$2:$D$104),3))</f>
        <v/>
      </c>
    </row>
    <row r="1242" spans="2:6">
      <c r="B1242" s="182"/>
      <c r="C1242" s="182"/>
      <c r="E1242" s="183"/>
      <c r="F1242" s="229" t="str">
        <f>IF(OR(D1242="",E1242=""),"",ROUND(D1242/LOOKUP(E1242,SMMLV!$A$2:$A$36,SMMLV!$D$2:$D$104),3))</f>
        <v/>
      </c>
    </row>
    <row r="1243" spans="2:6">
      <c r="B1243" s="182"/>
      <c r="C1243" s="182"/>
      <c r="E1243" s="183"/>
      <c r="F1243" s="229" t="str">
        <f>IF(OR(D1243="",E1243=""),"",ROUND(D1243/LOOKUP(E1243,SMMLV!$A$2:$A$36,SMMLV!$D$2:$D$104),3))</f>
        <v/>
      </c>
    </row>
    <row r="1244" spans="2:6">
      <c r="B1244" s="182"/>
      <c r="C1244" s="182"/>
      <c r="E1244" s="183"/>
      <c r="F1244" s="229" t="str">
        <f>IF(OR(D1244="",E1244=""),"",ROUND(D1244/LOOKUP(E1244,SMMLV!$A$2:$A$36,SMMLV!$D$2:$D$104),3))</f>
        <v/>
      </c>
    </row>
    <row r="1245" spans="2:6">
      <c r="B1245" s="182"/>
      <c r="C1245" s="182"/>
      <c r="E1245" s="183"/>
      <c r="F1245" s="229" t="str">
        <f>IF(OR(D1245="",E1245=""),"",ROUND(D1245/LOOKUP(E1245,SMMLV!$A$2:$A$36,SMMLV!$D$2:$D$104),3))</f>
        <v/>
      </c>
    </row>
    <row r="1246" spans="2:6">
      <c r="B1246" s="182"/>
      <c r="C1246" s="182"/>
      <c r="E1246" s="183"/>
      <c r="F1246" s="229" t="str">
        <f>IF(OR(D1246="",E1246=""),"",ROUND(D1246/LOOKUP(E1246,SMMLV!$A$2:$A$36,SMMLV!$D$2:$D$104),3))</f>
        <v/>
      </c>
    </row>
    <row r="1247" spans="2:6">
      <c r="B1247" s="182"/>
      <c r="C1247" s="182"/>
      <c r="E1247" s="183"/>
      <c r="F1247" s="229" t="str">
        <f>IF(OR(D1247="",E1247=""),"",ROUND(D1247/LOOKUP(E1247,SMMLV!$A$2:$A$36,SMMLV!$D$2:$D$104),3))</f>
        <v/>
      </c>
    </row>
    <row r="1248" spans="2:6">
      <c r="B1248" s="182"/>
      <c r="C1248" s="182"/>
      <c r="E1248" s="183"/>
      <c r="F1248" s="229" t="str">
        <f>IF(OR(D1248="",E1248=""),"",ROUND(D1248/LOOKUP(E1248,SMMLV!$A$2:$A$36,SMMLV!$D$2:$D$104),3))</f>
        <v/>
      </c>
    </row>
    <row r="1249" spans="2:6">
      <c r="B1249" s="182"/>
      <c r="C1249" s="182"/>
      <c r="E1249" s="183"/>
      <c r="F1249" s="229" t="str">
        <f>IF(OR(D1249="",E1249=""),"",ROUND(D1249/LOOKUP(E1249,SMMLV!$A$2:$A$36,SMMLV!$D$2:$D$104),3))</f>
        <v/>
      </c>
    </row>
    <row r="1250" spans="2:6">
      <c r="B1250" s="182"/>
      <c r="C1250" s="182"/>
      <c r="E1250" s="183"/>
      <c r="F1250" s="229" t="str">
        <f>IF(OR(D1250="",E1250=""),"",ROUND(D1250/LOOKUP(E1250,SMMLV!$A$2:$A$36,SMMLV!$D$2:$D$104),3))</f>
        <v/>
      </c>
    </row>
    <row r="1251" spans="2:6">
      <c r="B1251" s="182"/>
      <c r="C1251" s="182"/>
      <c r="E1251" s="183"/>
      <c r="F1251" s="229" t="str">
        <f>IF(OR(D1251="",E1251=""),"",ROUND(D1251/LOOKUP(E1251,SMMLV!$A$2:$A$36,SMMLV!$D$2:$D$104),3))</f>
        <v/>
      </c>
    </row>
    <row r="1252" spans="2:6">
      <c r="B1252" s="182"/>
      <c r="C1252" s="182"/>
      <c r="E1252" s="183"/>
      <c r="F1252" s="229" t="str">
        <f>IF(OR(D1252="",E1252=""),"",ROUND(D1252/LOOKUP(E1252,SMMLV!$A$2:$A$36,SMMLV!$D$2:$D$104),3))</f>
        <v/>
      </c>
    </row>
    <row r="1253" spans="2:6">
      <c r="B1253" s="182"/>
      <c r="C1253" s="182"/>
      <c r="E1253" s="183"/>
      <c r="F1253" s="229" t="str">
        <f>IF(OR(D1253="",E1253=""),"",ROUND(D1253/LOOKUP(E1253,SMMLV!$A$2:$A$36,SMMLV!$D$2:$D$104),3))</f>
        <v/>
      </c>
    </row>
    <row r="1254" spans="2:6">
      <c r="B1254" s="182"/>
      <c r="C1254" s="182"/>
      <c r="E1254" s="183"/>
      <c r="F1254" s="229" t="str">
        <f>IF(OR(D1254="",E1254=""),"",ROUND(D1254/LOOKUP(E1254,SMMLV!$A$2:$A$36,SMMLV!$D$2:$D$104),3))</f>
        <v/>
      </c>
    </row>
    <row r="1255" spans="2:6">
      <c r="B1255" s="182"/>
      <c r="C1255" s="182"/>
      <c r="E1255" s="183"/>
      <c r="F1255" s="229" t="str">
        <f>IF(OR(D1255="",E1255=""),"",ROUND(D1255/LOOKUP(E1255,SMMLV!$A$2:$A$36,SMMLV!$D$2:$D$104),3))</f>
        <v/>
      </c>
    </row>
    <row r="1256" spans="2:6">
      <c r="B1256" s="182"/>
      <c r="C1256" s="182"/>
      <c r="E1256" s="183"/>
      <c r="F1256" s="229" t="str">
        <f>IF(OR(D1256="",E1256=""),"",ROUND(D1256/LOOKUP(E1256,SMMLV!$A$2:$A$36,SMMLV!$D$2:$D$104),3))</f>
        <v/>
      </c>
    </row>
    <row r="1257" spans="2:6">
      <c r="B1257" s="182"/>
      <c r="C1257" s="182"/>
      <c r="E1257" s="183"/>
      <c r="F1257" s="229" t="str">
        <f>IF(OR(D1257="",E1257=""),"",ROUND(D1257/LOOKUP(E1257,SMMLV!$A$2:$A$36,SMMLV!$D$2:$D$104),3))</f>
        <v/>
      </c>
    </row>
    <row r="1258" spans="2:6">
      <c r="B1258" s="182"/>
      <c r="C1258" s="182"/>
      <c r="E1258" s="183"/>
      <c r="F1258" s="229" t="str">
        <f>IF(OR(D1258="",E1258=""),"",ROUND(D1258/LOOKUP(E1258,SMMLV!$A$2:$A$36,SMMLV!$D$2:$D$104),3))</f>
        <v/>
      </c>
    </row>
    <row r="1259" spans="2:6">
      <c r="B1259" s="182"/>
      <c r="C1259" s="182"/>
      <c r="E1259" s="183"/>
      <c r="F1259" s="229" t="str">
        <f>IF(OR(D1259="",E1259=""),"",ROUND(D1259/LOOKUP(E1259,SMMLV!$A$2:$A$36,SMMLV!$D$2:$D$104),3))</f>
        <v/>
      </c>
    </row>
    <row r="1260" spans="2:6">
      <c r="E1260" s="183"/>
      <c r="F1260" s="229" t="str">
        <f>IF(OR(D1260="",E1260=""),"",ROUND(D1260/LOOKUP(E1260,SMMLV!$A$2:$A$36,SMMLV!$D$2:$D$104),3))</f>
        <v/>
      </c>
    </row>
    <row r="1261" spans="2:6">
      <c r="E1261" s="183"/>
      <c r="F1261" s="229" t="str">
        <f>IF(OR(D1261="",E1261=""),"",ROUND(D1261/LOOKUP(E1261,SMMLV!$A$2:$A$36,SMMLV!$D$2:$D$104),3))</f>
        <v/>
      </c>
    </row>
    <row r="1262" spans="2:6">
      <c r="E1262" s="183"/>
      <c r="F1262" s="229" t="str">
        <f>IF(OR(D1262="",E1262=""),"",ROUND(D1262/LOOKUP(E1262,SMMLV!$A$2:$A$36,SMMLV!$D$2:$D$104),3))</f>
        <v/>
      </c>
    </row>
    <row r="1263" spans="2:6">
      <c r="E1263" s="183"/>
      <c r="F1263" s="229" t="str">
        <f>IF(OR(D1263="",E1263=""),"",ROUND(D1263/LOOKUP(E1263,SMMLV!$A$2:$A$36,SMMLV!$D$2:$D$104),3))</f>
        <v/>
      </c>
    </row>
    <row r="1264" spans="2:6">
      <c r="E1264" s="183"/>
      <c r="F1264" s="229" t="str">
        <f>IF(OR(D1264="",E1264=""),"",ROUND(D1264/LOOKUP(E1264,SMMLV!$A$2:$A$36,SMMLV!$D$2:$D$104),3))</f>
        <v/>
      </c>
    </row>
    <row r="1265" spans="5:6">
      <c r="E1265" s="183"/>
      <c r="F1265" s="229" t="str">
        <f>IF(OR(D1265="",E1265=""),"",ROUND(D1265/LOOKUP(E1265,SMMLV!$A$2:$A$36,SMMLV!$D$2:$D$104),3))</f>
        <v/>
      </c>
    </row>
    <row r="1266" spans="5:6">
      <c r="E1266" s="183"/>
      <c r="F1266" s="229" t="str">
        <f>IF(OR(D1266="",E1266=""),"",ROUND(D1266/LOOKUP(E1266,SMMLV!$A$2:$A$36,SMMLV!$D$2:$D$104),3))</f>
        <v/>
      </c>
    </row>
    <row r="1267" spans="5:6">
      <c r="E1267" s="183"/>
      <c r="F1267" s="229" t="str">
        <f>IF(OR(D1267="",E1267=""),"",ROUND(D1267/LOOKUP(E1267,SMMLV!$A$2:$A$36,SMMLV!$D$2:$D$104),3))</f>
        <v/>
      </c>
    </row>
    <row r="1268" spans="5:6">
      <c r="E1268" s="183"/>
      <c r="F1268" s="229" t="str">
        <f>IF(OR(D1268="",E1268=""),"",ROUND(D1268/LOOKUP(E1268,SMMLV!$A$2:$A$36,SMMLV!$D$2:$D$104),3))</f>
        <v/>
      </c>
    </row>
    <row r="1269" spans="5:6">
      <c r="E1269" s="183"/>
      <c r="F1269" s="229" t="str">
        <f>IF(OR(D1269="",E1269=""),"",ROUND(D1269/LOOKUP(E1269,SMMLV!$A$2:$A$36,SMMLV!$D$2:$D$104),3))</f>
        <v/>
      </c>
    </row>
    <row r="1270" spans="5:6">
      <c r="E1270" s="183"/>
      <c r="F1270" s="229" t="str">
        <f>IF(OR(D1270="",E1270=""),"",ROUND(D1270/LOOKUP(E1270,SMMLV!$A$2:$A$36,SMMLV!$D$2:$D$104),3))</f>
        <v/>
      </c>
    </row>
    <row r="1271" spans="5:6">
      <c r="E1271" s="183"/>
      <c r="F1271" s="229" t="str">
        <f>IF(OR(D1271="",E1271=""),"",ROUND(D1271/LOOKUP(E1271,SMMLV!$A$2:$A$36,SMMLV!$D$2:$D$104),3))</f>
        <v/>
      </c>
    </row>
    <row r="1272" spans="5:6">
      <c r="E1272" s="183"/>
      <c r="F1272" s="229" t="str">
        <f>IF(OR(D1272="",E1272=""),"",ROUND(D1272/LOOKUP(E1272,SMMLV!$A$2:$A$36,SMMLV!$D$2:$D$104),3))</f>
        <v/>
      </c>
    </row>
    <row r="1273" spans="5:6">
      <c r="E1273" s="183"/>
      <c r="F1273" s="229" t="str">
        <f>IF(OR(D1273="",E1273=""),"",ROUND(D1273/LOOKUP(E1273,SMMLV!$A$2:$A$36,SMMLV!$D$2:$D$104),3))</f>
        <v/>
      </c>
    </row>
    <row r="1274" spans="5:6">
      <c r="E1274" s="183"/>
      <c r="F1274" s="229" t="str">
        <f>IF(OR(D1274="",E1274=""),"",ROUND(D1274/LOOKUP(E1274,SMMLV!$A$2:$A$36,SMMLV!$D$2:$D$104),3))</f>
        <v/>
      </c>
    </row>
    <row r="1275" spans="5:6">
      <c r="E1275" s="183"/>
      <c r="F1275" s="229" t="str">
        <f>IF(OR(D1275="",E1275=""),"",ROUND(D1275/LOOKUP(E1275,SMMLV!$A$2:$A$36,SMMLV!$D$2:$D$104),3))</f>
        <v/>
      </c>
    </row>
    <row r="1276" spans="5:6">
      <c r="E1276" s="183"/>
      <c r="F1276" s="229" t="str">
        <f>IF(OR(D1276="",E1276=""),"",ROUND(D1276/LOOKUP(E1276,SMMLV!$A$2:$A$36,SMMLV!$D$2:$D$104),3))</f>
        <v/>
      </c>
    </row>
    <row r="1277" spans="5:6">
      <c r="E1277" s="183"/>
      <c r="F1277" s="229" t="str">
        <f>IF(OR(D1277="",E1277=""),"",ROUND(D1277/LOOKUP(E1277,SMMLV!$A$2:$A$36,SMMLV!$D$2:$D$104),3))</f>
        <v/>
      </c>
    </row>
    <row r="1278" spans="5:6">
      <c r="E1278" s="183"/>
      <c r="F1278" s="229" t="str">
        <f>IF(OR(D1278="",E1278=""),"",ROUND(D1278/LOOKUP(E1278,SMMLV!$A$2:$A$36,SMMLV!$D$2:$D$104),3))</f>
        <v/>
      </c>
    </row>
    <row r="1279" spans="5:6">
      <c r="E1279" s="183"/>
      <c r="F1279" s="229" t="str">
        <f>IF(OR(D1279="",E1279=""),"",ROUND(D1279/LOOKUP(E1279,SMMLV!$A$2:$A$36,SMMLV!$D$2:$D$104),3))</f>
        <v/>
      </c>
    </row>
    <row r="1280" spans="5:6">
      <c r="E1280" s="183"/>
      <c r="F1280" s="229" t="str">
        <f>IF(OR(D1280="",E1280=""),"",ROUND(D1280/LOOKUP(E1280,SMMLV!$A$2:$A$36,SMMLV!$D$2:$D$104),3))</f>
        <v/>
      </c>
    </row>
    <row r="1281" spans="5:6">
      <c r="E1281" s="183"/>
      <c r="F1281" s="229" t="str">
        <f>IF(OR(D1281="",E1281=""),"",ROUND(D1281/LOOKUP(E1281,SMMLV!$A$2:$A$36,SMMLV!$D$2:$D$104),3))</f>
        <v/>
      </c>
    </row>
    <row r="1282" spans="5:6">
      <c r="E1282" s="183"/>
      <c r="F1282" s="229" t="str">
        <f>IF(OR(D1282="",E1282=""),"",ROUND(D1282/LOOKUP(E1282,SMMLV!$A$2:$A$36,SMMLV!$D$2:$D$104),3))</f>
        <v/>
      </c>
    </row>
    <row r="1283" spans="5:6">
      <c r="E1283" s="183"/>
      <c r="F1283" s="229" t="str">
        <f>IF(OR(D1283="",E1283=""),"",ROUND(D1283/LOOKUP(E1283,SMMLV!$A$2:$A$36,SMMLV!$D$2:$D$104),3))</f>
        <v/>
      </c>
    </row>
    <row r="1284" spans="5:6">
      <c r="E1284" s="183"/>
      <c r="F1284" s="229" t="str">
        <f>IF(OR(D1284="",E1284=""),"",ROUND(D1284/LOOKUP(E1284,SMMLV!$A$2:$A$36,SMMLV!$D$2:$D$104),3))</f>
        <v/>
      </c>
    </row>
    <row r="1285" spans="5:6">
      <c r="E1285" s="183"/>
      <c r="F1285" s="229" t="str">
        <f>IF(OR(D1285="",E1285=""),"",ROUND(D1285/LOOKUP(E1285,SMMLV!$A$2:$A$36,SMMLV!$D$2:$D$104),3))</f>
        <v/>
      </c>
    </row>
    <row r="1286" spans="5:6">
      <c r="E1286" s="183"/>
      <c r="F1286" s="229" t="str">
        <f>IF(OR(D1286="",E1286=""),"",ROUND(D1286/LOOKUP(E1286,SMMLV!$A$2:$A$36,SMMLV!$D$2:$D$104),3))</f>
        <v/>
      </c>
    </row>
    <row r="1287" spans="5:6">
      <c r="E1287" s="183"/>
      <c r="F1287" s="229" t="str">
        <f>IF(OR(D1287="",E1287=""),"",ROUND(D1287/LOOKUP(E1287,SMMLV!$A$2:$A$36,SMMLV!$D$2:$D$104),3))</f>
        <v/>
      </c>
    </row>
    <row r="1288" spans="5:6">
      <c r="E1288" s="183"/>
      <c r="F1288" s="229" t="str">
        <f>IF(OR(D1288="",E1288=""),"",ROUND(D1288/LOOKUP(E1288,SMMLV!$A$2:$A$36,SMMLV!$D$2:$D$104),3))</f>
        <v/>
      </c>
    </row>
    <row r="1289" spans="5:6">
      <c r="E1289" s="183"/>
      <c r="F1289" s="229" t="str">
        <f>IF(OR(D1289="",E1289=""),"",ROUND(D1289/LOOKUP(E1289,SMMLV!$A$2:$A$36,SMMLV!$D$2:$D$104),3))</f>
        <v/>
      </c>
    </row>
    <row r="1290" spans="5:6">
      <c r="E1290" s="183"/>
      <c r="F1290" s="229" t="str">
        <f>IF(OR(D1290="",E1290=""),"",ROUND(D1290/LOOKUP(E1290,SMMLV!$A$2:$A$36,SMMLV!$D$2:$D$104),3))</f>
        <v/>
      </c>
    </row>
    <row r="1291" spans="5:6">
      <c r="E1291" s="183"/>
      <c r="F1291" s="229" t="str">
        <f>IF(OR(D1291="",E1291=""),"",ROUND(D1291/LOOKUP(E1291,SMMLV!$A$2:$A$36,SMMLV!$D$2:$D$104),3))</f>
        <v/>
      </c>
    </row>
    <row r="1292" spans="5:6">
      <c r="E1292" s="183"/>
      <c r="F1292" s="229" t="str">
        <f>IF(OR(D1292="",E1292=""),"",ROUND(D1292/LOOKUP(E1292,SMMLV!$A$2:$A$36,SMMLV!$D$2:$D$104),3))</f>
        <v/>
      </c>
    </row>
    <row r="1293" spans="5:6">
      <c r="E1293" s="183"/>
      <c r="F1293" s="229" t="str">
        <f>IF(OR(D1293="",E1293=""),"",ROUND(D1293/LOOKUP(E1293,SMMLV!$A$2:$A$36,SMMLV!$D$2:$D$104),3))</f>
        <v/>
      </c>
    </row>
    <row r="1294" spans="5:6">
      <c r="E1294" s="183"/>
      <c r="F1294" s="229" t="str">
        <f>IF(OR(D1294="",E1294=""),"",ROUND(D1294/LOOKUP(E1294,SMMLV!$A$2:$A$36,SMMLV!$D$2:$D$104),3))</f>
        <v/>
      </c>
    </row>
    <row r="1295" spans="5:6">
      <c r="E1295" s="183"/>
      <c r="F1295" s="229" t="str">
        <f>IF(OR(D1295="",E1295=""),"",ROUND(D1295/LOOKUP(E1295,SMMLV!$A$2:$A$36,SMMLV!$D$2:$D$104),3))</f>
        <v/>
      </c>
    </row>
    <row r="1296" spans="5:6">
      <c r="E1296" s="183"/>
      <c r="F1296" s="229" t="str">
        <f>IF(OR(D1296="",E1296=""),"",ROUND(D1296/LOOKUP(E1296,SMMLV!$A$2:$A$36,SMMLV!$D$2:$D$104),3))</f>
        <v/>
      </c>
    </row>
    <row r="1297" spans="5:6">
      <c r="E1297" s="183"/>
      <c r="F1297" s="229" t="str">
        <f>IF(OR(D1297="",E1297=""),"",ROUND(D1297/LOOKUP(E1297,SMMLV!$A$2:$A$36,SMMLV!$D$2:$D$104),3))</f>
        <v/>
      </c>
    </row>
    <row r="1298" spans="5:6">
      <c r="E1298" s="183"/>
      <c r="F1298" s="229" t="str">
        <f>IF(OR(D1298="",E1298=""),"",ROUND(D1298/LOOKUP(E1298,SMMLV!$A$2:$A$36,SMMLV!$D$2:$D$104),3))</f>
        <v/>
      </c>
    </row>
    <row r="1299" spans="5:6">
      <c r="E1299" s="183"/>
      <c r="F1299" s="229" t="str">
        <f>IF(OR(D1299="",E1299=""),"",ROUND(D1299/LOOKUP(E1299,SMMLV!$A$2:$A$36,SMMLV!$D$2:$D$104),3))</f>
        <v/>
      </c>
    </row>
    <row r="1300" spans="5:6">
      <c r="E1300" s="183"/>
      <c r="F1300" s="229" t="str">
        <f>IF(OR(D1300="",E1300=""),"",ROUND(D1300/LOOKUP(E1300,SMMLV!$A$2:$A$36,SMMLV!$D$2:$D$104),3))</f>
        <v/>
      </c>
    </row>
    <row r="1301" spans="5:6">
      <c r="E1301" s="183"/>
      <c r="F1301" s="229" t="str">
        <f>IF(OR(D1301="",E1301=""),"",ROUND(D1301/LOOKUP(E1301,SMMLV!$A$2:$A$36,SMMLV!$D$2:$D$104),3))</f>
        <v/>
      </c>
    </row>
    <row r="1302" spans="5:6">
      <c r="E1302" s="183"/>
      <c r="F1302" s="229" t="str">
        <f>IF(OR(D1302="",E1302=""),"",ROUND(D1302/LOOKUP(E1302,SMMLV!$A$2:$A$36,SMMLV!$D$2:$D$104),3))</f>
        <v/>
      </c>
    </row>
    <row r="1303" spans="5:6">
      <c r="E1303" s="183"/>
      <c r="F1303" s="229" t="str">
        <f>IF(OR(D1303="",E1303=""),"",ROUND(D1303/LOOKUP(E1303,SMMLV!$A$2:$A$36,SMMLV!$D$2:$D$104),3))</f>
        <v/>
      </c>
    </row>
    <row r="1304" spans="5:6">
      <c r="E1304" s="183"/>
      <c r="F1304" s="229" t="str">
        <f>IF(OR(D1304="",E1304=""),"",ROUND(D1304/LOOKUP(E1304,SMMLV!$A$2:$A$36,SMMLV!$D$2:$D$104),3))</f>
        <v/>
      </c>
    </row>
    <row r="1305" spans="5:6">
      <c r="E1305" s="183"/>
      <c r="F1305" s="229" t="str">
        <f>IF(OR(D1305="",E1305=""),"",ROUND(D1305/LOOKUP(E1305,SMMLV!$A$2:$A$36,SMMLV!$D$2:$D$104),3))</f>
        <v/>
      </c>
    </row>
    <row r="1306" spans="5:6">
      <c r="E1306" s="183"/>
      <c r="F1306" s="229" t="str">
        <f>IF(OR(D1306="",E1306=""),"",ROUND(D1306/LOOKUP(E1306,SMMLV!$A$2:$A$36,SMMLV!$D$2:$D$104),3))</f>
        <v/>
      </c>
    </row>
    <row r="1307" spans="5:6">
      <c r="E1307" s="183"/>
      <c r="F1307" s="229" t="str">
        <f>IF(OR(D1307="",E1307=""),"",ROUND(D1307/LOOKUP(E1307,SMMLV!$A$2:$A$36,SMMLV!$D$2:$D$104),3))</f>
        <v/>
      </c>
    </row>
    <row r="1308" spans="5:6">
      <c r="E1308" s="183"/>
      <c r="F1308" s="229" t="str">
        <f>IF(OR(D1308="",E1308=""),"",ROUND(D1308/LOOKUP(E1308,SMMLV!$A$2:$A$36,SMMLV!$D$2:$D$104),3))</f>
        <v/>
      </c>
    </row>
    <row r="1309" spans="5:6">
      <c r="E1309" s="183"/>
      <c r="F1309" s="229" t="str">
        <f>IF(OR(D1309="",E1309=""),"",ROUND(D1309/LOOKUP(E1309,SMMLV!$A$2:$A$36,SMMLV!$D$2:$D$104),3))</f>
        <v/>
      </c>
    </row>
    <row r="1310" spans="5:6">
      <c r="E1310" s="183"/>
      <c r="F1310" s="229" t="str">
        <f>IF(OR(D1310="",E1310=""),"",ROUND(D1310/LOOKUP(E1310,SMMLV!$A$2:$A$36,SMMLV!$D$2:$D$104),3))</f>
        <v/>
      </c>
    </row>
    <row r="1311" spans="5:6">
      <c r="E1311" s="183"/>
      <c r="F1311" s="229" t="str">
        <f>IF(OR(D1311="",E1311=""),"",ROUND(D1311/LOOKUP(E1311,SMMLV!$A$2:$A$36,SMMLV!$D$2:$D$104),3))</f>
        <v/>
      </c>
    </row>
    <row r="1312" spans="5:6">
      <c r="E1312" s="183"/>
      <c r="F1312" s="229" t="str">
        <f>IF(OR(D1312="",E1312=""),"",ROUND(D1312/LOOKUP(E1312,SMMLV!$A$2:$A$36,SMMLV!$D$2:$D$104),3))</f>
        <v/>
      </c>
    </row>
    <row r="1313" spans="5:6">
      <c r="E1313" s="183"/>
      <c r="F1313" s="229" t="str">
        <f>IF(OR(D1313="",E1313=""),"",ROUND(D1313/LOOKUP(E1313,SMMLV!$A$2:$A$36,SMMLV!$D$2:$D$104),3))</f>
        <v/>
      </c>
    </row>
    <row r="1314" spans="5:6">
      <c r="E1314" s="183"/>
      <c r="F1314" s="229" t="str">
        <f>IF(OR(D1314="",E1314=""),"",ROUND(D1314/LOOKUP(E1314,SMMLV!$A$2:$A$36,SMMLV!$D$2:$D$104),3))</f>
        <v/>
      </c>
    </row>
    <row r="1315" spans="5:6">
      <c r="E1315" s="183"/>
      <c r="F1315" s="229" t="str">
        <f>IF(OR(D1315="",E1315=""),"",ROUND(D1315/LOOKUP(E1315,SMMLV!$A$2:$A$36,SMMLV!$D$2:$D$104),3))</f>
        <v/>
      </c>
    </row>
    <row r="1316" spans="5:6">
      <c r="E1316" s="183"/>
      <c r="F1316" s="229" t="str">
        <f>IF(OR(D1316="",E1316=""),"",ROUND(D1316/LOOKUP(E1316,SMMLV!$A$2:$A$36,SMMLV!$D$2:$D$104),3))</f>
        <v/>
      </c>
    </row>
    <row r="1317" spans="5:6">
      <c r="E1317" s="183"/>
      <c r="F1317" s="229" t="str">
        <f>IF(OR(D1317="",E1317=""),"",ROUND(D1317/LOOKUP(E1317,SMMLV!$A$2:$A$36,SMMLV!$D$2:$D$104),3))</f>
        <v/>
      </c>
    </row>
    <row r="1318" spans="5:6">
      <c r="E1318" s="183"/>
      <c r="F1318" s="229" t="str">
        <f>IF(OR(D1318="",E1318=""),"",ROUND(D1318/LOOKUP(E1318,SMMLV!$A$2:$A$36,SMMLV!$D$2:$D$104),3))</f>
        <v/>
      </c>
    </row>
    <row r="1319" spans="5:6">
      <c r="E1319" s="183"/>
      <c r="F1319" s="229" t="str">
        <f>IF(OR(D1319="",E1319=""),"",ROUND(D1319/LOOKUP(E1319,SMMLV!$A$2:$A$36,SMMLV!$D$2:$D$104),3))</f>
        <v/>
      </c>
    </row>
    <row r="1320" spans="5:6">
      <c r="E1320" s="183"/>
      <c r="F1320" s="229" t="str">
        <f>IF(OR(D1320="",E1320=""),"",ROUND(D1320/LOOKUP(E1320,SMMLV!$A$2:$A$36,SMMLV!$D$2:$D$104),3))</f>
        <v/>
      </c>
    </row>
    <row r="1321" spans="5:6">
      <c r="E1321" s="183"/>
      <c r="F1321" s="229" t="str">
        <f>IF(OR(D1321="",E1321=""),"",ROUND(D1321/LOOKUP(E1321,SMMLV!$A$2:$A$36,SMMLV!$D$2:$D$104),3))</f>
        <v/>
      </c>
    </row>
    <row r="1322" spans="5:6">
      <c r="E1322" s="183"/>
      <c r="F1322" s="229" t="str">
        <f>IF(OR(D1322="",E1322=""),"",ROUND(D1322/LOOKUP(E1322,SMMLV!$A$2:$A$36,SMMLV!$D$2:$D$104),3))</f>
        <v/>
      </c>
    </row>
    <row r="1323" spans="5:6">
      <c r="E1323" s="183"/>
      <c r="F1323" s="229" t="str">
        <f>IF(OR(D1323="",E1323=""),"",ROUND(D1323/LOOKUP(E1323,SMMLV!$A$2:$A$36,SMMLV!$D$2:$D$104),3))</f>
        <v/>
      </c>
    </row>
    <row r="1324" spans="5:6">
      <c r="E1324" s="183"/>
      <c r="F1324" s="229" t="str">
        <f>IF(OR(D1324="",E1324=""),"",ROUND(D1324/LOOKUP(E1324,SMMLV!$A$2:$A$36,SMMLV!$D$2:$D$104),3))</f>
        <v/>
      </c>
    </row>
    <row r="1325" spans="5:6">
      <c r="E1325" s="183"/>
      <c r="F1325" s="229" t="str">
        <f>IF(OR(D1325="",E1325=""),"",ROUND(D1325/LOOKUP(E1325,SMMLV!$A$2:$A$36,SMMLV!$D$2:$D$104),3))</f>
        <v/>
      </c>
    </row>
    <row r="1326" spans="5:6">
      <c r="E1326" s="183"/>
      <c r="F1326" s="229" t="str">
        <f>IF(OR(D1326="",E1326=""),"",ROUND(D1326/LOOKUP(E1326,SMMLV!$A$2:$A$36,SMMLV!$D$2:$D$104),3))</f>
        <v/>
      </c>
    </row>
    <row r="1327" spans="5:6">
      <c r="E1327" s="183"/>
      <c r="F1327" s="229" t="str">
        <f>IF(OR(D1327="",E1327=""),"",ROUND(D1327/LOOKUP(E1327,SMMLV!$A$2:$A$36,SMMLV!$D$2:$D$104),3))</f>
        <v/>
      </c>
    </row>
    <row r="1328" spans="5:6">
      <c r="E1328" s="183"/>
      <c r="F1328" s="229" t="str">
        <f>IF(OR(D1328="",E1328=""),"",ROUND(D1328/LOOKUP(E1328,SMMLV!$A$2:$A$36,SMMLV!$D$2:$D$104),3))</f>
        <v/>
      </c>
    </row>
    <row r="1329" spans="5:6">
      <c r="E1329" s="183"/>
      <c r="F1329" s="229" t="str">
        <f>IF(OR(D1329="",E1329=""),"",ROUND(D1329/LOOKUP(E1329,SMMLV!$A$2:$A$36,SMMLV!$D$2:$D$104),3))</f>
        <v/>
      </c>
    </row>
    <row r="1330" spans="5:6">
      <c r="E1330" s="183"/>
      <c r="F1330" s="229" t="str">
        <f>IF(OR(D1330="",E1330=""),"",ROUND(D1330/LOOKUP(E1330,SMMLV!$A$2:$A$36,SMMLV!$D$2:$D$104),3))</f>
        <v/>
      </c>
    </row>
    <row r="1331" spans="5:6">
      <c r="E1331" s="183"/>
      <c r="F1331" s="229" t="str">
        <f>IF(OR(D1331="",E1331=""),"",ROUND(D1331/LOOKUP(E1331,SMMLV!$A$2:$A$36,SMMLV!$D$2:$D$104),3))</f>
        <v/>
      </c>
    </row>
    <row r="1332" spans="5:6">
      <c r="E1332" s="183"/>
      <c r="F1332" s="229" t="str">
        <f>IF(OR(D1332="",E1332=""),"",ROUND(D1332/LOOKUP(E1332,SMMLV!$A$2:$A$36,SMMLV!$D$2:$D$104),3))</f>
        <v/>
      </c>
    </row>
    <row r="1333" spans="5:6">
      <c r="E1333" s="183"/>
      <c r="F1333" s="229" t="str">
        <f>IF(OR(D1333="",E1333=""),"",ROUND(D1333/LOOKUP(E1333,SMMLV!$A$2:$A$36,SMMLV!$D$2:$D$104),3))</f>
        <v/>
      </c>
    </row>
    <row r="1334" spans="5:6">
      <c r="E1334" s="183"/>
      <c r="F1334" s="229" t="str">
        <f>IF(OR(D1334="",E1334=""),"",ROUND(D1334/LOOKUP(E1334,SMMLV!$A$2:$A$36,SMMLV!$D$2:$D$104),3))</f>
        <v/>
      </c>
    </row>
    <row r="1335" spans="5:6">
      <c r="E1335" s="183"/>
      <c r="F1335" s="229" t="str">
        <f>IF(OR(D1335="",E1335=""),"",ROUND(D1335/LOOKUP(E1335,SMMLV!$A$2:$A$36,SMMLV!$D$2:$D$104),3))</f>
        <v/>
      </c>
    </row>
    <row r="1336" spans="5:6">
      <c r="E1336" s="183"/>
      <c r="F1336" s="229" t="str">
        <f>IF(OR(D1336="",E1336=""),"",ROUND(D1336/LOOKUP(E1336,SMMLV!$A$2:$A$36,SMMLV!$D$2:$D$104),3))</f>
        <v/>
      </c>
    </row>
    <row r="1337" spans="5:6">
      <c r="E1337" s="183"/>
      <c r="F1337" s="229" t="str">
        <f>IF(OR(D1337="",E1337=""),"",ROUND(D1337/LOOKUP(E1337,SMMLV!$A$2:$A$36,SMMLV!$D$2:$D$104),3))</f>
        <v/>
      </c>
    </row>
    <row r="1338" spans="5:6">
      <c r="E1338" s="183"/>
      <c r="F1338" s="229" t="str">
        <f>IF(OR(D1338="",E1338=""),"",ROUND(D1338/LOOKUP(E1338,SMMLV!$A$2:$A$36,SMMLV!$D$2:$D$104),3))</f>
        <v/>
      </c>
    </row>
    <row r="1339" spans="5:6">
      <c r="E1339" s="183"/>
      <c r="F1339" s="229" t="str">
        <f>IF(OR(D1339="",E1339=""),"",ROUND(D1339/LOOKUP(E1339,SMMLV!$A$2:$A$36,SMMLV!$D$2:$D$104),3))</f>
        <v/>
      </c>
    </row>
    <row r="1340" spans="5:6">
      <c r="E1340" s="183"/>
      <c r="F1340" s="229" t="str">
        <f>IF(OR(D1340="",E1340=""),"",ROUND(D1340/LOOKUP(E1340,SMMLV!$A$2:$A$36,SMMLV!$D$2:$D$104),3))</f>
        <v/>
      </c>
    </row>
    <row r="1341" spans="5:6">
      <c r="E1341" s="183"/>
      <c r="F1341" s="229" t="str">
        <f>IF(OR(D1341="",E1341=""),"",ROUND(D1341/LOOKUP(E1341,SMMLV!$A$2:$A$36,SMMLV!$D$2:$D$104),3))</f>
        <v/>
      </c>
    </row>
    <row r="1342" spans="5:6">
      <c r="E1342" s="183"/>
      <c r="F1342" s="229" t="str">
        <f>IF(OR(D1342="",E1342=""),"",ROUND(D1342/LOOKUP(E1342,SMMLV!$A$2:$A$36,SMMLV!$D$2:$D$104),3))</f>
        <v/>
      </c>
    </row>
    <row r="1343" spans="5:6">
      <c r="E1343" s="183"/>
      <c r="F1343" s="229" t="str">
        <f>IF(OR(D1343="",E1343=""),"",ROUND(D1343/LOOKUP(E1343,SMMLV!$A$2:$A$36,SMMLV!$D$2:$D$104),3))</f>
        <v/>
      </c>
    </row>
    <row r="1344" spans="5:6">
      <c r="E1344" s="183"/>
      <c r="F1344" s="229" t="str">
        <f>IF(OR(D1344="",E1344=""),"",ROUND(D1344/LOOKUP(E1344,SMMLV!$A$2:$A$36,SMMLV!$D$2:$D$104),3))</f>
        <v/>
      </c>
    </row>
    <row r="1345" spans="5:6">
      <c r="E1345" s="183"/>
      <c r="F1345" s="229" t="str">
        <f>IF(OR(D1345="",E1345=""),"",ROUND(D1345/LOOKUP(E1345,SMMLV!$A$2:$A$36,SMMLV!$D$2:$D$104),3))</f>
        <v/>
      </c>
    </row>
    <row r="1346" spans="5:6">
      <c r="E1346" s="183"/>
      <c r="F1346" s="229" t="str">
        <f>IF(OR(D1346="",E1346=""),"",ROUND(D1346/LOOKUP(E1346,SMMLV!$A$2:$A$36,SMMLV!$D$2:$D$104),3))</f>
        <v/>
      </c>
    </row>
    <row r="1347" spans="5:6">
      <c r="E1347" s="183"/>
      <c r="F1347" s="229" t="str">
        <f>IF(OR(D1347="",E1347=""),"",ROUND(D1347/LOOKUP(E1347,SMMLV!$A$2:$A$36,SMMLV!$D$2:$D$104),3))</f>
        <v/>
      </c>
    </row>
    <row r="1348" spans="5:6">
      <c r="E1348" s="183"/>
      <c r="F1348" s="229" t="str">
        <f>IF(OR(D1348="",E1348=""),"",ROUND(D1348/LOOKUP(E1348,SMMLV!$A$2:$A$36,SMMLV!$D$2:$D$104),3))</f>
        <v/>
      </c>
    </row>
    <row r="1349" spans="5:6">
      <c r="E1349" s="183"/>
      <c r="F1349" s="229" t="str">
        <f>IF(OR(D1349="",E1349=""),"",ROUND(D1349/LOOKUP(E1349,SMMLV!$A$2:$A$36,SMMLV!$D$2:$D$104),3))</f>
        <v/>
      </c>
    </row>
    <row r="1350" spans="5:6">
      <c r="E1350" s="183"/>
      <c r="F1350" s="229" t="str">
        <f>IF(OR(D1350="",E1350=""),"",ROUND(D1350/LOOKUP(E1350,SMMLV!$A$2:$A$36,SMMLV!$D$2:$D$104),3))</f>
        <v/>
      </c>
    </row>
    <row r="1351" spans="5:6">
      <c r="E1351" s="183"/>
      <c r="F1351" s="229" t="str">
        <f>IF(OR(D1351="",E1351=""),"",ROUND(D1351/LOOKUP(E1351,SMMLV!$A$2:$A$36,SMMLV!$D$2:$D$104),3))</f>
        <v/>
      </c>
    </row>
    <row r="1352" spans="5:6">
      <c r="E1352" s="183"/>
      <c r="F1352" s="229" t="str">
        <f>IF(OR(D1352="",E1352=""),"",ROUND(D1352/LOOKUP(E1352,SMMLV!$A$2:$A$36,SMMLV!$D$2:$D$104),3))</f>
        <v/>
      </c>
    </row>
    <row r="1353" spans="5:6">
      <c r="E1353" s="183"/>
      <c r="F1353" s="229" t="str">
        <f>IF(OR(D1353="",E1353=""),"",ROUND(D1353/LOOKUP(E1353,SMMLV!$A$2:$A$36,SMMLV!$D$2:$D$104),3))</f>
        <v/>
      </c>
    </row>
    <row r="1354" spans="5:6">
      <c r="E1354" s="183"/>
      <c r="F1354" s="229" t="str">
        <f>IF(OR(D1354="",E1354=""),"",ROUND(D1354/LOOKUP(E1354,SMMLV!$A$2:$A$36,SMMLV!$D$2:$D$104),3))</f>
        <v/>
      </c>
    </row>
    <row r="1355" spans="5:6">
      <c r="E1355" s="183"/>
      <c r="F1355" s="229" t="str">
        <f>IF(OR(D1355="",E1355=""),"",ROUND(D1355/LOOKUP(E1355,SMMLV!$A$2:$A$36,SMMLV!$D$2:$D$104),3))</f>
        <v/>
      </c>
    </row>
    <row r="1356" spans="5:6">
      <c r="E1356" s="183"/>
      <c r="F1356" s="229" t="str">
        <f>IF(OR(D1356="",E1356=""),"",ROUND(D1356/LOOKUP(E1356,SMMLV!$A$2:$A$36,SMMLV!$D$2:$D$104),3))</f>
        <v/>
      </c>
    </row>
    <row r="1357" spans="5:6">
      <c r="E1357" s="183"/>
      <c r="F1357" s="229" t="str">
        <f>IF(OR(D1357="",E1357=""),"",ROUND(D1357/LOOKUP(E1357,SMMLV!$A$2:$A$36,SMMLV!$D$2:$D$104),3))</f>
        <v/>
      </c>
    </row>
    <row r="1358" spans="5:6">
      <c r="E1358" s="183"/>
      <c r="F1358" s="229" t="str">
        <f>IF(OR(D1358="",E1358=""),"",ROUND(D1358/LOOKUP(E1358,SMMLV!$A$2:$A$36,SMMLV!$D$2:$D$104),3))</f>
        <v/>
      </c>
    </row>
    <row r="1359" spans="5:6">
      <c r="E1359" s="183"/>
      <c r="F1359" s="229" t="str">
        <f>IF(OR(D1359="",E1359=""),"",ROUND(D1359/LOOKUP(E1359,SMMLV!$A$2:$A$36,SMMLV!$D$2:$D$104),3))</f>
        <v/>
      </c>
    </row>
    <row r="1360" spans="5:6">
      <c r="E1360" s="183"/>
      <c r="F1360" s="229" t="str">
        <f>IF(OR(D1360="",E1360=""),"",ROUND(D1360/LOOKUP(E1360,SMMLV!$A$2:$A$36,SMMLV!$D$2:$D$104),3))</f>
        <v/>
      </c>
    </row>
    <row r="1361" spans="5:6">
      <c r="E1361" s="183"/>
      <c r="F1361" s="229" t="str">
        <f>IF(OR(D1361="",E1361=""),"",ROUND(D1361/LOOKUP(E1361,SMMLV!$A$2:$A$36,SMMLV!$D$2:$D$104),3))</f>
        <v/>
      </c>
    </row>
    <row r="1362" spans="5:6">
      <c r="E1362" s="183"/>
      <c r="F1362" s="229" t="str">
        <f>IF(OR(D1362="",E1362=""),"",ROUND(D1362/LOOKUP(E1362,SMMLV!$A$2:$A$36,SMMLV!$D$2:$D$104),3))</f>
        <v/>
      </c>
    </row>
    <row r="1363" spans="5:6">
      <c r="E1363" s="183"/>
      <c r="F1363" s="229" t="str">
        <f>IF(OR(D1363="",E1363=""),"",ROUND(D1363/LOOKUP(E1363,SMMLV!$A$2:$A$36,SMMLV!$D$2:$D$104),3))</f>
        <v/>
      </c>
    </row>
    <row r="1364" spans="5:6">
      <c r="E1364" s="183"/>
      <c r="F1364" s="229" t="str">
        <f>IF(OR(D1364="",E1364=""),"",ROUND(D1364/LOOKUP(E1364,SMMLV!$A$2:$A$36,SMMLV!$D$2:$D$104),3))</f>
        <v/>
      </c>
    </row>
    <row r="1365" spans="5:6">
      <c r="E1365" s="183"/>
      <c r="F1365" s="229" t="str">
        <f>IF(OR(D1365="",E1365=""),"",ROUND(D1365/LOOKUP(E1365,SMMLV!$A$2:$A$36,SMMLV!$D$2:$D$104),3))</f>
        <v/>
      </c>
    </row>
    <row r="1366" spans="5:6">
      <c r="E1366" s="183"/>
      <c r="F1366" s="229" t="str">
        <f>IF(OR(D1366="",E1366=""),"",ROUND(D1366/LOOKUP(E1366,SMMLV!$A$2:$A$36,SMMLV!$D$2:$D$104),3))</f>
        <v/>
      </c>
    </row>
    <row r="1367" spans="5:6">
      <c r="E1367" s="183"/>
      <c r="F1367" s="229" t="str">
        <f>IF(OR(D1367="",E1367=""),"",ROUND(D1367/LOOKUP(E1367,SMMLV!$A$2:$A$36,SMMLV!$D$2:$D$104),3))</f>
        <v/>
      </c>
    </row>
    <row r="1368" spans="5:6">
      <c r="E1368" s="183"/>
      <c r="F1368" s="229" t="str">
        <f>IF(OR(D1368="",E1368=""),"",ROUND(D1368/LOOKUP(E1368,SMMLV!$A$2:$A$36,SMMLV!$D$2:$D$104),3))</f>
        <v/>
      </c>
    </row>
    <row r="1369" spans="5:6">
      <c r="E1369" s="183"/>
      <c r="F1369" s="229" t="str">
        <f>IF(OR(D1369="",E1369=""),"",ROUND(D1369/LOOKUP(E1369,SMMLV!$A$2:$A$36,SMMLV!$D$2:$D$104),3))</f>
        <v/>
      </c>
    </row>
    <row r="1370" spans="5:6">
      <c r="E1370" s="183"/>
      <c r="F1370" s="229" t="str">
        <f>IF(OR(D1370="",E1370=""),"",ROUND(D1370/LOOKUP(E1370,SMMLV!$A$2:$A$36,SMMLV!$D$2:$D$104),3))</f>
        <v/>
      </c>
    </row>
    <row r="1371" spans="5:6">
      <c r="E1371" s="183"/>
      <c r="F1371" s="229" t="str">
        <f>IF(OR(D1371="",E1371=""),"",ROUND(D1371/LOOKUP(E1371,SMMLV!$A$2:$A$36,SMMLV!$D$2:$D$104),3))</f>
        <v/>
      </c>
    </row>
    <row r="1372" spans="5:6">
      <c r="E1372" s="183"/>
      <c r="F1372" s="229" t="str">
        <f>IF(OR(D1372="",E1372=""),"",ROUND(D1372/LOOKUP(E1372,SMMLV!$A$2:$A$36,SMMLV!$D$2:$D$104),3))</f>
        <v/>
      </c>
    </row>
    <row r="1373" spans="5:6">
      <c r="E1373" s="183"/>
      <c r="F1373" s="229" t="str">
        <f>IF(OR(D1373="",E1373=""),"",ROUND(D1373/LOOKUP(E1373,SMMLV!$A$2:$A$36,SMMLV!$D$2:$D$104),3))</f>
        <v/>
      </c>
    </row>
    <row r="1374" spans="5:6">
      <c r="E1374" s="183"/>
      <c r="F1374" s="229" t="str">
        <f>IF(OR(D1374="",E1374=""),"",ROUND(D1374/LOOKUP(E1374,SMMLV!$A$2:$A$36,SMMLV!$D$2:$D$104),3))</f>
        <v/>
      </c>
    </row>
    <row r="1375" spans="5:6">
      <c r="E1375" s="183"/>
      <c r="F1375" s="229" t="str">
        <f>IF(OR(D1375="",E1375=""),"",ROUND(D1375/LOOKUP(E1375,SMMLV!$A$2:$A$36,SMMLV!$D$2:$D$104),3))</f>
        <v/>
      </c>
    </row>
    <row r="1376" spans="5:6">
      <c r="E1376" s="183"/>
      <c r="F1376" s="229" t="str">
        <f>IF(OR(D1376="",E1376=""),"",ROUND(D1376/LOOKUP(E1376,SMMLV!$A$2:$A$36,SMMLV!$D$2:$D$104),3))</f>
        <v/>
      </c>
    </row>
    <row r="1377" spans="5:6">
      <c r="E1377" s="183"/>
      <c r="F1377" s="229" t="str">
        <f>IF(OR(D1377="",E1377=""),"",ROUND(D1377/LOOKUP(E1377,SMMLV!$A$2:$A$36,SMMLV!$D$2:$D$104),3))</f>
        <v/>
      </c>
    </row>
    <row r="1378" spans="5:6">
      <c r="E1378" s="183"/>
      <c r="F1378" s="229" t="str">
        <f>IF(OR(D1378="",E1378=""),"",ROUND(D1378/LOOKUP(E1378,SMMLV!$A$2:$A$36,SMMLV!$D$2:$D$104),3))</f>
        <v/>
      </c>
    </row>
    <row r="1379" spans="5:6">
      <c r="E1379" s="183"/>
      <c r="F1379" s="229" t="str">
        <f>IF(OR(D1379="",E1379=""),"",ROUND(D1379/LOOKUP(E1379,SMMLV!$A$2:$A$36,SMMLV!$D$2:$D$104),3))</f>
        <v/>
      </c>
    </row>
    <row r="1380" spans="5:6">
      <c r="E1380" s="183"/>
      <c r="F1380" s="229" t="str">
        <f>IF(OR(D1380="",E1380=""),"",ROUND(D1380/LOOKUP(E1380,SMMLV!$A$2:$A$36,SMMLV!$D$2:$D$104),3))</f>
        <v/>
      </c>
    </row>
    <row r="1381" spans="5:6">
      <c r="E1381" s="183"/>
      <c r="F1381" s="229" t="str">
        <f>IF(OR(D1381="",E1381=""),"",ROUND(D1381/LOOKUP(E1381,SMMLV!$A$2:$A$36,SMMLV!$D$2:$D$104),3))</f>
        <v/>
      </c>
    </row>
    <row r="1382" spans="5:6">
      <c r="E1382" s="183"/>
      <c r="F1382" s="229" t="str">
        <f>IF(OR(D1382="",E1382=""),"",ROUND(D1382/LOOKUP(E1382,SMMLV!$A$2:$A$36,SMMLV!$D$2:$D$104),3))</f>
        <v/>
      </c>
    </row>
    <row r="1383" spans="5:6">
      <c r="E1383" s="183"/>
      <c r="F1383" s="229" t="str">
        <f>IF(OR(D1383="",E1383=""),"",ROUND(D1383/LOOKUP(E1383,SMMLV!$A$2:$A$36,SMMLV!$D$2:$D$104),3))</f>
        <v/>
      </c>
    </row>
    <row r="1384" spans="5:6">
      <c r="E1384" s="183"/>
      <c r="F1384" s="229" t="str">
        <f>IF(OR(D1384="",E1384=""),"",ROUND(D1384/LOOKUP(E1384,SMMLV!$A$2:$A$36,SMMLV!$D$2:$D$104),3))</f>
        <v/>
      </c>
    </row>
    <row r="1385" spans="5:6">
      <c r="E1385" s="183"/>
      <c r="F1385" s="229" t="str">
        <f>IF(OR(D1385="",E1385=""),"",ROUND(D1385/LOOKUP(E1385,SMMLV!$A$2:$A$36,SMMLV!$D$2:$D$104),3))</f>
        <v/>
      </c>
    </row>
    <row r="1386" spans="5:6">
      <c r="E1386" s="183"/>
      <c r="F1386" s="229" t="str">
        <f>IF(OR(D1386="",E1386=""),"",ROUND(D1386/LOOKUP(E1386,SMMLV!$A$2:$A$36,SMMLV!$D$2:$D$104),3))</f>
        <v/>
      </c>
    </row>
    <row r="1387" spans="5:6">
      <c r="E1387" s="183"/>
      <c r="F1387" s="229" t="str">
        <f>IF(OR(D1387="",E1387=""),"",ROUND(D1387/LOOKUP(E1387,SMMLV!$A$2:$A$36,SMMLV!$D$2:$D$104),3))</f>
        <v/>
      </c>
    </row>
    <row r="1388" spans="5:6">
      <c r="E1388" s="183"/>
      <c r="F1388" s="229" t="str">
        <f>IF(OR(D1388="",E1388=""),"",ROUND(D1388/LOOKUP(E1388,SMMLV!$A$2:$A$36,SMMLV!$D$2:$D$104),3))</f>
        <v/>
      </c>
    </row>
    <row r="1389" spans="5:6">
      <c r="E1389" s="183"/>
      <c r="F1389" s="229" t="str">
        <f>IF(OR(D1389="",E1389=""),"",ROUND(D1389/LOOKUP(E1389,SMMLV!$A$2:$A$36,SMMLV!$D$2:$D$104),3))</f>
        <v/>
      </c>
    </row>
    <row r="1390" spans="5:6">
      <c r="E1390" s="183"/>
      <c r="F1390" s="229" t="str">
        <f>IF(OR(D1390="",E1390=""),"",ROUND(D1390/LOOKUP(E1390,SMMLV!$A$2:$A$36,SMMLV!$D$2:$D$104),3))</f>
        <v/>
      </c>
    </row>
    <row r="1391" spans="5:6">
      <c r="E1391" s="183"/>
      <c r="F1391" s="229" t="str">
        <f>IF(OR(D1391="",E1391=""),"",ROUND(D1391/LOOKUP(E1391,SMMLV!$A$2:$A$36,SMMLV!$D$2:$D$104),3))</f>
        <v/>
      </c>
    </row>
    <row r="1392" spans="5:6">
      <c r="E1392" s="183"/>
      <c r="F1392" s="229" t="str">
        <f>IF(OR(D1392="",E1392=""),"",ROUND(D1392/LOOKUP(E1392,SMMLV!$A$2:$A$36,SMMLV!$D$2:$D$104),3))</f>
        <v/>
      </c>
    </row>
    <row r="1393" spans="5:6">
      <c r="E1393" s="183"/>
      <c r="F1393" s="229" t="str">
        <f>IF(OR(D1393="",E1393=""),"",ROUND(D1393/LOOKUP(E1393,SMMLV!$A$2:$A$36,SMMLV!$D$2:$D$104),3))</f>
        <v/>
      </c>
    </row>
    <row r="1394" spans="5:6">
      <c r="E1394" s="183"/>
      <c r="F1394" s="229" t="str">
        <f>IF(OR(D1394="",E1394=""),"",ROUND(D1394/LOOKUP(E1394,SMMLV!$A$2:$A$36,SMMLV!$D$2:$D$104),3))</f>
        <v/>
      </c>
    </row>
    <row r="1395" spans="5:6">
      <c r="E1395" s="183"/>
      <c r="F1395" s="229" t="str">
        <f>IF(OR(D1395="",E1395=""),"",ROUND(D1395/LOOKUP(E1395,SMMLV!$A$2:$A$36,SMMLV!$D$2:$D$104),3))</f>
        <v/>
      </c>
    </row>
    <row r="1396" spans="5:6">
      <c r="E1396" s="183"/>
      <c r="F1396" s="229" t="str">
        <f>IF(OR(D1396="",E1396=""),"",ROUND(D1396/LOOKUP(E1396,SMMLV!$A$2:$A$36,SMMLV!$D$2:$D$104),3))</f>
        <v/>
      </c>
    </row>
    <row r="1397" spans="5:6">
      <c r="E1397" s="183"/>
      <c r="F1397" s="229" t="str">
        <f>IF(OR(D1397="",E1397=""),"",ROUND(D1397/LOOKUP(E1397,SMMLV!$A$2:$A$36,SMMLV!$D$2:$D$104),3))</f>
        <v/>
      </c>
    </row>
    <row r="1398" spans="5:6">
      <c r="E1398" s="183"/>
      <c r="F1398" s="229" t="str">
        <f>IF(OR(D1398="",E1398=""),"",ROUND(D1398/LOOKUP(E1398,SMMLV!$A$2:$A$36,SMMLV!$D$2:$D$104),3))</f>
        <v/>
      </c>
    </row>
    <row r="1399" spans="5:6">
      <c r="E1399" s="183"/>
      <c r="F1399" s="229" t="str">
        <f>IF(OR(D1399="",E1399=""),"",ROUND(D1399/LOOKUP(E1399,SMMLV!$A$2:$A$36,SMMLV!$D$2:$D$104),3))</f>
        <v/>
      </c>
    </row>
    <row r="1400" spans="5:6">
      <c r="E1400" s="183"/>
      <c r="F1400" s="229" t="str">
        <f>IF(OR(D1400="",E1400=""),"",ROUND(D1400/LOOKUP(E1400,SMMLV!$A$2:$A$36,SMMLV!$D$2:$D$104),3))</f>
        <v/>
      </c>
    </row>
    <row r="1401" spans="5:6">
      <c r="E1401" s="183"/>
      <c r="F1401" s="229" t="str">
        <f>IF(OR(D1401="",E1401=""),"",ROUND(D1401/LOOKUP(E1401,SMMLV!$A$2:$A$36,SMMLV!$D$2:$D$104),3))</f>
        <v/>
      </c>
    </row>
    <row r="1402" spans="5:6">
      <c r="E1402" s="183"/>
      <c r="F1402" s="229" t="str">
        <f>IF(OR(D1402="",E1402=""),"",ROUND(D1402/LOOKUP(E1402,SMMLV!$A$2:$A$36,SMMLV!$D$2:$D$104),3))</f>
        <v/>
      </c>
    </row>
    <row r="1403" spans="5:6">
      <c r="E1403" s="183"/>
      <c r="F1403" s="229" t="str">
        <f>IF(OR(D1403="",E1403=""),"",ROUND(D1403/LOOKUP(E1403,SMMLV!$A$2:$A$36,SMMLV!$D$2:$D$104),3))</f>
        <v/>
      </c>
    </row>
    <row r="1404" spans="5:6">
      <c r="E1404" s="183"/>
      <c r="F1404" s="229" t="str">
        <f>IF(OR(D1404="",E1404=""),"",ROUND(D1404/LOOKUP(E1404,SMMLV!$A$2:$A$36,SMMLV!$D$2:$D$104),3))</f>
        <v/>
      </c>
    </row>
    <row r="1405" spans="5:6">
      <c r="E1405" s="183"/>
      <c r="F1405" s="229" t="str">
        <f>IF(OR(D1405="",E1405=""),"",ROUND(D1405/LOOKUP(E1405,SMMLV!$A$2:$A$36,SMMLV!$D$2:$D$104),3))</f>
        <v/>
      </c>
    </row>
    <row r="1406" spans="5:6">
      <c r="E1406" s="183"/>
      <c r="F1406" s="229" t="str">
        <f>IF(OR(D1406="",E1406=""),"",ROUND(D1406/LOOKUP(E1406,SMMLV!$A$2:$A$36,SMMLV!$D$2:$D$104),3))</f>
        <v/>
      </c>
    </row>
    <row r="1407" spans="5:6">
      <c r="E1407" s="183"/>
      <c r="F1407" s="229" t="str">
        <f>IF(OR(D1407="",E1407=""),"",ROUND(D1407/LOOKUP(E1407,SMMLV!$A$2:$A$36,SMMLV!$D$2:$D$104),3))</f>
        <v/>
      </c>
    </row>
    <row r="1408" spans="5:6">
      <c r="E1408" s="183"/>
      <c r="F1408" s="229" t="str">
        <f>IF(OR(D1408="",E1408=""),"",ROUND(D1408/LOOKUP(E1408,SMMLV!$A$2:$A$36,SMMLV!$D$2:$D$104),3))</f>
        <v/>
      </c>
    </row>
    <row r="1409" spans="5:6">
      <c r="E1409" s="183"/>
      <c r="F1409" s="229" t="str">
        <f>IF(OR(D1409="",E1409=""),"",ROUND(D1409/LOOKUP(E1409,SMMLV!$A$2:$A$36,SMMLV!$D$2:$D$104),3))</f>
        <v/>
      </c>
    </row>
    <row r="1410" spans="5:6">
      <c r="E1410" s="183"/>
      <c r="F1410" s="229" t="str">
        <f>IF(OR(D1410="",E1410=""),"",ROUND(D1410/LOOKUP(E1410,SMMLV!$A$2:$A$36,SMMLV!$D$2:$D$104),3))</f>
        <v/>
      </c>
    </row>
    <row r="1411" spans="5:6">
      <c r="E1411" s="183"/>
      <c r="F1411" s="229" t="str">
        <f>IF(OR(D1411="",E1411=""),"",ROUND(D1411/LOOKUP(E1411,SMMLV!$A$2:$A$36,SMMLV!$D$2:$D$104),3))</f>
        <v/>
      </c>
    </row>
    <row r="1412" spans="5:6">
      <c r="E1412" s="183"/>
      <c r="F1412" s="229" t="str">
        <f>IF(OR(D1412="",E1412=""),"",ROUND(D1412/LOOKUP(E1412,SMMLV!$A$2:$A$36,SMMLV!$D$2:$D$104),3))</f>
        <v/>
      </c>
    </row>
    <row r="1413" spans="5:6">
      <c r="E1413" s="183"/>
      <c r="F1413" s="229" t="str">
        <f>IF(OR(D1413="",E1413=""),"",ROUND(D1413/LOOKUP(E1413,SMMLV!$A$2:$A$36,SMMLV!$D$2:$D$104),3))</f>
        <v/>
      </c>
    </row>
    <row r="1414" spans="5:6">
      <c r="E1414" s="183"/>
      <c r="F1414" s="229" t="str">
        <f>IF(OR(D1414="",E1414=""),"",ROUND(D1414/LOOKUP(E1414,SMMLV!$A$2:$A$36,SMMLV!$D$2:$D$104),3))</f>
        <v/>
      </c>
    </row>
    <row r="1415" spans="5:6">
      <c r="E1415" s="183"/>
      <c r="F1415" s="229" t="str">
        <f>IF(OR(D1415="",E1415=""),"",ROUND(D1415/LOOKUP(E1415,SMMLV!$A$2:$A$36,SMMLV!$D$2:$D$104),3))</f>
        <v/>
      </c>
    </row>
    <row r="1416" spans="5:6">
      <c r="E1416" s="183"/>
      <c r="F1416" s="229" t="str">
        <f>IF(OR(D1416="",E1416=""),"",ROUND(D1416/LOOKUP(E1416,SMMLV!$A$2:$A$36,SMMLV!$D$2:$D$104),3))</f>
        <v/>
      </c>
    </row>
    <row r="1417" spans="5:6">
      <c r="E1417" s="183"/>
      <c r="F1417" s="229" t="str">
        <f>IF(OR(D1417="",E1417=""),"",ROUND(D1417/LOOKUP(E1417,SMMLV!$A$2:$A$36,SMMLV!$D$2:$D$104),3))</f>
        <v/>
      </c>
    </row>
    <row r="1418" spans="5:6">
      <c r="E1418" s="183"/>
      <c r="F1418" s="229" t="str">
        <f>IF(OR(D1418="",E1418=""),"",ROUND(D1418/LOOKUP(E1418,SMMLV!$A$2:$A$36,SMMLV!$D$2:$D$104),3))</f>
        <v/>
      </c>
    </row>
    <row r="1419" spans="5:6">
      <c r="E1419" s="183"/>
      <c r="F1419" s="229" t="str">
        <f>IF(OR(D1419="",E1419=""),"",ROUND(D1419/LOOKUP(E1419,SMMLV!$A$2:$A$36,SMMLV!$D$2:$D$104),3))</f>
        <v/>
      </c>
    </row>
    <row r="1420" spans="5:6">
      <c r="E1420" s="183"/>
      <c r="F1420" s="229" t="str">
        <f>IF(OR(D1420="",E1420=""),"",ROUND(D1420/LOOKUP(E1420,SMMLV!$A$2:$A$36,SMMLV!$D$2:$D$104),3))</f>
        <v/>
      </c>
    </row>
    <row r="1421" spans="5:6">
      <c r="E1421" s="183"/>
      <c r="F1421" s="229" t="str">
        <f>IF(OR(D1421="",E1421=""),"",ROUND(D1421/LOOKUP(E1421,SMMLV!$A$2:$A$36,SMMLV!$D$2:$D$104),3))</f>
        <v/>
      </c>
    </row>
    <row r="1422" spans="5:6">
      <c r="E1422" s="183"/>
      <c r="F1422" s="229" t="str">
        <f>IF(OR(D1422="",E1422=""),"",ROUND(D1422/LOOKUP(E1422,SMMLV!$A$2:$A$36,SMMLV!$D$2:$D$104),3))</f>
        <v/>
      </c>
    </row>
    <row r="1423" spans="5:6">
      <c r="E1423" s="183"/>
      <c r="F1423" s="229" t="str">
        <f>IF(OR(D1423="",E1423=""),"",ROUND(D1423/LOOKUP(E1423,SMMLV!$A$2:$A$36,SMMLV!$D$2:$D$104),3))</f>
        <v/>
      </c>
    </row>
    <row r="1424" spans="5:6">
      <c r="E1424" s="183"/>
      <c r="F1424" s="229" t="str">
        <f>IF(OR(D1424="",E1424=""),"",ROUND(D1424/LOOKUP(E1424,SMMLV!$A$2:$A$36,SMMLV!$D$2:$D$104),3))</f>
        <v/>
      </c>
    </row>
    <row r="1425" spans="5:6">
      <c r="E1425" s="183"/>
      <c r="F1425" s="229" t="str">
        <f>IF(OR(D1425="",E1425=""),"",ROUND(D1425/LOOKUP(E1425,SMMLV!$A$2:$A$36,SMMLV!$D$2:$D$104),3))</f>
        <v/>
      </c>
    </row>
    <row r="1426" spans="5:6">
      <c r="E1426" s="183"/>
      <c r="F1426" s="229" t="str">
        <f>IF(OR(D1426="",E1426=""),"",ROUND(D1426/LOOKUP(E1426,SMMLV!$A$2:$A$36,SMMLV!$D$2:$D$104),3))</f>
        <v/>
      </c>
    </row>
    <row r="1427" spans="5:6">
      <c r="E1427" s="183"/>
      <c r="F1427" s="229" t="str">
        <f>IF(OR(D1427="",E1427=""),"",ROUND(D1427/LOOKUP(E1427,SMMLV!$A$2:$A$36,SMMLV!$D$2:$D$104),3))</f>
        <v/>
      </c>
    </row>
    <row r="1428" spans="5:6">
      <c r="E1428" s="183"/>
      <c r="F1428" s="229" t="str">
        <f>IF(OR(D1428="",E1428=""),"",ROUND(D1428/LOOKUP(E1428,SMMLV!$A$2:$A$36,SMMLV!$D$2:$D$104),3))</f>
        <v/>
      </c>
    </row>
    <row r="1429" spans="5:6">
      <c r="E1429" s="183"/>
      <c r="F1429" s="229" t="str">
        <f>IF(OR(D1429="",E1429=""),"",ROUND(D1429/LOOKUP(E1429,SMMLV!$A$2:$A$36,SMMLV!$D$2:$D$104),3))</f>
        <v/>
      </c>
    </row>
    <row r="1430" spans="5:6">
      <c r="E1430" s="183"/>
      <c r="F1430" s="229" t="str">
        <f>IF(OR(D1430="",E1430=""),"",ROUND(D1430/LOOKUP(E1430,SMMLV!$A$2:$A$36,SMMLV!$D$2:$D$104),3))</f>
        <v/>
      </c>
    </row>
    <row r="1431" spans="5:6">
      <c r="E1431" s="183"/>
      <c r="F1431" s="229" t="str">
        <f>IF(OR(D1431="",E1431=""),"",ROUND(D1431/LOOKUP(E1431,SMMLV!$A$2:$A$36,SMMLV!$D$2:$D$104),3))</f>
        <v/>
      </c>
    </row>
    <row r="1432" spans="5:6">
      <c r="E1432" s="183"/>
      <c r="F1432" s="229" t="str">
        <f>IF(OR(D1432="",E1432=""),"",ROUND(D1432/LOOKUP(E1432,SMMLV!$A$2:$A$36,SMMLV!$D$2:$D$104),3))</f>
        <v/>
      </c>
    </row>
    <row r="1433" spans="5:6">
      <c r="E1433" s="183"/>
      <c r="F1433" s="229" t="str">
        <f>IF(OR(D1433="",E1433=""),"",ROUND(D1433/LOOKUP(E1433,SMMLV!$A$2:$A$36,SMMLV!$D$2:$D$104),3))</f>
        <v/>
      </c>
    </row>
    <row r="1434" spans="5:6">
      <c r="E1434" s="183"/>
      <c r="F1434" s="229" t="str">
        <f>IF(OR(D1434="",E1434=""),"",ROUND(D1434/LOOKUP(E1434,SMMLV!$A$2:$A$36,SMMLV!$D$2:$D$104),3))</f>
        <v/>
      </c>
    </row>
    <row r="1435" spans="5:6">
      <c r="E1435" s="183"/>
      <c r="F1435" s="229" t="str">
        <f>IF(OR(D1435="",E1435=""),"",ROUND(D1435/LOOKUP(E1435,SMMLV!$A$2:$A$36,SMMLV!$D$2:$D$104),3))</f>
        <v/>
      </c>
    </row>
    <row r="1436" spans="5:6">
      <c r="E1436" s="183"/>
      <c r="F1436" s="229" t="str">
        <f>IF(OR(D1436="",E1436=""),"",ROUND(D1436/LOOKUP(E1436,SMMLV!$A$2:$A$36,SMMLV!$D$2:$D$104),3))</f>
        <v/>
      </c>
    </row>
    <row r="1437" spans="5:6">
      <c r="E1437" s="183"/>
      <c r="F1437" s="229" t="str">
        <f>IF(OR(D1437="",E1437=""),"",ROUND(D1437/LOOKUP(E1437,SMMLV!$A$2:$A$36,SMMLV!$D$2:$D$104),3))</f>
        <v/>
      </c>
    </row>
    <row r="1438" spans="5:6">
      <c r="E1438" s="183"/>
      <c r="F1438" s="229" t="str">
        <f>IF(OR(D1438="",E1438=""),"",ROUND(D1438/LOOKUP(E1438,SMMLV!$A$2:$A$36,SMMLV!$D$2:$D$104),3))</f>
        <v/>
      </c>
    </row>
    <row r="1439" spans="5:6">
      <c r="E1439" s="183"/>
      <c r="F1439" s="229" t="str">
        <f>IF(OR(D1439="",E1439=""),"",ROUND(D1439/LOOKUP(E1439,SMMLV!$A$2:$A$36,SMMLV!$D$2:$D$104),3))</f>
        <v/>
      </c>
    </row>
    <row r="1440" spans="5:6">
      <c r="E1440" s="183"/>
      <c r="F1440" s="229" t="str">
        <f>IF(OR(D1440="",E1440=""),"",ROUND(D1440/LOOKUP(E1440,SMMLV!$A$2:$A$36,SMMLV!$D$2:$D$104),3))</f>
        <v/>
      </c>
    </row>
    <row r="1441" spans="5:6">
      <c r="E1441" s="183"/>
      <c r="F1441" s="229" t="str">
        <f>IF(OR(D1441="",E1441=""),"",ROUND(D1441/LOOKUP(E1441,SMMLV!$A$2:$A$36,SMMLV!$D$2:$D$104),3))</f>
        <v/>
      </c>
    </row>
    <row r="1442" spans="5:6">
      <c r="E1442" s="183"/>
      <c r="F1442" s="229" t="str">
        <f>IF(OR(D1442="",E1442=""),"",ROUND(D1442/LOOKUP(E1442,SMMLV!$A$2:$A$36,SMMLV!$D$2:$D$104),3))</f>
        <v/>
      </c>
    </row>
    <row r="1443" spans="5:6">
      <c r="E1443" s="183"/>
      <c r="F1443" s="229" t="str">
        <f>IF(OR(D1443="",E1443=""),"",ROUND(D1443/LOOKUP(E1443,SMMLV!$A$2:$A$36,SMMLV!$D$2:$D$104),3))</f>
        <v/>
      </c>
    </row>
    <row r="1444" spans="5:6">
      <c r="E1444" s="183"/>
      <c r="F1444" s="229" t="str">
        <f>IF(OR(D1444="",E1444=""),"",ROUND(D1444/LOOKUP(E1444,SMMLV!$A$2:$A$36,SMMLV!$D$2:$D$104),3))</f>
        <v/>
      </c>
    </row>
    <row r="1445" spans="5:6">
      <c r="E1445" s="183"/>
      <c r="F1445" s="229" t="str">
        <f>IF(OR(D1445="",E1445=""),"",ROUND(D1445/LOOKUP(E1445,SMMLV!$A$2:$A$36,SMMLV!$D$2:$D$104),3))</f>
        <v/>
      </c>
    </row>
    <row r="1446" spans="5:6">
      <c r="E1446" s="183"/>
      <c r="F1446" s="229" t="str">
        <f>IF(OR(D1446="",E1446=""),"",ROUND(D1446/LOOKUP(E1446,SMMLV!$A$2:$A$36,SMMLV!$D$2:$D$104),3))</f>
        <v/>
      </c>
    </row>
    <row r="1447" spans="5:6">
      <c r="E1447" s="183"/>
      <c r="F1447" s="229" t="str">
        <f>IF(OR(D1447="",E1447=""),"",ROUND(D1447/LOOKUP(E1447,SMMLV!$A$2:$A$36,SMMLV!$D$2:$D$104),3))</f>
        <v/>
      </c>
    </row>
    <row r="1448" spans="5:6">
      <c r="E1448" s="183"/>
      <c r="F1448" s="229" t="str">
        <f>IF(OR(D1448="",E1448=""),"",ROUND(D1448/LOOKUP(E1448,SMMLV!$A$2:$A$36,SMMLV!$D$2:$D$104),3))</f>
        <v/>
      </c>
    </row>
    <row r="1449" spans="5:6">
      <c r="E1449" s="183"/>
      <c r="F1449" s="229" t="str">
        <f>IF(OR(D1449="",E1449=""),"",ROUND(D1449/LOOKUP(E1449,SMMLV!$A$2:$A$36,SMMLV!$D$2:$D$104),3))</f>
        <v/>
      </c>
    </row>
    <row r="1450" spans="5:6">
      <c r="E1450" s="183"/>
      <c r="F1450" s="229" t="str">
        <f>IF(OR(D1450="",E1450=""),"",ROUND(D1450/LOOKUP(E1450,SMMLV!$A$2:$A$36,SMMLV!$D$2:$D$104),3))</f>
        <v/>
      </c>
    </row>
    <row r="1451" spans="5:6">
      <c r="E1451" s="183"/>
      <c r="F1451" s="229" t="str">
        <f>IF(OR(D1451="",E1451=""),"",ROUND(D1451/LOOKUP(E1451,SMMLV!$A$2:$A$36,SMMLV!$D$2:$D$104),3))</f>
        <v/>
      </c>
    </row>
    <row r="1452" spans="5:6">
      <c r="E1452" s="183"/>
      <c r="F1452" s="229" t="str">
        <f>IF(OR(D1452="",E1452=""),"",ROUND(D1452/LOOKUP(E1452,SMMLV!$A$2:$A$36,SMMLV!$D$2:$D$104),3))</f>
        <v/>
      </c>
    </row>
    <row r="1453" spans="5:6">
      <c r="E1453" s="183"/>
      <c r="F1453" s="229" t="str">
        <f>IF(OR(D1453="",E1453=""),"",ROUND(D1453/LOOKUP(E1453,SMMLV!$A$2:$A$36,SMMLV!$D$2:$D$104),3))</f>
        <v/>
      </c>
    </row>
    <row r="1454" spans="5:6">
      <c r="E1454" s="183"/>
      <c r="F1454" s="229" t="str">
        <f>IF(OR(D1454="",E1454=""),"",ROUND(D1454/LOOKUP(E1454,SMMLV!$A$2:$A$36,SMMLV!$D$2:$D$104),3))</f>
        <v/>
      </c>
    </row>
    <row r="1455" spans="5:6">
      <c r="E1455" s="183"/>
      <c r="F1455" s="229" t="str">
        <f>IF(OR(D1455="",E1455=""),"",ROUND(D1455/LOOKUP(E1455,SMMLV!$A$2:$A$36,SMMLV!$D$2:$D$104),3))</f>
        <v/>
      </c>
    </row>
    <row r="1456" spans="5:6">
      <c r="E1456" s="183"/>
      <c r="F1456" s="229" t="str">
        <f>IF(OR(D1456="",E1456=""),"",ROUND(D1456/LOOKUP(E1456,SMMLV!$A$2:$A$36,SMMLV!$D$2:$D$104),3))</f>
        <v/>
      </c>
    </row>
    <row r="1457" spans="5:6">
      <c r="E1457" s="183"/>
      <c r="F1457" s="229" t="str">
        <f>IF(OR(D1457="",E1457=""),"",ROUND(D1457/LOOKUP(E1457,SMMLV!$A$2:$A$36,SMMLV!$D$2:$D$104),3))</f>
        <v/>
      </c>
    </row>
    <row r="1458" spans="5:6">
      <c r="E1458" s="183"/>
      <c r="F1458" s="229" t="str">
        <f>IF(OR(D1458="",E1458=""),"",ROUND(D1458/LOOKUP(E1458,SMMLV!$A$2:$A$36,SMMLV!$D$2:$D$104),3))</f>
        <v/>
      </c>
    </row>
    <row r="1459" spans="5:6">
      <c r="E1459" s="183"/>
      <c r="F1459" s="229" t="str">
        <f>IF(OR(D1459="",E1459=""),"",ROUND(D1459/LOOKUP(E1459,SMMLV!$A$2:$A$36,SMMLV!$D$2:$D$104),3))</f>
        <v/>
      </c>
    </row>
    <row r="1460" spans="5:6">
      <c r="E1460" s="183"/>
      <c r="F1460" s="229" t="str">
        <f>IF(OR(D1460="",E1460=""),"",ROUND(D1460/LOOKUP(E1460,SMMLV!$A$2:$A$36,SMMLV!$D$2:$D$104),3))</f>
        <v/>
      </c>
    </row>
    <row r="1461" spans="5:6">
      <c r="E1461" s="183"/>
      <c r="F1461" s="229" t="str">
        <f>IF(OR(D1461="",E1461=""),"",ROUND(D1461/LOOKUP(E1461,SMMLV!$A$2:$A$36,SMMLV!$D$2:$D$104),3))</f>
        <v/>
      </c>
    </row>
    <row r="1462" spans="5:6">
      <c r="E1462" s="183"/>
      <c r="F1462" s="229" t="str">
        <f>IF(OR(D1462="",E1462=""),"",ROUND(D1462/LOOKUP(E1462,SMMLV!$A$2:$A$36,SMMLV!$D$2:$D$104),3))</f>
        <v/>
      </c>
    </row>
    <row r="1463" spans="5:6">
      <c r="E1463" s="183"/>
      <c r="F1463" s="229" t="str">
        <f>IF(OR(D1463="",E1463=""),"",ROUND(D1463/LOOKUP(E1463,SMMLV!$A$2:$A$36,SMMLV!$D$2:$D$104),3))</f>
        <v/>
      </c>
    </row>
    <row r="1464" spans="5:6">
      <c r="E1464" s="183"/>
      <c r="F1464" s="229" t="str">
        <f>IF(OR(D1464="",E1464=""),"",ROUND(D1464/LOOKUP(E1464,SMMLV!$A$2:$A$36,SMMLV!$D$2:$D$104),3))</f>
        <v/>
      </c>
    </row>
    <row r="1465" spans="5:6">
      <c r="E1465" s="183"/>
      <c r="F1465" s="229" t="str">
        <f>IF(OR(D1465="",E1465=""),"",ROUND(D1465/LOOKUP(E1465,SMMLV!$A$2:$A$36,SMMLV!$D$2:$D$104),3))</f>
        <v/>
      </c>
    </row>
    <row r="1466" spans="5:6">
      <c r="E1466" s="183"/>
      <c r="F1466" s="229" t="str">
        <f>IF(OR(D1466="",E1466=""),"",ROUND(D1466/LOOKUP(E1466,SMMLV!$A$2:$A$36,SMMLV!$D$2:$D$104),3))</f>
        <v/>
      </c>
    </row>
    <row r="1467" spans="5:6">
      <c r="E1467" s="183"/>
      <c r="F1467" s="229" t="str">
        <f>IF(OR(D1467="",E1467=""),"",ROUND(D1467/LOOKUP(E1467,SMMLV!$A$2:$A$36,SMMLV!$D$2:$D$104),3))</f>
        <v/>
      </c>
    </row>
    <row r="1468" spans="5:6">
      <c r="E1468" s="183"/>
      <c r="F1468" s="229" t="str">
        <f>IF(OR(D1468="",E1468=""),"",ROUND(D1468/LOOKUP(E1468,SMMLV!$A$2:$A$36,SMMLV!$D$2:$D$104),3))</f>
        <v/>
      </c>
    </row>
    <row r="1469" spans="5:6">
      <c r="E1469" s="183"/>
      <c r="F1469" s="229" t="str">
        <f>IF(OR(D1469="",E1469=""),"",ROUND(D1469/LOOKUP(E1469,SMMLV!$A$2:$A$36,SMMLV!$D$2:$D$104),3))</f>
        <v/>
      </c>
    </row>
    <row r="1470" spans="5:6">
      <c r="E1470" s="183"/>
      <c r="F1470" s="229" t="str">
        <f>IF(OR(D1470="",E1470=""),"",ROUND(D1470/LOOKUP(E1470,SMMLV!$A$2:$A$36,SMMLV!$D$2:$D$104),3))</f>
        <v/>
      </c>
    </row>
    <row r="1471" spans="5:6">
      <c r="E1471" s="183"/>
      <c r="F1471" s="229" t="str">
        <f>IF(OR(D1471="",E1471=""),"",ROUND(D1471/LOOKUP(E1471,SMMLV!$A$2:$A$36,SMMLV!$D$2:$D$104),3))</f>
        <v/>
      </c>
    </row>
    <row r="1472" spans="5:6">
      <c r="E1472" s="183"/>
      <c r="F1472" s="229" t="str">
        <f>IF(OR(D1472="",E1472=""),"",ROUND(D1472/LOOKUP(E1472,SMMLV!$A$2:$A$36,SMMLV!$D$2:$D$104),3))</f>
        <v/>
      </c>
    </row>
    <row r="1473" spans="5:6">
      <c r="E1473" s="183"/>
      <c r="F1473" s="229" t="str">
        <f>IF(OR(D1473="",E1473=""),"",ROUND(D1473/LOOKUP(E1473,SMMLV!$A$2:$A$36,SMMLV!$D$2:$D$104),3))</f>
        <v/>
      </c>
    </row>
    <row r="1474" spans="5:6">
      <c r="E1474" s="183"/>
      <c r="F1474" s="229" t="str">
        <f>IF(OR(D1474="",E1474=""),"",ROUND(D1474/LOOKUP(E1474,SMMLV!$A$2:$A$36,SMMLV!$D$2:$D$104),3))</f>
        <v/>
      </c>
    </row>
    <row r="1475" spans="5:6">
      <c r="E1475" s="183"/>
      <c r="F1475" s="229" t="str">
        <f>IF(OR(D1475="",E1475=""),"",ROUND(D1475/LOOKUP(E1475,SMMLV!$A$2:$A$36,SMMLV!$D$2:$D$104),3))</f>
        <v/>
      </c>
    </row>
    <row r="1476" spans="5:6">
      <c r="E1476" s="183"/>
      <c r="F1476" s="229" t="str">
        <f>IF(OR(D1476="",E1476=""),"",ROUND(D1476/LOOKUP(E1476,SMMLV!$A$2:$A$36,SMMLV!$D$2:$D$104),3))</f>
        <v/>
      </c>
    </row>
    <row r="1477" spans="5:6">
      <c r="E1477" s="183"/>
      <c r="F1477" s="229" t="str">
        <f>IF(OR(D1477="",E1477=""),"",ROUND(D1477/LOOKUP(E1477,SMMLV!$A$2:$A$36,SMMLV!$D$2:$D$104),3))</f>
        <v/>
      </c>
    </row>
    <row r="1478" spans="5:6">
      <c r="E1478" s="183"/>
      <c r="F1478" s="229" t="str">
        <f>IF(OR(D1478="",E1478=""),"",ROUND(D1478/LOOKUP(E1478,SMMLV!$A$2:$A$36,SMMLV!$D$2:$D$104),3))</f>
        <v/>
      </c>
    </row>
    <row r="1479" spans="5:6">
      <c r="E1479" s="183"/>
      <c r="F1479" s="229" t="str">
        <f>IF(OR(D1479="",E1479=""),"",ROUND(D1479/LOOKUP(E1479,SMMLV!$A$2:$A$36,SMMLV!$D$2:$D$104),3))</f>
        <v/>
      </c>
    </row>
    <row r="1480" spans="5:6">
      <c r="E1480" s="183"/>
      <c r="F1480" s="229" t="str">
        <f>IF(OR(D1480="",E1480=""),"",ROUND(D1480/LOOKUP(E1480,SMMLV!$A$2:$A$36,SMMLV!$D$2:$D$104),3))</f>
        <v/>
      </c>
    </row>
    <row r="1481" spans="5:6">
      <c r="E1481" s="183"/>
      <c r="F1481" s="229" t="str">
        <f>IF(OR(D1481="",E1481=""),"",ROUND(D1481/LOOKUP(E1481,SMMLV!$A$2:$A$36,SMMLV!$D$2:$D$104),3))</f>
        <v/>
      </c>
    </row>
    <row r="1482" spans="5:6">
      <c r="E1482" s="183"/>
      <c r="F1482" s="229" t="str">
        <f>IF(OR(D1482="",E1482=""),"",ROUND(D1482/LOOKUP(E1482,SMMLV!$A$2:$A$36,SMMLV!$D$2:$D$104),3))</f>
        <v/>
      </c>
    </row>
    <row r="1483" spans="5:6">
      <c r="E1483" s="183"/>
      <c r="F1483" s="229" t="str">
        <f>IF(OR(D1483="",E1483=""),"",ROUND(D1483/LOOKUP(E1483,SMMLV!$A$2:$A$36,SMMLV!$D$2:$D$104),3))</f>
        <v/>
      </c>
    </row>
    <row r="1484" spans="5:6">
      <c r="E1484" s="183"/>
      <c r="F1484" s="229" t="str">
        <f>IF(OR(D1484="",E1484=""),"",ROUND(D1484/LOOKUP(E1484,SMMLV!$A$2:$A$36,SMMLV!$D$2:$D$104),3))</f>
        <v/>
      </c>
    </row>
    <row r="1485" spans="5:6">
      <c r="E1485" s="183"/>
      <c r="F1485" s="229" t="str">
        <f>IF(OR(D1485="",E1485=""),"",ROUND(D1485/LOOKUP(E1485,SMMLV!$A$2:$A$36,SMMLV!$D$2:$D$104),3))</f>
        <v/>
      </c>
    </row>
    <row r="1486" spans="5:6">
      <c r="E1486" s="183"/>
      <c r="F1486" s="229" t="str">
        <f>IF(OR(D1486="",E1486=""),"",ROUND(D1486/LOOKUP(E1486,SMMLV!$A$2:$A$36,SMMLV!$D$2:$D$104),3))</f>
        <v/>
      </c>
    </row>
    <row r="1487" spans="5:6">
      <c r="E1487" s="183"/>
      <c r="F1487" s="229" t="str">
        <f>IF(OR(D1487="",E1487=""),"",ROUND(D1487/LOOKUP(E1487,SMMLV!$A$2:$A$36,SMMLV!$D$2:$D$104),3))</f>
        <v/>
      </c>
    </row>
    <row r="1488" spans="5:6">
      <c r="E1488" s="183"/>
      <c r="F1488" s="229" t="str">
        <f>IF(OR(D1488="",E1488=""),"",ROUND(D1488/LOOKUP(E1488,SMMLV!$A$2:$A$36,SMMLV!$D$2:$D$104),3))</f>
        <v/>
      </c>
    </row>
    <row r="1489" spans="5:6">
      <c r="E1489" s="183"/>
      <c r="F1489" s="229" t="str">
        <f>IF(OR(D1489="",E1489=""),"",ROUND(D1489/LOOKUP(E1489,SMMLV!$A$2:$A$36,SMMLV!$D$2:$D$104),3))</f>
        <v/>
      </c>
    </row>
    <row r="1490" spans="5:6">
      <c r="E1490" s="183"/>
      <c r="F1490" s="229" t="str">
        <f>IF(OR(D1490="",E1490=""),"",ROUND(D1490/LOOKUP(E1490,SMMLV!$A$2:$A$36,SMMLV!$D$2:$D$104),3))</f>
        <v/>
      </c>
    </row>
    <row r="1491" spans="5:6">
      <c r="E1491" s="183"/>
      <c r="F1491" s="229" t="str">
        <f>IF(OR(D1491="",E1491=""),"",ROUND(D1491/LOOKUP(E1491,SMMLV!$A$2:$A$36,SMMLV!$D$2:$D$104),3))</f>
        <v/>
      </c>
    </row>
    <row r="1492" spans="5:6">
      <c r="E1492" s="183"/>
      <c r="F1492" s="229" t="str">
        <f>IF(OR(D1492="",E1492=""),"",ROUND(D1492/LOOKUP(E1492,SMMLV!$A$2:$A$36,SMMLV!$D$2:$D$104),3))</f>
        <v/>
      </c>
    </row>
    <row r="1493" spans="5:6">
      <c r="E1493" s="183"/>
      <c r="F1493" s="229" t="str">
        <f>IF(OR(D1493="",E1493=""),"",ROUND(D1493/LOOKUP(E1493,SMMLV!$A$2:$A$36,SMMLV!$D$2:$D$104),3))</f>
        <v/>
      </c>
    </row>
    <row r="1494" spans="5:6">
      <c r="E1494" s="183"/>
      <c r="F1494" s="229" t="str">
        <f>IF(OR(D1494="",E1494=""),"",ROUND(D1494/LOOKUP(E1494,SMMLV!$A$2:$A$36,SMMLV!$D$2:$D$104),3))</f>
        <v/>
      </c>
    </row>
    <row r="1495" spans="5:6">
      <c r="E1495" s="183"/>
      <c r="F1495" s="229" t="str">
        <f>IF(OR(D1495="",E1495=""),"",ROUND(D1495/LOOKUP(E1495,SMMLV!$A$2:$A$36,SMMLV!$D$2:$D$104),3))</f>
        <v/>
      </c>
    </row>
    <row r="1496" spans="5:6">
      <c r="E1496" s="183"/>
      <c r="F1496" s="229" t="str">
        <f>IF(OR(D1496="",E1496=""),"",ROUND(D1496/LOOKUP(E1496,SMMLV!$A$2:$A$36,SMMLV!$D$2:$D$104),3))</f>
        <v/>
      </c>
    </row>
    <row r="1497" spans="5:6">
      <c r="E1497" s="183"/>
      <c r="F1497" s="229" t="str">
        <f>IF(OR(D1497="",E1497=""),"",ROUND(D1497/LOOKUP(E1497,SMMLV!$A$2:$A$36,SMMLV!$D$2:$D$104),3))</f>
        <v/>
      </c>
    </row>
    <row r="1498" spans="5:6">
      <c r="E1498" s="183"/>
      <c r="F1498" s="229" t="str">
        <f>IF(OR(D1498="",E1498=""),"",ROUND(D1498/LOOKUP(E1498,SMMLV!$A$2:$A$36,SMMLV!$D$2:$D$104),3))</f>
        <v/>
      </c>
    </row>
    <row r="1499" spans="5:6">
      <c r="E1499" s="183"/>
      <c r="F1499" s="229" t="str">
        <f>IF(OR(D1499="",E1499=""),"",ROUND(D1499/LOOKUP(E1499,SMMLV!$A$2:$A$36,SMMLV!$D$2:$D$104),3))</f>
        <v/>
      </c>
    </row>
    <row r="1500" spans="5:6">
      <c r="E1500" s="183"/>
      <c r="F1500" s="229" t="str">
        <f>IF(OR(D1500="",E1500=""),"",ROUND(D1500/LOOKUP(E1500,SMMLV!$A$2:$A$36,SMMLV!$D$2:$D$104),3))</f>
        <v/>
      </c>
    </row>
    <row r="1501" spans="5:6">
      <c r="E1501" s="183"/>
      <c r="F1501" s="229" t="str">
        <f>IF(OR(D1501="",E1501=""),"",ROUND(D1501/LOOKUP(E1501,SMMLV!$A$2:$A$36,SMMLV!$D$2:$D$104),3))</f>
        <v/>
      </c>
    </row>
    <row r="1502" spans="5:6">
      <c r="E1502" s="183"/>
      <c r="F1502" s="229" t="str">
        <f>IF(OR(D1502="",E1502=""),"",ROUND(D1502/LOOKUP(E1502,SMMLV!$A$2:$A$36,SMMLV!$D$2:$D$104),3))</f>
        <v/>
      </c>
    </row>
    <row r="1503" spans="5:6">
      <c r="E1503" s="183"/>
      <c r="F1503" s="229" t="str">
        <f>IF(OR(D1503="",E1503=""),"",ROUND(D1503/LOOKUP(E1503,SMMLV!$A$2:$A$36,SMMLV!$D$2:$D$104),3))</f>
        <v/>
      </c>
    </row>
    <row r="1504" spans="5:6">
      <c r="E1504" s="183"/>
      <c r="F1504" s="229" t="str">
        <f>IF(OR(D1504="",E1504=""),"",ROUND(D1504/LOOKUP(E1504,SMMLV!$A$2:$A$36,SMMLV!$D$2:$D$104),3))</f>
        <v/>
      </c>
    </row>
    <row r="1505" spans="5:6">
      <c r="E1505" s="183"/>
      <c r="F1505" s="229" t="str">
        <f>IF(OR(D1505="",E1505=""),"",ROUND(D1505/LOOKUP(E1505,SMMLV!$A$2:$A$36,SMMLV!$D$2:$D$104),3))</f>
        <v/>
      </c>
    </row>
    <row r="1506" spans="5:6">
      <c r="E1506" s="183"/>
      <c r="F1506" s="229" t="str">
        <f>IF(OR(D1506="",E1506=""),"",ROUND(D1506/LOOKUP(E1506,SMMLV!$A$2:$A$36,SMMLV!$D$2:$D$104),3))</f>
        <v/>
      </c>
    </row>
    <row r="1507" spans="5:6">
      <c r="E1507" s="183"/>
      <c r="F1507" s="229" t="str">
        <f>IF(OR(D1507="",E1507=""),"",ROUND(D1507/LOOKUP(E1507,SMMLV!$A$2:$A$36,SMMLV!$D$2:$D$104),3))</f>
        <v/>
      </c>
    </row>
    <row r="1508" spans="5:6">
      <c r="E1508" s="183"/>
      <c r="F1508" s="229" t="str">
        <f>IF(OR(D1508="",E1508=""),"",ROUND(D1508/LOOKUP(E1508,SMMLV!$A$2:$A$36,SMMLV!$D$2:$D$104),3))</f>
        <v/>
      </c>
    </row>
    <row r="1509" spans="5:6">
      <c r="E1509" s="183"/>
      <c r="F1509" s="229" t="str">
        <f>IF(OR(D1509="",E1509=""),"",ROUND(D1509/LOOKUP(E1509,SMMLV!$A$2:$A$36,SMMLV!$D$2:$D$104),3))</f>
        <v/>
      </c>
    </row>
    <row r="1510" spans="5:6">
      <c r="E1510" s="183"/>
      <c r="F1510" s="229" t="str">
        <f>IF(OR(D1510="",E1510=""),"",ROUND(D1510/LOOKUP(E1510,SMMLV!$A$2:$A$36,SMMLV!$D$2:$D$104),3))</f>
        <v/>
      </c>
    </row>
    <row r="1511" spans="5:6">
      <c r="E1511" s="183"/>
      <c r="F1511" s="229" t="str">
        <f>IF(OR(D1511="",E1511=""),"",ROUND(D1511/LOOKUP(E1511,SMMLV!$A$2:$A$36,SMMLV!$D$2:$D$104),3))</f>
        <v/>
      </c>
    </row>
    <row r="1512" spans="5:6">
      <c r="E1512" s="183"/>
      <c r="F1512" s="229" t="str">
        <f>IF(OR(D1512="",E1512=""),"",ROUND(D1512/LOOKUP(E1512,SMMLV!$A$2:$A$36,SMMLV!$D$2:$D$104),3))</f>
        <v/>
      </c>
    </row>
    <row r="1513" spans="5:6">
      <c r="E1513" s="183"/>
      <c r="F1513" s="229" t="str">
        <f>IF(OR(D1513="",E1513=""),"",ROUND(D1513/LOOKUP(E1513,SMMLV!$A$2:$A$36,SMMLV!$D$2:$D$104),3))</f>
        <v/>
      </c>
    </row>
    <row r="1514" spans="5:6">
      <c r="E1514" s="183"/>
      <c r="F1514" s="229" t="str">
        <f>IF(OR(D1514="",E1514=""),"",ROUND(D1514/LOOKUP(E1514,SMMLV!$A$2:$A$36,SMMLV!$D$2:$D$104),3))</f>
        <v/>
      </c>
    </row>
    <row r="1515" spans="5:6">
      <c r="E1515" s="183"/>
      <c r="F1515" s="229" t="str">
        <f>IF(OR(D1515="",E1515=""),"",ROUND(D1515/LOOKUP(E1515,SMMLV!$A$2:$A$36,SMMLV!$D$2:$D$104),3))</f>
        <v/>
      </c>
    </row>
    <row r="1516" spans="5:6">
      <c r="E1516" s="183"/>
      <c r="F1516" s="229" t="str">
        <f>IF(OR(D1516="",E1516=""),"",ROUND(D1516/LOOKUP(E1516,SMMLV!$A$2:$A$36,SMMLV!$D$2:$D$104),3))</f>
        <v/>
      </c>
    </row>
    <row r="1517" spans="5:6">
      <c r="E1517" s="183"/>
      <c r="F1517" s="229" t="str">
        <f>IF(OR(D1517="",E1517=""),"",ROUND(D1517/LOOKUP(E1517,SMMLV!$A$2:$A$36,SMMLV!$D$2:$D$104),3))</f>
        <v/>
      </c>
    </row>
    <row r="1518" spans="5:6">
      <c r="E1518" s="183"/>
      <c r="F1518" s="229" t="str">
        <f>IF(OR(D1518="",E1518=""),"",ROUND(D1518/LOOKUP(E1518,SMMLV!$A$2:$A$36,SMMLV!$D$2:$D$104),3))</f>
        <v/>
      </c>
    </row>
    <row r="1519" spans="5:6">
      <c r="E1519" s="183"/>
      <c r="F1519" s="229" t="str">
        <f>IF(OR(D1519="",E1519=""),"",ROUND(D1519/LOOKUP(E1519,SMMLV!$A$2:$A$36,SMMLV!$D$2:$D$104),3))</f>
        <v/>
      </c>
    </row>
    <row r="1520" spans="5:6">
      <c r="E1520" s="183"/>
      <c r="F1520" s="229" t="str">
        <f>IF(OR(D1520="",E1520=""),"",ROUND(D1520/LOOKUP(E1520,SMMLV!$A$2:$A$36,SMMLV!$D$2:$D$104),3))</f>
        <v/>
      </c>
    </row>
    <row r="1521" spans="5:6">
      <c r="E1521" s="183"/>
      <c r="F1521" s="229" t="str">
        <f>IF(OR(D1521="",E1521=""),"",ROUND(D1521/LOOKUP(E1521,SMMLV!$A$2:$A$36,SMMLV!$D$2:$D$104),3))</f>
        <v/>
      </c>
    </row>
    <row r="1522" spans="5:6">
      <c r="E1522" s="183"/>
      <c r="F1522" s="229" t="str">
        <f>IF(OR(D1522="",E1522=""),"",ROUND(D1522/LOOKUP(E1522,SMMLV!$A$2:$A$36,SMMLV!$D$2:$D$104),3))</f>
        <v/>
      </c>
    </row>
    <row r="1523" spans="5:6">
      <c r="E1523" s="183"/>
      <c r="F1523" s="229" t="str">
        <f>IF(OR(D1523="",E1523=""),"",ROUND(D1523/LOOKUP(E1523,SMMLV!$A$2:$A$36,SMMLV!$D$2:$D$104),3))</f>
        <v/>
      </c>
    </row>
    <row r="1524" spans="5:6">
      <c r="E1524" s="183"/>
      <c r="F1524" s="229" t="str">
        <f>IF(OR(D1524="",E1524=""),"",ROUND(D1524/LOOKUP(E1524,SMMLV!$A$2:$A$36,SMMLV!$D$2:$D$104),3))</f>
        <v/>
      </c>
    </row>
    <row r="1525" spans="5:6">
      <c r="E1525" s="183"/>
      <c r="F1525" s="229" t="str">
        <f>IF(OR(D1525="",E1525=""),"",ROUND(D1525/LOOKUP(E1525,SMMLV!$A$2:$A$36,SMMLV!$D$2:$D$104),3))</f>
        <v/>
      </c>
    </row>
    <row r="1526" spans="5:6">
      <c r="E1526" s="183"/>
      <c r="F1526" s="229" t="str">
        <f>IF(OR(D1526="",E1526=""),"",ROUND(D1526/LOOKUP(E1526,SMMLV!$A$2:$A$36,SMMLV!$D$2:$D$104),3))</f>
        <v/>
      </c>
    </row>
    <row r="1527" spans="5:6">
      <c r="E1527" s="183"/>
      <c r="F1527" s="229" t="str">
        <f>IF(OR(D1527="",E1527=""),"",ROUND(D1527/LOOKUP(E1527,SMMLV!$A$2:$A$36,SMMLV!$D$2:$D$104),3))</f>
        <v/>
      </c>
    </row>
    <row r="1528" spans="5:6">
      <c r="E1528" s="183"/>
      <c r="F1528" s="229" t="str">
        <f>IF(OR(D1528="",E1528=""),"",ROUND(D1528/LOOKUP(E1528,SMMLV!$A$2:$A$36,SMMLV!$D$2:$D$104),3))</f>
        <v/>
      </c>
    </row>
    <row r="1529" spans="5:6">
      <c r="E1529" s="183"/>
      <c r="F1529" s="229" t="str">
        <f>IF(OR(D1529="",E1529=""),"",ROUND(D1529/LOOKUP(E1529,SMMLV!$A$2:$A$36,SMMLV!$D$2:$D$104),3))</f>
        <v/>
      </c>
    </row>
    <row r="1530" spans="5:6">
      <c r="E1530" s="183"/>
      <c r="F1530" s="229" t="str">
        <f>IF(OR(D1530="",E1530=""),"",ROUND(D1530/LOOKUP(E1530,SMMLV!$A$2:$A$36,SMMLV!$D$2:$D$104),3))</f>
        <v/>
      </c>
    </row>
    <row r="1531" spans="5:6">
      <c r="E1531" s="183"/>
      <c r="F1531" s="229" t="str">
        <f>IF(OR(D1531="",E1531=""),"",ROUND(D1531/LOOKUP(E1531,SMMLV!$A$2:$A$36,SMMLV!$D$2:$D$104),3))</f>
        <v/>
      </c>
    </row>
    <row r="1532" spans="5:6">
      <c r="E1532" s="183"/>
      <c r="F1532" s="229" t="str">
        <f>IF(OR(D1532="",E1532=""),"",ROUND(D1532/LOOKUP(E1532,SMMLV!$A$2:$A$36,SMMLV!$D$2:$D$104),3))</f>
        <v/>
      </c>
    </row>
    <row r="1533" spans="5:6">
      <c r="E1533" s="183"/>
      <c r="F1533" s="229" t="str">
        <f>IF(OR(D1533="",E1533=""),"",ROUND(D1533/LOOKUP(E1533,SMMLV!$A$2:$A$36,SMMLV!$D$2:$D$104),3))</f>
        <v/>
      </c>
    </row>
    <row r="1534" spans="5:6">
      <c r="E1534" s="183"/>
      <c r="F1534" s="229" t="str">
        <f>IF(OR(D1534="",E1534=""),"",ROUND(D1534/LOOKUP(E1534,SMMLV!$A$2:$A$36,SMMLV!$D$2:$D$104),3))</f>
        <v/>
      </c>
    </row>
    <row r="1535" spans="5:6">
      <c r="E1535" s="183"/>
      <c r="F1535" s="229" t="str">
        <f>IF(OR(D1535="",E1535=""),"",ROUND(D1535/LOOKUP(E1535,SMMLV!$A$2:$A$36,SMMLV!$D$2:$D$104),3))</f>
        <v/>
      </c>
    </row>
    <row r="1536" spans="5:6">
      <c r="E1536" s="183"/>
      <c r="F1536" s="229" t="str">
        <f>IF(OR(D1536="",E1536=""),"",ROUND(D1536/LOOKUP(E1536,SMMLV!$A$2:$A$36,SMMLV!$D$2:$D$104),3))</f>
        <v/>
      </c>
    </row>
    <row r="1537" spans="5:6">
      <c r="E1537" s="183"/>
      <c r="F1537" s="229" t="str">
        <f>IF(OR(D1537="",E1537=""),"",ROUND(D1537/LOOKUP(E1537,SMMLV!$A$2:$A$36,SMMLV!$D$2:$D$104),3))</f>
        <v/>
      </c>
    </row>
    <row r="1538" spans="5:6">
      <c r="E1538" s="183"/>
      <c r="F1538" s="229" t="str">
        <f>IF(OR(D1538="",E1538=""),"",ROUND(D1538/LOOKUP(E1538,SMMLV!$A$2:$A$36,SMMLV!$D$2:$D$104),3))</f>
        <v/>
      </c>
    </row>
    <row r="1539" spans="5:6">
      <c r="E1539" s="183"/>
      <c r="F1539" s="229" t="str">
        <f>IF(OR(D1539="",E1539=""),"",ROUND(D1539/LOOKUP(E1539,SMMLV!$A$2:$A$36,SMMLV!$D$2:$D$104),3))</f>
        <v/>
      </c>
    </row>
    <row r="1540" spans="5:6">
      <c r="E1540" s="183"/>
      <c r="F1540" s="229" t="str">
        <f>IF(OR(D1540="",E1540=""),"",ROUND(D1540/LOOKUP(E1540,SMMLV!$A$2:$A$36,SMMLV!$D$2:$D$104),3))</f>
        <v/>
      </c>
    </row>
    <row r="1541" spans="5:6">
      <c r="E1541" s="183"/>
      <c r="F1541" s="229" t="str">
        <f>IF(OR(D1541="",E1541=""),"",ROUND(D1541/LOOKUP(E1541,SMMLV!$A$2:$A$36,SMMLV!$D$2:$D$104),3))</f>
        <v/>
      </c>
    </row>
    <row r="1542" spans="5:6">
      <c r="E1542" s="183"/>
      <c r="F1542" s="229" t="str">
        <f>IF(OR(D1542="",E1542=""),"",ROUND(D1542/LOOKUP(E1542,SMMLV!$A$2:$A$36,SMMLV!$D$2:$D$104),3))</f>
        <v/>
      </c>
    </row>
    <row r="1543" spans="5:6">
      <c r="E1543" s="183"/>
      <c r="F1543" s="229" t="str">
        <f>IF(OR(D1543="",E1543=""),"",ROUND(D1543/LOOKUP(E1543,SMMLV!$A$2:$A$36,SMMLV!$D$2:$D$104),3))</f>
        <v/>
      </c>
    </row>
    <row r="1544" spans="5:6">
      <c r="E1544" s="183"/>
      <c r="F1544" s="229" t="str">
        <f>IF(OR(D1544="",E1544=""),"",ROUND(D1544/LOOKUP(E1544,SMMLV!$A$2:$A$36,SMMLV!$D$2:$D$104),3))</f>
        <v/>
      </c>
    </row>
    <row r="1545" spans="5:6">
      <c r="E1545" s="183"/>
      <c r="F1545" s="229" t="str">
        <f>IF(OR(D1545="",E1545=""),"",ROUND(D1545/LOOKUP(E1545,SMMLV!$A$2:$A$36,SMMLV!$D$2:$D$104),3))</f>
        <v/>
      </c>
    </row>
    <row r="1546" spans="5:6">
      <c r="E1546" s="183"/>
      <c r="F1546" s="229" t="str">
        <f>IF(OR(D1546="",E1546=""),"",ROUND(D1546/LOOKUP(E1546,SMMLV!$A$2:$A$36,SMMLV!$D$2:$D$104),3))</f>
        <v/>
      </c>
    </row>
    <row r="1547" spans="5:6">
      <c r="E1547" s="183"/>
      <c r="F1547" s="229" t="str">
        <f>IF(OR(D1547="",E1547=""),"",ROUND(D1547/LOOKUP(E1547,SMMLV!$A$2:$A$36,SMMLV!$D$2:$D$104),3))</f>
        <v/>
      </c>
    </row>
    <row r="1548" spans="5:6">
      <c r="E1548" s="183"/>
      <c r="F1548" s="229" t="str">
        <f>IF(OR(D1548="",E1548=""),"",ROUND(D1548/LOOKUP(E1548,SMMLV!$A$2:$A$36,SMMLV!$D$2:$D$104),3))</f>
        <v/>
      </c>
    </row>
    <row r="1549" spans="5:6">
      <c r="E1549" s="183"/>
      <c r="F1549" s="229" t="str">
        <f>IF(OR(D1549="",E1549=""),"",ROUND(D1549/LOOKUP(E1549,SMMLV!$A$2:$A$36,SMMLV!$D$2:$D$104),3))</f>
        <v/>
      </c>
    </row>
    <row r="1550" spans="5:6">
      <c r="E1550" s="183"/>
      <c r="F1550" s="229" t="str">
        <f>IF(OR(D1550="",E1550=""),"",ROUND(D1550/LOOKUP(E1550,SMMLV!$A$2:$A$36,SMMLV!$D$2:$D$104),3))</f>
        <v/>
      </c>
    </row>
    <row r="1551" spans="5:6">
      <c r="E1551" s="183"/>
      <c r="F1551" s="229" t="str">
        <f>IF(OR(D1551="",E1551=""),"",ROUND(D1551/LOOKUP(E1551,SMMLV!$A$2:$A$36,SMMLV!$D$2:$D$104),3))</f>
        <v/>
      </c>
    </row>
    <row r="1552" spans="5:6">
      <c r="E1552" s="183"/>
      <c r="F1552" s="229" t="str">
        <f>IF(OR(D1552="",E1552=""),"",ROUND(D1552/LOOKUP(E1552,SMMLV!$A$2:$A$36,SMMLV!$D$2:$D$104),3))</f>
        <v/>
      </c>
    </row>
    <row r="1553" spans="5:6">
      <c r="E1553" s="183"/>
      <c r="F1553" s="229" t="str">
        <f>IF(OR(D1553="",E1553=""),"",ROUND(D1553/LOOKUP(E1553,SMMLV!$A$2:$A$36,SMMLV!$D$2:$D$104),3))</f>
        <v/>
      </c>
    </row>
    <row r="1554" spans="5:6">
      <c r="E1554" s="183"/>
      <c r="F1554" s="229" t="str">
        <f>IF(OR(D1554="",E1554=""),"",ROUND(D1554/LOOKUP(E1554,SMMLV!$A$2:$A$36,SMMLV!$D$2:$D$104),3))</f>
        <v/>
      </c>
    </row>
    <row r="1555" spans="5:6">
      <c r="E1555" s="183"/>
      <c r="F1555" s="229" t="str">
        <f>IF(OR(D1555="",E1555=""),"",ROUND(D1555/LOOKUP(E1555,SMMLV!$A$2:$A$36,SMMLV!$D$2:$D$104),3))</f>
        <v/>
      </c>
    </row>
    <row r="1556" spans="5:6">
      <c r="E1556" s="183"/>
      <c r="F1556" s="229" t="str">
        <f>IF(OR(D1556="",E1556=""),"",ROUND(D1556/LOOKUP(E1556,SMMLV!$A$2:$A$36,SMMLV!$D$2:$D$104),3))</f>
        <v/>
      </c>
    </row>
    <row r="1557" spans="5:6">
      <c r="E1557" s="183"/>
      <c r="F1557" s="229" t="str">
        <f>IF(OR(D1557="",E1557=""),"",ROUND(D1557/LOOKUP(E1557,SMMLV!$A$2:$A$36,SMMLV!$D$2:$D$104),3))</f>
        <v/>
      </c>
    </row>
    <row r="1558" spans="5:6">
      <c r="E1558" s="183"/>
      <c r="F1558" s="229" t="str">
        <f>IF(OR(D1558="",E1558=""),"",ROUND(D1558/LOOKUP(E1558,SMMLV!$A$2:$A$36,SMMLV!$D$2:$D$104),3))</f>
        <v/>
      </c>
    </row>
    <row r="1559" spans="5:6">
      <c r="E1559" s="183"/>
      <c r="F1559" s="229" t="str">
        <f>IF(OR(D1559="",E1559=""),"",ROUND(D1559/LOOKUP(E1559,SMMLV!$A$2:$A$36,SMMLV!$D$2:$D$104),3))</f>
        <v/>
      </c>
    </row>
    <row r="1560" spans="5:6">
      <c r="E1560" s="183"/>
      <c r="F1560" s="229" t="str">
        <f>IF(OR(D1560="",E1560=""),"",ROUND(D1560/LOOKUP(E1560,SMMLV!$A$2:$A$36,SMMLV!$D$2:$D$104),3))</f>
        <v/>
      </c>
    </row>
    <row r="1561" spans="5:6">
      <c r="E1561" s="183"/>
      <c r="F1561" s="229" t="str">
        <f>IF(OR(D1561="",E1561=""),"",ROUND(D1561/LOOKUP(E1561,SMMLV!$A$2:$A$36,SMMLV!$D$2:$D$104),3))</f>
        <v/>
      </c>
    </row>
    <row r="1562" spans="5:6">
      <c r="E1562" s="183"/>
      <c r="F1562" s="229" t="str">
        <f>IF(OR(D1562="",E1562=""),"",ROUND(D1562/LOOKUP(E1562,SMMLV!$A$2:$A$36,SMMLV!$D$2:$D$104),3))</f>
        <v/>
      </c>
    </row>
    <row r="1563" spans="5:6">
      <c r="E1563" s="183"/>
      <c r="F1563" s="229" t="str">
        <f>IF(OR(D1563="",E1563=""),"",ROUND(D1563/LOOKUP(E1563,SMMLV!$A$2:$A$36,SMMLV!$D$2:$D$104),3))</f>
        <v/>
      </c>
    </row>
    <row r="1564" spans="5:6">
      <c r="E1564" s="183"/>
      <c r="F1564" s="229" t="str">
        <f>IF(OR(D1564="",E1564=""),"",ROUND(D1564/LOOKUP(E1564,SMMLV!$A$2:$A$36,SMMLV!$D$2:$D$104),3))</f>
        <v/>
      </c>
    </row>
    <row r="1565" spans="5:6">
      <c r="E1565" s="183"/>
      <c r="F1565" s="229" t="str">
        <f>IF(OR(D1565="",E1565=""),"",ROUND(D1565/LOOKUP(E1565,SMMLV!$A$2:$A$36,SMMLV!$D$2:$D$104),3))</f>
        <v/>
      </c>
    </row>
    <row r="1566" spans="5:6">
      <c r="E1566" s="183"/>
      <c r="F1566" s="229" t="str">
        <f>IF(OR(D1566="",E1566=""),"",ROUND(D1566/LOOKUP(E1566,SMMLV!$A$2:$A$36,SMMLV!$D$2:$D$104),3))</f>
        <v/>
      </c>
    </row>
    <row r="1567" spans="5:6">
      <c r="E1567" s="183"/>
      <c r="F1567" s="229" t="str">
        <f>IF(OR(D1567="",E1567=""),"",ROUND(D1567/LOOKUP(E1567,SMMLV!$A$2:$A$36,SMMLV!$D$2:$D$104),3))</f>
        <v/>
      </c>
    </row>
    <row r="1568" spans="5:6">
      <c r="E1568" s="183"/>
      <c r="F1568" s="229" t="str">
        <f>IF(OR(D1568="",E1568=""),"",ROUND(D1568/LOOKUP(E1568,SMMLV!$A$2:$A$36,SMMLV!$D$2:$D$104),3))</f>
        <v/>
      </c>
    </row>
    <row r="1569" spans="5:6">
      <c r="E1569" s="183"/>
      <c r="F1569" s="229" t="str">
        <f>IF(OR(D1569="",E1569=""),"",ROUND(D1569/LOOKUP(E1569,SMMLV!$A$2:$A$36,SMMLV!$D$2:$D$104),3))</f>
        <v/>
      </c>
    </row>
    <row r="1570" spans="5:6">
      <c r="E1570" s="183"/>
      <c r="F1570" s="229" t="str">
        <f>IF(OR(D1570="",E1570=""),"",ROUND(D1570/LOOKUP(E1570,SMMLV!$A$2:$A$36,SMMLV!$D$2:$D$104),3))</f>
        <v/>
      </c>
    </row>
    <row r="1571" spans="5:6">
      <c r="E1571" s="183"/>
      <c r="F1571" s="229" t="str">
        <f>IF(OR(D1571="",E1571=""),"",ROUND(D1571/LOOKUP(E1571,SMMLV!$A$2:$A$36,SMMLV!$D$2:$D$104),3))</f>
        <v/>
      </c>
    </row>
    <row r="1572" spans="5:6">
      <c r="E1572" s="183"/>
      <c r="F1572" s="229" t="str">
        <f>IF(OR(D1572="",E1572=""),"",ROUND(D1572/LOOKUP(E1572,SMMLV!$A$2:$A$36,SMMLV!$D$2:$D$104),3))</f>
        <v/>
      </c>
    </row>
    <row r="1573" spans="5:6">
      <c r="E1573" s="183"/>
      <c r="F1573" s="229" t="str">
        <f>IF(OR(D1573="",E1573=""),"",ROUND(D1573/LOOKUP(E1573,SMMLV!$A$2:$A$36,SMMLV!$D$2:$D$104),3))</f>
        <v/>
      </c>
    </row>
    <row r="1574" spans="5:6">
      <c r="E1574" s="183"/>
      <c r="F1574" s="229" t="str">
        <f>IF(OR(D1574="",E1574=""),"",ROUND(D1574/LOOKUP(E1574,SMMLV!$A$2:$A$36,SMMLV!$D$2:$D$104),3))</f>
        <v/>
      </c>
    </row>
    <row r="1575" spans="5:6">
      <c r="E1575" s="183"/>
      <c r="F1575" s="229" t="str">
        <f>IF(OR(D1575="",E1575=""),"",ROUND(D1575/LOOKUP(E1575,SMMLV!$A$2:$A$36,SMMLV!$D$2:$D$104),3))</f>
        <v/>
      </c>
    </row>
    <row r="1576" spans="5:6">
      <c r="E1576" s="183"/>
      <c r="F1576" s="229" t="str">
        <f>IF(OR(D1576="",E1576=""),"",ROUND(D1576/LOOKUP(E1576,SMMLV!$A$2:$A$36,SMMLV!$D$2:$D$104),3))</f>
        <v/>
      </c>
    </row>
    <row r="1577" spans="5:6">
      <c r="E1577" s="183"/>
      <c r="F1577" s="229" t="str">
        <f>IF(OR(D1577="",E1577=""),"",ROUND(D1577/LOOKUP(E1577,SMMLV!$A$2:$A$36,SMMLV!$D$2:$D$104),3))</f>
        <v/>
      </c>
    </row>
    <row r="1578" spans="5:6">
      <c r="E1578" s="183"/>
      <c r="F1578" s="229" t="str">
        <f>IF(OR(D1578="",E1578=""),"",ROUND(D1578/LOOKUP(E1578,SMMLV!$A$2:$A$36,SMMLV!$D$2:$D$104),3))</f>
        <v/>
      </c>
    </row>
    <row r="1579" spans="5:6">
      <c r="E1579" s="183"/>
      <c r="F1579" s="229" t="str">
        <f>IF(OR(D1579="",E1579=""),"",ROUND(D1579/LOOKUP(E1579,SMMLV!$A$2:$A$36,SMMLV!$D$2:$D$104),3))</f>
        <v/>
      </c>
    </row>
    <row r="1580" spans="5:6">
      <c r="E1580" s="183"/>
      <c r="F1580" s="229" t="str">
        <f>IF(OR(D1580="",E1580=""),"",ROUND(D1580/LOOKUP(E1580,SMMLV!$A$2:$A$36,SMMLV!$D$2:$D$104),3))</f>
        <v/>
      </c>
    </row>
    <row r="1581" spans="5:6">
      <c r="E1581" s="183"/>
      <c r="F1581" s="229" t="str">
        <f>IF(OR(D1581="",E1581=""),"",ROUND(D1581/LOOKUP(E1581,SMMLV!$A$2:$A$36,SMMLV!$D$2:$D$104),3))</f>
        <v/>
      </c>
    </row>
    <row r="1582" spans="5:6">
      <c r="E1582" s="183"/>
      <c r="F1582" s="229" t="str">
        <f>IF(OR(D1582="",E1582=""),"",ROUND(D1582/LOOKUP(E1582,SMMLV!$A$2:$A$36,SMMLV!$D$2:$D$104),3))</f>
        <v/>
      </c>
    </row>
    <row r="1583" spans="5:6">
      <c r="E1583" s="183"/>
      <c r="F1583" s="229" t="str">
        <f>IF(OR(D1583="",E1583=""),"",ROUND(D1583/LOOKUP(E1583,SMMLV!$A$2:$A$36,SMMLV!$D$2:$D$104),3))</f>
        <v/>
      </c>
    </row>
    <row r="1584" spans="5:6">
      <c r="E1584" s="183"/>
      <c r="F1584" s="229" t="str">
        <f>IF(OR(D1584="",E1584=""),"",ROUND(D1584/LOOKUP(E1584,SMMLV!$A$2:$A$36,SMMLV!$D$2:$D$104),3))</f>
        <v/>
      </c>
    </row>
    <row r="1585" spans="5:6">
      <c r="E1585" s="183"/>
      <c r="F1585" s="229" t="str">
        <f>IF(OR(D1585="",E1585=""),"",ROUND(D1585/LOOKUP(E1585,SMMLV!$A$2:$A$36,SMMLV!$D$2:$D$104),3))</f>
        <v/>
      </c>
    </row>
    <row r="1586" spans="5:6">
      <c r="E1586" s="183"/>
      <c r="F1586" s="229" t="str">
        <f>IF(OR(D1586="",E1586=""),"",ROUND(D1586/LOOKUP(E1586,SMMLV!$A$2:$A$36,SMMLV!$D$2:$D$104),3))</f>
        <v/>
      </c>
    </row>
    <row r="1587" spans="5:6">
      <c r="E1587" s="183"/>
      <c r="F1587" s="229" t="str">
        <f>IF(OR(D1587="",E1587=""),"",ROUND(D1587/LOOKUP(E1587,SMMLV!$A$2:$A$36,SMMLV!$D$2:$D$104),3))</f>
        <v/>
      </c>
    </row>
    <row r="1588" spans="5:6">
      <c r="E1588" s="183"/>
      <c r="F1588" s="229" t="str">
        <f>IF(OR(D1588="",E1588=""),"",ROUND(D1588/LOOKUP(E1588,SMMLV!$A$2:$A$36,SMMLV!$D$2:$D$104),3))</f>
        <v/>
      </c>
    </row>
    <row r="1589" spans="5:6">
      <c r="E1589" s="183"/>
      <c r="F1589" s="229" t="str">
        <f>IF(OR(D1589="",E1589=""),"",ROUND(D1589/LOOKUP(E1589,SMMLV!$A$2:$A$36,SMMLV!$D$2:$D$104),3))</f>
        <v/>
      </c>
    </row>
    <row r="1590" spans="5:6">
      <c r="E1590" s="183"/>
      <c r="F1590" s="229" t="str">
        <f>IF(OR(D1590="",E1590=""),"",ROUND(D1590/LOOKUP(E1590,SMMLV!$A$2:$A$36,SMMLV!$D$2:$D$104),3))</f>
        <v/>
      </c>
    </row>
    <row r="1591" spans="5:6">
      <c r="E1591" s="183"/>
      <c r="F1591" s="229" t="str">
        <f>IF(OR(D1591="",E1591=""),"",ROUND(D1591/LOOKUP(E1591,SMMLV!$A$2:$A$36,SMMLV!$D$2:$D$104),3))</f>
        <v/>
      </c>
    </row>
    <row r="1592" spans="5:6">
      <c r="E1592" s="183"/>
      <c r="F1592" s="229" t="str">
        <f>IF(OR(D1592="",E1592=""),"",ROUND(D1592/LOOKUP(E1592,SMMLV!$A$2:$A$36,SMMLV!$D$2:$D$104),3))</f>
        <v/>
      </c>
    </row>
    <row r="1593" spans="5:6">
      <c r="E1593" s="183"/>
      <c r="F1593" s="229" t="str">
        <f>IF(OR(D1593="",E1593=""),"",ROUND(D1593/LOOKUP(E1593,SMMLV!$A$2:$A$36,SMMLV!$D$2:$D$104),3))</f>
        <v/>
      </c>
    </row>
    <row r="1594" spans="5:6">
      <c r="E1594" s="183"/>
      <c r="F1594" s="229" t="str">
        <f>IF(OR(D1594="",E1594=""),"",ROUND(D1594/LOOKUP(E1594,SMMLV!$A$2:$A$36,SMMLV!$D$2:$D$104),3))</f>
        <v/>
      </c>
    </row>
    <row r="1595" spans="5:6">
      <c r="E1595" s="183"/>
      <c r="F1595" s="229" t="str">
        <f>IF(OR(D1595="",E1595=""),"",ROUND(D1595/LOOKUP(E1595,SMMLV!$A$2:$A$36,SMMLV!$D$2:$D$104),3))</f>
        <v/>
      </c>
    </row>
    <row r="1596" spans="5:6">
      <c r="E1596" s="183"/>
      <c r="F1596" s="229" t="str">
        <f>IF(OR(D1596="",E1596=""),"",ROUND(D1596/LOOKUP(E1596,SMMLV!$A$2:$A$36,SMMLV!$D$2:$D$104),3))</f>
        <v/>
      </c>
    </row>
    <row r="1597" spans="5:6">
      <c r="E1597" s="183"/>
      <c r="F1597" s="229" t="str">
        <f>IF(OR(D1597="",E1597=""),"",ROUND(D1597/LOOKUP(E1597,SMMLV!$A$2:$A$36,SMMLV!$D$2:$D$104),3))</f>
        <v/>
      </c>
    </row>
    <row r="1598" spans="5:6">
      <c r="E1598" s="183"/>
      <c r="F1598" s="229" t="str">
        <f>IF(OR(D1598="",E1598=""),"",ROUND(D1598/LOOKUP(E1598,SMMLV!$A$2:$A$36,SMMLV!$D$2:$D$104),3))</f>
        <v/>
      </c>
    </row>
    <row r="1599" spans="5:6">
      <c r="E1599" s="183"/>
      <c r="F1599" s="229" t="str">
        <f>IF(OR(D1599="",E1599=""),"",ROUND(D1599/LOOKUP(E1599,SMMLV!$A$2:$A$36,SMMLV!$D$2:$D$104),3))</f>
        <v/>
      </c>
    </row>
    <row r="1600" spans="5:6">
      <c r="E1600" s="183"/>
      <c r="F1600" s="229" t="str">
        <f>IF(OR(D1600="",E1600=""),"",ROUND(D1600/LOOKUP(E1600,SMMLV!$A$2:$A$36,SMMLV!$D$2:$D$104),3))</f>
        <v/>
      </c>
    </row>
    <row r="1601" spans="5:6">
      <c r="E1601" s="183"/>
      <c r="F1601" s="229" t="str">
        <f>IF(OR(D1601="",E1601=""),"",ROUND(D1601/LOOKUP(E1601,SMMLV!$A$2:$A$36,SMMLV!$D$2:$D$104),3))</f>
        <v/>
      </c>
    </row>
    <row r="1602" spans="5:6">
      <c r="E1602" s="183"/>
      <c r="F1602" s="229" t="str">
        <f>IF(OR(D1602="",E1602=""),"",ROUND(D1602/LOOKUP(E1602,SMMLV!$A$2:$A$36,SMMLV!$D$2:$D$104),3))</f>
        <v/>
      </c>
    </row>
    <row r="1603" spans="5:6">
      <c r="E1603" s="183"/>
      <c r="F1603" s="229" t="str">
        <f>IF(OR(D1603="",E1603=""),"",ROUND(D1603/LOOKUP(E1603,SMMLV!$A$2:$A$36,SMMLV!$D$2:$D$104),3))</f>
        <v/>
      </c>
    </row>
    <row r="1604" spans="5:6">
      <c r="E1604" s="183"/>
      <c r="F1604" s="229" t="str">
        <f>IF(OR(D1604="",E1604=""),"",ROUND(D1604/LOOKUP(E1604,SMMLV!$A$2:$A$36,SMMLV!$D$2:$D$104),3))</f>
        <v/>
      </c>
    </row>
    <row r="1605" spans="5:6">
      <c r="E1605" s="183"/>
      <c r="F1605" s="229" t="str">
        <f>IF(OR(D1605="",E1605=""),"",ROUND(D1605/LOOKUP(E1605,SMMLV!$A$2:$A$36,SMMLV!$D$2:$D$104),3))</f>
        <v/>
      </c>
    </row>
    <row r="1606" spans="5:6">
      <c r="E1606" s="183"/>
      <c r="F1606" s="229" t="str">
        <f>IF(OR(D1606="",E1606=""),"",ROUND(D1606/LOOKUP(E1606,SMMLV!$A$2:$A$36,SMMLV!$D$2:$D$104),3))</f>
        <v/>
      </c>
    </row>
    <row r="1607" spans="5:6">
      <c r="E1607" s="183"/>
      <c r="F1607" s="229" t="str">
        <f>IF(OR(D1607="",E1607=""),"",ROUND(D1607/LOOKUP(E1607,SMMLV!$A$2:$A$36,SMMLV!$D$2:$D$104),3))</f>
        <v/>
      </c>
    </row>
    <row r="1608" spans="5:6">
      <c r="E1608" s="183"/>
      <c r="F1608" s="229" t="str">
        <f>IF(OR(D1608="",E1608=""),"",ROUND(D1608/LOOKUP(E1608,SMMLV!$A$2:$A$36,SMMLV!$D$2:$D$104),3))</f>
        <v/>
      </c>
    </row>
    <row r="1609" spans="5:6">
      <c r="E1609" s="183"/>
      <c r="F1609" s="229" t="str">
        <f>IF(OR(D1609="",E1609=""),"",ROUND(D1609/LOOKUP(E1609,SMMLV!$A$2:$A$36,SMMLV!$D$2:$D$104),3))</f>
        <v/>
      </c>
    </row>
    <row r="1610" spans="5:6">
      <c r="E1610" s="183"/>
      <c r="F1610" s="229" t="str">
        <f>IF(OR(D1610="",E1610=""),"",ROUND(D1610/LOOKUP(E1610,SMMLV!$A$2:$A$36,SMMLV!$D$2:$D$104),3))</f>
        <v/>
      </c>
    </row>
    <row r="1611" spans="5:6">
      <c r="E1611" s="183"/>
      <c r="F1611" s="229" t="str">
        <f>IF(OR(D1611="",E1611=""),"",ROUND(D1611/LOOKUP(E1611,SMMLV!$A$2:$A$36,SMMLV!$D$2:$D$104),3))</f>
        <v/>
      </c>
    </row>
    <row r="1612" spans="5:6">
      <c r="E1612" s="183"/>
      <c r="F1612" s="229" t="str">
        <f>IF(OR(D1612="",E1612=""),"",ROUND(D1612/LOOKUP(E1612,SMMLV!$A$2:$A$36,SMMLV!$D$2:$D$104),3))</f>
        <v/>
      </c>
    </row>
    <row r="1613" spans="5:6">
      <c r="E1613" s="183"/>
      <c r="F1613" s="229" t="str">
        <f>IF(OR(D1613="",E1613=""),"",ROUND(D1613/LOOKUP(E1613,SMMLV!$A$2:$A$36,SMMLV!$D$2:$D$104),3))</f>
        <v/>
      </c>
    </row>
    <row r="1614" spans="5:6">
      <c r="E1614" s="183"/>
      <c r="F1614" s="229" t="str">
        <f>IF(OR(D1614="",E1614=""),"",ROUND(D1614/LOOKUP(E1614,SMMLV!$A$2:$A$36,SMMLV!$D$2:$D$104),3))</f>
        <v/>
      </c>
    </row>
    <row r="1615" spans="5:6">
      <c r="E1615" s="183"/>
      <c r="F1615" s="229" t="str">
        <f>IF(OR(D1615="",E1615=""),"",ROUND(D1615/LOOKUP(E1615,SMMLV!$A$2:$A$36,SMMLV!$D$2:$D$104),3))</f>
        <v/>
      </c>
    </row>
    <row r="1616" spans="5:6">
      <c r="E1616" s="183"/>
      <c r="F1616" s="229" t="str">
        <f>IF(OR(D1616="",E1616=""),"",ROUND(D1616/LOOKUP(E1616,SMMLV!$A$2:$A$36,SMMLV!$D$2:$D$104),3))</f>
        <v/>
      </c>
    </row>
    <row r="1617" spans="5:6">
      <c r="E1617" s="183"/>
      <c r="F1617" s="229" t="str">
        <f>IF(OR(D1617="",E1617=""),"",ROUND(D1617/LOOKUP(E1617,SMMLV!$A$2:$A$36,SMMLV!$D$2:$D$104),3))</f>
        <v/>
      </c>
    </row>
    <row r="1618" spans="5:6">
      <c r="E1618" s="183"/>
      <c r="F1618" s="229" t="str">
        <f>IF(OR(D1618="",E1618=""),"",ROUND(D1618/LOOKUP(E1618,SMMLV!$A$2:$A$36,SMMLV!$D$2:$D$104),3))</f>
        <v/>
      </c>
    </row>
    <row r="1619" spans="5:6">
      <c r="E1619" s="183"/>
      <c r="F1619" s="229" t="str">
        <f>IF(OR(D1619="",E1619=""),"",ROUND(D1619/LOOKUP(E1619,SMMLV!$A$2:$A$36,SMMLV!$D$2:$D$104),3))</f>
        <v/>
      </c>
    </row>
    <row r="1620" spans="5:6">
      <c r="E1620" s="183"/>
      <c r="F1620" s="229" t="str">
        <f>IF(OR(D1620="",E1620=""),"",ROUND(D1620/LOOKUP(E1620,SMMLV!$A$2:$A$36,SMMLV!$D$2:$D$104),3))</f>
        <v/>
      </c>
    </row>
    <row r="1621" spans="5:6">
      <c r="E1621" s="183"/>
      <c r="F1621" s="229" t="str">
        <f>IF(OR(D1621="",E1621=""),"",ROUND(D1621/LOOKUP(E1621,SMMLV!$A$2:$A$36,SMMLV!$D$2:$D$104),3))</f>
        <v/>
      </c>
    </row>
    <row r="1622" spans="5:6">
      <c r="E1622" s="183"/>
      <c r="F1622" s="229" t="str">
        <f>IF(OR(D1622="",E1622=""),"",ROUND(D1622/LOOKUP(E1622,SMMLV!$A$2:$A$36,SMMLV!$D$2:$D$104),3))</f>
        <v/>
      </c>
    </row>
    <row r="1623" spans="5:6">
      <c r="E1623" s="183"/>
      <c r="F1623" s="229" t="str">
        <f>IF(OR(D1623="",E1623=""),"",ROUND(D1623/LOOKUP(E1623,SMMLV!$A$2:$A$36,SMMLV!$D$2:$D$104),3))</f>
        <v/>
      </c>
    </row>
    <row r="1624" spans="5:6">
      <c r="E1624" s="183"/>
      <c r="F1624" s="229" t="str">
        <f>IF(OR(D1624="",E1624=""),"",ROUND(D1624/LOOKUP(E1624,SMMLV!$A$2:$A$36,SMMLV!$D$2:$D$104),3))</f>
        <v/>
      </c>
    </row>
    <row r="1625" spans="5:6">
      <c r="E1625" s="183"/>
      <c r="F1625" s="229" t="str">
        <f>IF(OR(D1625="",E1625=""),"",ROUND(D1625/LOOKUP(E1625,SMMLV!$A$2:$A$36,SMMLV!$D$2:$D$104),3))</f>
        <v/>
      </c>
    </row>
    <row r="1626" spans="5:6">
      <c r="E1626" s="183"/>
      <c r="F1626" s="229" t="str">
        <f>IF(OR(D1626="",E1626=""),"",ROUND(D1626/LOOKUP(E1626,SMMLV!$A$2:$A$36,SMMLV!$D$2:$D$104),3))</f>
        <v/>
      </c>
    </row>
    <row r="1627" spans="5:6">
      <c r="E1627" s="183"/>
      <c r="F1627" s="229" t="str">
        <f>IF(OR(D1627="",E1627=""),"",ROUND(D1627/LOOKUP(E1627,SMMLV!$A$2:$A$36,SMMLV!$D$2:$D$104),3))</f>
        <v/>
      </c>
    </row>
    <row r="1628" spans="5:6">
      <c r="E1628" s="183"/>
      <c r="F1628" s="229" t="str">
        <f>IF(OR(D1628="",E1628=""),"",ROUND(D1628/LOOKUP(E1628,SMMLV!$A$2:$A$36,SMMLV!$D$2:$D$104),3))</f>
        <v/>
      </c>
    </row>
    <row r="1629" spans="5:6">
      <c r="E1629" s="183"/>
      <c r="F1629" s="229" t="str">
        <f>IF(OR(D1629="",E1629=""),"",ROUND(D1629/LOOKUP(E1629,SMMLV!$A$2:$A$36,SMMLV!$D$2:$D$104),3))</f>
        <v/>
      </c>
    </row>
    <row r="1630" spans="5:6">
      <c r="E1630" s="183"/>
      <c r="F1630" s="229" t="str">
        <f>IF(OR(D1630="",E1630=""),"",ROUND(D1630/LOOKUP(E1630,SMMLV!$A$2:$A$36,SMMLV!$D$2:$D$104),3))</f>
        <v/>
      </c>
    </row>
    <row r="1631" spans="5:6">
      <c r="E1631" s="183"/>
      <c r="F1631" s="229" t="str">
        <f>IF(OR(D1631="",E1631=""),"",ROUND(D1631/LOOKUP(E1631,SMMLV!$A$2:$A$36,SMMLV!$D$2:$D$104),3))</f>
        <v/>
      </c>
    </row>
    <row r="1632" spans="5:6">
      <c r="E1632" s="183"/>
      <c r="F1632" s="229" t="str">
        <f>IF(OR(D1632="",E1632=""),"",ROUND(D1632/LOOKUP(E1632,SMMLV!$A$2:$A$36,SMMLV!$D$2:$D$104),3))</f>
        <v/>
      </c>
    </row>
    <row r="1633" spans="5:6">
      <c r="E1633" s="183"/>
      <c r="F1633" s="229" t="str">
        <f>IF(OR(D1633="",E1633=""),"",ROUND(D1633/LOOKUP(E1633,SMMLV!$A$2:$A$36,SMMLV!$D$2:$D$104),3))</f>
        <v/>
      </c>
    </row>
    <row r="1634" spans="5:6">
      <c r="E1634" s="183"/>
      <c r="F1634" s="229" t="str">
        <f>IF(OR(D1634="",E1634=""),"",ROUND(D1634/LOOKUP(E1634,SMMLV!$A$2:$A$36,SMMLV!$D$2:$D$104),3))</f>
        <v/>
      </c>
    </row>
    <row r="1635" spans="5:6">
      <c r="E1635" s="183"/>
      <c r="F1635" s="229" t="str">
        <f>IF(OR(D1635="",E1635=""),"",ROUND(D1635/LOOKUP(E1635,SMMLV!$A$2:$A$36,SMMLV!$D$2:$D$104),3))</f>
        <v/>
      </c>
    </row>
    <row r="1636" spans="5:6">
      <c r="E1636" s="183"/>
      <c r="F1636" s="229" t="str">
        <f>IF(OR(D1636="",E1636=""),"",ROUND(D1636/LOOKUP(E1636,SMMLV!$A$2:$A$36,SMMLV!$D$2:$D$104),3))</f>
        <v/>
      </c>
    </row>
    <row r="1637" spans="5:6">
      <c r="E1637" s="183"/>
      <c r="F1637" s="229" t="str">
        <f>IF(OR(D1637="",E1637=""),"",ROUND(D1637/LOOKUP(E1637,SMMLV!$A$2:$A$36,SMMLV!$D$2:$D$104),3))</f>
        <v/>
      </c>
    </row>
    <row r="1638" spans="5:6">
      <c r="E1638" s="183"/>
      <c r="F1638" s="229" t="str">
        <f>IF(OR(D1638="",E1638=""),"",ROUND(D1638/LOOKUP(E1638,SMMLV!$A$2:$A$36,SMMLV!$D$2:$D$104),3))</f>
        <v/>
      </c>
    </row>
    <row r="1639" spans="5:6">
      <c r="E1639" s="183"/>
      <c r="F1639" s="229" t="str">
        <f>IF(OR(D1639="",E1639=""),"",ROUND(D1639/LOOKUP(E1639,SMMLV!$A$2:$A$36,SMMLV!$D$2:$D$104),3))</f>
        <v/>
      </c>
    </row>
    <row r="1640" spans="5:6">
      <c r="E1640" s="183"/>
      <c r="F1640" s="229" t="str">
        <f>IF(OR(D1640="",E1640=""),"",ROUND(D1640/LOOKUP(E1640,SMMLV!$A$2:$A$36,SMMLV!$D$2:$D$104),3))</f>
        <v/>
      </c>
    </row>
    <row r="1641" spans="5:6">
      <c r="E1641" s="183"/>
      <c r="F1641" s="229" t="str">
        <f>IF(OR(D1641="",E1641=""),"",ROUND(D1641/LOOKUP(E1641,SMMLV!$A$2:$A$36,SMMLV!$D$2:$D$104),3))</f>
        <v/>
      </c>
    </row>
    <row r="1642" spans="5:6">
      <c r="E1642" s="183"/>
      <c r="F1642" s="229" t="str">
        <f>IF(OR(D1642="",E1642=""),"",ROUND(D1642/LOOKUP(E1642,SMMLV!$A$2:$A$36,SMMLV!$D$2:$D$104),3))</f>
        <v/>
      </c>
    </row>
    <row r="1643" spans="5:6">
      <c r="E1643" s="183"/>
      <c r="F1643" s="229" t="str">
        <f>IF(OR(D1643="",E1643=""),"",ROUND(D1643/LOOKUP(E1643,SMMLV!$A$2:$A$36,SMMLV!$D$2:$D$104),3))</f>
        <v/>
      </c>
    </row>
    <row r="1644" spans="5:6">
      <c r="E1644" s="183"/>
      <c r="F1644" s="229" t="str">
        <f>IF(OR(D1644="",E1644=""),"",ROUND(D1644/LOOKUP(E1644,SMMLV!$A$2:$A$36,SMMLV!$D$2:$D$104),3))</f>
        <v/>
      </c>
    </row>
    <row r="1645" spans="5:6">
      <c r="E1645" s="183"/>
      <c r="F1645" s="229" t="str">
        <f>IF(OR(D1645="",E1645=""),"",ROUND(D1645/LOOKUP(E1645,SMMLV!$A$2:$A$36,SMMLV!$D$2:$D$104),3))</f>
        <v/>
      </c>
    </row>
    <row r="1646" spans="5:6">
      <c r="E1646" s="183"/>
      <c r="F1646" s="229" t="str">
        <f>IF(OR(D1646="",E1646=""),"",ROUND(D1646/LOOKUP(E1646,SMMLV!$A$2:$A$36,SMMLV!$D$2:$D$104),3))</f>
        <v/>
      </c>
    </row>
    <row r="1647" spans="5:6">
      <c r="E1647" s="183"/>
      <c r="F1647" s="229" t="str">
        <f>IF(OR(D1647="",E1647=""),"",ROUND(D1647/LOOKUP(E1647,SMMLV!$A$2:$A$36,SMMLV!$D$2:$D$104),3))</f>
        <v/>
      </c>
    </row>
    <row r="1648" spans="5:6">
      <c r="E1648" s="183"/>
      <c r="F1648" s="229" t="str">
        <f>IF(OR(D1648="",E1648=""),"",ROUND(D1648/LOOKUP(E1648,SMMLV!$A$2:$A$36,SMMLV!$D$2:$D$104),3))</f>
        <v/>
      </c>
    </row>
    <row r="1649" spans="5:6">
      <c r="E1649" s="183"/>
      <c r="F1649" s="229" t="str">
        <f>IF(OR(D1649="",E1649=""),"",ROUND(D1649/LOOKUP(E1649,SMMLV!$A$2:$A$36,SMMLV!$D$2:$D$104),3))</f>
        <v/>
      </c>
    </row>
    <row r="1650" spans="5:6">
      <c r="E1650" s="183"/>
      <c r="F1650" s="229" t="str">
        <f>IF(OR(D1650="",E1650=""),"",ROUND(D1650/LOOKUP(E1650,SMMLV!$A$2:$A$36,SMMLV!$D$2:$D$104),3))</f>
        <v/>
      </c>
    </row>
    <row r="1651" spans="5:6">
      <c r="E1651" s="183"/>
      <c r="F1651" s="229" t="str">
        <f>IF(OR(D1651="",E1651=""),"",ROUND(D1651/LOOKUP(E1651,SMMLV!$A$2:$A$36,SMMLV!$D$2:$D$104),3))</f>
        <v/>
      </c>
    </row>
    <row r="1652" spans="5:6">
      <c r="E1652" s="183"/>
      <c r="F1652" s="229" t="str">
        <f>IF(OR(D1652="",E1652=""),"",ROUND(D1652/LOOKUP(E1652,SMMLV!$A$2:$A$36,SMMLV!$D$2:$D$104),3))</f>
        <v/>
      </c>
    </row>
    <row r="1653" spans="5:6">
      <c r="E1653" s="183"/>
      <c r="F1653" s="229" t="str">
        <f>IF(OR(D1653="",E1653=""),"",ROUND(D1653/LOOKUP(E1653,SMMLV!$A$2:$A$36,SMMLV!$D$2:$D$104),3))</f>
        <v/>
      </c>
    </row>
    <row r="1654" spans="5:6">
      <c r="E1654" s="183"/>
      <c r="F1654" s="229" t="str">
        <f>IF(OR(D1654="",E1654=""),"",ROUND(D1654/LOOKUP(E1654,SMMLV!$A$2:$A$36,SMMLV!$D$2:$D$104),3))</f>
        <v/>
      </c>
    </row>
    <row r="1655" spans="5:6">
      <c r="E1655" s="183"/>
      <c r="F1655" s="229" t="str">
        <f>IF(OR(D1655="",E1655=""),"",ROUND(D1655/LOOKUP(E1655,SMMLV!$A$2:$A$36,SMMLV!$D$2:$D$104),3))</f>
        <v/>
      </c>
    </row>
    <row r="1656" spans="5:6">
      <c r="E1656" s="183"/>
      <c r="F1656" s="229" t="str">
        <f>IF(OR(D1656="",E1656=""),"",ROUND(D1656/LOOKUP(E1656,SMMLV!$A$2:$A$36,SMMLV!$D$2:$D$104),3))</f>
        <v/>
      </c>
    </row>
    <row r="1657" spans="5:6">
      <c r="E1657" s="183"/>
      <c r="F1657" s="229" t="str">
        <f>IF(OR(D1657="",E1657=""),"",ROUND(D1657/LOOKUP(E1657,SMMLV!$A$2:$A$36,SMMLV!$D$2:$D$104),3))</f>
        <v/>
      </c>
    </row>
    <row r="1658" spans="5:6">
      <c r="E1658" s="183"/>
      <c r="F1658" s="229" t="str">
        <f>IF(OR(D1658="",E1658=""),"",ROUND(D1658/LOOKUP(E1658,SMMLV!$A$2:$A$36,SMMLV!$D$2:$D$104),3))</f>
        <v/>
      </c>
    </row>
    <row r="1659" spans="5:6">
      <c r="E1659" s="183"/>
      <c r="F1659" s="229" t="str">
        <f>IF(OR(D1659="",E1659=""),"",ROUND(D1659/LOOKUP(E1659,SMMLV!$A$2:$A$36,SMMLV!$D$2:$D$104),3))</f>
        <v/>
      </c>
    </row>
    <row r="1660" spans="5:6">
      <c r="E1660" s="183"/>
      <c r="F1660" s="229" t="str">
        <f>IF(OR(D1660="",E1660=""),"",ROUND(D1660/LOOKUP(E1660,SMMLV!$A$2:$A$36,SMMLV!$D$2:$D$104),3))</f>
        <v/>
      </c>
    </row>
    <row r="1661" spans="5:6">
      <c r="E1661" s="183"/>
      <c r="F1661" s="229" t="str">
        <f>IF(OR(D1661="",E1661=""),"",ROUND(D1661/LOOKUP(E1661,SMMLV!$A$2:$A$36,SMMLV!$D$2:$D$104),3))</f>
        <v/>
      </c>
    </row>
    <row r="1662" spans="5:6">
      <c r="E1662" s="183"/>
      <c r="F1662" s="229" t="str">
        <f>IF(OR(D1662="",E1662=""),"",ROUND(D1662/LOOKUP(E1662,SMMLV!$A$2:$A$36,SMMLV!$D$2:$D$104),3))</f>
        <v/>
      </c>
    </row>
    <row r="1663" spans="5:6">
      <c r="E1663" s="183"/>
      <c r="F1663" s="229" t="str">
        <f>IF(OR(D1663="",E1663=""),"",ROUND(D1663/LOOKUP(E1663,SMMLV!$A$2:$A$36,SMMLV!$D$2:$D$104),3))</f>
        <v/>
      </c>
    </row>
    <row r="1664" spans="5:6">
      <c r="E1664" s="183"/>
      <c r="F1664" s="229" t="str">
        <f>IF(OR(D1664="",E1664=""),"",ROUND(D1664/LOOKUP(E1664,SMMLV!$A$2:$A$36,SMMLV!$D$2:$D$104),3))</f>
        <v/>
      </c>
    </row>
    <row r="1665" spans="5:6">
      <c r="E1665" s="183"/>
      <c r="F1665" s="229" t="str">
        <f>IF(OR(D1665="",E1665=""),"",ROUND(D1665/LOOKUP(E1665,SMMLV!$A$2:$A$36,SMMLV!$D$2:$D$104),3))</f>
        <v/>
      </c>
    </row>
    <row r="1666" spans="5:6">
      <c r="E1666" s="183"/>
      <c r="F1666" s="229" t="str">
        <f>IF(OR(D1666="",E1666=""),"",ROUND(D1666/LOOKUP(E1666,SMMLV!$A$2:$A$36,SMMLV!$D$2:$D$104),3))</f>
        <v/>
      </c>
    </row>
    <row r="1667" spans="5:6">
      <c r="E1667" s="183"/>
      <c r="F1667" s="229" t="str">
        <f>IF(OR(D1667="",E1667=""),"",ROUND(D1667/LOOKUP(E1667,SMMLV!$A$2:$A$36,SMMLV!$D$2:$D$104),3))</f>
        <v/>
      </c>
    </row>
    <row r="1668" spans="5:6">
      <c r="E1668" s="183"/>
      <c r="F1668" s="229" t="str">
        <f>IF(OR(D1668="",E1668=""),"",ROUND(D1668/LOOKUP(E1668,SMMLV!$A$2:$A$36,SMMLV!$D$2:$D$104),3))</f>
        <v/>
      </c>
    </row>
    <row r="1669" spans="5:6">
      <c r="E1669" s="183"/>
      <c r="F1669" s="229" t="str">
        <f>IF(OR(D1669="",E1669=""),"",ROUND(D1669/LOOKUP(E1669,SMMLV!$A$2:$A$36,SMMLV!$D$2:$D$104),3))</f>
        <v/>
      </c>
    </row>
    <row r="1670" spans="5:6">
      <c r="E1670" s="183"/>
      <c r="F1670" s="229" t="str">
        <f>IF(OR(D1670="",E1670=""),"",ROUND(D1670/LOOKUP(E1670,SMMLV!$A$2:$A$36,SMMLV!$D$2:$D$104),3))</f>
        <v/>
      </c>
    </row>
    <row r="1671" spans="5:6">
      <c r="E1671" s="183"/>
      <c r="F1671" s="229" t="str">
        <f>IF(OR(D1671="",E1671=""),"",ROUND(D1671/LOOKUP(E1671,SMMLV!$A$2:$A$36,SMMLV!$D$2:$D$104),3))</f>
        <v/>
      </c>
    </row>
    <row r="1672" spans="5:6">
      <c r="E1672" s="183"/>
      <c r="F1672" s="229" t="str">
        <f>IF(OR(D1672="",E1672=""),"",ROUND(D1672/LOOKUP(E1672,SMMLV!$A$2:$A$36,SMMLV!$D$2:$D$104),3))</f>
        <v/>
      </c>
    </row>
    <row r="1673" spans="5:6">
      <c r="E1673" s="183"/>
      <c r="F1673" s="229" t="str">
        <f>IF(OR(D1673="",E1673=""),"",ROUND(D1673/LOOKUP(E1673,SMMLV!$A$2:$A$36,SMMLV!$D$2:$D$104),3))</f>
        <v/>
      </c>
    </row>
    <row r="1674" spans="5:6">
      <c r="E1674" s="183"/>
      <c r="F1674" s="229" t="str">
        <f>IF(OR(D1674="",E1674=""),"",ROUND(D1674/LOOKUP(E1674,SMMLV!$A$2:$A$36,SMMLV!$D$2:$D$104),3))</f>
        <v/>
      </c>
    </row>
    <row r="1675" spans="5:6">
      <c r="E1675" s="183"/>
      <c r="F1675" s="229" t="str">
        <f>IF(OR(D1675="",E1675=""),"",ROUND(D1675/LOOKUP(E1675,SMMLV!$A$2:$A$36,SMMLV!$D$2:$D$104),3))</f>
        <v/>
      </c>
    </row>
    <row r="1676" spans="5:6">
      <c r="E1676" s="183"/>
      <c r="F1676" s="229" t="str">
        <f>IF(OR(D1676="",E1676=""),"",ROUND(D1676/LOOKUP(E1676,SMMLV!$A$2:$A$36,SMMLV!$D$2:$D$104),3))</f>
        <v/>
      </c>
    </row>
    <row r="1677" spans="5:6">
      <c r="E1677" s="183"/>
      <c r="F1677" s="229" t="str">
        <f>IF(OR(D1677="",E1677=""),"",ROUND(D1677/LOOKUP(E1677,SMMLV!$A$2:$A$36,SMMLV!$D$2:$D$104),3))</f>
        <v/>
      </c>
    </row>
    <row r="1678" spans="5:6">
      <c r="E1678" s="183"/>
      <c r="F1678" s="229" t="str">
        <f>IF(OR(D1678="",E1678=""),"",ROUND(D1678/LOOKUP(E1678,SMMLV!$A$2:$A$36,SMMLV!$D$2:$D$104),3))</f>
        <v/>
      </c>
    </row>
    <row r="1679" spans="5:6">
      <c r="E1679" s="183"/>
      <c r="F1679" s="229" t="str">
        <f>IF(OR(D1679="",E1679=""),"",ROUND(D1679/LOOKUP(E1679,SMMLV!$A$2:$A$36,SMMLV!$D$2:$D$104),3))</f>
        <v/>
      </c>
    </row>
    <row r="1680" spans="5:6">
      <c r="E1680" s="183"/>
      <c r="F1680" s="229" t="str">
        <f>IF(OR(D1680="",E1680=""),"",ROUND(D1680/LOOKUP(E1680,SMMLV!$A$2:$A$36,SMMLV!$D$2:$D$104),3))</f>
        <v/>
      </c>
    </row>
    <row r="1681" spans="5:6">
      <c r="E1681" s="183"/>
      <c r="F1681" s="229" t="str">
        <f>IF(OR(D1681="",E1681=""),"",ROUND(D1681/LOOKUP(E1681,SMMLV!$A$2:$A$36,SMMLV!$D$2:$D$104),3))</f>
        <v/>
      </c>
    </row>
    <row r="1682" spans="5:6">
      <c r="E1682" s="183"/>
      <c r="F1682" s="229" t="str">
        <f>IF(OR(D1682="",E1682=""),"",ROUND(D1682/LOOKUP(E1682,SMMLV!$A$2:$A$36,SMMLV!$D$2:$D$104),3))</f>
        <v/>
      </c>
    </row>
    <row r="1683" spans="5:6">
      <c r="E1683" s="183"/>
      <c r="F1683" s="229" t="str">
        <f>IF(OR(D1683="",E1683=""),"",ROUND(D1683/LOOKUP(E1683,SMMLV!$A$2:$A$36,SMMLV!$D$2:$D$104),3))</f>
        <v/>
      </c>
    </row>
    <row r="1684" spans="5:6">
      <c r="E1684" s="183"/>
      <c r="F1684" s="229" t="str">
        <f>IF(OR(D1684="",E1684=""),"",ROUND(D1684/LOOKUP(E1684,SMMLV!$A$2:$A$36,SMMLV!$D$2:$D$104),3))</f>
        <v/>
      </c>
    </row>
    <row r="1685" spans="5:6">
      <c r="E1685" s="183"/>
      <c r="F1685" s="229" t="str">
        <f>IF(OR(D1685="",E1685=""),"",ROUND(D1685/LOOKUP(E1685,SMMLV!$A$2:$A$36,SMMLV!$D$2:$D$104),3))</f>
        <v/>
      </c>
    </row>
    <row r="1686" spans="5:6">
      <c r="E1686" s="183"/>
      <c r="F1686" s="229" t="str">
        <f>IF(OR(D1686="",E1686=""),"",ROUND(D1686/LOOKUP(E1686,SMMLV!$A$2:$A$36,SMMLV!$D$2:$D$104),3))</f>
        <v/>
      </c>
    </row>
    <row r="1687" spans="5:6">
      <c r="E1687" s="183"/>
      <c r="F1687" s="229" t="str">
        <f>IF(OR(D1687="",E1687=""),"",ROUND(D1687/LOOKUP(E1687,SMMLV!$A$2:$A$36,SMMLV!$D$2:$D$104),3))</f>
        <v/>
      </c>
    </row>
    <row r="1688" spans="5:6">
      <c r="E1688" s="183"/>
      <c r="F1688" s="229" t="str">
        <f>IF(OR(D1688="",E1688=""),"",ROUND(D1688/LOOKUP(E1688,SMMLV!$A$2:$A$36,SMMLV!$D$2:$D$104),3))</f>
        <v/>
      </c>
    </row>
    <row r="1689" spans="5:6">
      <c r="E1689" s="183"/>
      <c r="F1689" s="229" t="str">
        <f>IF(OR(D1689="",E1689=""),"",ROUND(D1689/LOOKUP(E1689,SMMLV!$A$2:$A$36,SMMLV!$D$2:$D$104),3))</f>
        <v/>
      </c>
    </row>
    <row r="1690" spans="5:6">
      <c r="E1690" s="183"/>
      <c r="F1690" s="229" t="str">
        <f>IF(OR(D1690="",E1690=""),"",ROUND(D1690/LOOKUP(E1690,SMMLV!$A$2:$A$36,SMMLV!$D$2:$D$104),3))</f>
        <v/>
      </c>
    </row>
    <row r="1691" spans="5:6">
      <c r="E1691" s="183"/>
      <c r="F1691" s="229" t="str">
        <f>IF(OR(D1691="",E1691=""),"",ROUND(D1691/LOOKUP(E1691,SMMLV!$A$2:$A$36,SMMLV!$D$2:$D$104),3))</f>
        <v/>
      </c>
    </row>
    <row r="1692" spans="5:6">
      <c r="E1692" s="183"/>
      <c r="F1692" s="229" t="str">
        <f>IF(OR(D1692="",E1692=""),"",ROUND(D1692/LOOKUP(E1692,SMMLV!$A$2:$A$36,SMMLV!$D$2:$D$104),3))</f>
        <v/>
      </c>
    </row>
    <row r="1693" spans="5:6">
      <c r="E1693" s="183"/>
      <c r="F1693" s="229" t="str">
        <f>IF(OR(D1693="",E1693=""),"",ROUND(D1693/LOOKUP(E1693,SMMLV!$A$2:$A$36,SMMLV!$D$2:$D$104),3))</f>
        <v/>
      </c>
    </row>
    <row r="1694" spans="5:6">
      <c r="E1694" s="183"/>
      <c r="F1694" s="229" t="str">
        <f>IF(OR(D1694="",E1694=""),"",ROUND(D1694/LOOKUP(E1694,SMMLV!$A$2:$A$36,SMMLV!$D$2:$D$104),3))</f>
        <v/>
      </c>
    </row>
    <row r="1695" spans="5:6">
      <c r="E1695" s="183"/>
      <c r="F1695" s="229" t="str">
        <f>IF(OR(D1695="",E1695=""),"",ROUND(D1695/LOOKUP(E1695,SMMLV!$A$2:$A$36,SMMLV!$D$2:$D$104),3))</f>
        <v/>
      </c>
    </row>
    <row r="1696" spans="5:6">
      <c r="E1696" s="183"/>
      <c r="F1696" s="229" t="str">
        <f>IF(OR(D1696="",E1696=""),"",ROUND(D1696/LOOKUP(E1696,SMMLV!$A$2:$A$36,SMMLV!$D$2:$D$104),3))</f>
        <v/>
      </c>
    </row>
    <row r="1697" spans="5:6">
      <c r="E1697" s="183"/>
      <c r="F1697" s="229" t="str">
        <f>IF(OR(D1697="",E1697=""),"",ROUND(D1697/LOOKUP(E1697,SMMLV!$A$2:$A$36,SMMLV!$D$2:$D$104),3))</f>
        <v/>
      </c>
    </row>
    <row r="1698" spans="5:6">
      <c r="E1698" s="183"/>
      <c r="F1698" s="229" t="str">
        <f>IF(OR(D1698="",E1698=""),"",ROUND(D1698/LOOKUP(E1698,SMMLV!$A$2:$A$36,SMMLV!$D$2:$D$104),3))</f>
        <v/>
      </c>
    </row>
    <row r="1699" spans="5:6">
      <c r="E1699" s="183"/>
      <c r="F1699" s="229" t="str">
        <f>IF(OR(D1699="",E1699=""),"",ROUND(D1699/LOOKUP(E1699,SMMLV!$A$2:$A$36,SMMLV!$D$2:$D$104),3))</f>
        <v/>
      </c>
    </row>
    <row r="1700" spans="5:6">
      <c r="E1700" s="183"/>
      <c r="F1700" s="229" t="str">
        <f>IF(OR(D1700="",E1700=""),"",ROUND(D1700/LOOKUP(E1700,SMMLV!$A$2:$A$36,SMMLV!$D$2:$D$104),3))</f>
        <v/>
      </c>
    </row>
    <row r="1701" spans="5:6">
      <c r="E1701" s="183"/>
      <c r="F1701" s="229" t="str">
        <f>IF(OR(D1701="",E1701=""),"",ROUND(D1701/LOOKUP(E1701,SMMLV!$A$2:$A$36,SMMLV!$D$2:$D$104),3))</f>
        <v/>
      </c>
    </row>
    <row r="1702" spans="5:6">
      <c r="E1702" s="183"/>
      <c r="F1702" s="229" t="str">
        <f>IF(OR(D1702="",E1702=""),"",ROUND(D1702/LOOKUP(E1702,SMMLV!$A$2:$A$36,SMMLV!$D$2:$D$104),3))</f>
        <v/>
      </c>
    </row>
    <row r="1703" spans="5:6">
      <c r="E1703" s="183"/>
      <c r="F1703" s="229" t="str">
        <f>IF(OR(D1703="",E1703=""),"",ROUND(D1703/LOOKUP(E1703,SMMLV!$A$2:$A$36,SMMLV!$D$2:$D$104),3))</f>
        <v/>
      </c>
    </row>
    <row r="1704" spans="5:6">
      <c r="E1704" s="183"/>
      <c r="F1704" s="229" t="str">
        <f>IF(OR(D1704="",E1704=""),"",ROUND(D1704/LOOKUP(E1704,SMMLV!$A$2:$A$36,SMMLV!$D$2:$D$104),3))</f>
        <v/>
      </c>
    </row>
    <row r="1705" spans="5:6">
      <c r="E1705" s="183"/>
      <c r="F1705" s="229" t="str">
        <f>IF(OR(D1705="",E1705=""),"",ROUND(D1705/LOOKUP(E1705,SMMLV!$A$2:$A$36,SMMLV!$D$2:$D$104),3))</f>
        <v/>
      </c>
    </row>
    <row r="1706" spans="5:6">
      <c r="E1706" s="183"/>
      <c r="F1706" s="229" t="str">
        <f>IF(OR(D1706="",E1706=""),"",ROUND(D1706/LOOKUP(E1706,SMMLV!$A$2:$A$36,SMMLV!$D$2:$D$104),3))</f>
        <v/>
      </c>
    </row>
    <row r="1707" spans="5:6">
      <c r="E1707" s="183"/>
      <c r="F1707" s="229" t="str">
        <f>IF(OR(D1707="",E1707=""),"",ROUND(D1707/LOOKUP(E1707,SMMLV!$A$2:$A$36,SMMLV!$D$2:$D$104),3))</f>
        <v/>
      </c>
    </row>
    <row r="1708" spans="5:6">
      <c r="E1708" s="183"/>
      <c r="F1708" s="229" t="str">
        <f>IF(OR(D1708="",E1708=""),"",ROUND(D1708/LOOKUP(E1708,SMMLV!$A$2:$A$36,SMMLV!$D$2:$D$104),3))</f>
        <v/>
      </c>
    </row>
    <row r="1709" spans="5:6">
      <c r="E1709" s="183"/>
      <c r="F1709" s="229" t="str">
        <f>IF(OR(D1709="",E1709=""),"",ROUND(D1709/LOOKUP(E1709,SMMLV!$A$2:$A$36,SMMLV!$D$2:$D$104),3))</f>
        <v/>
      </c>
    </row>
    <row r="1710" spans="5:6">
      <c r="E1710" s="183"/>
      <c r="F1710" s="229" t="str">
        <f>IF(OR(D1710="",E1710=""),"",ROUND(D1710/LOOKUP(E1710,SMMLV!$A$2:$A$36,SMMLV!$D$2:$D$104),3))</f>
        <v/>
      </c>
    </row>
    <row r="1711" spans="5:6">
      <c r="E1711" s="183"/>
      <c r="F1711" s="229" t="str">
        <f>IF(OR(D1711="",E1711=""),"",ROUND(D1711/LOOKUP(E1711,SMMLV!$A$2:$A$36,SMMLV!$D$2:$D$104),3))</f>
        <v/>
      </c>
    </row>
    <row r="1712" spans="5:6">
      <c r="E1712" s="183"/>
      <c r="F1712" s="229" t="str">
        <f>IF(OR(D1712="",E1712=""),"",ROUND(D1712/LOOKUP(E1712,SMMLV!$A$2:$A$36,SMMLV!$D$2:$D$104),3))</f>
        <v/>
      </c>
    </row>
    <row r="1713" spans="5:6">
      <c r="E1713" s="183"/>
      <c r="F1713" s="229" t="str">
        <f>IF(OR(D1713="",E1713=""),"",ROUND(D1713/LOOKUP(E1713,SMMLV!$A$2:$A$36,SMMLV!$D$2:$D$104),3))</f>
        <v/>
      </c>
    </row>
    <row r="1714" spans="5:6">
      <c r="E1714" s="183"/>
      <c r="F1714" s="229" t="str">
        <f>IF(OR(D1714="",E1714=""),"",ROUND(D1714/LOOKUP(E1714,SMMLV!$A$2:$A$36,SMMLV!$D$2:$D$104),3))</f>
        <v/>
      </c>
    </row>
    <row r="1715" spans="5:6">
      <c r="E1715" s="183"/>
      <c r="F1715" s="229" t="str">
        <f>IF(OR(D1715="",E1715=""),"",ROUND(D1715/LOOKUP(E1715,SMMLV!$A$2:$A$36,SMMLV!$D$2:$D$104),3))</f>
        <v/>
      </c>
    </row>
    <row r="1716" spans="5:6">
      <c r="E1716" s="183"/>
      <c r="F1716" s="229" t="str">
        <f>IF(OR(D1716="",E1716=""),"",ROUND(D1716/LOOKUP(E1716,SMMLV!$A$2:$A$36,SMMLV!$D$2:$D$104),3))</f>
        <v/>
      </c>
    </row>
    <row r="1717" spans="5:6">
      <c r="E1717" s="183"/>
      <c r="F1717" s="229" t="str">
        <f>IF(OR(D1717="",E1717=""),"",ROUND(D1717/LOOKUP(E1717,SMMLV!$A$2:$A$36,SMMLV!$D$2:$D$104),3))</f>
        <v/>
      </c>
    </row>
    <row r="1718" spans="5:6">
      <c r="E1718" s="183"/>
      <c r="F1718" s="229" t="str">
        <f>IF(OR(D1718="",E1718=""),"",ROUND(D1718/LOOKUP(E1718,SMMLV!$A$2:$A$36,SMMLV!$D$2:$D$104),3))</f>
        <v/>
      </c>
    </row>
    <row r="1719" spans="5:6">
      <c r="E1719" s="183"/>
      <c r="F1719" s="229" t="str">
        <f>IF(OR(D1719="",E1719=""),"",ROUND(D1719/LOOKUP(E1719,SMMLV!$A$2:$A$36,SMMLV!$D$2:$D$104),3))</f>
        <v/>
      </c>
    </row>
    <row r="1720" spans="5:6">
      <c r="E1720" s="183"/>
      <c r="F1720" s="229" t="str">
        <f>IF(OR(D1720="",E1720=""),"",ROUND(D1720/LOOKUP(E1720,SMMLV!$A$2:$A$36,SMMLV!$D$2:$D$104),3))</f>
        <v/>
      </c>
    </row>
    <row r="1721" spans="5:6">
      <c r="E1721" s="183"/>
      <c r="F1721" s="229" t="str">
        <f>IF(OR(D1721="",E1721=""),"",ROUND(D1721/LOOKUP(E1721,SMMLV!$A$2:$A$36,SMMLV!$D$2:$D$104),3))</f>
        <v/>
      </c>
    </row>
    <row r="1722" spans="5:6">
      <c r="E1722" s="183"/>
      <c r="F1722" s="229" t="str">
        <f>IF(OR(D1722="",E1722=""),"",ROUND(D1722/LOOKUP(E1722,SMMLV!$A$2:$A$36,SMMLV!$D$2:$D$104),3))</f>
        <v/>
      </c>
    </row>
    <row r="1723" spans="5:6">
      <c r="E1723" s="183"/>
      <c r="F1723" s="229" t="str">
        <f>IF(OR(D1723="",E1723=""),"",ROUND(D1723/LOOKUP(E1723,SMMLV!$A$2:$A$36,SMMLV!$D$2:$D$104),3))</f>
        <v/>
      </c>
    </row>
    <row r="1724" spans="5:6">
      <c r="E1724" s="183"/>
      <c r="F1724" s="229" t="str">
        <f>IF(OR(D1724="",E1724=""),"",ROUND(D1724/LOOKUP(E1724,SMMLV!$A$2:$A$36,SMMLV!$D$2:$D$104),3))</f>
        <v/>
      </c>
    </row>
    <row r="1725" spans="5:6">
      <c r="E1725" s="183"/>
      <c r="F1725" s="229" t="str">
        <f>IF(OR(D1725="",E1725=""),"",ROUND(D1725/LOOKUP(E1725,SMMLV!$A$2:$A$36,SMMLV!$D$2:$D$104),3))</f>
        <v/>
      </c>
    </row>
    <row r="1726" spans="5:6">
      <c r="E1726" s="183"/>
      <c r="F1726" s="229" t="str">
        <f>IF(OR(D1726="",E1726=""),"",ROUND(D1726/LOOKUP(E1726,SMMLV!$A$2:$A$36,SMMLV!$D$2:$D$104),3))</f>
        <v/>
      </c>
    </row>
    <row r="1727" spans="5:6">
      <c r="E1727" s="183"/>
      <c r="F1727" s="229" t="str">
        <f>IF(OR(D1727="",E1727=""),"",ROUND(D1727/LOOKUP(E1727,SMMLV!$A$2:$A$36,SMMLV!$D$2:$D$104),3))</f>
        <v/>
      </c>
    </row>
    <row r="1728" spans="5:6">
      <c r="E1728" s="183"/>
      <c r="F1728" s="229" t="str">
        <f>IF(OR(D1728="",E1728=""),"",ROUND(D1728/LOOKUP(E1728,SMMLV!$A$2:$A$36,SMMLV!$D$2:$D$104),3))</f>
        <v/>
      </c>
    </row>
    <row r="1729" spans="5:6">
      <c r="E1729" s="183"/>
      <c r="F1729" s="229" t="str">
        <f>IF(OR(D1729="",E1729=""),"",ROUND(D1729/LOOKUP(E1729,SMMLV!$A$2:$A$36,SMMLV!$D$2:$D$104),3))</f>
        <v/>
      </c>
    </row>
    <row r="1730" spans="5:6">
      <c r="E1730" s="183"/>
      <c r="F1730" s="229" t="str">
        <f>IF(OR(D1730="",E1730=""),"",ROUND(D1730/LOOKUP(E1730,SMMLV!$A$2:$A$36,SMMLV!$D$2:$D$104),3))</f>
        <v/>
      </c>
    </row>
    <row r="1731" spans="5:6">
      <c r="E1731" s="183"/>
      <c r="F1731" s="229" t="str">
        <f>IF(OR(D1731="",E1731=""),"",ROUND(D1731/LOOKUP(E1731,SMMLV!$A$2:$A$36,SMMLV!$D$2:$D$104),3))</f>
        <v/>
      </c>
    </row>
    <row r="1732" spans="5:6">
      <c r="E1732" s="183"/>
      <c r="F1732" s="229" t="str">
        <f>IF(OR(D1732="",E1732=""),"",ROUND(D1732/LOOKUP(E1732,SMMLV!$A$2:$A$36,SMMLV!$D$2:$D$104),3))</f>
        <v/>
      </c>
    </row>
    <row r="1733" spans="5:6">
      <c r="E1733" s="183"/>
      <c r="F1733" s="229" t="str">
        <f>IF(OR(D1733="",E1733=""),"",ROUND(D1733/LOOKUP(E1733,SMMLV!$A$2:$A$36,SMMLV!$D$2:$D$104),3))</f>
        <v/>
      </c>
    </row>
    <row r="1734" spans="5:6">
      <c r="E1734" s="183"/>
      <c r="F1734" s="229" t="str">
        <f>IF(OR(D1734="",E1734=""),"",ROUND(D1734/LOOKUP(E1734,SMMLV!$A$2:$A$36,SMMLV!$D$2:$D$104),3))</f>
        <v/>
      </c>
    </row>
    <row r="1735" spans="5:6">
      <c r="E1735" s="183"/>
      <c r="F1735" s="229" t="str">
        <f>IF(OR(D1735="",E1735=""),"",ROUND(D1735/LOOKUP(E1735,SMMLV!$A$2:$A$36,SMMLV!$D$2:$D$104),3))</f>
        <v/>
      </c>
    </row>
    <row r="1736" spans="5:6">
      <c r="E1736" s="183"/>
      <c r="F1736" s="229" t="str">
        <f>IF(OR(D1736="",E1736=""),"",ROUND(D1736/LOOKUP(E1736,SMMLV!$A$2:$A$36,SMMLV!$D$2:$D$104),3))</f>
        <v/>
      </c>
    </row>
    <row r="1737" spans="5:6">
      <c r="E1737" s="183"/>
      <c r="F1737" s="229" t="str">
        <f>IF(OR(D1737="",E1737=""),"",ROUND(D1737/LOOKUP(E1737,SMMLV!$A$2:$A$36,SMMLV!$D$2:$D$104),3))</f>
        <v/>
      </c>
    </row>
    <row r="1738" spans="5:6">
      <c r="E1738" s="183"/>
      <c r="F1738" s="229" t="str">
        <f>IF(OR(D1738="",E1738=""),"",ROUND(D1738/LOOKUP(E1738,SMMLV!$A$2:$A$36,SMMLV!$D$2:$D$104),3))</f>
        <v/>
      </c>
    </row>
    <row r="1739" spans="5:6">
      <c r="E1739" s="183"/>
      <c r="F1739" s="229" t="str">
        <f>IF(OR(D1739="",E1739=""),"",ROUND(D1739/LOOKUP(E1739,SMMLV!$A$2:$A$36,SMMLV!$D$2:$D$104),3))</f>
        <v/>
      </c>
    </row>
    <row r="1740" spans="5:6">
      <c r="E1740" s="183"/>
      <c r="F1740" s="229" t="str">
        <f>IF(OR(D1740="",E1740=""),"",ROUND(D1740/LOOKUP(E1740,SMMLV!$A$2:$A$36,SMMLV!$D$2:$D$104),3))</f>
        <v/>
      </c>
    </row>
    <row r="1741" spans="5:6">
      <c r="E1741" s="183"/>
      <c r="F1741" s="229" t="str">
        <f>IF(OR(D1741="",E1741=""),"",ROUND(D1741/LOOKUP(E1741,SMMLV!$A$2:$A$36,SMMLV!$D$2:$D$104),3))</f>
        <v/>
      </c>
    </row>
    <row r="1742" spans="5:6">
      <c r="E1742" s="183"/>
      <c r="F1742" s="229" t="str">
        <f>IF(OR(D1742="",E1742=""),"",ROUND(D1742/LOOKUP(E1742,SMMLV!$A$2:$A$36,SMMLV!$D$2:$D$104),3))</f>
        <v/>
      </c>
    </row>
    <row r="1743" spans="5:6">
      <c r="E1743" s="183"/>
      <c r="F1743" s="229" t="str">
        <f>IF(OR(D1743="",E1743=""),"",ROUND(D1743/LOOKUP(E1743,SMMLV!$A$2:$A$36,SMMLV!$D$2:$D$104),3))</f>
        <v/>
      </c>
    </row>
    <row r="1744" spans="5:6">
      <c r="E1744" s="183"/>
      <c r="F1744" s="229" t="str">
        <f>IF(OR(D1744="",E1744=""),"",ROUND(D1744/LOOKUP(E1744,SMMLV!$A$2:$A$36,SMMLV!$D$2:$D$104),3))</f>
        <v/>
      </c>
    </row>
    <row r="1745" spans="5:6">
      <c r="E1745" s="183"/>
      <c r="F1745" s="229" t="str">
        <f>IF(OR(D1745="",E1745=""),"",ROUND(D1745/LOOKUP(E1745,SMMLV!$A$2:$A$36,SMMLV!$D$2:$D$104),3))</f>
        <v/>
      </c>
    </row>
    <row r="1746" spans="5:6">
      <c r="E1746" s="183"/>
      <c r="F1746" s="229" t="str">
        <f>IF(OR(D1746="",E1746=""),"",ROUND(D1746/LOOKUP(E1746,SMMLV!$A$2:$A$36,SMMLV!$D$2:$D$104),3))</f>
        <v/>
      </c>
    </row>
    <row r="1747" spans="5:6">
      <c r="E1747" s="183"/>
      <c r="F1747" s="229" t="str">
        <f>IF(OR(D1747="",E1747=""),"",ROUND(D1747/LOOKUP(E1747,SMMLV!$A$2:$A$36,SMMLV!$D$2:$D$104),3))</f>
        <v/>
      </c>
    </row>
    <row r="1748" spans="5:6">
      <c r="E1748" s="183"/>
      <c r="F1748" s="229" t="str">
        <f>IF(OR(D1748="",E1748=""),"",ROUND(D1748/LOOKUP(E1748,SMMLV!$A$2:$A$36,SMMLV!$D$2:$D$104),3))</f>
        <v/>
      </c>
    </row>
    <row r="1749" spans="5:6">
      <c r="E1749" s="183"/>
      <c r="F1749" s="229" t="str">
        <f>IF(OR(D1749="",E1749=""),"",ROUND(D1749/LOOKUP(E1749,SMMLV!$A$2:$A$36,SMMLV!$D$2:$D$104),3))</f>
        <v/>
      </c>
    </row>
    <row r="1750" spans="5:6">
      <c r="E1750" s="183"/>
      <c r="F1750" s="229" t="str">
        <f>IF(OR(D1750="",E1750=""),"",ROUND(D1750/LOOKUP(E1750,SMMLV!$A$2:$A$36,SMMLV!$D$2:$D$104),3))</f>
        <v/>
      </c>
    </row>
    <row r="1751" spans="5:6">
      <c r="E1751" s="183"/>
      <c r="F1751" s="229" t="str">
        <f>IF(OR(D1751="",E1751=""),"",ROUND(D1751/LOOKUP(E1751,SMMLV!$A$2:$A$36,SMMLV!$D$2:$D$104),3))</f>
        <v/>
      </c>
    </row>
    <row r="1752" spans="5:6">
      <c r="E1752" s="183"/>
      <c r="F1752" s="229" t="str">
        <f>IF(OR(D1752="",E1752=""),"",ROUND(D1752/LOOKUP(E1752,SMMLV!$A$2:$A$36,SMMLV!$D$2:$D$104),3))</f>
        <v/>
      </c>
    </row>
    <row r="1753" spans="5:6">
      <c r="E1753" s="183"/>
      <c r="F1753" s="229" t="str">
        <f>IF(OR(D1753="",E1753=""),"",ROUND(D1753/LOOKUP(E1753,SMMLV!$A$2:$A$36,SMMLV!$D$2:$D$104),3))</f>
        <v/>
      </c>
    </row>
    <row r="1754" spans="5:6">
      <c r="E1754" s="183"/>
      <c r="F1754" s="229" t="str">
        <f>IF(OR(D1754="",E1754=""),"",ROUND(D1754/LOOKUP(E1754,SMMLV!$A$2:$A$36,SMMLV!$D$2:$D$104),3))</f>
        <v/>
      </c>
    </row>
    <row r="1755" spans="5:6">
      <c r="E1755" s="183"/>
      <c r="F1755" s="229" t="str">
        <f>IF(OR(D1755="",E1755=""),"",ROUND(D1755/LOOKUP(E1755,SMMLV!$A$2:$A$36,SMMLV!$D$2:$D$104),3))</f>
        <v/>
      </c>
    </row>
    <row r="1756" spans="5:6">
      <c r="E1756" s="183"/>
      <c r="F1756" s="229" t="str">
        <f>IF(OR(D1756="",E1756=""),"",ROUND(D1756/LOOKUP(E1756,SMMLV!$A$2:$A$36,SMMLV!$D$2:$D$104),3))</f>
        <v/>
      </c>
    </row>
    <row r="1757" spans="5:6">
      <c r="E1757" s="183"/>
      <c r="F1757" s="229" t="str">
        <f>IF(OR(D1757="",E1757=""),"",ROUND(D1757/LOOKUP(E1757,SMMLV!$A$2:$A$36,SMMLV!$D$2:$D$104),3))</f>
        <v/>
      </c>
    </row>
    <row r="1758" spans="5:6">
      <c r="E1758" s="183"/>
      <c r="F1758" s="229" t="str">
        <f>IF(OR(D1758="",E1758=""),"",ROUND(D1758/LOOKUP(E1758,SMMLV!$A$2:$A$36,SMMLV!$D$2:$D$104),3))</f>
        <v/>
      </c>
    </row>
    <row r="1759" spans="5:6">
      <c r="E1759" s="183"/>
      <c r="F1759" s="229" t="str">
        <f>IF(OR(D1759="",E1759=""),"",ROUND(D1759/LOOKUP(E1759,SMMLV!$A$2:$A$36,SMMLV!$D$2:$D$104),3))</f>
        <v/>
      </c>
    </row>
    <row r="1760" spans="5:6">
      <c r="E1760" s="183"/>
      <c r="F1760" s="229" t="str">
        <f>IF(OR(D1760="",E1760=""),"",ROUND(D1760/LOOKUP(E1760,SMMLV!$A$2:$A$36,SMMLV!$D$2:$D$104),3))</f>
        <v/>
      </c>
    </row>
    <row r="1761" spans="5:6">
      <c r="E1761" s="183"/>
      <c r="F1761" s="229" t="str">
        <f>IF(OR(D1761="",E1761=""),"",ROUND(D1761/LOOKUP(E1761,SMMLV!$A$2:$A$36,SMMLV!$D$2:$D$104),3))</f>
        <v/>
      </c>
    </row>
    <row r="1762" spans="5:6">
      <c r="E1762" s="183"/>
      <c r="F1762" s="229" t="str">
        <f>IF(OR(D1762="",E1762=""),"",ROUND(D1762/LOOKUP(E1762,SMMLV!$A$2:$A$36,SMMLV!$D$2:$D$104),3))</f>
        <v/>
      </c>
    </row>
    <row r="1763" spans="5:6">
      <c r="E1763" s="183"/>
      <c r="F1763" s="229" t="str">
        <f>IF(OR(D1763="",E1763=""),"",ROUND(D1763/LOOKUP(E1763,SMMLV!$A$2:$A$36,SMMLV!$D$2:$D$104),3))</f>
        <v/>
      </c>
    </row>
    <row r="1764" spans="5:6">
      <c r="E1764" s="183"/>
      <c r="F1764" s="229" t="str">
        <f>IF(OR(D1764="",E1764=""),"",ROUND(D1764/LOOKUP(E1764,SMMLV!$A$2:$A$36,SMMLV!$D$2:$D$104),3))</f>
        <v/>
      </c>
    </row>
    <row r="1765" spans="5:6">
      <c r="E1765" s="183"/>
      <c r="F1765" s="229" t="str">
        <f>IF(OR(D1765="",E1765=""),"",ROUND(D1765/LOOKUP(E1765,SMMLV!$A$2:$A$36,SMMLV!$D$2:$D$104),3))</f>
        <v/>
      </c>
    </row>
    <row r="1766" spans="5:6">
      <c r="E1766" s="183"/>
      <c r="F1766" s="229" t="str">
        <f>IF(OR(D1766="",E1766=""),"",ROUND(D1766/LOOKUP(E1766,SMMLV!$A$2:$A$36,SMMLV!$D$2:$D$104),3))</f>
        <v/>
      </c>
    </row>
    <row r="1767" spans="5:6">
      <c r="E1767" s="183"/>
      <c r="F1767" s="229" t="str">
        <f>IF(OR(D1767="",E1767=""),"",ROUND(D1767/LOOKUP(E1767,SMMLV!$A$2:$A$36,SMMLV!$D$2:$D$104),3))</f>
        <v/>
      </c>
    </row>
    <row r="1768" spans="5:6">
      <c r="E1768" s="183"/>
      <c r="F1768" s="229" t="str">
        <f>IF(OR(D1768="",E1768=""),"",ROUND(D1768/LOOKUP(E1768,SMMLV!$A$2:$A$36,SMMLV!$D$2:$D$104),3))</f>
        <v/>
      </c>
    </row>
    <row r="1769" spans="5:6">
      <c r="E1769" s="183"/>
      <c r="F1769" s="229" t="str">
        <f>IF(OR(D1769="",E1769=""),"",ROUND(D1769/LOOKUP(E1769,SMMLV!$A$2:$A$36,SMMLV!$D$2:$D$104),3))</f>
        <v/>
      </c>
    </row>
    <row r="1770" spans="5:6">
      <c r="E1770" s="183"/>
      <c r="F1770" s="229" t="str">
        <f>IF(OR(D1770="",E1770=""),"",ROUND(D1770/LOOKUP(E1770,SMMLV!$A$2:$A$36,SMMLV!$D$2:$D$104),3))</f>
        <v/>
      </c>
    </row>
    <row r="1771" spans="5:6">
      <c r="E1771" s="183"/>
      <c r="F1771" s="229" t="str">
        <f>IF(OR(D1771="",E1771=""),"",ROUND(D1771/LOOKUP(E1771,SMMLV!$A$2:$A$36,SMMLV!$D$2:$D$104),3))</f>
        <v/>
      </c>
    </row>
    <row r="1772" spans="5:6">
      <c r="E1772" s="183"/>
      <c r="F1772" s="229" t="str">
        <f>IF(OR(D1772="",E1772=""),"",ROUND(D1772/LOOKUP(E1772,SMMLV!$A$2:$A$36,SMMLV!$D$2:$D$104),3))</f>
        <v/>
      </c>
    </row>
    <row r="1773" spans="5:6">
      <c r="E1773" s="183"/>
      <c r="F1773" s="229" t="str">
        <f>IF(OR(D1773="",E1773=""),"",ROUND(D1773/LOOKUP(E1773,SMMLV!$A$2:$A$36,SMMLV!$D$2:$D$104),3))</f>
        <v/>
      </c>
    </row>
    <row r="1774" spans="5:6">
      <c r="E1774" s="183"/>
      <c r="F1774" s="229" t="str">
        <f>IF(OR(D1774="",E1774=""),"",ROUND(D1774/LOOKUP(E1774,SMMLV!$A$2:$A$36,SMMLV!$D$2:$D$104),3))</f>
        <v/>
      </c>
    </row>
    <row r="1775" spans="5:6">
      <c r="E1775" s="183"/>
      <c r="F1775" s="229" t="str">
        <f>IF(OR(D1775="",E1775=""),"",ROUND(D1775/LOOKUP(E1775,SMMLV!$A$2:$A$36,SMMLV!$D$2:$D$104),3))</f>
        <v/>
      </c>
    </row>
    <row r="1776" spans="5:6">
      <c r="E1776" s="183"/>
      <c r="F1776" s="229" t="str">
        <f>IF(OR(D1776="",E1776=""),"",ROUND(D1776/LOOKUP(E1776,SMMLV!$A$2:$A$36,SMMLV!$D$2:$D$104),3))</f>
        <v/>
      </c>
    </row>
    <row r="1777" spans="5:6">
      <c r="E1777" s="183"/>
      <c r="F1777" s="229" t="str">
        <f>IF(OR(D1777="",E1777=""),"",ROUND(D1777/LOOKUP(E1777,SMMLV!$A$2:$A$36,SMMLV!$D$2:$D$104),3))</f>
        <v/>
      </c>
    </row>
    <row r="1778" spans="5:6">
      <c r="E1778" s="183"/>
      <c r="F1778" s="229" t="str">
        <f>IF(OR(D1778="",E1778=""),"",ROUND(D1778/LOOKUP(E1778,SMMLV!$A$2:$A$36,SMMLV!$D$2:$D$104),3))</f>
        <v/>
      </c>
    </row>
    <row r="1779" spans="5:6">
      <c r="E1779" s="183"/>
      <c r="F1779" s="229" t="str">
        <f>IF(OR(D1779="",E1779=""),"",ROUND(D1779/LOOKUP(E1779,SMMLV!$A$2:$A$36,SMMLV!$D$2:$D$104),3))</f>
        <v/>
      </c>
    </row>
    <row r="1780" spans="5:6">
      <c r="E1780" s="183"/>
      <c r="F1780" s="229" t="str">
        <f>IF(OR(D1780="",E1780=""),"",ROUND(D1780/LOOKUP(E1780,SMMLV!$A$2:$A$36,SMMLV!$D$2:$D$104),3))</f>
        <v/>
      </c>
    </row>
    <row r="1781" spans="5:6">
      <c r="E1781" s="183"/>
      <c r="F1781" s="229" t="str">
        <f>IF(OR(D1781="",E1781=""),"",ROUND(D1781/LOOKUP(E1781,SMMLV!$A$2:$A$36,SMMLV!$D$2:$D$104),3))</f>
        <v/>
      </c>
    </row>
    <row r="1782" spans="5:6">
      <c r="E1782" s="183"/>
      <c r="F1782" s="229" t="str">
        <f>IF(OR(D1782="",E1782=""),"",ROUND(D1782/LOOKUP(E1782,SMMLV!$A$2:$A$36,SMMLV!$D$2:$D$104),3))</f>
        <v/>
      </c>
    </row>
    <row r="1783" spans="5:6">
      <c r="E1783" s="183"/>
      <c r="F1783" s="229" t="str">
        <f>IF(OR(D1783="",E1783=""),"",ROUND(D1783/LOOKUP(E1783,SMMLV!$A$2:$A$36,SMMLV!$D$2:$D$104),3))</f>
        <v/>
      </c>
    </row>
    <row r="1784" spans="5:6">
      <c r="E1784" s="183"/>
      <c r="F1784" s="229" t="str">
        <f>IF(OR(D1784="",E1784=""),"",ROUND(D1784/LOOKUP(E1784,SMMLV!$A$2:$A$36,SMMLV!$D$2:$D$104),3))</f>
        <v/>
      </c>
    </row>
    <row r="1785" spans="5:6">
      <c r="E1785" s="183"/>
      <c r="F1785" s="229" t="str">
        <f>IF(OR(D1785="",E1785=""),"",ROUND(D1785/LOOKUP(E1785,SMMLV!$A$2:$A$36,SMMLV!$D$2:$D$104),3))</f>
        <v/>
      </c>
    </row>
    <row r="1786" spans="5:6">
      <c r="E1786" s="183"/>
      <c r="F1786" s="229" t="str">
        <f>IF(OR(D1786="",E1786=""),"",ROUND(D1786/LOOKUP(E1786,SMMLV!$A$2:$A$36,SMMLV!$D$2:$D$104),3))</f>
        <v/>
      </c>
    </row>
    <row r="1787" spans="5:6">
      <c r="E1787" s="183"/>
      <c r="F1787" s="229" t="str">
        <f>IF(OR(D1787="",E1787=""),"",ROUND(D1787/LOOKUP(E1787,SMMLV!$A$2:$A$36,SMMLV!$D$2:$D$104),3))</f>
        <v/>
      </c>
    </row>
    <row r="1788" spans="5:6">
      <c r="E1788" s="183"/>
      <c r="F1788" s="229" t="str">
        <f>IF(OR(D1788="",E1788=""),"",ROUND(D1788/LOOKUP(E1788,SMMLV!$A$2:$A$36,SMMLV!$D$2:$D$104),3))</f>
        <v/>
      </c>
    </row>
    <row r="1789" spans="5:6">
      <c r="E1789" s="183"/>
      <c r="F1789" s="229" t="str">
        <f>IF(OR(D1789="",E1789=""),"",ROUND(D1789/LOOKUP(E1789,SMMLV!$A$2:$A$36,SMMLV!$D$2:$D$104),3))</f>
        <v/>
      </c>
    </row>
    <row r="1790" spans="5:6">
      <c r="E1790" s="183"/>
      <c r="F1790" s="229" t="str">
        <f>IF(OR(D1790="",E1790=""),"",ROUND(D1790/LOOKUP(E1790,SMMLV!$A$2:$A$36,SMMLV!$D$2:$D$104),3))</f>
        <v/>
      </c>
    </row>
    <row r="1791" spans="5:6">
      <c r="E1791" s="183"/>
      <c r="F1791" s="229" t="str">
        <f>IF(OR(D1791="",E1791=""),"",ROUND(D1791/LOOKUP(E1791,SMMLV!$A$2:$A$36,SMMLV!$D$2:$D$104),3))</f>
        <v/>
      </c>
    </row>
    <row r="1792" spans="5:6">
      <c r="E1792" s="183"/>
      <c r="F1792" s="229" t="str">
        <f>IF(OR(D1792="",E1792=""),"",ROUND(D1792/LOOKUP(E1792,SMMLV!$A$2:$A$36,SMMLV!$D$2:$D$104),3))</f>
        <v/>
      </c>
    </row>
    <row r="1793" spans="5:6">
      <c r="E1793" s="183"/>
      <c r="F1793" s="229" t="str">
        <f>IF(OR(D1793="",E1793=""),"",ROUND(D1793/LOOKUP(E1793,SMMLV!$A$2:$A$36,SMMLV!$D$2:$D$104),3))</f>
        <v/>
      </c>
    </row>
    <row r="1794" spans="5:6">
      <c r="E1794" s="183"/>
      <c r="F1794" s="229" t="str">
        <f>IF(OR(D1794="",E1794=""),"",ROUND(D1794/LOOKUP(E1794,SMMLV!$A$2:$A$36,SMMLV!$D$2:$D$104),3))</f>
        <v/>
      </c>
    </row>
    <row r="1795" spans="5:6">
      <c r="E1795" s="183"/>
      <c r="F1795" s="229" t="str">
        <f>IF(OR(D1795="",E1795=""),"",ROUND(D1795/LOOKUP(E1795,SMMLV!$A$2:$A$36,SMMLV!$D$2:$D$104),3))</f>
        <v/>
      </c>
    </row>
    <row r="1796" spans="5:6">
      <c r="E1796" s="183"/>
      <c r="F1796" s="229" t="str">
        <f>IF(OR(D1796="",E1796=""),"",ROUND(D1796/LOOKUP(E1796,SMMLV!$A$2:$A$36,SMMLV!$D$2:$D$104),3))</f>
        <v/>
      </c>
    </row>
    <row r="1797" spans="5:6">
      <c r="E1797" s="183"/>
      <c r="F1797" s="229" t="str">
        <f>IF(OR(D1797="",E1797=""),"",ROUND(D1797/LOOKUP(E1797,SMMLV!$A$2:$A$36,SMMLV!$D$2:$D$104),3))</f>
        <v/>
      </c>
    </row>
    <row r="1798" spans="5:6">
      <c r="E1798" s="183"/>
      <c r="F1798" s="229" t="str">
        <f>IF(OR(D1798="",E1798=""),"",ROUND(D1798/LOOKUP(E1798,SMMLV!$A$2:$A$36,SMMLV!$D$2:$D$104),3))</f>
        <v/>
      </c>
    </row>
    <row r="1799" spans="5:6">
      <c r="E1799" s="183"/>
      <c r="F1799" s="229" t="str">
        <f>IF(OR(D1799="",E1799=""),"",ROUND(D1799/LOOKUP(E1799,SMMLV!$A$2:$A$36,SMMLV!$D$2:$D$104),3))</f>
        <v/>
      </c>
    </row>
    <row r="1800" spans="5:6">
      <c r="E1800" s="183"/>
      <c r="F1800" s="229" t="str">
        <f>IF(OR(D1800="",E1800=""),"",ROUND(D1800/LOOKUP(E1800,SMMLV!$A$2:$A$36,SMMLV!$D$2:$D$104),3))</f>
        <v/>
      </c>
    </row>
    <row r="1801" spans="5:6">
      <c r="E1801" s="183"/>
      <c r="F1801" s="229" t="str">
        <f>IF(OR(D1801="",E1801=""),"",ROUND(D1801/LOOKUP(E1801,SMMLV!$A$2:$A$36,SMMLV!$D$2:$D$104),3))</f>
        <v/>
      </c>
    </row>
    <row r="1802" spans="5:6">
      <c r="E1802" s="183"/>
      <c r="F1802" s="229" t="str">
        <f>IF(OR(D1802="",E1802=""),"",ROUND(D1802/LOOKUP(E1802,SMMLV!$A$2:$A$36,SMMLV!$D$2:$D$104),3))</f>
        <v/>
      </c>
    </row>
    <row r="1803" spans="5:6">
      <c r="E1803" s="183"/>
      <c r="F1803" s="229" t="str">
        <f>IF(OR(D1803="",E1803=""),"",ROUND(D1803/LOOKUP(E1803,SMMLV!$A$2:$A$36,SMMLV!$D$2:$D$104),3))</f>
        <v/>
      </c>
    </row>
    <row r="1804" spans="5:6">
      <c r="E1804" s="183"/>
      <c r="F1804" s="229" t="str">
        <f>IF(OR(D1804="",E1804=""),"",ROUND(D1804/LOOKUP(E1804,SMMLV!$A$2:$A$36,SMMLV!$D$2:$D$104),3))</f>
        <v/>
      </c>
    </row>
    <row r="1805" spans="5:6">
      <c r="E1805" s="183"/>
      <c r="F1805" s="229" t="str">
        <f>IF(OR(D1805="",E1805=""),"",ROUND(D1805/LOOKUP(E1805,SMMLV!$A$2:$A$36,SMMLV!$D$2:$D$104),3))</f>
        <v/>
      </c>
    </row>
    <row r="1806" spans="5:6">
      <c r="E1806" s="183"/>
      <c r="F1806" s="229" t="str">
        <f>IF(OR(D1806="",E1806=""),"",ROUND(D1806/LOOKUP(E1806,SMMLV!$A$2:$A$36,SMMLV!$D$2:$D$104),3))</f>
        <v/>
      </c>
    </row>
    <row r="1807" spans="5:6">
      <c r="E1807" s="183"/>
      <c r="F1807" s="229" t="str">
        <f>IF(OR(D1807="",E1807=""),"",ROUND(D1807/LOOKUP(E1807,SMMLV!$A$2:$A$36,SMMLV!$D$2:$D$104),3))</f>
        <v/>
      </c>
    </row>
    <row r="1808" spans="5:6">
      <c r="E1808" s="183"/>
      <c r="F1808" s="229" t="str">
        <f>IF(OR(D1808="",E1808=""),"",ROUND(D1808/LOOKUP(E1808,SMMLV!$A$2:$A$36,SMMLV!$D$2:$D$104),3))</f>
        <v/>
      </c>
    </row>
    <row r="1809" spans="5:6">
      <c r="E1809" s="183"/>
      <c r="F1809" s="229" t="str">
        <f>IF(OR(D1809="",E1809=""),"",ROUND(D1809/LOOKUP(E1809,SMMLV!$A$2:$A$36,SMMLV!$D$2:$D$104),3))</f>
        <v/>
      </c>
    </row>
    <row r="1810" spans="5:6">
      <c r="E1810" s="183"/>
      <c r="F1810" s="229" t="str">
        <f>IF(OR(D1810="",E1810=""),"",ROUND(D1810/LOOKUP(E1810,SMMLV!$A$2:$A$36,SMMLV!$D$2:$D$104),3))</f>
        <v/>
      </c>
    </row>
    <row r="1811" spans="5:6">
      <c r="E1811" s="183"/>
      <c r="F1811" s="229" t="str">
        <f>IF(OR(D1811="",E1811=""),"",ROUND(D1811/LOOKUP(E1811,SMMLV!$A$2:$A$36,SMMLV!$D$2:$D$104),3))</f>
        <v/>
      </c>
    </row>
    <row r="1812" spans="5:6">
      <c r="E1812" s="183"/>
      <c r="F1812" s="229" t="str">
        <f>IF(OR(D1812="",E1812=""),"",ROUND(D1812/LOOKUP(E1812,SMMLV!$A$2:$A$36,SMMLV!$D$2:$D$104),3))</f>
        <v/>
      </c>
    </row>
    <row r="1813" spans="5:6">
      <c r="E1813" s="183"/>
      <c r="F1813" s="229" t="str">
        <f>IF(OR(D1813="",E1813=""),"",ROUND(D1813/LOOKUP(E1813,SMMLV!$A$2:$A$36,SMMLV!$D$2:$D$104),3))</f>
        <v/>
      </c>
    </row>
    <row r="1814" spans="5:6">
      <c r="E1814" s="183"/>
      <c r="F1814" s="229" t="str">
        <f>IF(OR(D1814="",E1814=""),"",ROUND(D1814/LOOKUP(E1814,SMMLV!$A$2:$A$36,SMMLV!$D$2:$D$104),3))</f>
        <v/>
      </c>
    </row>
    <row r="1815" spans="5:6">
      <c r="E1815" s="183"/>
      <c r="F1815" s="229" t="str">
        <f>IF(OR(D1815="",E1815=""),"",ROUND(D1815/LOOKUP(E1815,SMMLV!$A$2:$A$36,SMMLV!$D$2:$D$104),3))</f>
        <v/>
      </c>
    </row>
    <row r="1816" spans="5:6">
      <c r="E1816" s="183"/>
      <c r="F1816" s="229" t="str">
        <f>IF(OR(D1816="",E1816=""),"",ROUND(D1816/LOOKUP(E1816,SMMLV!$A$2:$A$36,SMMLV!$D$2:$D$104),3))</f>
        <v/>
      </c>
    </row>
    <row r="1817" spans="5:6">
      <c r="E1817" s="183"/>
      <c r="F1817" s="229" t="str">
        <f>IF(OR(D1817="",E1817=""),"",ROUND(D1817/LOOKUP(E1817,SMMLV!$A$2:$A$36,SMMLV!$D$2:$D$104),3))</f>
        <v/>
      </c>
    </row>
    <row r="1818" spans="5:6">
      <c r="E1818" s="183"/>
      <c r="F1818" s="229" t="str">
        <f>IF(OR(D1818="",E1818=""),"",ROUND(D1818/LOOKUP(E1818,SMMLV!$A$2:$A$36,SMMLV!$D$2:$D$104),3))</f>
        <v/>
      </c>
    </row>
    <row r="1819" spans="5:6">
      <c r="E1819" s="183"/>
      <c r="F1819" s="229" t="str">
        <f>IF(OR(D1819="",E1819=""),"",ROUND(D1819/LOOKUP(E1819,SMMLV!$A$2:$A$36,SMMLV!$D$2:$D$104),3))</f>
        <v/>
      </c>
    </row>
    <row r="1820" spans="5:6">
      <c r="E1820" s="183"/>
      <c r="F1820" s="229" t="str">
        <f>IF(OR(D1820="",E1820=""),"",ROUND(D1820/LOOKUP(E1820,SMMLV!$A$2:$A$36,SMMLV!$D$2:$D$104),3))</f>
        <v/>
      </c>
    </row>
    <row r="1821" spans="5:6">
      <c r="E1821" s="183"/>
      <c r="F1821" s="229" t="str">
        <f>IF(OR(D1821="",E1821=""),"",ROUND(D1821/LOOKUP(E1821,SMMLV!$A$2:$A$36,SMMLV!$D$2:$D$104),3))</f>
        <v/>
      </c>
    </row>
    <row r="1822" spans="5:6">
      <c r="E1822" s="183"/>
      <c r="F1822" s="229" t="str">
        <f>IF(OR(D1822="",E1822=""),"",ROUND(D1822/LOOKUP(E1822,SMMLV!$A$2:$A$36,SMMLV!$D$2:$D$104),3))</f>
        <v/>
      </c>
    </row>
    <row r="1823" spans="5:6">
      <c r="E1823" s="183"/>
      <c r="F1823" s="229" t="str">
        <f>IF(OR(D1823="",E1823=""),"",ROUND(D1823/LOOKUP(E1823,SMMLV!$A$2:$A$36,SMMLV!$D$2:$D$104),3))</f>
        <v/>
      </c>
    </row>
    <row r="1824" spans="5:6">
      <c r="E1824" s="183"/>
      <c r="F1824" s="229" t="str">
        <f>IF(OR(D1824="",E1824=""),"",ROUND(D1824/LOOKUP(E1824,SMMLV!$A$2:$A$36,SMMLV!$D$2:$D$104),3))</f>
        <v/>
      </c>
    </row>
    <row r="1825" spans="5:6">
      <c r="E1825" s="183"/>
      <c r="F1825" s="229" t="str">
        <f>IF(OR(D1825="",E1825=""),"",ROUND(D1825/LOOKUP(E1825,SMMLV!$A$2:$A$36,SMMLV!$D$2:$D$104),3))</f>
        <v/>
      </c>
    </row>
    <row r="1826" spans="5:6">
      <c r="E1826" s="183"/>
      <c r="F1826" s="229" t="str">
        <f>IF(OR(D1826="",E1826=""),"",ROUND(D1826/LOOKUP(E1826,SMMLV!$A$2:$A$36,SMMLV!$D$2:$D$104),3))</f>
        <v/>
      </c>
    </row>
    <row r="1827" spans="5:6">
      <c r="E1827" s="183"/>
      <c r="F1827" s="229" t="str">
        <f>IF(OR(D1827="",E1827=""),"",ROUND(D1827/LOOKUP(E1827,SMMLV!$A$2:$A$36,SMMLV!$D$2:$D$104),3))</f>
        <v/>
      </c>
    </row>
    <row r="1828" spans="5:6">
      <c r="E1828" s="183"/>
      <c r="F1828" s="229" t="str">
        <f>IF(OR(D1828="",E1828=""),"",ROUND(D1828/LOOKUP(E1828,SMMLV!$A$2:$A$36,SMMLV!$D$2:$D$104),3))</f>
        <v/>
      </c>
    </row>
    <row r="1829" spans="5:6">
      <c r="E1829" s="183"/>
      <c r="F1829" s="229" t="str">
        <f>IF(OR(D1829="",E1829=""),"",ROUND(D1829/LOOKUP(E1829,SMMLV!$A$2:$A$36,SMMLV!$D$2:$D$104),3))</f>
        <v/>
      </c>
    </row>
    <row r="1830" spans="5:6">
      <c r="E1830" s="183"/>
      <c r="F1830" s="229" t="str">
        <f>IF(OR(D1830="",E1830=""),"",ROUND(D1830/LOOKUP(E1830,SMMLV!$A$2:$A$36,SMMLV!$D$2:$D$104),3))</f>
        <v/>
      </c>
    </row>
    <row r="1831" spans="5:6">
      <c r="E1831" s="183"/>
      <c r="F1831" s="229" t="str">
        <f>IF(OR(D1831="",E1831=""),"",ROUND(D1831/LOOKUP(E1831,SMMLV!$A$2:$A$36,SMMLV!$D$2:$D$104),3))</f>
        <v/>
      </c>
    </row>
    <row r="1832" spans="5:6">
      <c r="E1832" s="183"/>
      <c r="F1832" s="229" t="str">
        <f>IF(OR(D1832="",E1832=""),"",ROUND(D1832/LOOKUP(E1832,SMMLV!$A$2:$A$36,SMMLV!$D$2:$D$104),3))</f>
        <v/>
      </c>
    </row>
    <row r="1833" spans="5:6">
      <c r="E1833" s="183"/>
      <c r="F1833" s="229" t="str">
        <f>IF(OR(D1833="",E1833=""),"",ROUND(D1833/LOOKUP(E1833,SMMLV!$A$2:$A$36,SMMLV!$D$2:$D$104),3))</f>
        <v/>
      </c>
    </row>
    <row r="1834" spans="5:6">
      <c r="E1834" s="183"/>
      <c r="F1834" s="229" t="str">
        <f>IF(OR(D1834="",E1834=""),"",ROUND(D1834/LOOKUP(E1834,SMMLV!$A$2:$A$36,SMMLV!$D$2:$D$104),3))</f>
        <v/>
      </c>
    </row>
    <row r="1835" spans="5:6">
      <c r="E1835" s="183"/>
      <c r="F1835" s="229" t="str">
        <f>IF(OR(D1835="",E1835=""),"",ROUND(D1835/LOOKUP(E1835,SMMLV!$A$2:$A$36,SMMLV!$D$2:$D$104),3))</f>
        <v/>
      </c>
    </row>
    <row r="1836" spans="5:6">
      <c r="E1836" s="183"/>
      <c r="F1836" s="229" t="str">
        <f>IF(OR(D1836="",E1836=""),"",ROUND(D1836/LOOKUP(E1836,SMMLV!$A$2:$A$36,SMMLV!$D$2:$D$104),3))</f>
        <v/>
      </c>
    </row>
    <row r="1837" spans="5:6">
      <c r="E1837" s="183"/>
      <c r="F1837" s="229" t="str">
        <f>IF(OR(D1837="",E1837=""),"",ROUND(D1837/LOOKUP(E1837,SMMLV!$A$2:$A$36,SMMLV!$D$2:$D$104),3))</f>
        <v/>
      </c>
    </row>
    <row r="1838" spans="5:6">
      <c r="E1838" s="183"/>
      <c r="F1838" s="229" t="str">
        <f>IF(OR(D1838="",E1838=""),"",ROUND(D1838/LOOKUP(E1838,SMMLV!$A$2:$A$36,SMMLV!$D$2:$D$104),3))</f>
        <v/>
      </c>
    </row>
    <row r="1839" spans="5:6">
      <c r="E1839" s="183"/>
      <c r="F1839" s="229" t="str">
        <f>IF(OR(D1839="",E1839=""),"",ROUND(D1839/LOOKUP(E1839,SMMLV!$A$2:$A$36,SMMLV!$D$2:$D$104),3))</f>
        <v/>
      </c>
    </row>
    <row r="1840" spans="5:6">
      <c r="E1840" s="183"/>
      <c r="F1840" s="229" t="str">
        <f>IF(OR(D1840="",E1840=""),"",ROUND(D1840/LOOKUP(E1840,SMMLV!$A$2:$A$36,SMMLV!$D$2:$D$104),3))</f>
        <v/>
      </c>
    </row>
    <row r="1841" spans="5:6">
      <c r="E1841" s="183"/>
      <c r="F1841" s="229" t="str">
        <f>IF(OR(D1841="",E1841=""),"",ROUND(D1841/LOOKUP(E1841,SMMLV!$A$2:$A$36,SMMLV!$D$2:$D$104),3))</f>
        <v/>
      </c>
    </row>
    <row r="1842" spans="5:6">
      <c r="E1842" s="183"/>
      <c r="F1842" s="229" t="str">
        <f>IF(OR(D1842="",E1842=""),"",ROUND(D1842/LOOKUP(E1842,SMMLV!$A$2:$A$36,SMMLV!$D$2:$D$104),3))</f>
        <v/>
      </c>
    </row>
    <row r="1843" spans="5:6">
      <c r="E1843" s="183"/>
      <c r="F1843" s="229" t="str">
        <f>IF(OR(D1843="",E1843=""),"",ROUND(D1843/LOOKUP(E1843,SMMLV!$A$2:$A$36,SMMLV!$D$2:$D$104),3))</f>
        <v/>
      </c>
    </row>
    <row r="1844" spans="5:6">
      <c r="E1844" s="183"/>
      <c r="F1844" s="229" t="str">
        <f>IF(OR(D1844="",E1844=""),"",ROUND(D1844/LOOKUP(E1844,SMMLV!$A$2:$A$36,SMMLV!$D$2:$D$104),3))</f>
        <v/>
      </c>
    </row>
    <row r="1845" spans="5:6">
      <c r="E1845" s="183"/>
      <c r="F1845" s="229" t="str">
        <f>IF(OR(D1845="",E1845=""),"",ROUND(D1845/LOOKUP(E1845,SMMLV!$A$2:$A$36,SMMLV!$D$2:$D$104),3))</f>
        <v/>
      </c>
    </row>
    <row r="1846" spans="5:6">
      <c r="E1846" s="183"/>
      <c r="F1846" s="229" t="str">
        <f>IF(OR(D1846="",E1846=""),"",ROUND(D1846/LOOKUP(E1846,SMMLV!$A$2:$A$36,SMMLV!$D$2:$D$104),3))</f>
        <v/>
      </c>
    </row>
    <row r="1847" spans="5:6">
      <c r="E1847" s="183"/>
      <c r="F1847" s="229" t="str">
        <f>IF(OR(D1847="",E1847=""),"",ROUND(D1847/LOOKUP(E1847,SMMLV!$A$2:$A$36,SMMLV!$D$2:$D$104),3))</f>
        <v/>
      </c>
    </row>
    <row r="1848" spans="5:6">
      <c r="E1848" s="183"/>
      <c r="F1848" s="229" t="str">
        <f>IF(OR(D1848="",E1848=""),"",ROUND(D1848/LOOKUP(E1848,SMMLV!$A$2:$A$36,SMMLV!$D$2:$D$104),3))</f>
        <v/>
      </c>
    </row>
    <row r="1849" spans="5:6">
      <c r="E1849" s="183"/>
      <c r="F1849" s="229" t="str">
        <f>IF(OR(D1849="",E1849=""),"",ROUND(D1849/LOOKUP(E1849,SMMLV!$A$2:$A$36,SMMLV!$D$2:$D$104),3))</f>
        <v/>
      </c>
    </row>
    <row r="1850" spans="5:6">
      <c r="E1850" s="183"/>
      <c r="F1850" s="229" t="str">
        <f>IF(OR(D1850="",E1850=""),"",ROUND(D1850/LOOKUP(E1850,SMMLV!$A$2:$A$36,SMMLV!$D$2:$D$104),3))</f>
        <v/>
      </c>
    </row>
    <row r="1851" spans="5:6">
      <c r="E1851" s="183"/>
      <c r="F1851" s="229" t="str">
        <f>IF(OR(D1851="",E1851=""),"",ROUND(D1851/LOOKUP(E1851,SMMLV!$A$2:$A$36,SMMLV!$D$2:$D$104),3))</f>
        <v/>
      </c>
    </row>
    <row r="1852" spans="5:6">
      <c r="E1852" s="183"/>
      <c r="F1852" s="229" t="str">
        <f>IF(OR(D1852="",E1852=""),"",ROUND(D1852/LOOKUP(E1852,SMMLV!$A$2:$A$36,SMMLV!$D$2:$D$104),3))</f>
        <v/>
      </c>
    </row>
    <row r="1853" spans="5:6">
      <c r="E1853" s="183"/>
      <c r="F1853" s="229" t="str">
        <f>IF(OR(D1853="",E1853=""),"",ROUND(D1853/LOOKUP(E1853,SMMLV!$A$2:$A$36,SMMLV!$D$2:$D$104),3))</f>
        <v/>
      </c>
    </row>
    <row r="1854" spans="5:6">
      <c r="E1854" s="183"/>
      <c r="F1854" s="229" t="str">
        <f>IF(OR(D1854="",E1854=""),"",ROUND(D1854/LOOKUP(E1854,SMMLV!$A$2:$A$36,SMMLV!$D$2:$D$104),3))</f>
        <v/>
      </c>
    </row>
    <row r="1855" spans="5:6">
      <c r="E1855" s="183"/>
      <c r="F1855" s="229" t="str">
        <f>IF(OR(D1855="",E1855=""),"",ROUND(D1855/LOOKUP(E1855,SMMLV!$A$2:$A$36,SMMLV!$D$2:$D$104),3))</f>
        <v/>
      </c>
    </row>
    <row r="1856" spans="5:6">
      <c r="E1856" s="183"/>
      <c r="F1856" s="229" t="str">
        <f>IF(OR(D1856="",E1856=""),"",ROUND(D1856/LOOKUP(E1856,SMMLV!$A$2:$A$36,SMMLV!$D$2:$D$104),3))</f>
        <v/>
      </c>
    </row>
    <row r="1857" spans="5:6">
      <c r="E1857" s="183"/>
      <c r="F1857" s="229" t="str">
        <f>IF(OR(D1857="",E1857=""),"",ROUND(D1857/LOOKUP(E1857,SMMLV!$A$2:$A$36,SMMLV!$D$2:$D$104),3))</f>
        <v/>
      </c>
    </row>
    <row r="1858" spans="5:6">
      <c r="E1858" s="183"/>
      <c r="F1858" s="229" t="str">
        <f>IF(OR(D1858="",E1858=""),"",ROUND(D1858/LOOKUP(E1858,SMMLV!$A$2:$A$36,SMMLV!$D$2:$D$104),3))</f>
        <v/>
      </c>
    </row>
    <row r="1859" spans="5:6">
      <c r="E1859" s="183"/>
      <c r="F1859" s="229" t="str">
        <f>IF(OR(D1859="",E1859=""),"",ROUND(D1859/LOOKUP(E1859,SMMLV!$A$2:$A$36,SMMLV!$D$2:$D$104),3))</f>
        <v/>
      </c>
    </row>
    <row r="1860" spans="5:6">
      <c r="E1860" s="183"/>
      <c r="F1860" s="229" t="str">
        <f>IF(OR(D1860="",E1860=""),"",ROUND(D1860/LOOKUP(E1860,SMMLV!$A$2:$A$36,SMMLV!$D$2:$D$104),3))</f>
        <v/>
      </c>
    </row>
    <row r="1861" spans="5:6">
      <c r="E1861" s="183"/>
      <c r="F1861" s="229" t="str">
        <f>IF(OR(D1861="",E1861=""),"",ROUND(D1861/LOOKUP(E1861,SMMLV!$A$2:$A$36,SMMLV!$D$2:$D$104),3))</f>
        <v/>
      </c>
    </row>
    <row r="1862" spans="5:6">
      <c r="E1862" s="183"/>
      <c r="F1862" s="229" t="str">
        <f>IF(OR(D1862="",E1862=""),"",ROUND(D1862/LOOKUP(E1862,SMMLV!$A$2:$A$36,SMMLV!$D$2:$D$104),3))</f>
        <v/>
      </c>
    </row>
    <row r="1863" spans="5:6">
      <c r="E1863" s="183"/>
      <c r="F1863" s="229" t="str">
        <f>IF(OR(D1863="",E1863=""),"",ROUND(D1863/LOOKUP(E1863,SMMLV!$A$2:$A$36,SMMLV!$D$2:$D$104),3))</f>
        <v/>
      </c>
    </row>
    <row r="1864" spans="5:6">
      <c r="E1864" s="183"/>
      <c r="F1864" s="229" t="str">
        <f>IF(OR(D1864="",E1864=""),"",ROUND(D1864/LOOKUP(E1864,SMMLV!$A$2:$A$36,SMMLV!$D$2:$D$104),3))</f>
        <v/>
      </c>
    </row>
    <row r="1865" spans="5:6">
      <c r="E1865" s="183"/>
      <c r="F1865" s="229" t="str">
        <f>IF(OR(D1865="",E1865=""),"",ROUND(D1865/LOOKUP(E1865,SMMLV!$A$2:$A$36,SMMLV!$D$2:$D$104),3))</f>
        <v/>
      </c>
    </row>
    <row r="1866" spans="5:6">
      <c r="E1866" s="183"/>
      <c r="F1866" s="229" t="str">
        <f>IF(OR(D1866="",E1866=""),"",ROUND(D1866/LOOKUP(E1866,SMMLV!$A$2:$A$36,SMMLV!$D$2:$D$104),3))</f>
        <v/>
      </c>
    </row>
    <row r="1867" spans="5:6">
      <c r="E1867" s="183"/>
      <c r="F1867" s="229" t="str">
        <f>IF(OR(D1867="",E1867=""),"",ROUND(D1867/LOOKUP(E1867,SMMLV!$A$2:$A$36,SMMLV!$D$2:$D$104),3))</f>
        <v/>
      </c>
    </row>
    <row r="1868" spans="5:6">
      <c r="E1868" s="183"/>
      <c r="F1868" s="229" t="str">
        <f>IF(OR(D1868="",E1868=""),"",ROUND(D1868/LOOKUP(E1868,SMMLV!$A$2:$A$36,SMMLV!$D$2:$D$104),3))</f>
        <v/>
      </c>
    </row>
    <row r="1869" spans="5:6">
      <c r="E1869" s="183"/>
      <c r="F1869" s="229" t="str">
        <f>IF(OR(D1869="",E1869=""),"",ROUND(D1869/LOOKUP(E1869,SMMLV!$A$2:$A$36,SMMLV!$D$2:$D$104),3))</f>
        <v/>
      </c>
    </row>
    <row r="1870" spans="5:6">
      <c r="E1870" s="183"/>
      <c r="F1870" s="229" t="str">
        <f>IF(OR(D1870="",E1870=""),"",ROUND(D1870/LOOKUP(E1870,SMMLV!$A$2:$A$36,SMMLV!$D$2:$D$104),3))</f>
        <v/>
      </c>
    </row>
    <row r="1871" spans="5:6">
      <c r="E1871" s="183"/>
      <c r="F1871" s="229" t="str">
        <f>IF(OR(D1871="",E1871=""),"",ROUND(D1871/LOOKUP(E1871,SMMLV!$A$2:$A$36,SMMLV!$D$2:$D$104),3))</f>
        <v/>
      </c>
    </row>
    <row r="1872" spans="5:6">
      <c r="E1872" s="183"/>
      <c r="F1872" s="229" t="str">
        <f>IF(OR(D1872="",E1872=""),"",ROUND(D1872/LOOKUP(E1872,SMMLV!$A$2:$A$36,SMMLV!$D$2:$D$104),3))</f>
        <v/>
      </c>
    </row>
    <row r="1873" spans="5:6">
      <c r="E1873" s="183"/>
      <c r="F1873" s="229" t="str">
        <f>IF(OR(D1873="",E1873=""),"",ROUND(D1873/LOOKUP(E1873,SMMLV!$A$2:$A$36,SMMLV!$D$2:$D$104),3))</f>
        <v/>
      </c>
    </row>
    <row r="1874" spans="5:6">
      <c r="E1874" s="183"/>
      <c r="F1874" s="229" t="str">
        <f>IF(OR(D1874="",E1874=""),"",ROUND(D1874/LOOKUP(E1874,SMMLV!$A$2:$A$36,SMMLV!$D$2:$D$104),3))</f>
        <v/>
      </c>
    </row>
    <row r="1875" spans="5:6">
      <c r="E1875" s="183"/>
      <c r="F1875" s="229" t="str">
        <f>IF(OR(D1875="",E1875=""),"",ROUND(D1875/LOOKUP(E1875,SMMLV!$A$2:$A$36,SMMLV!$D$2:$D$104),3))</f>
        <v/>
      </c>
    </row>
    <row r="1876" spans="5:6">
      <c r="E1876" s="183"/>
      <c r="F1876" s="229" t="str">
        <f>IF(OR(D1876="",E1876=""),"",ROUND(D1876/LOOKUP(E1876,SMMLV!$A$2:$A$36,SMMLV!$D$2:$D$104),3))</f>
        <v/>
      </c>
    </row>
    <row r="1877" spans="5:6">
      <c r="E1877" s="183"/>
      <c r="F1877" s="229" t="str">
        <f>IF(OR(D1877="",E1877=""),"",ROUND(D1877/LOOKUP(E1877,SMMLV!$A$2:$A$36,SMMLV!$D$2:$D$104),3))</f>
        <v/>
      </c>
    </row>
    <row r="1878" spans="5:6">
      <c r="E1878" s="183"/>
      <c r="F1878" s="229" t="str">
        <f>IF(OR(D1878="",E1878=""),"",ROUND(D1878/LOOKUP(E1878,SMMLV!$A$2:$A$36,SMMLV!$D$2:$D$104),3))</f>
        <v/>
      </c>
    </row>
    <row r="1879" spans="5:6">
      <c r="E1879" s="183"/>
      <c r="F1879" s="229" t="str">
        <f>IF(OR(D1879="",E1879=""),"",ROUND(D1879/LOOKUP(E1879,SMMLV!$A$2:$A$36,SMMLV!$D$2:$D$104),3))</f>
        <v/>
      </c>
    </row>
    <row r="1880" spans="5:6">
      <c r="E1880" s="183"/>
      <c r="F1880" s="229" t="str">
        <f>IF(OR(D1880="",E1880=""),"",ROUND(D1880/LOOKUP(E1880,SMMLV!$A$2:$A$36,SMMLV!$D$2:$D$104),3))</f>
        <v/>
      </c>
    </row>
    <row r="1881" spans="5:6">
      <c r="E1881" s="183"/>
      <c r="F1881" s="229" t="str">
        <f>IF(OR(D1881="",E1881=""),"",ROUND(D1881/LOOKUP(E1881,SMMLV!$A$2:$A$36,SMMLV!$D$2:$D$104),3))</f>
        <v/>
      </c>
    </row>
    <row r="1882" spans="5:6">
      <c r="E1882" s="183"/>
      <c r="F1882" s="229" t="str">
        <f>IF(OR(D1882="",E1882=""),"",ROUND(D1882/LOOKUP(E1882,SMMLV!$A$2:$A$36,SMMLV!$D$2:$D$104),3))</f>
        <v/>
      </c>
    </row>
    <row r="1883" spans="5:6">
      <c r="E1883" s="183"/>
      <c r="F1883" s="229" t="str">
        <f>IF(OR(D1883="",E1883=""),"",ROUND(D1883/LOOKUP(E1883,SMMLV!$A$2:$A$36,SMMLV!$D$2:$D$104),3))</f>
        <v/>
      </c>
    </row>
    <row r="1884" spans="5:6">
      <c r="E1884" s="183"/>
      <c r="F1884" s="229" t="str">
        <f>IF(OR(D1884="",E1884=""),"",ROUND(D1884/LOOKUP(E1884,SMMLV!$A$2:$A$36,SMMLV!$D$2:$D$104),3))</f>
        <v/>
      </c>
    </row>
    <row r="1885" spans="5:6">
      <c r="E1885" s="183"/>
      <c r="F1885" s="229" t="str">
        <f>IF(OR(D1885="",E1885=""),"",ROUND(D1885/LOOKUP(E1885,SMMLV!$A$2:$A$36,SMMLV!$D$2:$D$104),3))</f>
        <v/>
      </c>
    </row>
    <row r="1886" spans="5:6">
      <c r="F1886" s="229" t="str">
        <f>IF(OR(D1886="",E1886=""),"",ROUND(D1886/LOOKUP(E1886,SMMLV!$A$2:$A$36,SMMLV!$D$2:$D$104),3))</f>
        <v/>
      </c>
    </row>
    <row r="1887" spans="5:6">
      <c r="F1887" s="229" t="str">
        <f>IF(OR(D1887="",E1887=""),"",ROUND(D1887/LOOKUP(E1887,SMMLV!$A$2:$A$36,SMMLV!$D$2:$D$104),3))</f>
        <v/>
      </c>
    </row>
    <row r="1888" spans="5:6">
      <c r="F1888" s="229" t="str">
        <f>IF(OR(D1888="",E1888=""),"",ROUND(D1888/LOOKUP(E1888,SMMLV!$A$2:$A$36,SMMLV!$D$2:$D$104),3))</f>
        <v/>
      </c>
    </row>
    <row r="1889" spans="6:6">
      <c r="F1889" s="229" t="str">
        <f>IF(OR(D1889="",E1889=""),"",ROUND(D1889/LOOKUP(E1889,SMMLV!$A$2:$A$36,SMMLV!$D$2:$D$104),3))</f>
        <v/>
      </c>
    </row>
    <row r="1890" spans="6:6">
      <c r="F1890" s="229" t="str">
        <f>IF(OR(D1890="",E1890=""),"",ROUND(D1890/LOOKUP(E1890,SMMLV!$A$2:$A$36,SMMLV!$D$2:$D$104),3))</f>
        <v/>
      </c>
    </row>
    <row r="1891" spans="6:6">
      <c r="F1891" s="229" t="str">
        <f>IF(OR(D1891="",E1891=""),"",ROUND(D1891/LOOKUP(E1891,SMMLV!$A$2:$A$36,SMMLV!$D$2:$D$104),3))</f>
        <v/>
      </c>
    </row>
    <row r="1892" spans="6:6">
      <c r="F1892" s="229" t="str">
        <f>IF(OR(D1892="",E1892=""),"",ROUND(D1892/LOOKUP(E1892,SMMLV!$A$2:$A$36,SMMLV!$D$2:$D$104),3))</f>
        <v/>
      </c>
    </row>
    <row r="1893" spans="6:6">
      <c r="F1893" s="229" t="str">
        <f>IF(OR(D1893="",E1893=""),"",ROUND(D1893/LOOKUP(E1893,SMMLV!$A$2:$A$36,SMMLV!$D$2:$D$104),3))</f>
        <v/>
      </c>
    </row>
    <row r="1894" spans="6:6">
      <c r="F1894" s="229" t="str">
        <f>IF(OR(D1894="",E1894=""),"",ROUND(D1894/LOOKUP(E1894,SMMLV!$A$2:$A$36,SMMLV!$D$2:$D$104),3))</f>
        <v/>
      </c>
    </row>
    <row r="1895" spans="6:6">
      <c r="F1895" s="229" t="str">
        <f>IF(OR(D1895="",E1895=""),"",ROUND(D1895/LOOKUP(E1895,SMMLV!$A$2:$A$36,SMMLV!$D$2:$D$104),3))</f>
        <v/>
      </c>
    </row>
    <row r="1896" spans="6:6">
      <c r="F1896" s="229" t="str">
        <f>IF(OR(D1896="",E1896=""),"",ROUND(D1896/LOOKUP(E1896,SMMLV!$A$2:$A$36,SMMLV!$D$2:$D$104),3))</f>
        <v/>
      </c>
    </row>
    <row r="1897" spans="6:6">
      <c r="F1897" s="229" t="str">
        <f>IF(OR(D1897="",E1897=""),"",ROUND(D1897/LOOKUP(E1897,SMMLV!$A$2:$A$36,SMMLV!$D$2:$D$104),3))</f>
        <v/>
      </c>
    </row>
    <row r="1898" spans="6:6">
      <c r="F1898" s="229" t="str">
        <f>IF(OR(D1898="",E1898=""),"",ROUND(D1898/LOOKUP(E1898,SMMLV!$A$2:$A$36,SMMLV!$D$2:$D$104),3))</f>
        <v/>
      </c>
    </row>
    <row r="1899" spans="6:6">
      <c r="F1899" s="229" t="str">
        <f>IF(OR(D1899="",E1899=""),"",ROUND(D1899/LOOKUP(E1899,SMMLV!$A$2:$A$36,SMMLV!$D$2:$D$104),3))</f>
        <v/>
      </c>
    </row>
    <row r="1900" spans="6:6">
      <c r="F1900" s="229" t="str">
        <f>IF(OR(D1900="",E1900=""),"",ROUND(D1900/LOOKUP(E1900,SMMLV!$A$2:$A$36,SMMLV!$D$2:$D$104),3))</f>
        <v/>
      </c>
    </row>
    <row r="1901" spans="6:6">
      <c r="F1901" s="229" t="str">
        <f>IF(OR(D1901="",E1901=""),"",ROUND(D1901/LOOKUP(E1901,SMMLV!$A$2:$A$36,SMMLV!$D$2:$D$104),3))</f>
        <v/>
      </c>
    </row>
    <row r="1902" spans="6:6">
      <c r="F1902" s="229" t="str">
        <f>IF(OR(D1902="",E1902=""),"",ROUND(D1902/LOOKUP(E1902,SMMLV!$A$2:$A$36,SMMLV!$D$2:$D$104),3))</f>
        <v/>
      </c>
    </row>
    <row r="1903" spans="6:6">
      <c r="F1903" s="229" t="str">
        <f>IF(OR(D1903="",E1903=""),"",ROUND(D1903/LOOKUP(E1903,SMMLV!$A$2:$A$36,SMMLV!$D$2:$D$104),3))</f>
        <v/>
      </c>
    </row>
    <row r="1904" spans="6:6">
      <c r="F1904" s="229" t="str">
        <f>IF(OR(D1904="",E1904=""),"",ROUND(D1904/LOOKUP(E1904,SMMLV!$A$2:$A$36,SMMLV!$D$2:$D$104),3))</f>
        <v/>
      </c>
    </row>
    <row r="1905" spans="6:6">
      <c r="F1905" s="229" t="str">
        <f>IF(OR(D1905="",E1905=""),"",ROUND(D1905/LOOKUP(E1905,SMMLV!$A$2:$A$36,SMMLV!$D$2:$D$104),3))</f>
        <v/>
      </c>
    </row>
    <row r="1906" spans="6:6">
      <c r="F1906" s="229" t="str">
        <f>IF(OR(D1906="",E1906=""),"",ROUND(D1906/LOOKUP(E1906,SMMLV!$A$2:$A$36,SMMLV!$D$2:$D$104),3))</f>
        <v/>
      </c>
    </row>
    <row r="1907" spans="6:6">
      <c r="F1907" s="229" t="str">
        <f>IF(OR(D1907="",E1907=""),"",ROUND(D1907/LOOKUP(E1907,SMMLV!$A$2:$A$36,SMMLV!$D$2:$D$104),3))</f>
        <v/>
      </c>
    </row>
    <row r="1908" spans="6:6">
      <c r="F1908" s="229" t="str">
        <f>IF(OR(D1908="",E1908=""),"",ROUND(D1908/LOOKUP(E1908,SMMLV!$A$2:$A$36,SMMLV!$D$2:$D$104),3))</f>
        <v/>
      </c>
    </row>
    <row r="1909" spans="6:6">
      <c r="F1909" s="229" t="str">
        <f>IF(OR(D1909="",E1909=""),"",ROUND(D1909/LOOKUP(E1909,SMMLV!$A$2:$A$36,SMMLV!$D$2:$D$104),3))</f>
        <v/>
      </c>
    </row>
    <row r="1910" spans="6:6">
      <c r="F1910" s="229" t="str">
        <f>IF(OR(D1910="",E1910=""),"",ROUND(D1910/LOOKUP(E1910,SMMLV!$A$2:$A$36,SMMLV!$D$2:$D$104),3))</f>
        <v/>
      </c>
    </row>
    <row r="1911" spans="6:6">
      <c r="F1911" s="229" t="str">
        <f>IF(OR(D1911="",E1911=""),"",ROUND(D1911/LOOKUP(E1911,SMMLV!$A$2:$A$36,SMMLV!$D$2:$D$104),3))</f>
        <v/>
      </c>
    </row>
    <row r="1912" spans="6:6">
      <c r="F1912" s="229" t="str">
        <f>IF(OR(D1912="",E1912=""),"",ROUND(D1912/LOOKUP(E1912,SMMLV!$A$2:$A$36,SMMLV!$D$2:$D$104),3))</f>
        <v/>
      </c>
    </row>
    <row r="1913" spans="6:6">
      <c r="F1913" s="229" t="str">
        <f>IF(OR(D1913="",E1913=""),"",ROUND(D1913/LOOKUP(E1913,SMMLV!$A$2:$A$36,SMMLV!$D$2:$D$104),3))</f>
        <v/>
      </c>
    </row>
    <row r="1914" spans="6:6">
      <c r="F1914" s="229" t="str">
        <f>IF(OR(D1914="",E1914=""),"",ROUND(D1914/LOOKUP(E1914,SMMLV!$A$2:$A$36,SMMLV!$D$2:$D$104),3))</f>
        <v/>
      </c>
    </row>
    <row r="1915" spans="6:6">
      <c r="F1915" s="229" t="str">
        <f>IF(OR(D1915="",E1915=""),"",ROUND(D1915/LOOKUP(E1915,SMMLV!$A$2:$A$36,SMMLV!$D$2:$D$104),3))</f>
        <v/>
      </c>
    </row>
    <row r="1916" spans="6:6">
      <c r="F1916" s="229" t="str">
        <f>IF(OR(D1916="",E1916=""),"",ROUND(D1916/LOOKUP(E1916,SMMLV!$A$2:$A$36,SMMLV!$D$2:$D$104),3))</f>
        <v/>
      </c>
    </row>
    <row r="1917" spans="6:6">
      <c r="F1917" s="229" t="str">
        <f>IF(OR(D1917="",E1917=""),"",ROUND(D1917/LOOKUP(E1917,SMMLV!$A$2:$A$36,SMMLV!$D$2:$D$104),3))</f>
        <v/>
      </c>
    </row>
    <row r="1918" spans="6:6">
      <c r="F1918" s="229" t="str">
        <f>IF(OR(D1918="",E1918=""),"",ROUND(D1918/LOOKUP(E1918,SMMLV!$A$2:$A$36,SMMLV!$D$2:$D$104),3))</f>
        <v/>
      </c>
    </row>
    <row r="1919" spans="6:6">
      <c r="F1919" s="229" t="str">
        <f>IF(OR(D1919="",E1919=""),"",ROUND(D1919/LOOKUP(E1919,SMMLV!$A$2:$A$36,SMMLV!$D$2:$D$104),3))</f>
        <v/>
      </c>
    </row>
    <row r="1920" spans="6:6">
      <c r="F1920" s="229" t="str">
        <f>IF(OR(D1920="",E1920=""),"",ROUND(D1920/LOOKUP(E1920,SMMLV!$A$2:$A$36,SMMLV!$D$2:$D$104),3))</f>
        <v/>
      </c>
    </row>
    <row r="1921" spans="6:6">
      <c r="F1921" s="229" t="str">
        <f>IF(OR(D1921="",E1921=""),"",ROUND(D1921/LOOKUP(E1921,SMMLV!$A$2:$A$36,SMMLV!$D$2:$D$104),3))</f>
        <v/>
      </c>
    </row>
    <row r="1922" spans="6:6">
      <c r="F1922" s="229" t="str">
        <f>IF(OR(D1922="",E1922=""),"",ROUND(D1922/LOOKUP(E1922,SMMLV!$A$2:$A$36,SMMLV!$D$2:$D$104),3))</f>
        <v/>
      </c>
    </row>
    <row r="1923" spans="6:6">
      <c r="F1923" s="229" t="str">
        <f>IF(OR(D1923="",E1923=""),"",ROUND(D1923/LOOKUP(E1923,SMMLV!$A$2:$A$36,SMMLV!$D$2:$D$104),3))</f>
        <v/>
      </c>
    </row>
    <row r="1924" spans="6:6">
      <c r="F1924" s="229" t="str">
        <f>IF(OR(D1924="",E1924=""),"",ROUND(D1924/LOOKUP(E1924,SMMLV!$A$2:$A$36,SMMLV!$D$2:$D$104),3))</f>
        <v/>
      </c>
    </row>
    <row r="1925" spans="6:6">
      <c r="F1925" s="229" t="str">
        <f>IF(OR(D1925="",E1925=""),"",ROUND(D1925/LOOKUP(E1925,SMMLV!$A$2:$A$36,SMMLV!$D$2:$D$104),3))</f>
        <v/>
      </c>
    </row>
    <row r="1926" spans="6:6">
      <c r="F1926" s="229" t="str">
        <f>IF(OR(D1926="",E1926=""),"",ROUND(D1926/LOOKUP(E1926,SMMLV!$A$2:$A$36,SMMLV!$D$2:$D$104),3))</f>
        <v/>
      </c>
    </row>
    <row r="1927" spans="6:6">
      <c r="F1927" s="229" t="str">
        <f>IF(OR(D1927="",E1927=""),"",ROUND(D1927/LOOKUP(E1927,SMMLV!$A$2:$A$36,SMMLV!$D$2:$D$104),3))</f>
        <v/>
      </c>
    </row>
    <row r="1928" spans="6:6">
      <c r="F1928" s="229" t="str">
        <f>IF(OR(D1928="",E1928=""),"",ROUND(D1928/LOOKUP(E1928,SMMLV!$A$2:$A$36,SMMLV!$D$2:$D$104),3))</f>
        <v/>
      </c>
    </row>
    <row r="1929" spans="6:6">
      <c r="F1929" s="229" t="str">
        <f>IF(OR(D1929="",E1929=""),"",ROUND(D1929/LOOKUP(E1929,SMMLV!$A$2:$A$36,SMMLV!$D$2:$D$104),3))</f>
        <v/>
      </c>
    </row>
    <row r="1930" spans="6:6">
      <c r="F1930" s="229" t="str">
        <f>IF(OR(D1930="",E1930=""),"",ROUND(D1930/LOOKUP(E1930,SMMLV!$A$2:$A$36,SMMLV!$D$2:$D$104),3))</f>
        <v/>
      </c>
    </row>
    <row r="1931" spans="6:6">
      <c r="F1931" s="229" t="str">
        <f>IF(OR(D1931="",E1931=""),"",ROUND(D1931/LOOKUP(E1931,SMMLV!$A$2:$A$36,SMMLV!$D$2:$D$104),3))</f>
        <v/>
      </c>
    </row>
    <row r="1932" spans="6:6">
      <c r="F1932" s="229" t="str">
        <f>IF(OR(D1932="",E1932=""),"",ROUND(D1932/LOOKUP(E1932,SMMLV!$A$2:$A$36,SMMLV!$D$2:$D$104),3))</f>
        <v/>
      </c>
    </row>
    <row r="1933" spans="6:6">
      <c r="F1933" s="229" t="str">
        <f>IF(OR(D1933="",E1933=""),"",ROUND(D1933/LOOKUP(E1933,SMMLV!$A$2:$A$36,SMMLV!$D$2:$D$104),3))</f>
        <v/>
      </c>
    </row>
    <row r="1934" spans="6:6">
      <c r="F1934" s="229" t="str">
        <f>IF(OR(D1934="",E1934=""),"",ROUND(D1934/LOOKUP(E1934,SMMLV!$A$2:$A$36,SMMLV!$D$2:$D$104),3))</f>
        <v/>
      </c>
    </row>
    <row r="1935" spans="6:6">
      <c r="F1935" s="229" t="str">
        <f>IF(OR(D1935="",E1935=""),"",ROUND(D1935/LOOKUP(E1935,SMMLV!$A$2:$A$36,SMMLV!$D$2:$D$104),3))</f>
        <v/>
      </c>
    </row>
    <row r="1936" spans="6:6">
      <c r="F1936" s="229" t="str">
        <f>IF(OR(D1936="",E1936=""),"",ROUND(D1936/LOOKUP(E1936,SMMLV!$A$2:$A$36,SMMLV!$D$2:$D$104),3))</f>
        <v/>
      </c>
    </row>
    <row r="1937" spans="6:6">
      <c r="F1937" s="229" t="str">
        <f>IF(OR(D1937="",E1937=""),"",ROUND(D1937/LOOKUP(E1937,SMMLV!$A$2:$A$36,SMMLV!$D$2:$D$104),3))</f>
        <v/>
      </c>
    </row>
    <row r="1938" spans="6:6">
      <c r="F1938" s="229" t="str">
        <f>IF(OR(D1938="",E1938=""),"",ROUND(D1938/LOOKUP(E1938,SMMLV!$A$2:$A$36,SMMLV!$D$2:$D$104),3))</f>
        <v/>
      </c>
    </row>
    <row r="1939" spans="6:6">
      <c r="F1939" s="229" t="str">
        <f>IF(OR(D1939="",E1939=""),"",ROUND(D1939/LOOKUP(E1939,SMMLV!$A$2:$A$36,SMMLV!$D$2:$D$104),3))</f>
        <v/>
      </c>
    </row>
    <row r="1940" spans="6:6">
      <c r="F1940" s="229" t="str">
        <f>IF(OR(D1940="",E1940=""),"",ROUND(D1940/LOOKUP(E1940,SMMLV!$A$2:$A$36,SMMLV!$D$2:$D$104),3))</f>
        <v/>
      </c>
    </row>
    <row r="1941" spans="6:6">
      <c r="F1941" s="229" t="str">
        <f>IF(OR(D1941="",E1941=""),"",ROUND(D1941/LOOKUP(E1941,SMMLV!$A$2:$A$36,SMMLV!$D$2:$D$104),3))</f>
        <v/>
      </c>
    </row>
    <row r="1942" spans="6:6">
      <c r="F1942" s="229" t="str">
        <f>IF(OR(D1942="",E1942=""),"",ROUND(D1942/LOOKUP(E1942,SMMLV!$A$2:$A$36,SMMLV!$D$2:$D$104),3))</f>
        <v/>
      </c>
    </row>
    <row r="1943" spans="6:6">
      <c r="F1943" s="229" t="str">
        <f>IF(OR(D1943="",E1943=""),"",ROUND(D1943/LOOKUP(E1943,SMMLV!$A$2:$A$36,SMMLV!$D$2:$D$104),3))</f>
        <v/>
      </c>
    </row>
    <row r="1944" spans="6:6">
      <c r="F1944" s="229" t="str">
        <f>IF(OR(D1944="",E1944=""),"",ROUND(D1944/LOOKUP(E1944,SMMLV!$A$2:$A$36,SMMLV!$D$2:$D$104),3))</f>
        <v/>
      </c>
    </row>
    <row r="1945" spans="6:6">
      <c r="F1945" s="229" t="str">
        <f>IF(OR(D1945="",E1945=""),"",ROUND(D1945/LOOKUP(E1945,SMMLV!$A$2:$A$36,SMMLV!$D$2:$D$104),3))</f>
        <v/>
      </c>
    </row>
    <row r="1946" spans="6:6">
      <c r="F1946" s="229" t="str">
        <f>IF(OR(D1946="",E1946=""),"",ROUND(D1946/LOOKUP(E1946,SMMLV!$A$2:$A$36,SMMLV!$D$2:$D$104),3))</f>
        <v/>
      </c>
    </row>
    <row r="1947" spans="6:6">
      <c r="F1947" s="229" t="str">
        <f>IF(OR(D1947="",E1947=""),"",ROUND(D1947/LOOKUP(E1947,SMMLV!$A$2:$A$36,SMMLV!$D$2:$D$104),3))</f>
        <v/>
      </c>
    </row>
    <row r="1948" spans="6:6">
      <c r="F1948" s="229" t="str">
        <f>IF(OR(D1948="",E1948=""),"",ROUND(D1948/LOOKUP(E1948,SMMLV!$A$2:$A$36,SMMLV!$D$2:$D$104),3))</f>
        <v/>
      </c>
    </row>
    <row r="1949" spans="6:6">
      <c r="F1949" s="229" t="str">
        <f>IF(OR(D1949="",E1949=""),"",ROUND(D1949/LOOKUP(E1949,SMMLV!$A$2:$A$36,SMMLV!$D$2:$D$104),3))</f>
        <v/>
      </c>
    </row>
    <row r="1950" spans="6:6">
      <c r="F1950" s="229" t="str">
        <f>IF(OR(D1950="",E1950=""),"",ROUND(D1950/LOOKUP(E1950,SMMLV!$A$2:$A$36,SMMLV!$D$2:$D$104),3))</f>
        <v/>
      </c>
    </row>
    <row r="1951" spans="6:6">
      <c r="F1951" s="229" t="str">
        <f>IF(OR(D1951="",E1951=""),"",ROUND(D1951/LOOKUP(E1951,SMMLV!$A$2:$A$36,SMMLV!$D$2:$D$104),3))</f>
        <v/>
      </c>
    </row>
    <row r="1952" spans="6:6">
      <c r="F1952" s="229" t="str">
        <f>IF(OR(D1952="",E1952=""),"",ROUND(D1952/LOOKUP(E1952,SMMLV!$A$2:$A$36,SMMLV!$D$2:$D$104),3))</f>
        <v/>
      </c>
    </row>
    <row r="1953" spans="6:6">
      <c r="F1953" s="229" t="str">
        <f>IF(OR(D1953="",E1953=""),"",ROUND(D1953/LOOKUP(E1953,SMMLV!$A$2:$A$36,SMMLV!$D$2:$D$104),3))</f>
        <v/>
      </c>
    </row>
    <row r="1954" spans="6:6">
      <c r="F1954" s="229" t="str">
        <f>IF(OR(D1954="",E1954=""),"",ROUND(D1954/LOOKUP(E1954,SMMLV!$A$2:$A$36,SMMLV!$D$2:$D$104),3))</f>
        <v/>
      </c>
    </row>
    <row r="1955" spans="6:6">
      <c r="F1955" s="229" t="str">
        <f>IF(OR(D1955="",E1955=""),"",ROUND(D1955/LOOKUP(E1955,SMMLV!$A$2:$A$36,SMMLV!$D$2:$D$104),3))</f>
        <v/>
      </c>
    </row>
    <row r="1956" spans="6:6">
      <c r="F1956" s="229" t="str">
        <f>IF(OR(D1956="",E1956=""),"",ROUND(D1956/LOOKUP(E1956,SMMLV!$A$2:$A$36,SMMLV!$D$2:$D$104),3))</f>
        <v/>
      </c>
    </row>
    <row r="1957" spans="6:6">
      <c r="F1957" s="229" t="str">
        <f>IF(OR(D1957="",E1957=""),"",ROUND(D1957/LOOKUP(E1957,SMMLV!$A$2:$A$36,SMMLV!$D$2:$D$104),3))</f>
        <v/>
      </c>
    </row>
    <row r="1958" spans="6:6">
      <c r="F1958" s="229" t="str">
        <f>IF(OR(D1958="",E1958=""),"",ROUND(D1958/LOOKUP(E1958,SMMLV!$A$2:$A$36,SMMLV!$D$2:$D$104),3))</f>
        <v/>
      </c>
    </row>
    <row r="1959" spans="6:6">
      <c r="F1959" s="229" t="str">
        <f>IF(OR(D1959="",E1959=""),"",ROUND(D1959/LOOKUP(E1959,SMMLV!$A$2:$A$36,SMMLV!$D$2:$D$104),3))</f>
        <v/>
      </c>
    </row>
    <row r="1960" spans="6:6">
      <c r="F1960" s="229" t="str">
        <f>IF(OR(D1960="",E1960=""),"",ROUND(D1960/LOOKUP(E1960,SMMLV!$A$2:$A$36,SMMLV!$D$2:$D$104),3))</f>
        <v/>
      </c>
    </row>
    <row r="1961" spans="6:6">
      <c r="F1961" s="229" t="str">
        <f>IF(OR(D1961="",E1961=""),"",ROUND(D1961/LOOKUP(E1961,SMMLV!$A$2:$A$36,SMMLV!$D$2:$D$104),3))</f>
        <v/>
      </c>
    </row>
    <row r="1962" spans="6:6">
      <c r="F1962" s="229" t="str">
        <f>IF(OR(D1962="",E1962=""),"",ROUND(D1962/LOOKUP(E1962,SMMLV!$A$2:$A$36,SMMLV!$D$2:$D$104),3))</f>
        <v/>
      </c>
    </row>
    <row r="1963" spans="6:6">
      <c r="F1963" s="229" t="str">
        <f>IF(OR(D1963="",E1963=""),"",ROUND(D1963/LOOKUP(E1963,SMMLV!$A$2:$A$36,SMMLV!$D$2:$D$104),3))</f>
        <v/>
      </c>
    </row>
    <row r="1964" spans="6:6">
      <c r="F1964" s="229" t="str">
        <f>IF(OR(D1964="",E1964=""),"",ROUND(D1964/LOOKUP(E1964,SMMLV!$A$2:$A$36,SMMLV!$D$2:$D$104),3))</f>
        <v/>
      </c>
    </row>
    <row r="1965" spans="6:6">
      <c r="F1965" s="229" t="str">
        <f>IF(OR(D1965="",E1965=""),"",ROUND(D1965/LOOKUP(E1965,SMMLV!$A$2:$A$36,SMMLV!$D$2:$D$104),3))</f>
        <v/>
      </c>
    </row>
    <row r="1966" spans="6:6">
      <c r="F1966" s="229" t="str">
        <f>IF(OR(D1966="",E1966=""),"",ROUND(D1966/LOOKUP(E1966,SMMLV!$A$2:$A$36,SMMLV!$D$2:$D$104),3))</f>
        <v/>
      </c>
    </row>
    <row r="1967" spans="6:6">
      <c r="F1967" s="229" t="str">
        <f>IF(OR(D1967="",E1967=""),"",ROUND(D1967/LOOKUP(E1967,SMMLV!$A$2:$A$36,SMMLV!$D$2:$D$104),3))</f>
        <v/>
      </c>
    </row>
    <row r="1968" spans="6:6">
      <c r="F1968" s="229" t="str">
        <f>IF(OR(D1968="",E1968=""),"",ROUND(D1968/LOOKUP(E1968,SMMLV!$A$2:$A$36,SMMLV!$D$2:$D$104),3))</f>
        <v/>
      </c>
    </row>
    <row r="1969" spans="6:6">
      <c r="F1969" s="229" t="str">
        <f>IF(OR(D1969="",E1969=""),"",ROUND(D1969/LOOKUP(E1969,SMMLV!$A$2:$A$36,SMMLV!$D$2:$D$104),3))</f>
        <v/>
      </c>
    </row>
    <row r="1970" spans="6:6">
      <c r="F1970" s="229" t="str">
        <f>IF(OR(D1970="",E1970=""),"",ROUND(D1970/LOOKUP(E1970,SMMLV!$A$2:$A$36,SMMLV!$D$2:$D$104),3))</f>
        <v/>
      </c>
    </row>
    <row r="1971" spans="6:6">
      <c r="F1971" s="229" t="str">
        <f>IF(OR(D1971="",E1971=""),"",ROUND(D1971/LOOKUP(E1971,SMMLV!$A$2:$A$36,SMMLV!$D$2:$D$104),3))</f>
        <v/>
      </c>
    </row>
    <row r="1972" spans="6:6">
      <c r="F1972" s="229" t="str">
        <f>IF(OR(D1972="",E1972=""),"",ROUND(D1972/LOOKUP(E1972,SMMLV!$A$2:$A$36,SMMLV!$D$2:$D$104),3))</f>
        <v/>
      </c>
    </row>
    <row r="1973" spans="6:6">
      <c r="F1973" s="229" t="str">
        <f>IF(OR(D1973="",E1973=""),"",ROUND(D1973/LOOKUP(E1973,SMMLV!$A$2:$A$36,SMMLV!$D$2:$D$104),3))</f>
        <v/>
      </c>
    </row>
    <row r="1974" spans="6:6">
      <c r="F1974" s="229" t="str">
        <f>IF(OR(D1974="",E1974=""),"",ROUND(D1974/LOOKUP(E1974,SMMLV!$A$2:$A$36,SMMLV!$D$2:$D$104),3))</f>
        <v/>
      </c>
    </row>
    <row r="1975" spans="6:6">
      <c r="F1975" s="229" t="str">
        <f>IF(OR(D1975="",E1975=""),"",ROUND(D1975/LOOKUP(E1975,SMMLV!$A$2:$A$36,SMMLV!$D$2:$D$104),3))</f>
        <v/>
      </c>
    </row>
    <row r="1976" spans="6:6">
      <c r="F1976" s="229" t="str">
        <f>IF(OR(D1976="",E1976=""),"",ROUND(D1976/LOOKUP(E1976,SMMLV!$A$2:$A$36,SMMLV!$D$2:$D$104),3))</f>
        <v/>
      </c>
    </row>
    <row r="1977" spans="6:6">
      <c r="F1977" s="229" t="str">
        <f>IF(OR(D1977="",E1977=""),"",ROUND(D1977/LOOKUP(E1977,SMMLV!$A$2:$A$36,SMMLV!$D$2:$D$104),3))</f>
        <v/>
      </c>
    </row>
    <row r="1978" spans="6:6">
      <c r="F1978" s="229" t="str">
        <f>IF(OR(D1978="",E1978=""),"",ROUND(D1978/LOOKUP(E1978,SMMLV!$A$2:$A$36,SMMLV!$D$2:$D$104),3))</f>
        <v/>
      </c>
    </row>
    <row r="1979" spans="6:6">
      <c r="F1979" s="229" t="str">
        <f>IF(OR(D1979="",E1979=""),"",ROUND(D1979/LOOKUP(E1979,SMMLV!$A$2:$A$36,SMMLV!$D$2:$D$104),3))</f>
        <v/>
      </c>
    </row>
    <row r="1980" spans="6:6">
      <c r="F1980" s="229" t="str">
        <f>IF(OR(D1980="",E1980=""),"",ROUND(D1980/LOOKUP(E1980,SMMLV!$A$2:$A$36,SMMLV!$D$2:$D$104),3))</f>
        <v/>
      </c>
    </row>
    <row r="1981" spans="6:6">
      <c r="F1981" s="229" t="str">
        <f>IF(OR(D1981="",E1981=""),"",ROUND(D1981/LOOKUP(E1981,SMMLV!$A$2:$A$36,SMMLV!$D$2:$D$104),3))</f>
        <v/>
      </c>
    </row>
    <row r="1982" spans="6:6">
      <c r="F1982" s="229" t="str">
        <f>IF(OR(D1982="",E1982=""),"",ROUND(D1982/LOOKUP(E1982,SMMLV!$A$2:$A$36,SMMLV!$D$2:$D$104),3))</f>
        <v/>
      </c>
    </row>
    <row r="1983" spans="6:6">
      <c r="F1983" s="229" t="str">
        <f>IF(OR(D1983="",E1983=""),"",ROUND(D1983/LOOKUP(E1983,SMMLV!$A$2:$A$36,SMMLV!$D$2:$D$104),3))</f>
        <v/>
      </c>
    </row>
    <row r="1984" spans="6:6">
      <c r="F1984" s="229" t="str">
        <f>IF(OR(D1984="",E1984=""),"",ROUND(D1984/LOOKUP(E1984,SMMLV!$A$2:$A$36,SMMLV!$D$2:$D$104),3))</f>
        <v/>
      </c>
    </row>
    <row r="1985" spans="6:6">
      <c r="F1985" s="229" t="str">
        <f>IF(OR(D1985="",E1985=""),"",ROUND(D1985/LOOKUP(E1985,SMMLV!$A$2:$A$36,SMMLV!$D$2:$D$104),3))</f>
        <v/>
      </c>
    </row>
    <row r="1986" spans="6:6">
      <c r="F1986" s="229" t="str">
        <f>IF(OR(D1986="",E1986=""),"",ROUND(D1986/LOOKUP(E1986,SMMLV!$A$2:$A$36,SMMLV!$D$2:$D$104),3))</f>
        <v/>
      </c>
    </row>
    <row r="1987" spans="6:6">
      <c r="F1987" s="229" t="str">
        <f>IF(OR(D1987="",E1987=""),"",ROUND(D1987/LOOKUP(E1987,SMMLV!$A$2:$A$36,SMMLV!$D$2:$D$104),3))</f>
        <v/>
      </c>
    </row>
    <row r="1988" spans="6:6">
      <c r="F1988" s="229" t="str">
        <f>IF(OR(D1988="",E1988=""),"",ROUND(D1988/LOOKUP(E1988,SMMLV!$A$2:$A$36,SMMLV!$D$2:$D$104),3))</f>
        <v/>
      </c>
    </row>
    <row r="1989" spans="6:6">
      <c r="F1989" s="229" t="str">
        <f>IF(OR(D1989="",E1989=""),"",ROUND(D1989/LOOKUP(E1989,SMMLV!$A$2:$A$36,SMMLV!$D$2:$D$104),3))</f>
        <v/>
      </c>
    </row>
    <row r="1990" spans="6:6">
      <c r="F1990" s="229" t="str">
        <f>IF(OR(D1990="",E1990=""),"",ROUND(D1990/LOOKUP(E1990,SMMLV!$A$2:$A$36,SMMLV!$D$2:$D$104),3))</f>
        <v/>
      </c>
    </row>
    <row r="1991" spans="6:6">
      <c r="F1991" s="229" t="str">
        <f>IF(OR(D1991="",E1991=""),"",ROUND(D1991/LOOKUP(E1991,SMMLV!$A$2:$A$36,SMMLV!$D$2:$D$104),3))</f>
        <v/>
      </c>
    </row>
    <row r="1992" spans="6:6">
      <c r="F1992" s="229" t="str">
        <f>IF(OR(D1992="",E1992=""),"",ROUND(D1992/LOOKUP(E1992,SMMLV!$A$2:$A$36,SMMLV!$D$2:$D$104),3))</f>
        <v/>
      </c>
    </row>
    <row r="1993" spans="6:6">
      <c r="F1993" s="229" t="str">
        <f>IF(OR(D1993="",E1993=""),"",ROUND(D1993/LOOKUP(E1993,SMMLV!$A$2:$A$36,SMMLV!$D$2:$D$104),3))</f>
        <v/>
      </c>
    </row>
    <row r="1994" spans="6:6">
      <c r="F1994" s="229" t="str">
        <f>IF(OR(D1994="",E1994=""),"",ROUND(D1994/LOOKUP(E1994,SMMLV!$A$2:$A$36,SMMLV!$D$2:$D$104),3))</f>
        <v/>
      </c>
    </row>
    <row r="1995" spans="6:6">
      <c r="F1995" s="229" t="str">
        <f>IF(OR(D1995="",E1995=""),"",ROUND(D1995/LOOKUP(E1995,SMMLV!$A$2:$A$36,SMMLV!$D$2:$D$104),3))</f>
        <v/>
      </c>
    </row>
    <row r="1996" spans="6:6">
      <c r="F1996" s="229" t="str">
        <f>IF(OR(D1996="",E1996=""),"",ROUND(D1996/LOOKUP(E1996,SMMLV!$A$2:$A$36,SMMLV!$D$2:$D$104),3))</f>
        <v/>
      </c>
    </row>
    <row r="1997" spans="6:6">
      <c r="F1997" s="229" t="str">
        <f>IF(OR(D1997="",E1997=""),"",ROUND(D1997/LOOKUP(E1997,SMMLV!$A$2:$A$36,SMMLV!$D$2:$D$104),3))</f>
        <v/>
      </c>
    </row>
    <row r="1998" spans="6:6">
      <c r="F1998" s="229" t="str">
        <f>IF(OR(D1998="",E1998=""),"",ROUND(D1998/LOOKUP(E1998,SMMLV!$A$2:$A$36,SMMLV!$D$2:$D$104),3))</f>
        <v/>
      </c>
    </row>
    <row r="1999" spans="6:6">
      <c r="F1999" s="229" t="str">
        <f>IF(OR(D1999="",E1999=""),"",ROUND(D1999/LOOKUP(E1999,SMMLV!$A$2:$A$36,SMMLV!$D$2:$D$104),3))</f>
        <v/>
      </c>
    </row>
    <row r="2000" spans="6:6">
      <c r="F2000" s="229" t="str">
        <f>IF(OR(D2000="",E2000=""),"",ROUND(D2000/LOOKUP(E2000,SMMLV!$A$2:$A$36,SMMLV!$D$2:$D$104),3))</f>
        <v/>
      </c>
    </row>
    <row r="2001" spans="6:6">
      <c r="F2001" s="229" t="str">
        <f>IF(OR(D2001="",E2001=""),"",ROUND(D2001/LOOKUP(E2001,SMMLV!$A$2:$A$36,SMMLV!$D$2:$D$104),3))</f>
        <v/>
      </c>
    </row>
    <row r="2002" spans="6:6">
      <c r="F2002" s="229" t="str">
        <f>IF(OR(D2002="",E2002=""),"",ROUND(D2002/LOOKUP(E2002,SMMLV!$A$2:$A$36,SMMLV!$D$2:$D$104),3))</f>
        <v/>
      </c>
    </row>
    <row r="2003" spans="6:6">
      <c r="F2003" s="229" t="str">
        <f>IF(OR(D2003="",E2003=""),"",ROUND(D2003/LOOKUP(E2003,SMMLV!$A$2:$A$36,SMMLV!$D$2:$D$104),3))</f>
        <v/>
      </c>
    </row>
    <row r="2004" spans="6:6">
      <c r="F2004" s="229" t="str">
        <f>IF(OR(D2004="",E2004=""),"",ROUND(D2004/LOOKUP(E2004,SMMLV!$A$2:$A$36,SMMLV!$D$2:$D$104),3))</f>
        <v/>
      </c>
    </row>
    <row r="2005" spans="6:6">
      <c r="F2005" s="229" t="str">
        <f>IF(OR(D2005="",E2005=""),"",ROUND(D2005/LOOKUP(E2005,SMMLV!$A$2:$A$36,SMMLV!$D$2:$D$104),3))</f>
        <v/>
      </c>
    </row>
    <row r="2006" spans="6:6">
      <c r="F2006" s="229" t="str">
        <f>IF(OR(D2006="",E2006=""),"",ROUND(D2006/LOOKUP(E2006,SMMLV!$A$2:$A$36,SMMLV!$D$2:$D$104),3))</f>
        <v/>
      </c>
    </row>
    <row r="2007" spans="6:6">
      <c r="F2007" s="229" t="str">
        <f>IF(OR(D2007="",E2007=""),"",ROUND(D2007/LOOKUP(E2007,SMMLV!$A$2:$A$36,SMMLV!$D$2:$D$104),3))</f>
        <v/>
      </c>
    </row>
    <row r="2008" spans="6:6">
      <c r="F2008" s="229" t="str">
        <f>IF(OR(D2008="",E2008=""),"",ROUND(D2008/LOOKUP(E2008,SMMLV!$A$2:$A$36,SMMLV!$D$2:$D$104),3))</f>
        <v/>
      </c>
    </row>
    <row r="2009" spans="6:6">
      <c r="F2009" s="229" t="str">
        <f>IF(OR(D2009="",E2009=""),"",ROUND(D2009/LOOKUP(E2009,SMMLV!$A$2:$A$36,SMMLV!$D$2:$D$104),3))</f>
        <v/>
      </c>
    </row>
    <row r="2010" spans="6:6">
      <c r="F2010" s="229" t="str">
        <f>IF(OR(D2010="",E2010=""),"",ROUND(D2010/LOOKUP(E2010,SMMLV!$A$2:$A$36,SMMLV!$D$2:$D$104),3))</f>
        <v/>
      </c>
    </row>
    <row r="2011" spans="6:6">
      <c r="F2011" s="229" t="str">
        <f>IF(OR(D2011="",E2011=""),"",ROUND(D2011/LOOKUP(E2011,SMMLV!$A$2:$A$36,SMMLV!$D$2:$D$104),3))</f>
        <v/>
      </c>
    </row>
    <row r="2012" spans="6:6">
      <c r="F2012" s="229" t="str">
        <f>IF(OR(D2012="",E2012=""),"",ROUND(D2012/LOOKUP(E2012,SMMLV!$A$2:$A$36,SMMLV!$D$2:$D$104),3))</f>
        <v/>
      </c>
    </row>
    <row r="2013" spans="6:6">
      <c r="F2013" s="229" t="str">
        <f>IF(OR(D2013="",E2013=""),"",ROUND(D2013/LOOKUP(E2013,SMMLV!$A$2:$A$36,SMMLV!$D$2:$D$104),3))</f>
        <v/>
      </c>
    </row>
    <row r="2014" spans="6:6">
      <c r="F2014" s="229" t="str">
        <f>IF(OR(D2014="",E2014=""),"",ROUND(D2014/LOOKUP(E2014,SMMLV!$A$2:$A$36,SMMLV!$D$2:$D$104),3))</f>
        <v/>
      </c>
    </row>
    <row r="2015" spans="6:6">
      <c r="F2015" s="229" t="str">
        <f>IF(OR(D2015="",E2015=""),"",ROUND(D2015/LOOKUP(E2015,SMMLV!$A$2:$A$36,SMMLV!$D$2:$D$104),3))</f>
        <v/>
      </c>
    </row>
    <row r="2016" spans="6:6">
      <c r="F2016" s="229" t="str">
        <f>IF(OR(D2016="",E2016=""),"",ROUND(D2016/LOOKUP(E2016,SMMLV!$A$2:$A$36,SMMLV!$D$2:$D$104),3))</f>
        <v/>
      </c>
    </row>
    <row r="2017" spans="6:6">
      <c r="F2017" s="229" t="str">
        <f>IF(OR(D2017="",E2017=""),"",ROUND(D2017/LOOKUP(E2017,SMMLV!$A$2:$A$36,SMMLV!$D$2:$D$104),3))</f>
        <v/>
      </c>
    </row>
    <row r="2018" spans="6:6">
      <c r="F2018" s="229" t="str">
        <f>IF(OR(D2018="",E2018=""),"",ROUND(D2018/LOOKUP(E2018,SMMLV!$A$2:$A$36,SMMLV!$D$2:$D$104),3))</f>
        <v/>
      </c>
    </row>
    <row r="2019" spans="6:6">
      <c r="F2019" s="229" t="str">
        <f>IF(OR(D2019="",E2019=""),"",ROUND(D2019/LOOKUP(E2019,SMMLV!$A$2:$A$36,SMMLV!$D$2:$D$104),3))</f>
        <v/>
      </c>
    </row>
    <row r="2020" spans="6:6">
      <c r="F2020" s="229" t="str">
        <f>IF(OR(D2020="",E2020=""),"",ROUND(D2020/LOOKUP(E2020,SMMLV!$A$2:$A$36,SMMLV!$D$2:$D$104),3))</f>
        <v/>
      </c>
    </row>
    <row r="2021" spans="6:6">
      <c r="F2021" s="229" t="str">
        <f>IF(OR(D2021="",E2021=""),"",ROUND(D2021/LOOKUP(E2021,SMMLV!$A$2:$A$36,SMMLV!$D$2:$D$104),3))</f>
        <v/>
      </c>
    </row>
    <row r="2022" spans="6:6">
      <c r="F2022" s="229" t="str">
        <f>IF(OR(D2022="",E2022=""),"",ROUND(D2022/LOOKUP(E2022,SMMLV!$A$2:$A$36,SMMLV!$D$2:$D$104),3))</f>
        <v/>
      </c>
    </row>
    <row r="2023" spans="6:6">
      <c r="F2023" s="229" t="str">
        <f>IF(OR(D2023="",E2023=""),"",ROUND(D2023/LOOKUP(E2023,SMMLV!$A$2:$A$36,SMMLV!$D$2:$D$104),3))</f>
        <v/>
      </c>
    </row>
    <row r="2024" spans="6:6">
      <c r="F2024" s="229" t="str">
        <f>IF(OR(D2024="",E2024=""),"",ROUND(D2024/LOOKUP(E2024,SMMLV!$A$2:$A$36,SMMLV!$D$2:$D$104),3))</f>
        <v/>
      </c>
    </row>
    <row r="2025" spans="6:6">
      <c r="F2025" s="229" t="str">
        <f>IF(OR(D2025="",E2025=""),"",ROUND(D2025/LOOKUP(E2025,SMMLV!$A$2:$A$36,SMMLV!$D$2:$D$104),3))</f>
        <v/>
      </c>
    </row>
    <row r="2026" spans="6:6">
      <c r="F2026" s="229" t="str">
        <f>IF(OR(D2026="",E2026=""),"",ROUND(D2026/LOOKUP(E2026,SMMLV!$A$2:$A$36,SMMLV!$D$2:$D$104),3))</f>
        <v/>
      </c>
    </row>
    <row r="2027" spans="6:6">
      <c r="F2027" s="229" t="str">
        <f>IF(OR(D2027="",E2027=""),"",ROUND(D2027/LOOKUP(E2027,SMMLV!$A$2:$A$36,SMMLV!$D$2:$D$104),3))</f>
        <v/>
      </c>
    </row>
    <row r="2028" spans="6:6">
      <c r="F2028" s="229" t="str">
        <f>IF(OR(D2028="",E2028=""),"",ROUND(D2028/LOOKUP(E2028,SMMLV!$A$2:$A$36,SMMLV!$D$2:$D$104),3))</f>
        <v/>
      </c>
    </row>
    <row r="2029" spans="6:6">
      <c r="F2029" s="229" t="str">
        <f>IF(OR(D2029="",E2029=""),"",ROUND(D2029/LOOKUP(E2029,SMMLV!$A$2:$A$36,SMMLV!$D$2:$D$104),3))</f>
        <v/>
      </c>
    </row>
    <row r="2030" spans="6:6">
      <c r="F2030" s="229" t="str">
        <f>IF(OR(D2030="",E2030=""),"",ROUND(D2030/LOOKUP(E2030,SMMLV!$A$2:$A$36,SMMLV!$D$2:$D$104),3))</f>
        <v/>
      </c>
    </row>
    <row r="2031" spans="6:6">
      <c r="F2031" s="229" t="str">
        <f>IF(OR(D2031="",E2031=""),"",ROUND(D2031/LOOKUP(E2031,SMMLV!$A$2:$A$36,SMMLV!$D$2:$D$104),3))</f>
        <v/>
      </c>
    </row>
    <row r="2032" spans="6:6">
      <c r="F2032" s="229" t="str">
        <f>IF(OR(D2032="",E2032=""),"",ROUND(D2032/LOOKUP(E2032,SMMLV!$A$2:$A$36,SMMLV!$D$2:$D$104),3))</f>
        <v/>
      </c>
    </row>
    <row r="2033" spans="6:6">
      <c r="F2033" s="229" t="str">
        <f>IF(OR(D2033="",E2033=""),"",ROUND(D2033/LOOKUP(E2033,SMMLV!$A$2:$A$36,SMMLV!$D$2:$D$104),3))</f>
        <v/>
      </c>
    </row>
    <row r="2034" spans="6:6">
      <c r="F2034" s="229" t="str">
        <f>IF(OR(D2034="",E2034=""),"",ROUND(D2034/LOOKUP(E2034,SMMLV!$A$2:$A$36,SMMLV!$D$2:$D$104),3))</f>
        <v/>
      </c>
    </row>
    <row r="2035" spans="6:6">
      <c r="F2035" s="229" t="str">
        <f>IF(OR(D2035="",E2035=""),"",ROUND(D2035/LOOKUP(E2035,SMMLV!$A$2:$A$36,SMMLV!$D$2:$D$104),3))</f>
        <v/>
      </c>
    </row>
    <row r="2036" spans="6:6">
      <c r="F2036" s="229" t="str">
        <f>IF(OR(D2036="",E2036=""),"",ROUND(D2036/LOOKUP(E2036,SMMLV!$A$2:$A$36,SMMLV!$D$2:$D$104),3))</f>
        <v/>
      </c>
    </row>
    <row r="2037" spans="6:6">
      <c r="F2037" s="229" t="str">
        <f>IF(OR(D2037="",E2037=""),"",ROUND(D2037/LOOKUP(E2037,SMMLV!$A$2:$A$36,SMMLV!$D$2:$D$104),3))</f>
        <v/>
      </c>
    </row>
    <row r="2038" spans="6:6">
      <c r="F2038" s="229" t="str">
        <f>IF(OR(D2038="",E2038=""),"",ROUND(D2038/LOOKUP(E2038,SMMLV!$A$2:$A$36,SMMLV!$D$2:$D$104),3))</f>
        <v/>
      </c>
    </row>
    <row r="2039" spans="6:6">
      <c r="F2039" s="229" t="str">
        <f>IF(OR(D2039="",E2039=""),"",ROUND(D2039/LOOKUP(E2039,SMMLV!$A$2:$A$36,SMMLV!$D$2:$D$104),3))</f>
        <v/>
      </c>
    </row>
    <row r="2040" spans="6:6">
      <c r="F2040" s="229" t="str">
        <f>IF(OR(D2040="",E2040=""),"",ROUND(D2040/LOOKUP(E2040,SMMLV!$A$2:$A$36,SMMLV!$D$2:$D$104),3))</f>
        <v/>
      </c>
    </row>
    <row r="2041" spans="6:6">
      <c r="F2041" s="229" t="str">
        <f>IF(OR(D2041="",E2041=""),"",ROUND(D2041/LOOKUP(E2041,SMMLV!$A$2:$A$36,SMMLV!$D$2:$D$104),3))</f>
        <v/>
      </c>
    </row>
    <row r="2042" spans="6:6">
      <c r="F2042" s="229" t="str">
        <f>IF(OR(D2042="",E2042=""),"",ROUND(D2042/LOOKUP(E2042,SMMLV!$A$2:$A$36,SMMLV!$D$2:$D$104),3))</f>
        <v/>
      </c>
    </row>
    <row r="2043" spans="6:6">
      <c r="F2043" s="229" t="str">
        <f>IF(OR(D2043="",E2043=""),"",ROUND(D2043/LOOKUP(E2043,SMMLV!$A$2:$A$36,SMMLV!$D$2:$D$104),3))</f>
        <v/>
      </c>
    </row>
    <row r="2044" spans="6:6">
      <c r="F2044" s="229" t="str">
        <f>IF(OR(D2044="",E2044=""),"",ROUND(D2044/LOOKUP(E2044,SMMLV!$A$2:$A$36,SMMLV!$D$2:$D$104),3))</f>
        <v/>
      </c>
    </row>
    <row r="2045" spans="6:6">
      <c r="F2045" s="229" t="str">
        <f>IF(OR(D2045="",E2045=""),"",ROUND(D2045/LOOKUP(E2045,SMMLV!$A$2:$A$36,SMMLV!$D$2:$D$104),3))</f>
        <v/>
      </c>
    </row>
    <row r="2046" spans="6:6">
      <c r="F2046" s="229" t="str">
        <f>IF(OR(D2046="",E2046=""),"",ROUND(D2046/LOOKUP(E2046,SMMLV!$A$2:$A$36,SMMLV!$D$2:$D$104),3))</f>
        <v/>
      </c>
    </row>
    <row r="2047" spans="6:6">
      <c r="F2047" s="229" t="str">
        <f>IF(OR(D2047="",E2047=""),"",ROUND(D2047/LOOKUP(E2047,SMMLV!$A$2:$A$36,SMMLV!$D$2:$D$104),3))</f>
        <v/>
      </c>
    </row>
    <row r="2048" spans="6:6">
      <c r="F2048" s="229" t="str">
        <f>IF(OR(D2048="",E2048=""),"",ROUND(D2048/LOOKUP(E2048,SMMLV!$A$2:$A$36,SMMLV!$D$2:$D$104),3))</f>
        <v/>
      </c>
    </row>
    <row r="2049" spans="6:6">
      <c r="F2049" s="229" t="str">
        <f>IF(OR(D2049="",E2049=""),"",ROUND(D2049/LOOKUP(E2049,SMMLV!$A$2:$A$36,SMMLV!$D$2:$D$104),3))</f>
        <v/>
      </c>
    </row>
    <row r="2050" spans="6:6">
      <c r="F2050" s="229" t="str">
        <f>IF(OR(D2050="",E2050=""),"",ROUND(D2050/LOOKUP(E2050,SMMLV!$A$2:$A$36,SMMLV!$D$2:$D$104),3))</f>
        <v/>
      </c>
    </row>
    <row r="2051" spans="6:6">
      <c r="F2051" s="229" t="str">
        <f>IF(OR(D2051="",E2051=""),"",ROUND(D2051/LOOKUP(E2051,SMMLV!$A$2:$A$36,SMMLV!$D$2:$D$104),3))</f>
        <v/>
      </c>
    </row>
    <row r="2052" spans="6:6">
      <c r="F2052" s="229" t="str">
        <f>IF(OR(D2052="",E2052=""),"",ROUND(D2052/LOOKUP(E2052,SMMLV!$A$2:$A$36,SMMLV!$D$2:$D$104),3))</f>
        <v/>
      </c>
    </row>
    <row r="2053" spans="6:6">
      <c r="F2053" s="229" t="str">
        <f>IF(OR(D2053="",E2053=""),"",ROUND(D2053/LOOKUP(E2053,SMMLV!$A$2:$A$36,SMMLV!$D$2:$D$104),3))</f>
        <v/>
      </c>
    </row>
    <row r="2054" spans="6:6">
      <c r="F2054" s="229" t="str">
        <f>IF(OR(D2054="",E2054=""),"",ROUND(D2054/LOOKUP(E2054,SMMLV!$A$2:$A$36,SMMLV!$D$2:$D$104),3))</f>
        <v/>
      </c>
    </row>
    <row r="2055" spans="6:6">
      <c r="F2055" s="229" t="str">
        <f>IF(OR(D2055="",E2055=""),"",ROUND(D2055/LOOKUP(E2055,SMMLV!$A$2:$A$36,SMMLV!$D$2:$D$104),3))</f>
        <v/>
      </c>
    </row>
    <row r="2056" spans="6:6">
      <c r="F2056" s="229" t="str">
        <f>IF(OR(D2056="",E2056=""),"",ROUND(D2056/LOOKUP(E2056,SMMLV!$A$2:$A$36,SMMLV!$D$2:$D$104),3))</f>
        <v/>
      </c>
    </row>
    <row r="2057" spans="6:6">
      <c r="F2057" s="229" t="str">
        <f>IF(OR(D2057="",E2057=""),"",ROUND(D2057/LOOKUP(E2057,SMMLV!$A$2:$A$36,SMMLV!$D$2:$D$104),3))</f>
        <v/>
      </c>
    </row>
    <row r="2058" spans="6:6">
      <c r="F2058" s="229" t="str">
        <f>IF(OR(D2058="",E2058=""),"",ROUND(D2058/LOOKUP(E2058,SMMLV!$A$2:$A$36,SMMLV!$D$2:$D$104),3))</f>
        <v/>
      </c>
    </row>
    <row r="2059" spans="6:6">
      <c r="F2059" s="229" t="str">
        <f>IF(OR(D2059="",E2059=""),"",ROUND(D2059/LOOKUP(E2059,SMMLV!$A$2:$A$36,SMMLV!$D$2:$D$104),3))</f>
        <v/>
      </c>
    </row>
    <row r="2060" spans="6:6">
      <c r="F2060" s="229" t="str">
        <f>IF(OR(D2060="",E2060=""),"",ROUND(D2060/LOOKUP(E2060,SMMLV!$A$2:$A$36,SMMLV!$D$2:$D$104),3))</f>
        <v/>
      </c>
    </row>
    <row r="2061" spans="6:6">
      <c r="F2061" s="229" t="str">
        <f>IF(OR(D2061="",E2061=""),"",ROUND(D2061/LOOKUP(E2061,SMMLV!$A$2:$A$36,SMMLV!$D$2:$D$104),3))</f>
        <v/>
      </c>
    </row>
    <row r="2062" spans="6:6">
      <c r="F2062" s="229" t="str">
        <f>IF(OR(D2062="",E2062=""),"",ROUND(D2062/LOOKUP(E2062,SMMLV!$A$2:$A$36,SMMLV!$D$2:$D$104),3))</f>
        <v/>
      </c>
    </row>
    <row r="2063" spans="6:6">
      <c r="F2063" s="229" t="str">
        <f>IF(OR(D2063="",E2063=""),"",ROUND(D2063/LOOKUP(E2063,SMMLV!$A$2:$A$36,SMMLV!$D$2:$D$104),3))</f>
        <v/>
      </c>
    </row>
    <row r="2064" spans="6:6">
      <c r="F2064" s="229" t="str">
        <f>IF(OR(D2064="",E2064=""),"",ROUND(D2064/LOOKUP(E2064,SMMLV!$A$2:$A$36,SMMLV!$D$2:$D$104),3))</f>
        <v/>
      </c>
    </row>
    <row r="2065" spans="6:6">
      <c r="F2065" s="229" t="str">
        <f>IF(OR(D2065="",E2065=""),"",ROUND(D2065/LOOKUP(E2065,SMMLV!$A$2:$A$36,SMMLV!$D$2:$D$104),3))</f>
        <v/>
      </c>
    </row>
    <row r="2066" spans="6:6">
      <c r="F2066" s="229" t="str">
        <f>IF(OR(D2066="",E2066=""),"",ROUND(D2066/LOOKUP(E2066,SMMLV!$A$2:$A$36,SMMLV!$D$2:$D$104),3))</f>
        <v/>
      </c>
    </row>
    <row r="2067" spans="6:6">
      <c r="F2067" s="229" t="str">
        <f>IF(OR(D2067="",E2067=""),"",ROUND(D2067/LOOKUP(E2067,SMMLV!$A$2:$A$36,SMMLV!$D$2:$D$104),3))</f>
        <v/>
      </c>
    </row>
    <row r="2068" spans="6:6">
      <c r="F2068" s="229" t="str">
        <f>IF(OR(D2068="",E2068=""),"",ROUND(D2068/LOOKUP(E2068,SMMLV!$A$2:$A$36,SMMLV!$D$2:$D$104),3))</f>
        <v/>
      </c>
    </row>
    <row r="2069" spans="6:6">
      <c r="F2069" s="229" t="str">
        <f>IF(OR(D2069="",E2069=""),"",ROUND(D2069/LOOKUP(E2069,SMMLV!$A$2:$A$36,SMMLV!$D$2:$D$104),3))</f>
        <v/>
      </c>
    </row>
    <row r="2070" spans="6:6">
      <c r="F2070" s="229" t="str">
        <f>IF(OR(D2070="",E2070=""),"",ROUND(D2070/LOOKUP(E2070,SMMLV!$A$2:$A$36,SMMLV!$D$2:$D$104),3))</f>
        <v/>
      </c>
    </row>
    <row r="2071" spans="6:6">
      <c r="F2071" s="229" t="str">
        <f>IF(OR(D2071="",E2071=""),"",ROUND(D2071/LOOKUP(E2071,SMMLV!$A$2:$A$36,SMMLV!$D$2:$D$104),3))</f>
        <v/>
      </c>
    </row>
    <row r="2072" spans="6:6">
      <c r="F2072" s="229" t="str">
        <f>IF(OR(D2072="",E2072=""),"",ROUND(D2072/LOOKUP(E2072,SMMLV!$A$2:$A$36,SMMLV!$D$2:$D$104),3))</f>
        <v/>
      </c>
    </row>
    <row r="2073" spans="6:6">
      <c r="F2073" s="229" t="str">
        <f>IF(OR(D2073="",E2073=""),"",ROUND(D2073/LOOKUP(E2073,SMMLV!$A$2:$A$36,SMMLV!$D$2:$D$104),3))</f>
        <v/>
      </c>
    </row>
    <row r="2074" spans="6:6">
      <c r="F2074" s="229" t="str">
        <f>IF(OR(D2074="",E2074=""),"",ROUND(D2074/LOOKUP(E2074,SMMLV!$A$2:$A$36,SMMLV!$D$2:$D$104),3))</f>
        <v/>
      </c>
    </row>
    <row r="2075" spans="6:6">
      <c r="F2075" s="229" t="str">
        <f>IF(OR(D2075="",E2075=""),"",ROUND(D2075/LOOKUP(E2075,SMMLV!$A$2:$A$36,SMMLV!$D$2:$D$104),3))</f>
        <v/>
      </c>
    </row>
    <row r="2076" spans="6:6">
      <c r="F2076" s="229" t="str">
        <f>IF(OR(D2076="",E2076=""),"",ROUND(D2076/LOOKUP(E2076,SMMLV!$A$2:$A$36,SMMLV!$D$2:$D$104),3))</f>
        <v/>
      </c>
    </row>
    <row r="2077" spans="6:6">
      <c r="F2077" s="229" t="str">
        <f>IF(OR(D2077="",E2077=""),"",ROUND(D2077/LOOKUP(E2077,SMMLV!$A$2:$A$36,SMMLV!$D$2:$D$104),3))</f>
        <v/>
      </c>
    </row>
    <row r="2078" spans="6:6">
      <c r="F2078" s="229" t="str">
        <f>IF(OR(D2078="",E2078=""),"",ROUND(D2078/LOOKUP(E2078,SMMLV!$A$2:$A$36,SMMLV!$D$2:$D$104),3))</f>
        <v/>
      </c>
    </row>
    <row r="2079" spans="6:6">
      <c r="F2079" s="229" t="str">
        <f>IF(OR(D2079="",E2079=""),"",ROUND(D2079/LOOKUP(E2079,SMMLV!$A$2:$A$36,SMMLV!$D$2:$D$104),3))</f>
        <v/>
      </c>
    </row>
    <row r="2080" spans="6:6">
      <c r="F2080" s="229" t="str">
        <f>IF(OR(D2080="",E2080=""),"",ROUND(D2080/LOOKUP(E2080,SMMLV!$A$2:$A$36,SMMLV!$D$2:$D$104),3))</f>
        <v/>
      </c>
    </row>
    <row r="2081" spans="6:6">
      <c r="F2081" s="229" t="str">
        <f>IF(OR(D2081="",E2081=""),"",ROUND(D2081/LOOKUP(E2081,SMMLV!$A$2:$A$36,SMMLV!$D$2:$D$104),3))</f>
        <v/>
      </c>
    </row>
    <row r="2082" spans="6:6">
      <c r="F2082" s="229" t="str">
        <f>IF(OR(D2082="",E2082=""),"",ROUND(D2082/LOOKUP(E2082,SMMLV!$A$2:$A$36,SMMLV!$D$2:$D$104),3))</f>
        <v/>
      </c>
    </row>
    <row r="2083" spans="6:6">
      <c r="F2083" s="229" t="str">
        <f>IF(OR(D2083="",E2083=""),"",ROUND(D2083/LOOKUP(E2083,SMMLV!$A$2:$A$36,SMMLV!$D$2:$D$104),3))</f>
        <v/>
      </c>
    </row>
    <row r="2084" spans="6:6">
      <c r="F2084" s="229" t="str">
        <f>IF(OR(D2084="",E2084=""),"",ROUND(D2084/LOOKUP(E2084,SMMLV!$A$2:$A$36,SMMLV!$D$2:$D$104),3))</f>
        <v/>
      </c>
    </row>
    <row r="2085" spans="6:6">
      <c r="F2085" s="229" t="str">
        <f>IF(OR(D2085="",E2085=""),"",ROUND(D2085/LOOKUP(E2085,SMMLV!$A$2:$A$36,SMMLV!$D$2:$D$104),3))</f>
        <v/>
      </c>
    </row>
    <row r="2086" spans="6:6">
      <c r="F2086" s="229" t="str">
        <f>IF(OR(D2086="",E2086=""),"",ROUND(D2086/LOOKUP(E2086,SMMLV!$A$2:$A$36,SMMLV!$D$2:$D$104),3))</f>
        <v/>
      </c>
    </row>
    <row r="2087" spans="6:6">
      <c r="F2087" s="229" t="str">
        <f>IF(OR(D2087="",E2087=""),"",ROUND(D2087/LOOKUP(E2087,SMMLV!$A$2:$A$36,SMMLV!$D$2:$D$104),3))</f>
        <v/>
      </c>
    </row>
    <row r="2088" spans="6:6">
      <c r="F2088" s="229" t="str">
        <f>IF(OR(D2088="",E2088=""),"",ROUND(D2088/LOOKUP(E2088,SMMLV!$A$2:$A$36,SMMLV!$D$2:$D$104),3))</f>
        <v/>
      </c>
    </row>
    <row r="2089" spans="6:6">
      <c r="F2089" s="229" t="str">
        <f>IF(OR(D2089="",E2089=""),"",ROUND(D2089/LOOKUP(E2089,SMMLV!$A$2:$A$36,SMMLV!$D$2:$D$104),3))</f>
        <v/>
      </c>
    </row>
    <row r="2090" spans="6:6">
      <c r="F2090" s="229" t="str">
        <f>IF(OR(D2090="",E2090=""),"",ROUND(D2090/LOOKUP(E2090,SMMLV!$A$2:$A$36,SMMLV!$D$2:$D$104),3))</f>
        <v/>
      </c>
    </row>
    <row r="2091" spans="6:6">
      <c r="F2091" s="229" t="str">
        <f>IF(OR(D2091="",E2091=""),"",ROUND(D2091/LOOKUP(E2091,SMMLV!$A$2:$A$36,SMMLV!$D$2:$D$104),3))</f>
        <v/>
      </c>
    </row>
    <row r="2092" spans="6:6">
      <c r="F2092" s="229" t="str">
        <f>IF(OR(D2092="",E2092=""),"",ROUND(D2092/LOOKUP(E2092,SMMLV!$A$2:$A$36,SMMLV!$D$2:$D$104),3))</f>
        <v/>
      </c>
    </row>
    <row r="2093" spans="6:6">
      <c r="F2093" s="229" t="str">
        <f>IF(OR(D2093="",E2093=""),"",ROUND(D2093/LOOKUP(E2093,SMMLV!$A$2:$A$36,SMMLV!$D$2:$D$104),3))</f>
        <v/>
      </c>
    </row>
    <row r="2094" spans="6:6">
      <c r="F2094" s="229" t="str">
        <f>IF(OR(D2094="",E2094=""),"",ROUND(D2094/LOOKUP(E2094,SMMLV!$A$2:$A$36,SMMLV!$D$2:$D$104),3))</f>
        <v/>
      </c>
    </row>
    <row r="2095" spans="6:6">
      <c r="F2095" s="229" t="str">
        <f>IF(OR(D2095="",E2095=""),"",ROUND(D2095/LOOKUP(E2095,SMMLV!$A$2:$A$36,SMMLV!$D$2:$D$104),3))</f>
        <v/>
      </c>
    </row>
    <row r="2096" spans="6:6">
      <c r="F2096" s="229" t="str">
        <f>IF(OR(D2096="",E2096=""),"",ROUND(D2096/LOOKUP(E2096,SMMLV!$A$2:$A$36,SMMLV!$D$2:$D$104),3))</f>
        <v/>
      </c>
    </row>
    <row r="2097" spans="6:6">
      <c r="F2097" s="229" t="str">
        <f>IF(OR(D2097="",E2097=""),"",ROUND(D2097/LOOKUP(E2097,SMMLV!$A$2:$A$36,SMMLV!$D$2:$D$104),3))</f>
        <v/>
      </c>
    </row>
    <row r="2098" spans="6:6">
      <c r="F2098" s="229" t="str">
        <f>IF(OR(D2098="",E2098=""),"",ROUND(D2098/LOOKUP(E2098,SMMLV!$A$2:$A$36,SMMLV!$D$2:$D$104),3))</f>
        <v/>
      </c>
    </row>
    <row r="2099" spans="6:6">
      <c r="F2099" s="229" t="str">
        <f>IF(OR(D2099="",E2099=""),"",ROUND(D2099/LOOKUP(E2099,SMMLV!$A$2:$A$36,SMMLV!$D$2:$D$104),3))</f>
        <v/>
      </c>
    </row>
    <row r="2100" spans="6:6">
      <c r="F2100" s="229" t="str">
        <f>IF(OR(D2100="",E2100=""),"",ROUND(D2100/LOOKUP(E2100,SMMLV!$A$2:$A$36,SMMLV!$D$2:$D$104),3))</f>
        <v/>
      </c>
    </row>
    <row r="2101" spans="6:6">
      <c r="F2101" s="229" t="str">
        <f>IF(OR(D2101="",E2101=""),"",ROUND(D2101/LOOKUP(E2101,SMMLV!$A$2:$A$36,SMMLV!$D$2:$D$104),3))</f>
        <v/>
      </c>
    </row>
    <row r="2102" spans="6:6">
      <c r="F2102" s="229" t="str">
        <f>IF(OR(D2102="",E2102=""),"",ROUND(D2102/LOOKUP(E2102,SMMLV!$A$2:$A$36,SMMLV!$D$2:$D$104),3))</f>
        <v/>
      </c>
    </row>
    <row r="2103" spans="6:6">
      <c r="F2103" s="229" t="str">
        <f>IF(OR(D2103="",E2103=""),"",ROUND(D2103/LOOKUP(E2103,SMMLV!$A$2:$A$36,SMMLV!$D$2:$D$104),3))</f>
        <v/>
      </c>
    </row>
    <row r="2104" spans="6:6">
      <c r="F2104" s="229" t="str">
        <f>IF(OR(D2104="",E2104=""),"",ROUND(D2104/LOOKUP(E2104,SMMLV!$A$2:$A$36,SMMLV!$D$2:$D$104),3))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7373" priority="4" stopIfTrue="1" operator="notEqual">
      <formula>""</formula>
    </cfRule>
  </conditionalFormatting>
  <conditionalFormatting sqref="D5:E1139">
    <cfRule type="cellIs" dxfId="7372" priority="3" stopIfTrue="1" operator="notEqual">
      <formula>""</formula>
    </cfRule>
  </conditionalFormatting>
  <conditionalFormatting sqref="D1140:E1196">
    <cfRule type="cellIs" dxfId="7371" priority="2" stopIfTrue="1" operator="notEqual">
      <formula>""</formula>
    </cfRule>
  </conditionalFormatting>
  <conditionalFormatting sqref="B5:C1357">
    <cfRule type="cellIs" dxfId="7370" priority="1" stopIfTrue="1" operator="notEqual">
      <formula>""</formula>
    </cfRule>
  </conditionalFormatting>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AC42804"/>
  <sheetViews>
    <sheetView showGridLines="0" topLeftCell="J1823" zoomScale="115" zoomScaleNormal="115" zoomScaleSheetLayoutView="77" workbookViewId="0">
      <selection activeCell="O1836" sqref="O1836"/>
    </sheetView>
  </sheetViews>
  <sheetFormatPr baseColWidth="10" defaultColWidth="13.140625" defaultRowHeight="15.75" zeroHeight="1"/>
  <cols>
    <col min="1" max="1" width="3.5703125" style="49" bestFit="1" customWidth="1"/>
    <col min="2" max="2" width="6" style="28" customWidth="1"/>
    <col min="3" max="3" width="21.5703125" style="28" customWidth="1"/>
    <col min="4" max="4" width="24" style="28" customWidth="1"/>
    <col min="5" max="5" width="49.28515625" style="28" customWidth="1"/>
    <col min="6" max="7" width="14.7109375" style="28" customWidth="1"/>
    <col min="8" max="8" width="17" style="28" customWidth="1"/>
    <col min="9" max="9" width="4.140625" style="28" customWidth="1"/>
    <col min="10" max="10" width="32.85546875" style="28" customWidth="1"/>
    <col min="11" max="12" width="19.5703125" style="28" customWidth="1"/>
    <col min="13" max="13" width="18.85546875" style="28" customWidth="1"/>
    <col min="14" max="14" width="19.85546875" style="28" customWidth="1"/>
    <col min="15" max="15" width="23.28515625" style="28" customWidth="1"/>
    <col min="16" max="16" width="32.140625" style="28" customWidth="1"/>
    <col min="17" max="17" width="28.140625" style="28" customWidth="1"/>
    <col min="18" max="18" width="15.85546875" style="28" customWidth="1"/>
    <col min="19" max="19" width="18.42578125" style="28" customWidth="1"/>
    <col min="20" max="20" width="20.7109375" style="28" customWidth="1"/>
    <col min="21" max="21" width="24.5703125" style="28" customWidth="1"/>
    <col min="22" max="22" width="23" style="28" customWidth="1"/>
    <col min="23" max="23" width="3.28515625" style="28" customWidth="1"/>
    <col min="24" max="24" width="40.5703125" style="52" customWidth="1"/>
    <col min="25" max="25" width="17.5703125" style="52" customWidth="1"/>
    <col min="26" max="27" width="20.7109375" style="52" customWidth="1"/>
    <col min="28" max="28" width="18.28515625" style="28" customWidth="1"/>
    <col min="29" max="29" width="22.7109375" style="28" customWidth="1"/>
    <col min="30" max="30" width="3.28515625" style="28" customWidth="1"/>
    <col min="31" max="32" width="25.7109375" style="28" customWidth="1"/>
    <col min="33" max="16384" width="13.140625" style="28"/>
  </cols>
  <sheetData>
    <row r="1" spans="1:29" s="88" customFormat="1" ht="18">
      <c r="A1" s="83"/>
      <c r="B1" s="825" t="str">
        <f>+PROPONENTES!B1</f>
        <v>INSTITUTO NACIONAL DE VÍAS</v>
      </c>
      <c r="C1" s="825"/>
      <c r="D1" s="825"/>
      <c r="E1" s="825"/>
      <c r="F1" s="825"/>
      <c r="G1" s="825"/>
      <c r="H1" s="825"/>
      <c r="I1" s="825"/>
      <c r="J1" s="825"/>
      <c r="K1" s="825"/>
      <c r="L1" s="825"/>
      <c r="M1" s="825"/>
      <c r="N1" s="825"/>
      <c r="O1" s="825"/>
      <c r="P1" s="825"/>
      <c r="Q1" s="825"/>
      <c r="R1" s="825"/>
      <c r="S1" s="825"/>
      <c r="T1" s="825"/>
      <c r="U1" s="825"/>
      <c r="V1" s="825"/>
      <c r="W1" s="287"/>
      <c r="Y1" s="89"/>
      <c r="Z1" s="89"/>
      <c r="AA1" s="89"/>
      <c r="AB1" s="90"/>
      <c r="AC1" s="90"/>
    </row>
    <row r="2" spans="1:29" s="88" customFormat="1" ht="18">
      <c r="A2" s="83"/>
      <c r="B2" s="825" t="str">
        <f>+PROPONENTES!B2</f>
        <v>DIRECCIÓN GENERAL</v>
      </c>
      <c r="C2" s="825"/>
      <c r="D2" s="825"/>
      <c r="E2" s="825"/>
      <c r="F2" s="825"/>
      <c r="G2" s="825"/>
      <c r="H2" s="825"/>
      <c r="I2" s="825"/>
      <c r="J2" s="825"/>
      <c r="K2" s="825"/>
      <c r="L2" s="825"/>
      <c r="M2" s="825"/>
      <c r="N2" s="825"/>
      <c r="O2" s="825"/>
      <c r="P2" s="825"/>
      <c r="Q2" s="825"/>
      <c r="R2" s="825"/>
      <c r="S2" s="825"/>
      <c r="T2" s="825"/>
      <c r="U2" s="825"/>
      <c r="V2" s="825"/>
      <c r="W2" s="287"/>
      <c r="Y2" s="89"/>
      <c r="Z2" s="89"/>
      <c r="AA2" s="89"/>
      <c r="AB2" s="90"/>
      <c r="AC2" s="90"/>
    </row>
    <row r="3" spans="1:29" s="88" customFormat="1" ht="18">
      <c r="A3" s="83"/>
      <c r="B3" s="825" t="str">
        <f>+PROPONENTES!B3</f>
        <v>DIRECCION JURIDICA</v>
      </c>
      <c r="C3" s="825"/>
      <c r="D3" s="825"/>
      <c r="E3" s="825"/>
      <c r="F3" s="825"/>
      <c r="G3" s="825"/>
      <c r="H3" s="825"/>
      <c r="I3" s="825"/>
      <c r="J3" s="825"/>
      <c r="K3" s="825"/>
      <c r="L3" s="825"/>
      <c r="M3" s="825"/>
      <c r="N3" s="825"/>
      <c r="O3" s="825"/>
      <c r="P3" s="825"/>
      <c r="Q3" s="825"/>
      <c r="R3" s="825"/>
      <c r="S3" s="825"/>
      <c r="T3" s="825"/>
      <c r="U3" s="825"/>
      <c r="V3" s="825"/>
      <c r="W3" s="287"/>
      <c r="Y3" s="89"/>
      <c r="Z3" s="89"/>
      <c r="AA3" s="89"/>
      <c r="AB3" s="90"/>
      <c r="AC3" s="90"/>
    </row>
    <row r="4" spans="1:29" s="88" customFormat="1" ht="18">
      <c r="A4" s="83"/>
      <c r="B4" s="825" t="str">
        <f>+PROPONENTES!B4</f>
        <v>TERRITORIAL TOLIMA</v>
      </c>
      <c r="C4" s="825"/>
      <c r="D4" s="825"/>
      <c r="E4" s="825"/>
      <c r="F4" s="825"/>
      <c r="G4" s="825"/>
      <c r="H4" s="825"/>
      <c r="I4" s="825"/>
      <c r="J4" s="825"/>
      <c r="K4" s="825"/>
      <c r="L4" s="825"/>
      <c r="M4" s="825"/>
      <c r="N4" s="825"/>
      <c r="O4" s="825"/>
      <c r="P4" s="825"/>
      <c r="Q4" s="825"/>
      <c r="R4" s="825"/>
      <c r="S4" s="825"/>
      <c r="T4" s="825"/>
      <c r="U4" s="825"/>
      <c r="V4" s="825"/>
      <c r="W4" s="287"/>
      <c r="Y4" s="89"/>
      <c r="Z4" s="89"/>
      <c r="AA4" s="89"/>
      <c r="AB4" s="90"/>
      <c r="AC4" s="90"/>
    </row>
    <row r="5" spans="1:29" s="88" customFormat="1" ht="18">
      <c r="A5" s="83"/>
      <c r="B5" s="84"/>
      <c r="C5" s="23"/>
      <c r="D5" s="23"/>
      <c r="E5" s="85"/>
      <c r="F5" s="85"/>
      <c r="G5" s="85"/>
      <c r="H5" s="85"/>
      <c r="I5" s="85"/>
      <c r="J5" s="85"/>
      <c r="K5" s="85"/>
      <c r="L5" s="85"/>
      <c r="M5" s="86"/>
      <c r="N5" s="86"/>
      <c r="O5" s="86"/>
      <c r="P5" s="87"/>
      <c r="Q5" s="87"/>
      <c r="R5" s="87"/>
      <c r="S5" s="87"/>
      <c r="T5" s="87"/>
      <c r="U5" s="86"/>
      <c r="Y5" s="89"/>
      <c r="Z5" s="89"/>
      <c r="AA5" s="89"/>
      <c r="AB5" s="90"/>
      <c r="AC5" s="90"/>
    </row>
    <row r="6" spans="1:29" s="88" customFormat="1" ht="18">
      <c r="A6" s="83"/>
      <c r="B6" s="825" t="str">
        <f>+PROPONENTES!B6</f>
        <v>CONCURSO DE MÉRITOS ABIERTO</v>
      </c>
      <c r="C6" s="825"/>
      <c r="D6" s="825"/>
      <c r="E6" s="825"/>
      <c r="F6" s="825"/>
      <c r="G6" s="825"/>
      <c r="H6" s="825"/>
      <c r="I6" s="825"/>
      <c r="J6" s="825"/>
      <c r="K6" s="825"/>
      <c r="L6" s="825"/>
      <c r="M6" s="825"/>
      <c r="N6" s="825"/>
      <c r="O6" s="825"/>
      <c r="P6" s="825"/>
      <c r="Q6" s="825"/>
      <c r="R6" s="825"/>
      <c r="S6" s="825"/>
      <c r="T6" s="825"/>
      <c r="U6" s="825"/>
      <c r="V6" s="825"/>
      <c r="W6" s="287"/>
      <c r="Y6" s="89"/>
      <c r="Z6" s="89"/>
      <c r="AA6" s="89"/>
      <c r="AB6" s="90"/>
      <c r="AC6" s="90"/>
    </row>
    <row r="7" spans="1:29" s="88" customFormat="1" ht="18">
      <c r="A7" s="83"/>
      <c r="B7" s="825" t="str">
        <f>+PROPONENTES!B7</f>
        <v>CMA-DT-TOL-001-2022</v>
      </c>
      <c r="C7" s="825"/>
      <c r="D7" s="825"/>
      <c r="E7" s="825"/>
      <c r="F7" s="825"/>
      <c r="G7" s="825"/>
      <c r="H7" s="825"/>
      <c r="I7" s="825"/>
      <c r="J7" s="825"/>
      <c r="K7" s="825"/>
      <c r="L7" s="825"/>
      <c r="M7" s="825"/>
      <c r="N7" s="825"/>
      <c r="O7" s="825"/>
      <c r="P7" s="825"/>
      <c r="Q7" s="825"/>
      <c r="R7" s="825"/>
      <c r="S7" s="825"/>
      <c r="T7" s="825"/>
      <c r="U7" s="825"/>
      <c r="V7" s="825"/>
      <c r="W7" s="287"/>
      <c r="Y7" s="89"/>
      <c r="Z7" s="89"/>
      <c r="AA7" s="89"/>
      <c r="AB7" s="90"/>
      <c r="AC7" s="90"/>
    </row>
    <row r="8" spans="1:29" s="88" customFormat="1" ht="18">
      <c r="A8" s="83"/>
      <c r="B8" s="84"/>
      <c r="C8" s="23"/>
      <c r="D8" s="23"/>
      <c r="E8" s="85"/>
      <c r="F8" s="85"/>
      <c r="G8" s="85"/>
      <c r="H8" s="85"/>
      <c r="I8" s="85"/>
      <c r="J8" s="85"/>
      <c r="K8" s="85"/>
      <c r="L8" s="85"/>
      <c r="M8" s="86"/>
      <c r="N8" s="86"/>
      <c r="O8" s="86"/>
      <c r="P8" s="87"/>
      <c r="Q8" s="87"/>
      <c r="R8" s="87"/>
      <c r="S8" s="87"/>
      <c r="T8" s="87"/>
      <c r="U8" s="86"/>
      <c r="Y8" s="89"/>
      <c r="Z8" s="89"/>
      <c r="AA8" s="89"/>
      <c r="AB8" s="90"/>
      <c r="AC8" s="90"/>
    </row>
    <row r="9" spans="1:29" s="88" customFormat="1" ht="18">
      <c r="A9" s="83"/>
      <c r="B9" s="825" t="str">
        <f>+PROPONENTES!B9</f>
        <v>OBJETO: INTERVENTORÍA TECNICA, ADMINISTRATIVA, FINANCIERA Y AMBIENTAL PARA EL MANTENIMIENTO Y MEJORAMIENTO DE VIAS TERCIARIAS DEL PROGRAMA "COLOMBIA RURAL" EN LOS MUNICIPIOS DEL DEPARTAMENTO DEL TOLIMA - GRUPO II.</v>
      </c>
      <c r="C9" s="825"/>
      <c r="D9" s="825"/>
      <c r="E9" s="825"/>
      <c r="F9" s="825"/>
      <c r="G9" s="825"/>
      <c r="H9" s="825"/>
      <c r="I9" s="825"/>
      <c r="J9" s="825"/>
      <c r="K9" s="825"/>
      <c r="L9" s="825"/>
      <c r="M9" s="825"/>
      <c r="N9" s="825"/>
      <c r="O9" s="825"/>
      <c r="P9" s="825"/>
      <c r="Q9" s="825"/>
      <c r="R9" s="825"/>
      <c r="S9" s="825"/>
      <c r="T9" s="825"/>
      <c r="U9" s="825"/>
      <c r="V9" s="825"/>
      <c r="W9" s="287"/>
      <c r="Y9" s="89"/>
      <c r="Z9" s="89"/>
      <c r="AA9" s="89"/>
      <c r="AB9" s="90"/>
      <c r="AC9" s="90"/>
    </row>
    <row r="10" spans="1:29" s="88" customFormat="1" ht="18">
      <c r="A10" s="83"/>
      <c r="B10" s="84"/>
      <c r="C10" s="91"/>
      <c r="D10" s="91"/>
      <c r="E10" s="85"/>
      <c r="F10" s="85"/>
      <c r="G10" s="85"/>
      <c r="H10" s="85"/>
      <c r="I10" s="85"/>
      <c r="J10" s="85"/>
      <c r="K10" s="85"/>
      <c r="L10" s="85"/>
      <c r="M10" s="86"/>
      <c r="N10" s="86"/>
      <c r="O10" s="86"/>
      <c r="P10" s="85"/>
      <c r="Q10" s="85"/>
      <c r="R10" s="85"/>
      <c r="S10" s="85"/>
      <c r="T10" s="85"/>
      <c r="U10" s="86"/>
      <c r="Y10" s="89"/>
      <c r="Z10" s="89"/>
      <c r="AA10" s="89"/>
      <c r="AB10" s="90"/>
      <c r="AC10" s="90"/>
    </row>
    <row r="11" spans="1:29" s="88" customFormat="1" ht="24.75" customHeight="1">
      <c r="A11" s="83"/>
      <c r="B11" s="826"/>
      <c r="C11" s="826"/>
      <c r="D11" s="826"/>
      <c r="E11" s="826"/>
      <c r="F11" s="826"/>
      <c r="G11" s="826"/>
      <c r="H11" s="826"/>
      <c r="I11" s="826"/>
      <c r="J11" s="826"/>
      <c r="K11" s="826"/>
      <c r="L11" s="826"/>
      <c r="M11" s="826"/>
      <c r="N11" s="826"/>
      <c r="O11" s="826"/>
      <c r="P11" s="826"/>
      <c r="Q11" s="826"/>
      <c r="R11" s="826"/>
      <c r="S11" s="826"/>
      <c r="T11" s="826"/>
      <c r="U11" s="826"/>
      <c r="V11" s="826"/>
      <c r="W11" s="287"/>
      <c r="Y11" s="89"/>
      <c r="Z11" s="89"/>
      <c r="AA11" s="89"/>
      <c r="AB11" s="90"/>
      <c r="AC11" s="90"/>
    </row>
    <row r="12" spans="1:29" s="88" customFormat="1" ht="18">
      <c r="A12" s="83"/>
      <c r="B12" s="84"/>
      <c r="C12" s="91"/>
      <c r="D12" s="91"/>
      <c r="E12" s="85"/>
      <c r="F12" s="85"/>
      <c r="G12" s="85"/>
      <c r="H12" s="85"/>
      <c r="I12" s="85"/>
      <c r="J12" s="85"/>
      <c r="K12" s="85"/>
      <c r="L12" s="85"/>
      <c r="M12" s="86"/>
      <c r="N12" s="86"/>
      <c r="O12" s="86"/>
      <c r="P12" s="85"/>
      <c r="Q12" s="85"/>
      <c r="R12" s="85"/>
      <c r="S12" s="85"/>
      <c r="T12" s="85"/>
      <c r="U12" s="86"/>
      <c r="Y12" s="89"/>
      <c r="Z12" s="89"/>
      <c r="AA12" s="89"/>
      <c r="AB12" s="90"/>
      <c r="AC12" s="90"/>
    </row>
    <row r="13" spans="1:29" s="88" customFormat="1" ht="26.25" customHeight="1">
      <c r="A13" s="83"/>
      <c r="B13" s="827" t="s">
        <v>350</v>
      </c>
      <c r="C13" s="827"/>
      <c r="D13" s="827"/>
      <c r="E13" s="827"/>
      <c r="F13" s="827"/>
      <c r="G13" s="827"/>
      <c r="H13" s="827"/>
      <c r="I13" s="827"/>
      <c r="J13" s="827"/>
      <c r="K13" s="827"/>
      <c r="L13" s="827"/>
      <c r="M13" s="827"/>
      <c r="N13" s="827"/>
      <c r="O13" s="827"/>
      <c r="P13" s="827"/>
      <c r="Q13" s="827"/>
      <c r="R13" s="827"/>
      <c r="S13" s="827"/>
      <c r="T13" s="827"/>
      <c r="U13" s="827"/>
      <c r="V13" s="827"/>
      <c r="W13" s="288"/>
      <c r="Y13" s="89"/>
      <c r="Z13" s="89"/>
      <c r="AA13" s="89"/>
      <c r="AB13" s="90"/>
      <c r="AC13" s="90"/>
    </row>
    <row r="14" spans="1:29" s="88" customFormat="1" ht="18">
      <c r="A14" s="83"/>
      <c r="B14" s="827" t="s">
        <v>351</v>
      </c>
      <c r="C14" s="827"/>
      <c r="D14" s="827"/>
      <c r="E14" s="827"/>
      <c r="F14" s="827"/>
      <c r="G14" s="827"/>
      <c r="H14" s="827"/>
      <c r="I14" s="827"/>
      <c r="J14" s="827"/>
      <c r="K14" s="827"/>
      <c r="L14" s="827"/>
      <c r="M14" s="827"/>
      <c r="N14" s="827"/>
      <c r="O14" s="827"/>
      <c r="P14" s="827"/>
      <c r="Q14" s="827"/>
      <c r="R14" s="827"/>
      <c r="S14" s="827"/>
      <c r="T14" s="827"/>
      <c r="U14" s="827"/>
      <c r="V14" s="827"/>
      <c r="W14" s="288"/>
      <c r="Y14" s="89"/>
      <c r="Z14" s="89"/>
      <c r="AA14" s="89"/>
      <c r="AB14" s="90"/>
      <c r="AC14" s="90"/>
    </row>
    <row r="15" spans="1:29" s="27" customFormat="1" ht="16.5" thickBot="1">
      <c r="A15" s="22"/>
      <c r="B15" s="29"/>
      <c r="C15" s="29"/>
      <c r="D15" s="29"/>
      <c r="E15" s="24"/>
      <c r="F15" s="24"/>
      <c r="G15" s="24"/>
      <c r="H15" s="24"/>
      <c r="I15" s="24"/>
      <c r="J15" s="24"/>
      <c r="K15" s="24"/>
      <c r="L15" s="24"/>
      <c r="M15" s="25"/>
      <c r="N15" s="25"/>
      <c r="O15" s="25"/>
      <c r="P15" s="26"/>
      <c r="Q15" s="26"/>
      <c r="R15" s="26"/>
      <c r="S15" s="26"/>
      <c r="T15" s="26"/>
      <c r="Y15" s="52"/>
      <c r="Z15" s="52"/>
      <c r="AA15" s="52"/>
      <c r="AB15" s="28"/>
      <c r="AC15" s="28"/>
    </row>
    <row r="16" spans="1:29" s="27" customFormat="1">
      <c r="A16" s="22"/>
      <c r="C16" s="30"/>
      <c r="H16" s="31"/>
      <c r="P16" s="547" t="s">
        <v>352</v>
      </c>
      <c r="Q16" s="547" t="s">
        <v>353</v>
      </c>
      <c r="R16" s="548" t="s">
        <v>354</v>
      </c>
      <c r="Y16" s="52"/>
      <c r="Z16" s="52"/>
      <c r="AA16" s="52"/>
      <c r="AB16" s="28"/>
      <c r="AC16" s="28"/>
    </row>
    <row r="17" spans="1:29" s="27" customFormat="1" ht="16.5" thickBot="1">
      <c r="A17" s="22"/>
      <c r="B17" s="32"/>
      <c r="C17" s="33"/>
      <c r="D17" s="32"/>
      <c r="E17" s="32"/>
      <c r="F17" s="32"/>
      <c r="G17" s="31"/>
      <c r="H17" s="31"/>
      <c r="P17" s="549">
        <v>0.5</v>
      </c>
      <c r="Q17" s="550">
        <f>+FMINEXP</f>
        <v>29221</v>
      </c>
      <c r="R17" s="551">
        <f>FechaCierre</f>
        <v>44865</v>
      </c>
      <c r="Y17" s="52"/>
      <c r="Z17" s="52"/>
      <c r="AA17" s="52"/>
      <c r="AB17" s="28"/>
      <c r="AC17" s="28"/>
    </row>
    <row r="18" spans="1:29" s="27" customFormat="1">
      <c r="A18" s="22"/>
      <c r="C18" s="30"/>
      <c r="G18" s="31"/>
      <c r="H18" s="31"/>
      <c r="Y18" s="52"/>
      <c r="Z18" s="52"/>
      <c r="AA18" s="52"/>
      <c r="AB18" s="28"/>
      <c r="AC18" s="28"/>
    </row>
    <row r="19" spans="1:29" s="27" customFormat="1">
      <c r="A19" s="22"/>
      <c r="B19" s="31"/>
      <c r="C19" s="31"/>
      <c r="D19" s="31"/>
      <c r="E19" s="31"/>
      <c r="F19" s="31"/>
      <c r="G19" s="31"/>
      <c r="H19" s="31"/>
      <c r="I19" s="31"/>
      <c r="J19" s="31"/>
      <c r="K19" s="31"/>
      <c r="L19" s="31"/>
      <c r="M19" s="31"/>
      <c r="N19" s="31"/>
      <c r="O19" s="31"/>
      <c r="P19" s="31"/>
      <c r="Q19" s="31"/>
      <c r="R19" s="31"/>
      <c r="S19" s="31"/>
      <c r="T19" s="31"/>
      <c r="U19" s="31"/>
      <c r="V19" s="31"/>
      <c r="W19" s="31"/>
      <c r="X19" s="31"/>
      <c r="Y19" s="52"/>
      <c r="Z19" s="52"/>
      <c r="AA19" s="52"/>
      <c r="AB19" s="28"/>
      <c r="AC19" s="28"/>
    </row>
    <row r="20" spans="1:29" s="41" customFormat="1" ht="24" thickBot="1">
      <c r="A20" s="34">
        <v>1</v>
      </c>
      <c r="B20" s="828" t="s">
        <v>355</v>
      </c>
      <c r="C20" s="828"/>
      <c r="D20" s="828"/>
      <c r="E20" s="35">
        <f>VLOOKUP(A20,PROPONENTES!$B$19:$E$108,2,FALSE)</f>
        <v>1</v>
      </c>
      <c r="F20" s="36" t="str">
        <f>VLOOKUP(A20,PROPONENTES!$B$19:$E$108,3,FALSE)</f>
        <v>PROYECTOS URBANOS &amp; CONSTRUCCIONES DEL CARIBE S.A.S</v>
      </c>
      <c r="G20" s="37"/>
      <c r="H20" s="37"/>
      <c r="I20" s="36"/>
      <c r="J20" s="36"/>
      <c r="K20" s="36"/>
      <c r="L20" s="36"/>
      <c r="M20" s="38"/>
      <c r="N20" s="38"/>
      <c r="O20" s="37"/>
      <c r="P20" s="37"/>
      <c r="Q20" s="39"/>
      <c r="R20" s="39"/>
      <c r="S20" s="39"/>
      <c r="T20" s="39"/>
      <c r="U20" s="40"/>
      <c r="Y20" s="52"/>
      <c r="Z20" s="52"/>
      <c r="AA20" s="52"/>
      <c r="AB20" s="28"/>
      <c r="AC20" s="28"/>
    </row>
    <row r="21" spans="1:29" s="27" customFormat="1" ht="24.75" customHeight="1">
      <c r="A21" s="22"/>
      <c r="B21" s="829" t="s">
        <v>356</v>
      </c>
      <c r="C21" s="501" t="s">
        <v>357</v>
      </c>
      <c r="D21" s="502" t="s">
        <v>358</v>
      </c>
      <c r="E21" s="502"/>
      <c r="F21" s="502" t="s">
        <v>359</v>
      </c>
      <c r="G21" s="503"/>
      <c r="H21" s="803" t="s">
        <v>360</v>
      </c>
      <c r="I21" s="831" t="s">
        <v>361</v>
      </c>
      <c r="J21" s="803" t="s">
        <v>362</v>
      </c>
      <c r="K21" s="803" t="s">
        <v>363</v>
      </c>
      <c r="L21" s="803" t="s">
        <v>364</v>
      </c>
      <c r="M21" s="803" t="s">
        <v>365</v>
      </c>
      <c r="N21" s="804" t="s">
        <v>366</v>
      </c>
      <c r="O21" s="805"/>
      <c r="P21" s="806" t="s">
        <v>367</v>
      </c>
      <c r="Q21" s="807"/>
      <c r="R21" s="784" t="s">
        <v>368</v>
      </c>
      <c r="S21" s="774"/>
      <c r="T21" s="798" t="s">
        <v>369</v>
      </c>
      <c r="U21" s="799"/>
      <c r="V21" s="800"/>
      <c r="X21" s="520"/>
      <c r="Y21" s="520"/>
    </row>
    <row r="22" spans="1:29" s="27" customFormat="1" ht="94.5" customHeight="1">
      <c r="A22" s="22"/>
      <c r="B22" s="830"/>
      <c r="C22" s="504" t="s">
        <v>370</v>
      </c>
      <c r="D22" s="505" t="s">
        <v>41</v>
      </c>
      <c r="E22" s="505" t="s">
        <v>371</v>
      </c>
      <c r="F22" s="505" t="s">
        <v>372</v>
      </c>
      <c r="G22" s="506" t="s">
        <v>373</v>
      </c>
      <c r="H22" s="793"/>
      <c r="I22" s="832"/>
      <c r="J22" s="793"/>
      <c r="K22" s="793"/>
      <c r="L22" s="793"/>
      <c r="M22" s="793"/>
      <c r="N22" s="504" t="s">
        <v>374</v>
      </c>
      <c r="O22" s="505" t="s">
        <v>375</v>
      </c>
      <c r="P22" s="801"/>
      <c r="Q22" s="802"/>
      <c r="R22" s="796"/>
      <c r="S22" s="797"/>
      <c r="T22" s="507" t="s">
        <v>376</v>
      </c>
      <c r="U22" s="508" t="s">
        <v>377</v>
      </c>
      <c r="V22" s="509" t="s">
        <v>378</v>
      </c>
      <c r="X22" s="521" t="s">
        <v>379</v>
      </c>
      <c r="Y22" s="521" t="s">
        <v>380</v>
      </c>
    </row>
    <row r="23" spans="1:29" s="27" customFormat="1" ht="15" customHeight="1">
      <c r="A23" s="22"/>
      <c r="B23" s="594"/>
      <c r="C23" s="595">
        <v>3</v>
      </c>
      <c r="D23" s="595">
        <v>4</v>
      </c>
      <c r="E23" s="595">
        <v>5</v>
      </c>
      <c r="F23" s="595">
        <v>6</v>
      </c>
      <c r="G23" s="595">
        <v>7</v>
      </c>
      <c r="H23" s="595">
        <v>8</v>
      </c>
      <c r="I23" s="595">
        <v>9</v>
      </c>
      <c r="J23" s="595">
        <v>10</v>
      </c>
      <c r="K23" s="595">
        <v>11</v>
      </c>
      <c r="L23" s="595">
        <v>12</v>
      </c>
      <c r="M23" s="595">
        <v>13</v>
      </c>
      <c r="N23" s="595">
        <v>14</v>
      </c>
      <c r="O23" s="595">
        <v>15</v>
      </c>
      <c r="P23" s="596">
        <v>16</v>
      </c>
      <c r="Q23" s="597">
        <v>17</v>
      </c>
      <c r="R23" s="596">
        <v>18</v>
      </c>
      <c r="S23" s="597">
        <v>19</v>
      </c>
      <c r="T23" s="598">
        <v>20</v>
      </c>
      <c r="U23" s="255">
        <v>21</v>
      </c>
      <c r="V23" s="599">
        <v>22</v>
      </c>
      <c r="X23" s="589"/>
      <c r="Y23" s="590"/>
    </row>
    <row r="24" spans="1:29" s="44" customFormat="1" ht="102">
      <c r="A24" s="42" t="str">
        <f>"A"&amp;E20</f>
        <v>A1</v>
      </c>
      <c r="B24" s="605">
        <v>1</v>
      </c>
      <c r="C24" s="581" t="s">
        <v>381</v>
      </c>
      <c r="D24" s="581" t="s">
        <v>382</v>
      </c>
      <c r="E24" s="581" t="s">
        <v>383</v>
      </c>
      <c r="F24" s="581" t="s">
        <v>384</v>
      </c>
      <c r="G24" s="534">
        <v>0.5</v>
      </c>
      <c r="H24" s="534" t="s">
        <v>385</v>
      </c>
      <c r="I24" s="579" t="s">
        <v>384</v>
      </c>
      <c r="J24" s="580" t="str">
        <f>IF(I24="","",IF(I24="I",$F20,VLOOKUP(I24,$C41:$D46,2,0)))</f>
        <v>PROYECTOS URBANOS &amp; CONSTRUCCIONES DEL CARIBE S.A.S</v>
      </c>
      <c r="K24" s="535">
        <v>44228</v>
      </c>
      <c r="L24" s="535">
        <v>44438</v>
      </c>
      <c r="M24" s="536">
        <v>615.82000000000005</v>
      </c>
      <c r="N24" s="232">
        <f t="shared" ref="N24:N26" si="0">IF(OR(G24="",M24=""),"",M24*G24)</f>
        <v>307.91000000000003</v>
      </c>
      <c r="O24" s="260">
        <f t="shared" ref="O24:O26" si="1">IF(OR(H24="",H24="NO",K24&lt;$Q$17,K24&gt;$R$17,K24="",M24="",N24=""),"",ROUND(N24,7))</f>
        <v>307.91000000000003</v>
      </c>
      <c r="P24" s="781"/>
      <c r="Q24" s="782"/>
      <c r="R24" s="767"/>
      <c r="S24" s="768"/>
      <c r="T24" s="538" t="s">
        <v>385</v>
      </c>
      <c r="U24" s="539">
        <v>59</v>
      </c>
      <c r="V24" s="540" t="s">
        <v>385</v>
      </c>
      <c r="X24" s="541" t="s">
        <v>386</v>
      </c>
      <c r="Y24" s="541" t="s">
        <v>387</v>
      </c>
    </row>
    <row r="25" spans="1:29" s="44" customFormat="1" ht="24.95" customHeight="1">
      <c r="A25" s="42" t="str">
        <f>"B"&amp;E20</f>
        <v>B1</v>
      </c>
      <c r="B25" s="605" t="str">
        <f t="shared" ref="B25:B33" si="2">IF(C25&lt;&gt;"",B24+1,"")</f>
        <v/>
      </c>
      <c r="C25" s="581"/>
      <c r="D25" s="581"/>
      <c r="E25" s="581"/>
      <c r="F25" s="581"/>
      <c r="G25" s="534"/>
      <c r="H25" s="534"/>
      <c r="I25" s="579"/>
      <c r="J25" s="580" t="str">
        <f>IF(I25="","",IF(I25="I",$F20,VLOOKUP(I25,$C41:$D46,2,0)))</f>
        <v/>
      </c>
      <c r="K25" s="535"/>
      <c r="L25" s="535"/>
      <c r="M25" s="536"/>
      <c r="N25" s="232" t="str">
        <f t="shared" si="0"/>
        <v/>
      </c>
      <c r="O25" s="260" t="str">
        <f t="shared" si="1"/>
        <v/>
      </c>
      <c r="P25" s="781"/>
      <c r="Q25" s="782"/>
      <c r="R25" s="767"/>
      <c r="S25" s="768"/>
      <c r="T25" s="538"/>
      <c r="U25" s="539"/>
      <c r="V25" s="540"/>
      <c r="X25" s="541"/>
      <c r="Y25" s="541"/>
    </row>
    <row r="26" spans="1:29" s="44" customFormat="1" ht="24.95" customHeight="1">
      <c r="A26" s="42" t="str">
        <f>"C"&amp;E20</f>
        <v>C1</v>
      </c>
      <c r="B26" s="605" t="str">
        <f t="shared" si="2"/>
        <v/>
      </c>
      <c r="C26" s="581"/>
      <c r="D26" s="581"/>
      <c r="E26" s="581"/>
      <c r="F26" s="581"/>
      <c r="G26" s="534"/>
      <c r="H26" s="534"/>
      <c r="I26" s="579"/>
      <c r="J26" s="580" t="str">
        <f>IF(I26="","",IF(I26="I",$F20,VLOOKUP(I26,$C41:$D46,2,0)))</f>
        <v/>
      </c>
      <c r="K26" s="535"/>
      <c r="L26" s="535"/>
      <c r="M26" s="536"/>
      <c r="N26" s="232" t="str">
        <f t="shared" si="0"/>
        <v/>
      </c>
      <c r="O26" s="260" t="str">
        <f t="shared" si="1"/>
        <v/>
      </c>
      <c r="P26" s="781"/>
      <c r="Q26" s="782"/>
      <c r="R26" s="767"/>
      <c r="S26" s="768"/>
      <c r="T26" s="538"/>
      <c r="U26" s="539"/>
      <c r="V26" s="540"/>
      <c r="X26" s="541"/>
      <c r="Y26" s="541"/>
    </row>
    <row r="27" spans="1:29" s="44" customFormat="1" ht="24.95" customHeight="1">
      <c r="A27" s="42" t="str">
        <f>"D"&amp;E20</f>
        <v>D1</v>
      </c>
      <c r="B27" s="605" t="str">
        <f t="shared" si="2"/>
        <v/>
      </c>
      <c r="C27" s="581"/>
      <c r="D27" s="581"/>
      <c r="E27" s="581"/>
      <c r="F27" s="581"/>
      <c r="G27" s="534"/>
      <c r="H27" s="534"/>
      <c r="I27" s="579"/>
      <c r="J27" s="580" t="str">
        <f>IF(I27="","",IF(I27="I",$F20,VLOOKUP(I27,$C41:$D46,2,0)))</f>
        <v/>
      </c>
      <c r="K27" s="535"/>
      <c r="L27" s="535"/>
      <c r="M27" s="536"/>
      <c r="N27" s="232" t="str">
        <f t="shared" ref="N27:N33" si="3">IF(OR(G27="",M27=""),"",M27*G27)</f>
        <v/>
      </c>
      <c r="O27" s="260" t="str">
        <f t="shared" ref="O27:O33" si="4">IF(OR(H27="",H27="NO",K27&lt;$Q$17,K27&gt;$R$17,K27="",M27="",N27=""),"",ROUND(N27,7))</f>
        <v/>
      </c>
      <c r="P27" s="781"/>
      <c r="Q27" s="782"/>
      <c r="R27" s="767"/>
      <c r="S27" s="768"/>
      <c r="T27" s="538"/>
      <c r="U27" s="539"/>
      <c r="V27" s="540"/>
      <c r="X27" s="541"/>
      <c r="Y27" s="541"/>
    </row>
    <row r="28" spans="1:29" s="44" customFormat="1" ht="24.95" customHeight="1">
      <c r="A28" s="42" t="str">
        <f>"E"&amp;E20</f>
        <v>E1</v>
      </c>
      <c r="B28" s="605" t="str">
        <f t="shared" si="2"/>
        <v/>
      </c>
      <c r="C28" s="581"/>
      <c r="D28" s="581"/>
      <c r="E28" s="581"/>
      <c r="F28" s="581"/>
      <c r="G28" s="534"/>
      <c r="H28" s="534"/>
      <c r="I28" s="579"/>
      <c r="J28" s="580" t="str">
        <f>IF(I28="","",IF(I28="I",$F20,VLOOKUP(I28,$C41:$D46,2,0)))</f>
        <v/>
      </c>
      <c r="K28" s="535"/>
      <c r="L28" s="535"/>
      <c r="M28" s="536"/>
      <c r="N28" s="232" t="str">
        <f t="shared" si="3"/>
        <v/>
      </c>
      <c r="O28" s="260" t="str">
        <f t="shared" si="4"/>
        <v/>
      </c>
      <c r="P28" s="781"/>
      <c r="Q28" s="782"/>
      <c r="R28" s="767"/>
      <c r="S28" s="768"/>
      <c r="T28" s="538"/>
      <c r="U28" s="539"/>
      <c r="V28" s="540"/>
      <c r="X28" s="541"/>
      <c r="Y28" s="541"/>
    </row>
    <row r="29" spans="1:29" s="44" customFormat="1" ht="24.95" customHeight="1">
      <c r="A29" s="42" t="str">
        <f>"F"&amp;E20</f>
        <v>F1</v>
      </c>
      <c r="B29" s="605" t="str">
        <f t="shared" si="2"/>
        <v/>
      </c>
      <c r="C29" s="581"/>
      <c r="D29" s="581"/>
      <c r="E29" s="581"/>
      <c r="F29" s="581"/>
      <c r="G29" s="534"/>
      <c r="H29" s="534"/>
      <c r="I29" s="579"/>
      <c r="J29" s="580" t="str">
        <f>IF(I29="","",IF(I29="I",$F20,VLOOKUP(I29,$C41:$D46,2,0)))</f>
        <v/>
      </c>
      <c r="K29" s="535"/>
      <c r="L29" s="535"/>
      <c r="M29" s="536"/>
      <c r="N29" s="232" t="str">
        <f t="shared" si="3"/>
        <v/>
      </c>
      <c r="O29" s="260" t="str">
        <f t="shared" si="4"/>
        <v/>
      </c>
      <c r="P29" s="781"/>
      <c r="Q29" s="782"/>
      <c r="R29" s="767"/>
      <c r="S29" s="768"/>
      <c r="T29" s="538"/>
      <c r="U29" s="539"/>
      <c r="V29" s="540"/>
      <c r="X29" s="541"/>
      <c r="Y29" s="541"/>
    </row>
    <row r="30" spans="1:29" s="44" customFormat="1" ht="24.95" customHeight="1">
      <c r="A30" s="42" t="str">
        <f>"G"&amp;E20</f>
        <v>G1</v>
      </c>
      <c r="B30" s="605" t="str">
        <f t="shared" si="2"/>
        <v/>
      </c>
      <c r="C30" s="581"/>
      <c r="D30" s="581"/>
      <c r="E30" s="581"/>
      <c r="F30" s="581"/>
      <c r="G30" s="534"/>
      <c r="H30" s="534"/>
      <c r="I30" s="579"/>
      <c r="J30" s="580" t="str">
        <f>IF(I30="","",IF(I30="I",$F20,VLOOKUP(I30,$C41:$D46,2,0)))</f>
        <v/>
      </c>
      <c r="K30" s="535"/>
      <c r="L30" s="535"/>
      <c r="M30" s="536"/>
      <c r="N30" s="43" t="str">
        <f t="shared" si="3"/>
        <v/>
      </c>
      <c r="O30" s="260" t="str">
        <f t="shared" si="4"/>
        <v/>
      </c>
      <c r="P30" s="781"/>
      <c r="Q30" s="782"/>
      <c r="R30" s="767"/>
      <c r="S30" s="768"/>
      <c r="T30" s="538"/>
      <c r="U30" s="539"/>
      <c r="V30" s="540"/>
      <c r="X30" s="541"/>
      <c r="Y30" s="541"/>
    </row>
    <row r="31" spans="1:29" s="44" customFormat="1" ht="24.95" customHeight="1">
      <c r="A31" s="42" t="str">
        <f>"H"&amp;E20</f>
        <v>H1</v>
      </c>
      <c r="B31" s="605" t="str">
        <f t="shared" si="2"/>
        <v/>
      </c>
      <c r="C31" s="581"/>
      <c r="D31" s="581"/>
      <c r="E31" s="581"/>
      <c r="F31" s="581"/>
      <c r="G31" s="534"/>
      <c r="H31" s="534"/>
      <c r="I31" s="579"/>
      <c r="J31" s="580" t="str">
        <f>IF(I31="","",IF(I31="I",$F20,VLOOKUP(I31,$C41:$D46,2,0)))</f>
        <v/>
      </c>
      <c r="K31" s="535"/>
      <c r="L31" s="535"/>
      <c r="M31" s="537"/>
      <c r="N31" s="43" t="str">
        <f t="shared" si="3"/>
        <v/>
      </c>
      <c r="O31" s="260" t="str">
        <f t="shared" si="4"/>
        <v/>
      </c>
      <c r="P31" s="781"/>
      <c r="Q31" s="782"/>
      <c r="R31" s="767"/>
      <c r="S31" s="768"/>
      <c r="T31" s="538"/>
      <c r="U31" s="539"/>
      <c r="V31" s="540"/>
      <c r="X31" s="541"/>
      <c r="Y31" s="541"/>
    </row>
    <row r="32" spans="1:29" s="44" customFormat="1" ht="24.95" customHeight="1">
      <c r="A32" s="42" t="str">
        <f>"I"&amp;E20</f>
        <v>I1</v>
      </c>
      <c r="B32" s="605" t="str">
        <f t="shared" si="2"/>
        <v/>
      </c>
      <c r="C32" s="581"/>
      <c r="D32" s="581"/>
      <c r="E32" s="581"/>
      <c r="F32" s="581"/>
      <c r="G32" s="534"/>
      <c r="H32" s="534"/>
      <c r="I32" s="579"/>
      <c r="J32" s="580" t="str">
        <f>IF(I32="","",IF(I32="I",$F20,VLOOKUP(I32,$C41:$D46,2,0)))</f>
        <v/>
      </c>
      <c r="K32" s="535"/>
      <c r="L32" s="535"/>
      <c r="M32" s="537"/>
      <c r="N32" s="43" t="str">
        <f t="shared" si="3"/>
        <v/>
      </c>
      <c r="O32" s="260" t="str">
        <f t="shared" si="4"/>
        <v/>
      </c>
      <c r="P32" s="781"/>
      <c r="Q32" s="782"/>
      <c r="R32" s="767"/>
      <c r="S32" s="768"/>
      <c r="T32" s="538"/>
      <c r="U32" s="539"/>
      <c r="V32" s="540"/>
      <c r="X32" s="541"/>
      <c r="Y32" s="541"/>
    </row>
    <row r="33" spans="1:29" s="44" customFormat="1" ht="24.95" customHeight="1" thickBot="1">
      <c r="A33" s="42" t="str">
        <f>"J"&amp;E20</f>
        <v>J1</v>
      </c>
      <c r="B33" s="612" t="str">
        <f t="shared" si="2"/>
        <v/>
      </c>
      <c r="C33" s="582"/>
      <c r="D33" s="582"/>
      <c r="E33" s="582"/>
      <c r="F33" s="582"/>
      <c r="G33" s="583"/>
      <c r="H33" s="583"/>
      <c r="I33" s="584"/>
      <c r="J33" s="585" t="str">
        <f>IF(I33="","",IF(I33="I",$F20,VLOOKUP(I33,$C41:$D46,2,0)))</f>
        <v/>
      </c>
      <c r="K33" s="586"/>
      <c r="L33" s="586"/>
      <c r="M33" s="587"/>
      <c r="N33" s="43" t="str">
        <f t="shared" si="3"/>
        <v/>
      </c>
      <c r="O33" s="260" t="str">
        <f t="shared" si="4"/>
        <v/>
      </c>
      <c r="P33" s="781"/>
      <c r="Q33" s="782"/>
      <c r="R33" s="767"/>
      <c r="S33" s="768"/>
      <c r="T33" s="538"/>
      <c r="U33" s="539"/>
      <c r="V33" s="540"/>
      <c r="X33" s="541"/>
      <c r="Y33" s="541"/>
    </row>
    <row r="34" spans="1:29" s="27" customFormat="1" ht="12" customHeight="1" thickBot="1">
      <c r="A34" s="42"/>
      <c r="B34" s="45"/>
      <c r="C34" s="46"/>
      <c r="D34" s="46"/>
      <c r="E34" s="46"/>
      <c r="F34" s="46"/>
      <c r="G34" s="46"/>
      <c r="H34" s="606"/>
      <c r="I34" s="46"/>
      <c r="J34" s="46"/>
      <c r="K34" s="46"/>
      <c r="L34" s="46"/>
      <c r="M34" s="46"/>
      <c r="N34" s="46"/>
      <c r="O34" s="259"/>
      <c r="P34" s="46"/>
      <c r="Q34" s="46"/>
      <c r="R34" s="259"/>
      <c r="S34" s="46"/>
      <c r="T34" s="46"/>
      <c r="U34" s="47"/>
      <c r="V34" s="48"/>
      <c r="X34" s="592"/>
      <c r="Y34" s="593"/>
      <c r="AB34" s="378"/>
    </row>
    <row r="35" spans="1:29" s="27" customFormat="1" ht="17.25" customHeight="1" thickBot="1">
      <c r="A35" s="42" t="str">
        <f>"Z"&amp;E20</f>
        <v>Z1</v>
      </c>
      <c r="B35" s="510"/>
      <c r="C35" s="511"/>
      <c r="D35" s="511"/>
      <c r="E35" s="511"/>
      <c r="F35" s="511"/>
      <c r="G35" s="511"/>
      <c r="H35" s="511"/>
      <c r="I35" s="511"/>
      <c r="J35" s="511"/>
      <c r="K35" s="511"/>
      <c r="L35" s="511"/>
      <c r="M35" s="511"/>
      <c r="N35" s="437" t="s">
        <v>388</v>
      </c>
      <c r="O35" s="438">
        <f>IF(COUNTIF(O24:O33,"")&gt;9,0,SUM(O24:O33)/(COUNTIF(H24:H33,"SI")))</f>
        <v>307.91000000000003</v>
      </c>
      <c r="P35" s="511"/>
      <c r="Q35" s="511"/>
      <c r="R35" s="530"/>
      <c r="S35" s="530"/>
      <c r="T35" s="531"/>
      <c r="U35" s="532"/>
      <c r="V35" s="533"/>
      <c r="W35" s="285"/>
      <c r="X35" s="613" t="e">
        <f>COUNTIF(#REF!,"")-COUNTIF(#REF!,"CUMPLE")-1</f>
        <v>#REF!</v>
      </c>
      <c r="Y35" s="591"/>
      <c r="AB35" s="28"/>
    </row>
    <row r="36" spans="1:29" ht="17.25" customHeight="1">
      <c r="B36" s="50"/>
      <c r="C36" s="50"/>
      <c r="D36" s="50"/>
      <c r="E36" s="50"/>
      <c r="F36" s="50"/>
      <c r="G36" s="51"/>
      <c r="H36" s="51"/>
      <c r="I36" s="51"/>
      <c r="J36" s="51"/>
      <c r="K36" s="51"/>
      <c r="L36" s="51"/>
      <c r="M36" s="51"/>
      <c r="N36" s="51"/>
      <c r="O36" s="51"/>
      <c r="P36" s="51"/>
      <c r="Q36" s="51"/>
      <c r="R36" s="51"/>
      <c r="S36" s="51"/>
      <c r="T36" s="51"/>
      <c r="U36" s="51"/>
      <c r="V36" s="51"/>
      <c r="W36" s="51"/>
      <c r="X36" s="608"/>
      <c r="Y36" s="51"/>
      <c r="Z36" s="51"/>
      <c r="AA36" s="51"/>
      <c r="AB36" s="51"/>
      <c r="AC36" s="50"/>
    </row>
    <row r="37" spans="1:29" s="27" customFormat="1" ht="16.5" customHeight="1" thickBot="1">
      <c r="A37" s="22"/>
      <c r="B37" s="783" t="s">
        <v>389</v>
      </c>
      <c r="C37" s="783"/>
      <c r="D37" s="783"/>
      <c r="E37" s="783"/>
      <c r="F37" s="783"/>
      <c r="G37" s="783"/>
      <c r="H37" s="783"/>
      <c r="I37" s="783"/>
      <c r="J37" s="783"/>
      <c r="K37" s="783"/>
      <c r="L37" s="783"/>
      <c r="M37" s="783"/>
      <c r="N37" s="783"/>
      <c r="O37" s="783"/>
      <c r="P37" s="783"/>
      <c r="Q37" s="783"/>
      <c r="R37" s="783"/>
      <c r="S37" s="783"/>
      <c r="T37" s="783"/>
      <c r="U37" s="783"/>
      <c r="V37" s="783"/>
      <c r="W37" s="286"/>
      <c r="X37" s="607"/>
      <c r="Y37" s="52"/>
      <c r="Z37" s="52"/>
      <c r="AA37" s="52"/>
      <c r="AB37" s="28"/>
      <c r="AC37" s="28"/>
    </row>
    <row r="38" spans="1:29" s="30" customFormat="1" ht="22.5" customHeight="1">
      <c r="A38" s="112" t="str">
        <f>"K"&amp;E20</f>
        <v>K1</v>
      </c>
      <c r="B38" s="790" t="s">
        <v>390</v>
      </c>
      <c r="C38" s="772" t="s">
        <v>391</v>
      </c>
      <c r="D38" s="773"/>
      <c r="E38" s="773"/>
      <c r="F38" s="773"/>
      <c r="G38" s="773"/>
      <c r="H38" s="773"/>
      <c r="I38" s="773"/>
      <c r="J38" s="773"/>
      <c r="K38" s="773"/>
      <c r="L38" s="773"/>
      <c r="M38" s="774"/>
      <c r="N38" s="525"/>
      <c r="O38" s="588"/>
      <c r="P38" s="772" t="s">
        <v>392</v>
      </c>
      <c r="Q38" s="773"/>
      <c r="R38" s="773"/>
      <c r="S38" s="774"/>
      <c r="T38" s="784" t="s">
        <v>393</v>
      </c>
      <c r="U38" s="774"/>
      <c r="V38" s="811"/>
      <c r="W38" s="284"/>
      <c r="X38" s="778" t="s">
        <v>394</v>
      </c>
      <c r="Y38" s="779"/>
      <c r="Z38" s="779"/>
      <c r="AA38" s="779" t="s">
        <v>395</v>
      </c>
      <c r="AB38" s="808" t="s">
        <v>396</v>
      </c>
      <c r="AC38" s="28"/>
    </row>
    <row r="39" spans="1:29" s="30" customFormat="1" ht="22.5" customHeight="1">
      <c r="A39" s="112" t="str">
        <f>"L"&amp;E20</f>
        <v>L1</v>
      </c>
      <c r="B39" s="791"/>
      <c r="C39" s="769" t="s">
        <v>397</v>
      </c>
      <c r="D39" s="770"/>
      <c r="E39" s="771"/>
      <c r="F39" s="512">
        <f>IF(VLOOKUP(E20,PROPONENTES!$C$19:$E$108,3,0)="","",VLOOKUP(E20,PROPONENTES!$C$19:$E$108,3,0))</f>
        <v>1</v>
      </c>
      <c r="G39" s="824" t="s">
        <v>398</v>
      </c>
      <c r="H39" s="793" t="s">
        <v>399</v>
      </c>
      <c r="I39" s="793"/>
      <c r="J39" s="769" t="s">
        <v>400</v>
      </c>
      <c r="K39" s="823"/>
      <c r="L39" s="513" t="s">
        <v>401</v>
      </c>
      <c r="M39" s="513"/>
      <c r="N39" s="526"/>
      <c r="O39" s="527"/>
      <c r="P39" s="775"/>
      <c r="Q39" s="776"/>
      <c r="R39" s="776"/>
      <c r="S39" s="777"/>
      <c r="T39" s="796"/>
      <c r="U39" s="797"/>
      <c r="V39" s="812"/>
      <c r="W39" s="284"/>
      <c r="X39" s="780" t="s">
        <v>402</v>
      </c>
      <c r="Y39" s="810" t="s">
        <v>403</v>
      </c>
      <c r="Z39" s="810"/>
      <c r="AA39" s="810"/>
      <c r="AB39" s="809"/>
      <c r="AC39" s="28"/>
    </row>
    <row r="40" spans="1:29" s="30" customFormat="1" ht="66.75" customHeight="1" thickBot="1">
      <c r="A40" s="112" t="str">
        <f>"M"&amp;E20</f>
        <v>M1</v>
      </c>
      <c r="B40" s="791"/>
      <c r="C40" s="770" t="s">
        <v>404</v>
      </c>
      <c r="D40" s="771"/>
      <c r="E40" s="514" t="s">
        <v>405</v>
      </c>
      <c r="F40" s="515" t="s">
        <v>406</v>
      </c>
      <c r="G40" s="824"/>
      <c r="H40" s="793"/>
      <c r="I40" s="793"/>
      <c r="J40" s="504" t="s">
        <v>407</v>
      </c>
      <c r="K40" s="516" t="s">
        <v>408</v>
      </c>
      <c r="L40" s="517" t="s">
        <v>409</v>
      </c>
      <c r="M40" s="517"/>
      <c r="N40" s="528" t="s">
        <v>410</v>
      </c>
      <c r="O40" s="529"/>
      <c r="P40" s="386"/>
      <c r="Q40" s="387" t="s">
        <v>411</v>
      </c>
      <c r="R40" s="388"/>
      <c r="S40" s="113">
        <f>COUNTIFS(H24:H33,"SI",O24:O33,"&gt;0")</f>
        <v>1</v>
      </c>
      <c r="T40" s="785"/>
      <c r="U40" s="787"/>
      <c r="V40" s="813"/>
      <c r="W40" s="284"/>
      <c r="X40" s="780"/>
      <c r="Y40" s="810"/>
      <c r="Z40" s="810"/>
      <c r="AA40" s="810"/>
      <c r="AB40" s="809"/>
      <c r="AC40" s="28"/>
    </row>
    <row r="41" spans="1:29" s="30" customFormat="1" ht="15.75" customHeight="1">
      <c r="A41" s="112" t="str">
        <f>"N"&amp;E20</f>
        <v>N1</v>
      </c>
      <c r="B41" s="791"/>
      <c r="C41" s="54">
        <v>1</v>
      </c>
      <c r="D41" s="100" t="str">
        <f>IF(AND(C41&lt;=F39,F39&gt;1,F39&lt;&gt;""),VLOOKUP(VALUE(E20&amp;","&amp;C41),INTEGRANTES!$D$19:$F$192,2,0),"")</f>
        <v/>
      </c>
      <c r="E41" s="107" t="str">
        <f>IF(D41&lt;&gt;"",VLOOKUP(VALUE(E20&amp;","&amp;C41),INTEGRANTES!$D$19:$F$192,3,0),"")</f>
        <v/>
      </c>
      <c r="F41" s="380" t="str">
        <f>IF(D41="","",IF(OR(SUMIF($J27:$J33,D41,$O27:$O33)=0,N41="NO"),"NO APORTA",SUMIF($J27:$J33,D41,$O27:$O33)))</f>
        <v/>
      </c>
      <c r="G41" s="380" t="str">
        <f>IF($D41="","",IF($F39&lt;=1,"",ROUND(POSMMLV*PORPO,2)))</f>
        <v/>
      </c>
      <c r="H41" s="765" t="str">
        <f>IF($D41="","",IF(OR(F41="NO APORTA",G41&gt;F41),"NO CUMPLE","CUMPLE"))</f>
        <v/>
      </c>
      <c r="I41" s="766"/>
      <c r="J41" s="108" t="str">
        <f>IF(D41="","",IF(OR(AND(SUMIF($J24:$J33,D41,$O24:$O33)&gt;=5%*POSMMLV,N41="SI"),AND(SUMIF($J24:$J33,D41,$O24:$O33)=0,E41&lt;=5%,N41="SI")),"CUMPLE","NO CUMPLE"))</f>
        <v/>
      </c>
      <c r="K41" s="105" t="str">
        <f>IF(OR(D41="",J41=""),"",IF(AND(J41="NO CUMPLE",F41="NO APORTA",E41&gt;5%),"EXP = 0 y PART &gt; 5%",IF(F41&lt;5%*Q46,"EXP &lt; 5%*PO","")))</f>
        <v/>
      </c>
      <c r="L41" s="389" t="str">
        <f>IF(OR(D41="",E41=""),"",IF(AND(E41&gt;=0.25,F41&lt;&gt;"NO APORTA",F41&gt;=$R46*0.25),"SI","NO"))</f>
        <v/>
      </c>
      <c r="M41" s="389"/>
      <c r="N41" s="468" t="s">
        <v>385</v>
      </c>
      <c r="O41" s="396">
        <f>COUNTIFS(O24:O33,"&gt;0",H24:H33,"SI")</f>
        <v>1</v>
      </c>
      <c r="P41" s="814" t="s">
        <v>139</v>
      </c>
      <c r="Q41" s="814"/>
      <c r="R41" s="817">
        <f>E20</f>
        <v>1</v>
      </c>
      <c r="S41" s="818"/>
      <c r="T41" s="784" t="s">
        <v>412</v>
      </c>
      <c r="U41" s="773"/>
      <c r="V41" s="774"/>
      <c r="W41" s="283"/>
      <c r="X41" s="542" t="str">
        <f>IF($F39=1,"NO APLICA",$D41)</f>
        <v>NO APLICA</v>
      </c>
      <c r="Y41" s="543" t="str">
        <f>IF(OR($F41="",$F41="NO APORTA",$R46=0,$X41="NO APLICA"),"",ROUND($F41/$Q46,2))</f>
        <v/>
      </c>
      <c r="Z41" s="544" t="str">
        <f>IF(Y47=1,"SI APLICA",IF(OR($X41="",$X41="NO APLICA",$F41="",$F41="NO APORTA"),"",IF(ROUND($F41/Q46,7)&gt;=0.4,"SI APLICA","NO APLICA")))</f>
        <v>SI APLICA</v>
      </c>
      <c r="AA41" s="543" t="s">
        <v>413</v>
      </c>
      <c r="AB41" s="540" t="str">
        <f>IF(COUNTIF(Z41:AA41,"SI APLICA")=2,"SI APLICA","")</f>
        <v>SI APLICA</v>
      </c>
      <c r="AC41" s="28"/>
    </row>
    <row r="42" spans="1:29" s="30" customFormat="1" ht="15.75" customHeight="1" thickBot="1">
      <c r="A42" s="112" t="str">
        <f>"O"&amp;E20</f>
        <v>O1</v>
      </c>
      <c r="B42" s="791"/>
      <c r="C42" s="54">
        <v>2</v>
      </c>
      <c r="D42" s="100" t="str">
        <f>IF(AND(C42&lt;=F39,F39&lt;&gt;""),VLOOKUP(VALUE(E20&amp;","&amp;C42),INTEGRANTES!$D$19:$F$192,2,0),"")</f>
        <v/>
      </c>
      <c r="E42" s="107" t="str">
        <f>IF(D42&lt;&gt;"",VLOOKUP(VALUE(E20&amp;","&amp;C42),INTEGRANTES!$D$19:$F$192,3,0),"")</f>
        <v/>
      </c>
      <c r="F42" s="380" t="str">
        <f>IF(D42="","",IF(OR(SUMIF($J27:$J33,D42,$O27:$O33)=0,N42="NO"),"NO APORTA",SUMIF($J27:$J33,D42,$O27:$O33)))</f>
        <v/>
      </c>
      <c r="G42" s="380" t="str">
        <f>IF($D42="","",IF($F39&lt;=1,"",ROUND(POSMMLV*PORPO,2)))</f>
        <v/>
      </c>
      <c r="H42" s="765" t="str">
        <f t="shared" ref="H42:H45" si="5">IF($D42="","",IF(OR(F42="NO APORTA",G42&gt;F42),"NO CUMPLE","CUMPLE"))</f>
        <v/>
      </c>
      <c r="I42" s="766"/>
      <c r="J42" s="108" t="str">
        <f>IF(D42="","",IF(OR(AND(SUMIF($J24:$J33,D42,$O24:$O33)&gt;=5%*POSMMLV,N42="SI"),AND(SUMIF($J24:$J33,D42,$O24:$O33)=0,E42&lt;=5%,N42="SI")),"CUMPLE","NO CUMPLE"))</f>
        <v/>
      </c>
      <c r="K42" s="105" t="str">
        <f>IF(OR(D42="",J42=""),"",IF(AND(J42="NO CUMPLE",F42="NO APORTA",E42&gt;5%),"EXP = 0 y PART &gt; 5%",IF(F42&lt;5%*Q46,"EXP &lt; 5%*PO","")))</f>
        <v/>
      </c>
      <c r="L42" s="389" t="str">
        <f>IF(OR(D42="",E42=""),"",IF(AND(E42&gt;=0.25,F42&lt;&gt;"NO APORTA",F42&gt;=$R46*0.25),"SI","NO"))</f>
        <v/>
      </c>
      <c r="M42" s="389"/>
      <c r="N42" s="468" t="s">
        <v>385</v>
      </c>
      <c r="O42" s="396"/>
      <c r="P42" s="815"/>
      <c r="Q42" s="815"/>
      <c r="R42" s="815"/>
      <c r="S42" s="819"/>
      <c r="T42" s="785"/>
      <c r="U42" s="786"/>
      <c r="V42" s="787"/>
      <c r="W42" s="283"/>
      <c r="X42" s="542" t="str">
        <f>IF($F39=1,"NO APLICA",$D42)</f>
        <v>NO APLICA</v>
      </c>
      <c r="Y42" s="543" t="str">
        <f>IF(OR($F42="",$F42="NO APORTA",$R46=0,$X42="NO APLICA"),"",ROUND($F42/$Q46,2))</f>
        <v/>
      </c>
      <c r="Z42" s="544"/>
      <c r="AA42" s="543"/>
      <c r="AB42" s="540" t="str">
        <f t="shared" ref="AB42:AB45" si="6">IF(COUNTIF(Z42:AA42,"SI APLICA")=2,"SI APLICA","")</f>
        <v/>
      </c>
      <c r="AC42" s="28"/>
    </row>
    <row r="43" spans="1:29" s="30" customFormat="1" ht="15.75" customHeight="1">
      <c r="A43" s="112" t="str">
        <f>"P"&amp;E20</f>
        <v>P1</v>
      </c>
      <c r="B43" s="791"/>
      <c r="C43" s="54">
        <v>3</v>
      </c>
      <c r="D43" s="100" t="str">
        <f>IF(AND(C43&lt;=F39,F39&lt;&gt;""),VLOOKUP(VALUE(E20&amp;","&amp;C43),INTEGRANTES!$D$19:$F$192,2,0),"")</f>
        <v/>
      </c>
      <c r="E43" s="107" t="str">
        <f>IF(D43&lt;&gt;"",VLOOKUP(VALUE(E20&amp;","&amp;C43),INTEGRANTES!$D$19:$F$192,3,0),"")</f>
        <v/>
      </c>
      <c r="F43" s="380" t="str">
        <f>IF(D43="","",IF(OR(SUMIF($J27:$J33,D43,$O27:$O33)=0,N43="NO"),"NO APORTA",SUMIF($J27:$J33,D43,$O27:$O33)))</f>
        <v/>
      </c>
      <c r="G43" s="380" t="str">
        <f>IF($D43="","",IF($F39&lt;=1,"",ROUND(POSMMLV*PORPO,2)))</f>
        <v/>
      </c>
      <c r="H43" s="765" t="str">
        <f t="shared" si="5"/>
        <v/>
      </c>
      <c r="I43" s="766"/>
      <c r="J43" s="108" t="str">
        <f>IF(D43="","",IF(OR(AND(SUMIF($J24:$J33,D43,$O24:$O33)&gt;=5%*POSMMLV,N43="SI"),AND(SUMIF($J24:$J33,D43,$O24:$O33)=0,E43&lt;=5%,N43="SI")),"CUMPLE","NO CUMPLE"))</f>
        <v/>
      </c>
      <c r="K43" s="105" t="str">
        <f>IF(OR(D43="",J43=""),"",IF(AND(J43="NO CUMPLE",F43="NO APORTA",E43&gt;5%),"EXP = 0 y PART &gt; 5%",IF(F43&lt;5%*Q46,"EXP &lt; 5%*PO","")))</f>
        <v/>
      </c>
      <c r="L43" s="389" t="str">
        <f>IF(OR(D43="",E43=""),"",IF(AND(E43&gt;=0.25,F43&lt;&gt;"NO APORTA",F43&gt;=$R46*0.25),"SI","NO"))</f>
        <v/>
      </c>
      <c r="M43" s="389"/>
      <c r="N43" s="468"/>
      <c r="O43" s="397"/>
      <c r="P43" s="816"/>
      <c r="Q43" s="816"/>
      <c r="R43" s="816"/>
      <c r="S43" s="820"/>
      <c r="T43" s="308"/>
      <c r="U43" s="308"/>
      <c r="V43" s="309"/>
      <c r="W43" s="284"/>
      <c r="X43" s="542" t="str">
        <f>IF($F39=1,"NO APLICA",$D43)</f>
        <v>NO APLICA</v>
      </c>
      <c r="Y43" s="543" t="str">
        <f>IF(OR($F43="",$F43="NO APORTA",$R46=0,$X43="NO APLICA"),"",ROUND($F43/$Q46,2))</f>
        <v/>
      </c>
      <c r="Z43" s="544"/>
      <c r="AA43" s="543"/>
      <c r="AB43" s="540" t="str">
        <f>IF(COUNTIF(Z43:AA43,"SI APLICA")=2,"SI APLICA","")</f>
        <v/>
      </c>
      <c r="AC43" s="28"/>
    </row>
    <row r="44" spans="1:29" s="30" customFormat="1" ht="15.75" customHeight="1">
      <c r="A44" s="112" t="str">
        <f>"Q"&amp;E20</f>
        <v>Q1</v>
      </c>
      <c r="B44" s="791"/>
      <c r="C44" s="54">
        <v>4</v>
      </c>
      <c r="D44" s="100" t="str">
        <f>IF(AND(C44&lt;=F39,F39&lt;&gt;""),VLOOKUP(VALUE(E20&amp;","&amp;C44),INTEGRANTES!$D$19:$F$192,2,0),"")</f>
        <v/>
      </c>
      <c r="E44" s="107" t="str">
        <f>IF(D44&lt;&gt;"",VLOOKUP(VALUE(E20&amp;","&amp;C44),INTEGRANTES!$D$19:$F$192,3,0),"")</f>
        <v/>
      </c>
      <c r="F44" s="380" t="str">
        <f>IF(D44="","",IF(OR(SUMIF($J27:$J33,D44,$O27:$O33)=0,N44="NO"),"NO APORTA",SUMIF($J27:$J33,D44,$O27:$O33)))</f>
        <v/>
      </c>
      <c r="G44" s="380" t="str">
        <f>IF($D44="","",IF($F39&lt;=1,"",ROUND(POSMMLV*PORPO,2)))</f>
        <v/>
      </c>
      <c r="H44" s="765" t="str">
        <f t="shared" si="5"/>
        <v/>
      </c>
      <c r="I44" s="766"/>
      <c r="J44" s="108" t="str">
        <f>IF(D44="","",IF(OR(AND(SUMIF($J24:$J33,D44,$O24:$O33)&gt;=5%*POSMMLV,N44="SI"),AND(SUMIF($J24:$J33,D44,$O24:$O33)=0,E44&lt;=5%,N44="SI")),"CUMPLE","NO CUMPLE"))</f>
        <v/>
      </c>
      <c r="K44" s="105" t="str">
        <f>IF(OR(D44="",J44=""),"",IF(AND(J44="NO CUMPLE",F44="NO APORTA",E44&gt;5%),"EXP = 0 y PART &gt; 5%",IF(F44&lt;5%*Q46,"EXP &lt; 5%*PO","")))</f>
        <v/>
      </c>
      <c r="L44" s="389" t="str">
        <f>IF(OR(D44="",E44=""),"",IF(AND(E44&gt;=0.25,F44&lt;&gt;"NO APORTA",F44&gt;=$R46*0.25),"SI","NO"))</f>
        <v/>
      </c>
      <c r="M44" s="389"/>
      <c r="N44" s="468"/>
      <c r="O44" s="788" t="s">
        <v>414</v>
      </c>
      <c r="P44" s="769" t="s">
        <v>415</v>
      </c>
      <c r="Q44" s="770"/>
      <c r="R44" s="770"/>
      <c r="S44" s="771"/>
      <c r="T44" s="284"/>
      <c r="U44" s="284"/>
      <c r="V44" s="310"/>
      <c r="W44" s="284"/>
      <c r="X44" s="542" t="str">
        <f>IF($F39=1,"NO APLICA",$D44)</f>
        <v>NO APLICA</v>
      </c>
      <c r="Y44" s="543" t="str">
        <f>IF(OR($F44="",$F44="NO APORTA",$R46=0,$X44="NO APLICA"),"",ROUND($F44/$Q46,2))</f>
        <v/>
      </c>
      <c r="Z44" s="544"/>
      <c r="AA44" s="543"/>
      <c r="AB44" s="540" t="str">
        <f t="shared" si="6"/>
        <v/>
      </c>
      <c r="AC44" s="28"/>
    </row>
    <row r="45" spans="1:29" s="30" customFormat="1" ht="17.25" customHeight="1">
      <c r="A45" s="112" t="str">
        <f>"R"&amp;E20</f>
        <v>R1</v>
      </c>
      <c r="B45" s="791"/>
      <c r="C45" s="54">
        <v>5</v>
      </c>
      <c r="D45" s="100" t="str">
        <f>IF(AND(C45&lt;=F39,F39&lt;&gt;""),VLOOKUP(VALUE(E20&amp;","&amp;C45),INTEGRANTES!$D$19:$F$192,2,0),"")</f>
        <v/>
      </c>
      <c r="E45" s="107" t="str">
        <f>IF(D45&lt;&gt;"",VLOOKUP(VALUE(E20&amp;","&amp;C45),INTEGRANTES!$D$19:$F$192,3,0),"")</f>
        <v/>
      </c>
      <c r="F45" s="380" t="str">
        <f>IF(D45="","",IF(OR(SUMIF($J27:$J33,D45,$O27:$O33)=0,N45="NO"),"NO APORTA",SUMIF($J27:$J33,D45,$O27:$O33)))</f>
        <v/>
      </c>
      <c r="G45" s="380" t="str">
        <f>IF($D45="","",IF($F39&lt;=1,"",ROUND(POSMMLV*PORPO,2)))</f>
        <v/>
      </c>
      <c r="H45" s="765" t="str">
        <f t="shared" si="5"/>
        <v/>
      </c>
      <c r="I45" s="766"/>
      <c r="J45" s="108" t="str">
        <f>IF(D45="","",IF(OR(AND(SUMIF($J24:$J33,D45,$O24:$O33)&gt;=5%*POSMMLV,N45="SI"),AND(SUMIF($J24:$J33,D45,$O24:$O33)=0,E45&lt;=5%,N45="SI")),"CUMPLE","NO CUMPLE"))</f>
        <v/>
      </c>
      <c r="K45" s="105" t="str">
        <f>IF(OR(D45="",J45=""),"",IF(AND(J45="NO CUMPLE",F45="NO APORTA",E45&gt;5%),"EXP = 0 y PART &gt; 5%",IF(F45&lt;5%*Q46,"EXP &lt; 5%*PO","")))</f>
        <v/>
      </c>
      <c r="L45" s="389" t="str">
        <f>IF(OR(D45="",E45=""),"",IF(AND(E45&gt;=0.25,F45&lt;&gt;"NO APORTA",F45&gt;=$R46*0.25),"SI","NO"))</f>
        <v/>
      </c>
      <c r="M45" s="389"/>
      <c r="N45" s="468"/>
      <c r="O45" s="789"/>
      <c r="P45" s="504" t="s">
        <v>416</v>
      </c>
      <c r="Q45" s="504" t="s">
        <v>417</v>
      </c>
      <c r="R45" s="793" t="s">
        <v>418</v>
      </c>
      <c r="S45" s="793"/>
      <c r="T45" s="284"/>
      <c r="U45" s="284"/>
      <c r="V45" s="310"/>
      <c r="W45" s="284"/>
      <c r="X45" s="542" t="str">
        <f>IF($F39=1,"NO APLICA",$D45)</f>
        <v>NO APLICA</v>
      </c>
      <c r="Y45" s="543" t="str">
        <f>IF(OR($F45="",$F45="NO APORTA",$R46=0,$X45="NO APLICA"),"",ROUND($F45/$Q46,2))</f>
        <v/>
      </c>
      <c r="Z45" s="544"/>
      <c r="AA45" s="543"/>
      <c r="AB45" s="540" t="str">
        <f t="shared" si="6"/>
        <v/>
      </c>
      <c r="AC45" s="28"/>
    </row>
    <row r="46" spans="1:29" s="30" customFormat="1" ht="16.5" customHeight="1" thickBot="1">
      <c r="A46" s="112" t="str">
        <f>"S"&amp;E20</f>
        <v>S1</v>
      </c>
      <c r="B46" s="791"/>
      <c r="C46" s="109">
        <v>6</v>
      </c>
      <c r="D46" s="110" t="str">
        <f>IF(AND(C46&lt;=F39,F39&lt;&gt;""),VLOOKUP(VALUE(E20&amp;","&amp;C46),INTEGRANTES!$D$19:$F$192,2,0),"")</f>
        <v/>
      </c>
      <c r="E46" s="111" t="str">
        <f>IF(D46&lt;&gt;"",VLOOKUP(VALUE(E20&amp;","&amp;C46),INTEGRANTES!$D$19:$F$192,3,0),"")</f>
        <v/>
      </c>
      <c r="F46" s="380" t="str">
        <f>IF(D46="","",IF(OR(SUMIF($J27:$J33,D46,$O27:$O33)=0,N46="NO"),"NO APORTA",SUMIF($J27:$J33,D46,$O27:$O33)))</f>
        <v/>
      </c>
      <c r="G46" s="380" t="str">
        <f>IF($D46="","",IF($F39&lt;=1,"",ROUND(POSMMLV*PORPO,2)))</f>
        <v/>
      </c>
      <c r="H46" s="765" t="str">
        <f>IF($D46="","",IF(OR(F46="NO APORTA",G46&gt;F46),"NO CUMPLE","CUMPLE"))</f>
        <v/>
      </c>
      <c r="I46" s="766"/>
      <c r="J46" s="108" t="str">
        <f>IF(D46="","",IF(OR(AND(SUMIF($J24:$J33,D46,$O24:$O33)&gt;=5%*POSMMLV,N46="SI"),AND(SUMIF($J24:$J33,D46,$O24:$O33)=0,E46&lt;=5%,N46="SI")),"CUMPLE","NO CUMPLE"))</f>
        <v/>
      </c>
      <c r="K46" s="105" t="str">
        <f>IF(OR(D46="",J46=""),"",IF(AND(J46="NO CUMPLE",F46="NO APORTA",E46&gt;5%),"EXP = 0 y PART &gt; 5%",IF(F46&lt;5%*Q46,"EXP &lt; 5%*PO","")))</f>
        <v/>
      </c>
      <c r="L46" s="389" t="str">
        <f>IF(OR(D46="",E46=""),"",IF(AND(E46&gt;=0.25,F46&lt;&gt;"NO APORTA",F46&gt;=$R46*0.25),"SI","NO"))</f>
        <v/>
      </c>
      <c r="M46" s="389"/>
      <c r="N46" s="468"/>
      <c r="O46" s="403" t="str">
        <f ca="1">IF(R46&gt;=Q46,"CUMPLE","NO CUMPLE")</f>
        <v>CUMPLE</v>
      </c>
      <c r="P46" s="312">
        <f>NUMMOD</f>
        <v>1</v>
      </c>
      <c r="Q46" s="313">
        <f ca="1">IF(P46="","",ROUND(VLOOKUP(P46,PRESUPUESTOS!$B$16:$L$16,9,FALSE),7))</f>
        <v>300</v>
      </c>
      <c r="R46" s="834">
        <f>IF(OR(COUNTIF(O24:O33,"")&gt;9,S40&lt;NUMMINCONT),0,SUM(O24:O33))</f>
        <v>307.91000000000003</v>
      </c>
      <c r="S46" s="834"/>
      <c r="T46" s="284"/>
      <c r="U46" s="284"/>
      <c r="V46" s="310"/>
      <c r="W46" s="284"/>
      <c r="X46" s="545" t="str">
        <f>IF($F39=1,"NO APLICA",$D46)</f>
        <v>NO APLICA</v>
      </c>
      <c r="Y46" s="543" t="str">
        <f>IF(OR($F46="",$F46="NO APORTA",$R46=0,$X46="NO APLICA"),"",ROUND($F46/$Q46,2))</f>
        <v/>
      </c>
      <c r="Z46" s="544"/>
      <c r="AA46" s="546"/>
      <c r="AB46" s="540" t="str">
        <f>IF(COUNTIF(Z46:AA46,"SI APLICA")=2,"SI APLICA","")</f>
        <v/>
      </c>
      <c r="AC46" s="28"/>
    </row>
    <row r="47" spans="1:29" s="30" customFormat="1" ht="16.5" customHeight="1" thickBot="1">
      <c r="A47" s="112" t="str">
        <f>"T"&amp;E20</f>
        <v>T1</v>
      </c>
      <c r="B47" s="792"/>
      <c r="C47" s="821" t="s">
        <v>419</v>
      </c>
      <c r="D47" s="822"/>
      <c r="E47" s="822"/>
      <c r="F47" s="518"/>
      <c r="G47" s="519"/>
      <c r="H47" s="794" t="str">
        <f>IF(OR($F39="",SUM(E41:E46)=0),"",IF(COUNTIF(H41:H46,"CUMPLE")&gt;=1,"CUMPLE","NO CUMPLE"))</f>
        <v/>
      </c>
      <c r="I47" s="795"/>
      <c r="J47" s="314" t="str">
        <f>IF(COUNTIF(J41:J46,"")&gt;5,"",IF(COUNTIF(J41:J46,"NO CUMPLE")&gt;0,"NO CUMPLE","CUMPLE"))</f>
        <v/>
      </c>
      <c r="K47" s="314" t="str">
        <f>IF(OR(AND(F39=1,N41="SI"),AND(COUNTIF(H47:J47,"CUMPLE")=2)),"CUMPLE","NO CUMPLE")</f>
        <v>CUMPLE</v>
      </c>
      <c r="L47" s="519"/>
      <c r="M47" s="519"/>
      <c r="N47" s="519"/>
      <c r="O47" s="833" t="str">
        <f ca="1">IF(ISNUMBER(F20),"",IF(AND(O46="NO CUMPLE",SUM(N27:N33)&lt;Q46),"EL PROPONENTE SE DEBE REQUERIR POR EXPERIENCIA MINIMA EXIGIDA",""))</f>
        <v/>
      </c>
      <c r="P47" s="833"/>
      <c r="Q47" s="833"/>
      <c r="R47" s="833"/>
      <c r="S47" s="833"/>
      <c r="T47" s="522"/>
      <c r="U47" s="523"/>
      <c r="V47" s="524"/>
      <c r="W47" s="284"/>
      <c r="X47" s="364" t="str">
        <f>IF(Y47=1,"PROPONENTE INDIVIDUAL","PROPONENTE PLURAL")</f>
        <v>PROPONENTE INDIVIDUAL</v>
      </c>
      <c r="Y47" s="276">
        <f>F39</f>
        <v>1</v>
      </c>
      <c r="Z47" s="277" t="str">
        <f>IF(OR(AND(Z41="SI APLICA",AA41="SI APLICA"),AND(Z42="SI APLICA",AA42="SI APLICA"),AND(Z43="SI APLICA",AA43="SI APLICA"),AND(Z44="SI APLICA",AA44="SI APLICA"),AND(Z45="SI APLICA",AA45="SI APLICA"),AND(Z46="SI APLICA",AA46="SI APLICA")),"SI APLICA","NO APLICA")</f>
        <v>SI APLICA</v>
      </c>
      <c r="AA47" s="278" t="str">
        <f>IF(OR(AND(AA41="SI APLICA",AB41="SI APLICA"),AND(AA42="SI APLICA",AB42="SI APLICA"),AND(AA43="SI APLICA",AB43="SI APLICA"),AND(AA44="SI APLICA",AB44="SI APLICA"),AND(AA45="SI APLICA",AB45="SI APLICA"),AND(AA46="SI APLICA",AB46="SI APLICA")),"SI APLICA","NO APLICA")</f>
        <v>SI APLICA</v>
      </c>
      <c r="AB47" s="278" t="str">
        <f>IF(COUNTIF(AB41:AB46,"SI APLICA")&gt;0,"SI APLICA","NO APLICA")</f>
        <v>SI APLICA</v>
      </c>
      <c r="AC47" s="28"/>
    </row>
    <row r="48" spans="1:29" s="434" customFormat="1" ht="24.95" customHeight="1">
      <c r="A48" s="433">
        <v>1</v>
      </c>
      <c r="B48" s="433">
        <v>2</v>
      </c>
      <c r="C48" s="433">
        <v>3</v>
      </c>
      <c r="D48" s="433">
        <v>4</v>
      </c>
      <c r="E48" s="433">
        <v>5</v>
      </c>
      <c r="F48" s="433">
        <v>6</v>
      </c>
      <c r="G48" s="433">
        <v>7</v>
      </c>
      <c r="H48" s="433">
        <v>8</v>
      </c>
      <c r="I48" s="433">
        <v>9</v>
      </c>
      <c r="J48" s="433">
        <v>9</v>
      </c>
      <c r="K48" s="433">
        <v>10</v>
      </c>
      <c r="L48" s="433">
        <v>11</v>
      </c>
      <c r="M48" s="433">
        <v>12</v>
      </c>
      <c r="N48" s="433">
        <v>13</v>
      </c>
      <c r="O48" s="433">
        <v>14</v>
      </c>
      <c r="P48" s="433">
        <v>15</v>
      </c>
      <c r="Q48" s="433">
        <v>16</v>
      </c>
      <c r="R48" s="433">
        <v>17</v>
      </c>
      <c r="S48" s="433">
        <v>18</v>
      </c>
      <c r="T48" s="433">
        <v>19</v>
      </c>
      <c r="U48" s="433">
        <v>20</v>
      </c>
      <c r="V48" s="433">
        <v>21</v>
      </c>
      <c r="W48" s="433">
        <v>22</v>
      </c>
      <c r="X48" s="433">
        <v>23</v>
      </c>
      <c r="Y48" s="433">
        <v>24</v>
      </c>
      <c r="Z48" s="433">
        <v>25</v>
      </c>
      <c r="AA48" s="433">
        <v>26</v>
      </c>
      <c r="AB48" s="433">
        <v>27</v>
      </c>
      <c r="AC48" s="433">
        <v>28</v>
      </c>
    </row>
    <row r="49" spans="1:29" ht="24.95" customHeight="1">
      <c r="B49" s="311"/>
      <c r="C49" s="311"/>
      <c r="D49" s="311"/>
      <c r="E49" s="311"/>
      <c r="F49" s="311"/>
      <c r="G49" s="311"/>
      <c r="H49" s="311"/>
      <c r="I49" s="311"/>
      <c r="J49" s="311"/>
      <c r="K49" s="311"/>
      <c r="L49" s="311"/>
      <c r="M49" s="311"/>
      <c r="N49" s="311"/>
      <c r="O49" s="311"/>
      <c r="P49" s="311"/>
      <c r="Q49" s="311"/>
      <c r="R49" s="311"/>
      <c r="S49" s="311"/>
      <c r="T49" s="311"/>
      <c r="U49" s="311"/>
      <c r="V49" s="311"/>
      <c r="W49" s="311"/>
      <c r="X49" s="311"/>
      <c r="Y49" s="311"/>
      <c r="Z49" s="311"/>
      <c r="AA49" s="311"/>
      <c r="AB49" s="311"/>
      <c r="AC49" s="311"/>
    </row>
    <row r="50" spans="1:29" s="41" customFormat="1" ht="24" thickBot="1">
      <c r="A50" s="34">
        <v>2</v>
      </c>
      <c r="B50" s="828" t="s">
        <v>355</v>
      </c>
      <c r="C50" s="828"/>
      <c r="D50" s="828"/>
      <c r="E50" s="35">
        <f>VLOOKUP(A50,PROPONENTES!$B$19:$E$108,2,FALSE)</f>
        <v>2</v>
      </c>
      <c r="F50" s="36" t="str">
        <f>VLOOKUP(A50,PROPONENTES!$B$19:$E$108,3,FALSE)</f>
        <v>MIGUEL MORALES INGENIERIA SAS</v>
      </c>
      <c r="G50" s="37"/>
      <c r="H50" s="37"/>
      <c r="I50" s="36"/>
      <c r="J50" s="36"/>
      <c r="K50" s="36"/>
      <c r="L50" s="36"/>
      <c r="M50" s="38"/>
      <c r="N50" s="38"/>
      <c r="O50" s="37"/>
      <c r="P50" s="37"/>
      <c r="Q50" s="39"/>
      <c r="R50" s="39"/>
      <c r="S50" s="39"/>
      <c r="T50" s="39"/>
      <c r="U50" s="40"/>
      <c r="Y50" s="52"/>
      <c r="Z50" s="52"/>
      <c r="AA50" s="52"/>
      <c r="AB50" s="28"/>
      <c r="AC50" s="28"/>
    </row>
    <row r="51" spans="1:29" s="27" customFormat="1" ht="24.75" customHeight="1">
      <c r="A51" s="22"/>
      <c r="B51" s="829" t="s">
        <v>356</v>
      </c>
      <c r="C51" s="501" t="s">
        <v>357</v>
      </c>
      <c r="D51" s="502" t="s">
        <v>358</v>
      </c>
      <c r="E51" s="502"/>
      <c r="F51" s="502" t="s">
        <v>359</v>
      </c>
      <c r="G51" s="503"/>
      <c r="H51" s="803" t="s">
        <v>360</v>
      </c>
      <c r="I51" s="831" t="s">
        <v>361</v>
      </c>
      <c r="J51" s="803" t="s">
        <v>362</v>
      </c>
      <c r="K51" s="803" t="s">
        <v>363</v>
      </c>
      <c r="L51" s="803" t="s">
        <v>364</v>
      </c>
      <c r="M51" s="803" t="s">
        <v>365</v>
      </c>
      <c r="N51" s="804" t="s">
        <v>366</v>
      </c>
      <c r="O51" s="805"/>
      <c r="P51" s="806" t="s">
        <v>367</v>
      </c>
      <c r="Q51" s="807"/>
      <c r="R51" s="784" t="s">
        <v>368</v>
      </c>
      <c r="S51" s="774"/>
      <c r="T51" s="798" t="s">
        <v>369</v>
      </c>
      <c r="U51" s="799"/>
      <c r="V51" s="800"/>
      <c r="X51" s="520"/>
      <c r="Y51" s="520"/>
    </row>
    <row r="52" spans="1:29" s="27" customFormat="1" ht="94.5" customHeight="1">
      <c r="A52" s="22"/>
      <c r="B52" s="830"/>
      <c r="C52" s="504" t="s">
        <v>370</v>
      </c>
      <c r="D52" s="505" t="s">
        <v>41</v>
      </c>
      <c r="E52" s="505" t="s">
        <v>371</v>
      </c>
      <c r="F52" s="505" t="s">
        <v>372</v>
      </c>
      <c r="G52" s="506" t="s">
        <v>373</v>
      </c>
      <c r="H52" s="793"/>
      <c r="I52" s="832"/>
      <c r="J52" s="793"/>
      <c r="K52" s="793"/>
      <c r="L52" s="793"/>
      <c r="M52" s="793"/>
      <c r="N52" s="504" t="s">
        <v>374</v>
      </c>
      <c r="O52" s="505" t="s">
        <v>375</v>
      </c>
      <c r="P52" s="801"/>
      <c r="Q52" s="802"/>
      <c r="R52" s="796"/>
      <c r="S52" s="797"/>
      <c r="T52" s="507" t="s">
        <v>376</v>
      </c>
      <c r="U52" s="508" t="s">
        <v>377</v>
      </c>
      <c r="V52" s="509" t="s">
        <v>378</v>
      </c>
      <c r="X52" s="521" t="s">
        <v>379</v>
      </c>
      <c r="Y52" s="521" t="s">
        <v>380</v>
      </c>
    </row>
    <row r="53" spans="1:29" s="27" customFormat="1" ht="15" customHeight="1">
      <c r="A53" s="22"/>
      <c r="B53" s="594"/>
      <c r="C53" s="595">
        <v>3</v>
      </c>
      <c r="D53" s="595">
        <v>4</v>
      </c>
      <c r="E53" s="595">
        <v>5</v>
      </c>
      <c r="F53" s="595">
        <v>6</v>
      </c>
      <c r="G53" s="595">
        <v>7</v>
      </c>
      <c r="H53" s="595">
        <v>8</v>
      </c>
      <c r="I53" s="595">
        <v>9</v>
      </c>
      <c r="J53" s="595">
        <v>10</v>
      </c>
      <c r="K53" s="595">
        <v>11</v>
      </c>
      <c r="L53" s="595">
        <v>12</v>
      </c>
      <c r="M53" s="595">
        <v>13</v>
      </c>
      <c r="N53" s="595">
        <v>14</v>
      </c>
      <c r="O53" s="595">
        <v>15</v>
      </c>
      <c r="P53" s="596">
        <v>16</v>
      </c>
      <c r="Q53" s="597">
        <v>17</v>
      </c>
      <c r="R53" s="596">
        <v>18</v>
      </c>
      <c r="S53" s="597">
        <v>19</v>
      </c>
      <c r="T53" s="598">
        <v>20</v>
      </c>
      <c r="U53" s="255">
        <v>21</v>
      </c>
      <c r="V53" s="599">
        <v>22</v>
      </c>
      <c r="X53" s="589"/>
      <c r="Y53" s="590"/>
    </row>
    <row r="54" spans="1:29" s="44" customFormat="1" ht="66" customHeight="1">
      <c r="A54" s="42" t="str">
        <f>"A"&amp;E50</f>
        <v>A2</v>
      </c>
      <c r="B54" s="605">
        <v>1</v>
      </c>
      <c r="C54" s="581" t="s">
        <v>420</v>
      </c>
      <c r="D54" s="581" t="s">
        <v>421</v>
      </c>
      <c r="E54" s="581" t="s">
        <v>422</v>
      </c>
      <c r="F54" s="581" t="s">
        <v>384</v>
      </c>
      <c r="G54" s="534">
        <v>0.5</v>
      </c>
      <c r="H54" s="534" t="s">
        <v>385</v>
      </c>
      <c r="I54" s="579" t="s">
        <v>384</v>
      </c>
      <c r="J54" s="580" t="str">
        <f>IF(I54="","",IF(I54="I",$F50,VLOOKUP(I54,$C71:$D76,2,0)))</f>
        <v>MIGUEL MORALES INGENIERIA SAS</v>
      </c>
      <c r="K54" s="535">
        <v>42311</v>
      </c>
      <c r="L54" s="535">
        <v>42582</v>
      </c>
      <c r="M54" s="536">
        <v>831.44</v>
      </c>
      <c r="N54" s="232">
        <f t="shared" ref="N54:N63" si="7">IF(OR(G54="",M54=""),"",M54*G54)</f>
        <v>415.72</v>
      </c>
      <c r="O54" s="260">
        <f t="shared" ref="O54:O63" si="8">IF(OR(H54="",H54="NO",K54&lt;$Q$17,K54&gt;$R$17,K54="",M54="",N54=""),"",ROUND(N54,7))</f>
        <v>415.72</v>
      </c>
      <c r="P54" s="781"/>
      <c r="Q54" s="782"/>
      <c r="R54" s="767"/>
      <c r="S54" s="768"/>
      <c r="T54" s="538" t="s">
        <v>385</v>
      </c>
      <c r="U54" s="539">
        <v>25</v>
      </c>
      <c r="V54" s="540" t="s">
        <v>385</v>
      </c>
      <c r="X54" s="541" t="s">
        <v>423</v>
      </c>
      <c r="Y54" s="541" t="s">
        <v>387</v>
      </c>
    </row>
    <row r="55" spans="1:29" s="44" customFormat="1" ht="24.95" customHeight="1">
      <c r="A55" s="42" t="str">
        <f>"B"&amp;E50</f>
        <v>B2</v>
      </c>
      <c r="B55" s="605" t="str">
        <f t="shared" ref="B55:B63" si="9">IF(C55&lt;&gt;"",B54+1,"")</f>
        <v/>
      </c>
      <c r="C55" s="581"/>
      <c r="D55" s="581"/>
      <c r="E55" s="581"/>
      <c r="F55" s="581"/>
      <c r="G55" s="534"/>
      <c r="H55" s="534"/>
      <c r="I55" s="579"/>
      <c r="J55" s="580" t="str">
        <f>IF(I55="","",IF(I55="I",$F50,VLOOKUP(I55,$C71:$D76,2,0)))</f>
        <v/>
      </c>
      <c r="K55" s="535"/>
      <c r="L55" s="535"/>
      <c r="M55" s="536"/>
      <c r="N55" s="232" t="str">
        <f t="shared" si="7"/>
        <v/>
      </c>
      <c r="O55" s="260" t="str">
        <f t="shared" si="8"/>
        <v/>
      </c>
      <c r="P55" s="781"/>
      <c r="Q55" s="782"/>
      <c r="R55" s="767"/>
      <c r="S55" s="768"/>
      <c r="T55" s="538"/>
      <c r="U55" s="539"/>
      <c r="V55" s="540"/>
      <c r="X55" s="541"/>
      <c r="Y55" s="541"/>
    </row>
    <row r="56" spans="1:29" s="44" customFormat="1" ht="24.95" customHeight="1">
      <c r="A56" s="42" t="str">
        <f>"C"&amp;E50</f>
        <v>C2</v>
      </c>
      <c r="B56" s="605" t="str">
        <f t="shared" si="9"/>
        <v/>
      </c>
      <c r="C56" s="581"/>
      <c r="D56" s="581"/>
      <c r="E56" s="581"/>
      <c r="F56" s="581"/>
      <c r="G56" s="534"/>
      <c r="H56" s="534"/>
      <c r="I56" s="579"/>
      <c r="J56" s="580" t="str">
        <f>IF(I56="","",IF(I56="I",$F50,VLOOKUP(I56,$C71:$D76,2,0)))</f>
        <v/>
      </c>
      <c r="K56" s="535"/>
      <c r="L56" s="535"/>
      <c r="M56" s="536"/>
      <c r="N56" s="232" t="str">
        <f t="shared" si="7"/>
        <v/>
      </c>
      <c r="O56" s="260" t="str">
        <f t="shared" si="8"/>
        <v/>
      </c>
      <c r="P56" s="781"/>
      <c r="Q56" s="782"/>
      <c r="R56" s="767"/>
      <c r="S56" s="768"/>
      <c r="T56" s="538"/>
      <c r="U56" s="539"/>
      <c r="V56" s="540"/>
      <c r="X56" s="541"/>
      <c r="Y56" s="541"/>
    </row>
    <row r="57" spans="1:29" s="44" customFormat="1" ht="24.95" customHeight="1">
      <c r="A57" s="42" t="str">
        <f>"D"&amp;E50</f>
        <v>D2</v>
      </c>
      <c r="B57" s="605" t="str">
        <f t="shared" si="9"/>
        <v/>
      </c>
      <c r="C57" s="581"/>
      <c r="D57" s="581"/>
      <c r="E57" s="581"/>
      <c r="F57" s="581"/>
      <c r="G57" s="534"/>
      <c r="H57" s="534"/>
      <c r="I57" s="579"/>
      <c r="J57" s="580" t="str">
        <f>IF(I57="","",IF(I57="I",$F50,VLOOKUP(I57,$C71:$D76,2,0)))</f>
        <v/>
      </c>
      <c r="K57" s="535"/>
      <c r="L57" s="535"/>
      <c r="M57" s="536"/>
      <c r="N57" s="232" t="str">
        <f t="shared" si="7"/>
        <v/>
      </c>
      <c r="O57" s="260" t="str">
        <f t="shared" si="8"/>
        <v/>
      </c>
      <c r="P57" s="781"/>
      <c r="Q57" s="782"/>
      <c r="R57" s="767"/>
      <c r="S57" s="768"/>
      <c r="T57" s="538"/>
      <c r="U57" s="539"/>
      <c r="V57" s="540"/>
      <c r="X57" s="541"/>
      <c r="Y57" s="541"/>
    </row>
    <row r="58" spans="1:29" s="44" customFormat="1" ht="24.95" customHeight="1">
      <c r="A58" s="42" t="str">
        <f>"E"&amp;E50</f>
        <v>E2</v>
      </c>
      <c r="B58" s="605" t="str">
        <f t="shared" si="9"/>
        <v/>
      </c>
      <c r="C58" s="581"/>
      <c r="D58" s="581"/>
      <c r="E58" s="581"/>
      <c r="F58" s="581"/>
      <c r="G58" s="534"/>
      <c r="H58" s="534"/>
      <c r="I58" s="579"/>
      <c r="J58" s="580" t="str">
        <f>IF(I58="","",IF(I58="I",$F50,VLOOKUP(I58,$C71:$D76,2,0)))</f>
        <v/>
      </c>
      <c r="K58" s="535"/>
      <c r="L58" s="535"/>
      <c r="M58" s="536"/>
      <c r="N58" s="232" t="str">
        <f t="shared" si="7"/>
        <v/>
      </c>
      <c r="O58" s="260" t="str">
        <f t="shared" si="8"/>
        <v/>
      </c>
      <c r="P58" s="781"/>
      <c r="Q58" s="782"/>
      <c r="R58" s="767"/>
      <c r="S58" s="768"/>
      <c r="T58" s="538"/>
      <c r="U58" s="539"/>
      <c r="V58" s="540"/>
      <c r="X58" s="541"/>
      <c r="Y58" s="541"/>
    </row>
    <row r="59" spans="1:29" s="44" customFormat="1" ht="24.95" customHeight="1">
      <c r="A59" s="42" t="str">
        <f>"F"&amp;E50</f>
        <v>F2</v>
      </c>
      <c r="B59" s="605" t="str">
        <f t="shared" si="9"/>
        <v/>
      </c>
      <c r="C59" s="581"/>
      <c r="D59" s="581"/>
      <c r="E59" s="581"/>
      <c r="F59" s="581"/>
      <c r="G59" s="534"/>
      <c r="H59" s="534"/>
      <c r="I59" s="579"/>
      <c r="J59" s="580" t="str">
        <f>IF(I59="","",IF(I59="I",$F50,VLOOKUP(I59,$C71:$D76,2,0)))</f>
        <v/>
      </c>
      <c r="K59" s="535"/>
      <c r="L59" s="535"/>
      <c r="M59" s="536"/>
      <c r="N59" s="232" t="str">
        <f t="shared" si="7"/>
        <v/>
      </c>
      <c r="O59" s="260" t="str">
        <f t="shared" si="8"/>
        <v/>
      </c>
      <c r="P59" s="781"/>
      <c r="Q59" s="782"/>
      <c r="R59" s="767"/>
      <c r="S59" s="768"/>
      <c r="T59" s="538"/>
      <c r="U59" s="539"/>
      <c r="V59" s="540"/>
      <c r="X59" s="541"/>
      <c r="Y59" s="541"/>
    </row>
    <row r="60" spans="1:29" s="44" customFormat="1" ht="24.95" customHeight="1">
      <c r="A60" s="42" t="str">
        <f>"G"&amp;E50</f>
        <v>G2</v>
      </c>
      <c r="B60" s="605" t="str">
        <f t="shared" si="9"/>
        <v/>
      </c>
      <c r="C60" s="581"/>
      <c r="D60" s="581"/>
      <c r="E60" s="581"/>
      <c r="F60" s="581"/>
      <c r="G60" s="534"/>
      <c r="H60" s="534"/>
      <c r="I60" s="579"/>
      <c r="J60" s="580" t="str">
        <f>IF(I60="","",IF(I60="I",$F50,VLOOKUP(I60,$C71:$D76,2,0)))</f>
        <v/>
      </c>
      <c r="K60" s="535"/>
      <c r="L60" s="535"/>
      <c r="M60" s="536"/>
      <c r="N60" s="43" t="str">
        <f t="shared" si="7"/>
        <v/>
      </c>
      <c r="O60" s="260" t="str">
        <f t="shared" si="8"/>
        <v/>
      </c>
      <c r="P60" s="781"/>
      <c r="Q60" s="782"/>
      <c r="R60" s="767"/>
      <c r="S60" s="768"/>
      <c r="T60" s="538"/>
      <c r="U60" s="539"/>
      <c r="V60" s="540"/>
      <c r="X60" s="541"/>
      <c r="Y60" s="541"/>
    </row>
    <row r="61" spans="1:29" s="44" customFormat="1" ht="24.95" customHeight="1">
      <c r="A61" s="42" t="str">
        <f>"H"&amp;E50</f>
        <v>H2</v>
      </c>
      <c r="B61" s="605" t="str">
        <f t="shared" si="9"/>
        <v/>
      </c>
      <c r="C61" s="581"/>
      <c r="D61" s="581"/>
      <c r="E61" s="581"/>
      <c r="F61" s="581"/>
      <c r="G61" s="534"/>
      <c r="H61" s="534"/>
      <c r="I61" s="579"/>
      <c r="J61" s="580" t="str">
        <f>IF(I61="","",IF(I61="I",$F50,VLOOKUP(I61,$C71:$D76,2,0)))</f>
        <v/>
      </c>
      <c r="K61" s="535"/>
      <c r="L61" s="535"/>
      <c r="M61" s="537"/>
      <c r="N61" s="43" t="str">
        <f t="shared" si="7"/>
        <v/>
      </c>
      <c r="O61" s="260" t="str">
        <f t="shared" si="8"/>
        <v/>
      </c>
      <c r="P61" s="781"/>
      <c r="Q61" s="782"/>
      <c r="R61" s="767"/>
      <c r="S61" s="768"/>
      <c r="T61" s="538"/>
      <c r="U61" s="539"/>
      <c r="V61" s="540"/>
      <c r="X61" s="541"/>
      <c r="Y61" s="541"/>
    </row>
    <row r="62" spans="1:29" s="44" customFormat="1" ht="24.95" customHeight="1">
      <c r="A62" s="42" t="str">
        <f>"I"&amp;E50</f>
        <v>I2</v>
      </c>
      <c r="B62" s="605" t="str">
        <f t="shared" si="9"/>
        <v/>
      </c>
      <c r="C62" s="581"/>
      <c r="D62" s="581"/>
      <c r="E62" s="581"/>
      <c r="F62" s="581"/>
      <c r="G62" s="534"/>
      <c r="H62" s="534"/>
      <c r="I62" s="579"/>
      <c r="J62" s="580" t="str">
        <f>IF(I62="","",IF(I62="I",$F50,VLOOKUP(I62,$C71:$D76,2,0)))</f>
        <v/>
      </c>
      <c r="K62" s="535"/>
      <c r="L62" s="535"/>
      <c r="M62" s="537"/>
      <c r="N62" s="43" t="str">
        <f t="shared" si="7"/>
        <v/>
      </c>
      <c r="O62" s="260" t="str">
        <f t="shared" si="8"/>
        <v/>
      </c>
      <c r="P62" s="781"/>
      <c r="Q62" s="782"/>
      <c r="R62" s="767"/>
      <c r="S62" s="768"/>
      <c r="T62" s="538"/>
      <c r="U62" s="539"/>
      <c r="V62" s="540"/>
      <c r="X62" s="541"/>
      <c r="Y62" s="541"/>
    </row>
    <row r="63" spans="1:29" s="44" customFormat="1" ht="24.95" customHeight="1" thickBot="1">
      <c r="A63" s="42" t="str">
        <f>"J"&amp;E50</f>
        <v>J2</v>
      </c>
      <c r="B63" s="612" t="str">
        <f t="shared" si="9"/>
        <v/>
      </c>
      <c r="C63" s="582"/>
      <c r="D63" s="582"/>
      <c r="E63" s="582"/>
      <c r="F63" s="582"/>
      <c r="G63" s="583"/>
      <c r="H63" s="583"/>
      <c r="I63" s="584"/>
      <c r="J63" s="585" t="str">
        <f>IF(I63="","",IF(I63="I",$F50,VLOOKUP(I63,$C71:$D76,2,0)))</f>
        <v/>
      </c>
      <c r="K63" s="586"/>
      <c r="L63" s="586"/>
      <c r="M63" s="587"/>
      <c r="N63" s="43" t="str">
        <f t="shared" si="7"/>
        <v/>
      </c>
      <c r="O63" s="260" t="str">
        <f t="shared" si="8"/>
        <v/>
      </c>
      <c r="P63" s="781"/>
      <c r="Q63" s="782"/>
      <c r="R63" s="767"/>
      <c r="S63" s="768"/>
      <c r="T63" s="538"/>
      <c r="U63" s="539"/>
      <c r="V63" s="540"/>
      <c r="X63" s="541"/>
      <c r="Y63" s="541"/>
    </row>
    <row r="64" spans="1:29" s="27" customFormat="1" ht="12" customHeight="1" thickBot="1">
      <c r="A64" s="42"/>
      <c r="B64" s="45"/>
      <c r="C64" s="46"/>
      <c r="D64" s="46"/>
      <c r="E64" s="46"/>
      <c r="F64" s="46"/>
      <c r="G64" s="46"/>
      <c r="H64" s="606"/>
      <c r="I64" s="46"/>
      <c r="J64" s="46"/>
      <c r="K64" s="46"/>
      <c r="L64" s="46"/>
      <c r="M64" s="46"/>
      <c r="N64" s="46"/>
      <c r="O64" s="259"/>
      <c r="P64" s="46"/>
      <c r="Q64" s="46"/>
      <c r="R64" s="259"/>
      <c r="S64" s="46"/>
      <c r="T64" s="46"/>
      <c r="U64" s="47"/>
      <c r="V64" s="48"/>
      <c r="X64" s="592"/>
      <c r="Y64" s="593"/>
      <c r="AB64" s="378"/>
    </row>
    <row r="65" spans="1:29" s="27" customFormat="1" ht="17.25" customHeight="1" thickBot="1">
      <c r="A65" s="42" t="str">
        <f>"Z"&amp;E50</f>
        <v>Z2</v>
      </c>
      <c r="B65" s="510"/>
      <c r="C65" s="511"/>
      <c r="D65" s="511"/>
      <c r="E65" s="511"/>
      <c r="F65" s="511"/>
      <c r="G65" s="511"/>
      <c r="H65" s="511"/>
      <c r="I65" s="511"/>
      <c r="J65" s="511"/>
      <c r="K65" s="511"/>
      <c r="L65" s="511"/>
      <c r="M65" s="511"/>
      <c r="N65" s="437" t="s">
        <v>388</v>
      </c>
      <c r="O65" s="438">
        <f>IF(COUNTIF(O54:O63,"")&gt;9,0,SUM(O54:O63)/(COUNTIF(H54:H63,"SI")))</f>
        <v>415.72</v>
      </c>
      <c r="P65" s="511"/>
      <c r="Q65" s="511"/>
      <c r="R65" s="530"/>
      <c r="S65" s="530"/>
      <c r="T65" s="531"/>
      <c r="U65" s="532"/>
      <c r="V65" s="533"/>
      <c r="W65" s="285"/>
      <c r="X65" s="613" t="e">
        <f>COUNTIF(#REF!,"")-COUNTIF(#REF!,"CUMPLE")-1</f>
        <v>#REF!</v>
      </c>
      <c r="Y65" s="591"/>
      <c r="AB65" s="28"/>
    </row>
    <row r="66" spans="1:29" ht="17.25" customHeight="1">
      <c r="B66" s="50"/>
      <c r="C66" s="50"/>
      <c r="D66" s="50"/>
      <c r="E66" s="50"/>
      <c r="F66" s="50"/>
      <c r="G66" s="51"/>
      <c r="H66" s="51"/>
      <c r="I66" s="51"/>
      <c r="J66" s="51"/>
      <c r="K66" s="51"/>
      <c r="L66" s="51"/>
      <c r="M66" s="51"/>
      <c r="N66" s="51"/>
      <c r="O66" s="51"/>
      <c r="P66" s="51"/>
      <c r="Q66" s="51"/>
      <c r="R66" s="51"/>
      <c r="S66" s="51"/>
      <c r="T66" s="51"/>
      <c r="U66" s="51"/>
      <c r="V66" s="51"/>
      <c r="W66" s="51"/>
      <c r="X66" s="608"/>
      <c r="Y66" s="51"/>
      <c r="Z66" s="51"/>
      <c r="AA66" s="51"/>
      <c r="AB66" s="51"/>
      <c r="AC66" s="50"/>
    </row>
    <row r="67" spans="1:29" s="27" customFormat="1" ht="16.5" customHeight="1" thickBot="1">
      <c r="A67" s="22"/>
      <c r="B67" s="783" t="s">
        <v>389</v>
      </c>
      <c r="C67" s="783"/>
      <c r="D67" s="783"/>
      <c r="E67" s="783"/>
      <c r="F67" s="783"/>
      <c r="G67" s="783"/>
      <c r="H67" s="783"/>
      <c r="I67" s="783"/>
      <c r="J67" s="783"/>
      <c r="K67" s="783"/>
      <c r="L67" s="783"/>
      <c r="M67" s="783"/>
      <c r="N67" s="783"/>
      <c r="O67" s="783"/>
      <c r="P67" s="783"/>
      <c r="Q67" s="783"/>
      <c r="R67" s="783"/>
      <c r="S67" s="783"/>
      <c r="T67" s="783"/>
      <c r="U67" s="783"/>
      <c r="V67" s="783"/>
      <c r="W67" s="286"/>
      <c r="X67" s="607"/>
      <c r="Y67" s="52"/>
      <c r="Z67" s="52"/>
      <c r="AA67" s="52"/>
      <c r="AB67" s="28"/>
      <c r="AC67" s="28"/>
    </row>
    <row r="68" spans="1:29" s="30" customFormat="1" ht="22.5" customHeight="1">
      <c r="A68" s="112" t="str">
        <f>"K"&amp;E50</f>
        <v>K2</v>
      </c>
      <c r="B68" s="790" t="s">
        <v>390</v>
      </c>
      <c r="C68" s="772" t="s">
        <v>391</v>
      </c>
      <c r="D68" s="773"/>
      <c r="E68" s="773"/>
      <c r="F68" s="773"/>
      <c r="G68" s="773"/>
      <c r="H68" s="773"/>
      <c r="I68" s="773"/>
      <c r="J68" s="773"/>
      <c r="K68" s="773"/>
      <c r="L68" s="773"/>
      <c r="M68" s="774"/>
      <c r="N68" s="525"/>
      <c r="O68" s="588"/>
      <c r="P68" s="772" t="s">
        <v>392</v>
      </c>
      <c r="Q68" s="773"/>
      <c r="R68" s="773"/>
      <c r="S68" s="774"/>
      <c r="T68" s="784" t="s">
        <v>393</v>
      </c>
      <c r="U68" s="774"/>
      <c r="V68" s="811"/>
      <c r="W68" s="284"/>
      <c r="X68" s="778" t="s">
        <v>394</v>
      </c>
      <c r="Y68" s="779"/>
      <c r="Z68" s="779"/>
      <c r="AA68" s="779" t="s">
        <v>395</v>
      </c>
      <c r="AB68" s="808" t="s">
        <v>396</v>
      </c>
      <c r="AC68" s="28"/>
    </row>
    <row r="69" spans="1:29" s="30" customFormat="1" ht="22.5" customHeight="1">
      <c r="A69" s="112" t="str">
        <f>"L"&amp;E50</f>
        <v>L2</v>
      </c>
      <c r="B69" s="791"/>
      <c r="C69" s="769" t="s">
        <v>397</v>
      </c>
      <c r="D69" s="770"/>
      <c r="E69" s="771"/>
      <c r="F69" s="512">
        <f>IF(VLOOKUP(E50,PROPONENTES!$C$19:$E$108,3,0)="","",VLOOKUP(E50,PROPONENTES!$C$19:$E$108,3,0))</f>
        <v>1</v>
      </c>
      <c r="G69" s="824" t="s">
        <v>398</v>
      </c>
      <c r="H69" s="793" t="s">
        <v>399</v>
      </c>
      <c r="I69" s="793"/>
      <c r="J69" s="769" t="s">
        <v>400</v>
      </c>
      <c r="K69" s="823"/>
      <c r="L69" s="513" t="s">
        <v>401</v>
      </c>
      <c r="M69" s="513"/>
      <c r="N69" s="526"/>
      <c r="O69" s="527"/>
      <c r="P69" s="775"/>
      <c r="Q69" s="776"/>
      <c r="R69" s="776"/>
      <c r="S69" s="777"/>
      <c r="T69" s="796"/>
      <c r="U69" s="797"/>
      <c r="V69" s="812"/>
      <c r="W69" s="284"/>
      <c r="X69" s="780" t="s">
        <v>402</v>
      </c>
      <c r="Y69" s="810" t="s">
        <v>403</v>
      </c>
      <c r="Z69" s="810"/>
      <c r="AA69" s="810"/>
      <c r="AB69" s="809"/>
      <c r="AC69" s="28"/>
    </row>
    <row r="70" spans="1:29" s="30" customFormat="1" ht="51.75" customHeight="1" thickBot="1">
      <c r="A70" s="112" t="str">
        <f>"M"&amp;E50</f>
        <v>M2</v>
      </c>
      <c r="B70" s="791"/>
      <c r="C70" s="770" t="s">
        <v>404</v>
      </c>
      <c r="D70" s="771"/>
      <c r="E70" s="514" t="s">
        <v>405</v>
      </c>
      <c r="F70" s="515" t="s">
        <v>406</v>
      </c>
      <c r="G70" s="824"/>
      <c r="H70" s="793"/>
      <c r="I70" s="793"/>
      <c r="J70" s="504" t="s">
        <v>407</v>
      </c>
      <c r="K70" s="516" t="s">
        <v>408</v>
      </c>
      <c r="L70" s="517" t="s">
        <v>409</v>
      </c>
      <c r="M70" s="517"/>
      <c r="N70" s="528" t="s">
        <v>410</v>
      </c>
      <c r="O70" s="529"/>
      <c r="P70" s="386"/>
      <c r="Q70" s="387" t="s">
        <v>411</v>
      </c>
      <c r="R70" s="388"/>
      <c r="S70" s="113">
        <f>COUNTIFS(H54:H63,"SI",O54:O63,"&gt;0")</f>
        <v>1</v>
      </c>
      <c r="T70" s="785"/>
      <c r="U70" s="787"/>
      <c r="V70" s="813"/>
      <c r="W70" s="284"/>
      <c r="X70" s="780"/>
      <c r="Y70" s="810"/>
      <c r="Z70" s="810"/>
      <c r="AA70" s="810"/>
      <c r="AB70" s="809"/>
      <c r="AC70" s="28"/>
    </row>
    <row r="71" spans="1:29" s="30" customFormat="1" ht="15.75" customHeight="1">
      <c r="A71" s="112" t="str">
        <f>"N"&amp;E50</f>
        <v>N2</v>
      </c>
      <c r="B71" s="791"/>
      <c r="C71" s="54">
        <v>1</v>
      </c>
      <c r="D71" s="100" t="str">
        <f>IF(AND(C71&lt;=F69,F69&gt;1,F69&lt;&gt;""),VLOOKUP(VALUE(E50&amp;","&amp;C71),INTEGRANTES!$D$19:$F$192,2,0),"")</f>
        <v/>
      </c>
      <c r="E71" s="107" t="str">
        <f>IF(D71&lt;&gt;"",VLOOKUP(VALUE(E50&amp;","&amp;C71),INTEGRANTES!$D$19:$F$192,3,0),"")</f>
        <v/>
      </c>
      <c r="F71" s="380" t="str">
        <f>IF(D71="","",IF(OR(SUMIF($J57:$J63,D71,$O57:$O63)=0,N71="NO"),"NO APORTA",SUMIF($J57:$J63,D71,$O57:$O63)))</f>
        <v/>
      </c>
      <c r="G71" s="380" t="str">
        <f>IF($D71="","",IF($F69&lt;=1,"",ROUND(POSMMLV*PORPO,2)))</f>
        <v/>
      </c>
      <c r="H71" s="765" t="str">
        <f>IF($D71="","",IF(OR(F71="NO APORTA",G71&gt;F71),"NO CUMPLE","CUMPLE"))</f>
        <v/>
      </c>
      <c r="I71" s="766"/>
      <c r="J71" s="108" t="str">
        <f>IF(D71="","",IF(OR(AND(SUMIF($J54:$J63,D71,$O54:$O63)&gt;=5%*POSMMLV,N71="SI"),AND(SUMIF($J54:$J63,D71,$O54:$O63)=0,E71&lt;=5%,N71="SI")),"CUMPLE","NO CUMPLE"))</f>
        <v/>
      </c>
      <c r="K71" s="105" t="str">
        <f>IF(OR(D71="",J71=""),"",IF(AND(J71="NO CUMPLE",F71="NO APORTA",E71&gt;5%),"EXP = 0 y PART &gt; 5%",IF(F71&lt;5%*Q76,"EXP &lt; 5%*PO","")))</f>
        <v/>
      </c>
      <c r="L71" s="389" t="str">
        <f>IF(OR(D71="",E71=""),"",IF(AND(E71&gt;=0.25,F71&lt;&gt;"NO APORTA",F71&gt;=$R76*0.25),"SI","NO"))</f>
        <v/>
      </c>
      <c r="M71" s="389"/>
      <c r="N71" s="468" t="s">
        <v>385</v>
      </c>
      <c r="O71" s="396">
        <f>COUNTIFS(O54:O63,"&gt;0",H54:H63,"SI")</f>
        <v>1</v>
      </c>
      <c r="P71" s="814" t="s">
        <v>139</v>
      </c>
      <c r="Q71" s="814"/>
      <c r="R71" s="817">
        <f>E50</f>
        <v>2</v>
      </c>
      <c r="S71" s="818"/>
      <c r="T71" s="784" t="s">
        <v>412</v>
      </c>
      <c r="U71" s="773"/>
      <c r="V71" s="774"/>
      <c r="W71" s="283"/>
      <c r="X71" s="542" t="str">
        <f>IF($F69=1,"NO APLICA",$D71)</f>
        <v>NO APLICA</v>
      </c>
      <c r="Y71" s="543" t="str">
        <f>IF(OR($F71="",$F71="NO APORTA",$R76=0,$X71="NO APLICA"),"",ROUND($F71/$Q76,2))</f>
        <v/>
      </c>
      <c r="Z71" s="544" t="str">
        <f>IF(Y77=1,"SI APLICA",IF(OR($X71="",$X71="NO APLICA",$F71="",$F71="NO APORTA"),"",IF(ROUND($F71/Q76,7)&gt;=0.4,"SI APLICA","NO APLICA")))</f>
        <v>SI APLICA</v>
      </c>
      <c r="AA71" s="543" t="s">
        <v>413</v>
      </c>
      <c r="AB71" s="540" t="str">
        <f>IF(COUNTIF(Z71:AA71,"SI APLICA")=2,"SI APLICA","")</f>
        <v>SI APLICA</v>
      </c>
      <c r="AC71" s="28"/>
    </row>
    <row r="72" spans="1:29" s="30" customFormat="1" ht="15.75" customHeight="1" thickBot="1">
      <c r="A72" s="112" t="str">
        <f>"O"&amp;E50</f>
        <v>O2</v>
      </c>
      <c r="B72" s="791"/>
      <c r="C72" s="54">
        <v>2</v>
      </c>
      <c r="D72" s="100" t="str">
        <f>IF(AND(C72&lt;=F69,F69&lt;&gt;""),VLOOKUP(VALUE(E50&amp;","&amp;C72),INTEGRANTES!$D$19:$F$192,2,0),"")</f>
        <v/>
      </c>
      <c r="E72" s="107" t="str">
        <f>IF(D72&lt;&gt;"",VLOOKUP(VALUE(E50&amp;","&amp;C72),INTEGRANTES!$D$19:$F$192,3,0),"")</f>
        <v/>
      </c>
      <c r="F72" s="380" t="str">
        <f>IF(D72="","",IF(OR(SUMIF($J57:$J63,D72,$O57:$O63)=0,N72="NO"),"NO APORTA",SUMIF($J57:$J63,D72,$O57:$O63)))</f>
        <v/>
      </c>
      <c r="G72" s="380" t="str">
        <f>IF($D72="","",IF($F69&lt;=1,"",ROUND(POSMMLV*PORPO,2)))</f>
        <v/>
      </c>
      <c r="H72" s="765" t="str">
        <f t="shared" ref="H72:H75" si="10">IF($D72="","",IF(OR(F72="NO APORTA",G72&gt;F72),"NO CUMPLE","CUMPLE"))</f>
        <v/>
      </c>
      <c r="I72" s="766"/>
      <c r="J72" s="108" t="str">
        <f>IF(D72="","",IF(OR(AND(SUMIF($J54:$J63,D72,$O54:$O63)&gt;=5%*POSMMLV,N72="SI"),AND(SUMIF($J54:$J63,D72,$O54:$O63)=0,E72&lt;=5%,N72="SI")),"CUMPLE","NO CUMPLE"))</f>
        <v/>
      </c>
      <c r="K72" s="105" t="str">
        <f>IF(OR(D72="",J72=""),"",IF(AND(J72="NO CUMPLE",F72="NO APORTA",E72&gt;5%),"EXP = 0 y PART &gt; 5%",IF(F72&lt;5%*Q76,"EXP &lt; 5%*PO","")))</f>
        <v/>
      </c>
      <c r="L72" s="389" t="str">
        <f>IF(OR(D72="",E72=""),"",IF(AND(E72&gt;=0.25,F72&lt;&gt;"NO APORTA",F72&gt;=$R76*0.25),"SI","NO"))</f>
        <v/>
      </c>
      <c r="M72" s="389"/>
      <c r="N72" s="468" t="s">
        <v>385</v>
      </c>
      <c r="O72" s="396"/>
      <c r="P72" s="815"/>
      <c r="Q72" s="815"/>
      <c r="R72" s="815"/>
      <c r="S72" s="819"/>
      <c r="T72" s="785"/>
      <c r="U72" s="786"/>
      <c r="V72" s="787"/>
      <c r="W72" s="283"/>
      <c r="X72" s="542" t="str">
        <f>IF($F69=1,"NO APLICA",$D72)</f>
        <v>NO APLICA</v>
      </c>
      <c r="Y72" s="543" t="str">
        <f>IF(OR($F72="",$F72="NO APORTA",$R76=0,$X72="NO APLICA"),"",ROUND($F72/$Q76,2))</f>
        <v/>
      </c>
      <c r="Z72" s="544"/>
      <c r="AA72" s="543"/>
      <c r="AB72" s="540" t="str">
        <f t="shared" ref="AB72" si="11">IF(COUNTIF(Z72:AA72,"SI APLICA")=2,"SI APLICA","")</f>
        <v/>
      </c>
      <c r="AC72" s="28"/>
    </row>
    <row r="73" spans="1:29" s="30" customFormat="1" ht="15.75" customHeight="1">
      <c r="A73" s="112" t="str">
        <f>"P"&amp;E50</f>
        <v>P2</v>
      </c>
      <c r="B73" s="791"/>
      <c r="C73" s="54">
        <v>3</v>
      </c>
      <c r="D73" s="100" t="str">
        <f>IF(AND(C73&lt;=F69,F69&lt;&gt;""),VLOOKUP(VALUE(E50&amp;","&amp;C73),INTEGRANTES!$D$19:$F$192,2,0),"")</f>
        <v/>
      </c>
      <c r="E73" s="107" t="str">
        <f>IF(D73&lt;&gt;"",VLOOKUP(VALUE(E50&amp;","&amp;C73),INTEGRANTES!$D$19:$F$192,3,0),"")</f>
        <v/>
      </c>
      <c r="F73" s="380" t="str">
        <f>IF(D73="","",IF(OR(SUMIF($J57:$J63,D73,$O57:$O63)=0,N73="NO"),"NO APORTA",SUMIF($J57:$J63,D73,$O57:$O63)))</f>
        <v/>
      </c>
      <c r="G73" s="380" t="str">
        <f>IF($D73="","",IF($F69&lt;=1,"",ROUND(POSMMLV*PORPO,2)))</f>
        <v/>
      </c>
      <c r="H73" s="765" t="str">
        <f t="shared" si="10"/>
        <v/>
      </c>
      <c r="I73" s="766"/>
      <c r="J73" s="108" t="str">
        <f>IF(D73="","",IF(OR(AND(SUMIF($J54:$J63,D73,$O54:$O63)&gt;=5%*POSMMLV,N73="SI"),AND(SUMIF($J54:$J63,D73,$O54:$O63)=0,E73&lt;=5%,N73="SI")),"CUMPLE","NO CUMPLE"))</f>
        <v/>
      </c>
      <c r="K73" s="105" t="str">
        <f>IF(OR(D73="",J73=""),"",IF(AND(J73="NO CUMPLE",F73="NO APORTA",E73&gt;5%),"EXP = 0 y PART &gt; 5%",IF(F73&lt;5%*Q76,"EXP &lt; 5%*PO","")))</f>
        <v/>
      </c>
      <c r="L73" s="389" t="str">
        <f>IF(OR(D73="",E73=""),"",IF(AND(E73&gt;=0.25,F73&lt;&gt;"NO APORTA",F73&gt;=$R76*0.25),"SI","NO"))</f>
        <v/>
      </c>
      <c r="M73" s="389"/>
      <c r="N73" s="468"/>
      <c r="O73" s="397"/>
      <c r="P73" s="816"/>
      <c r="Q73" s="816"/>
      <c r="R73" s="816"/>
      <c r="S73" s="820"/>
      <c r="T73" s="308"/>
      <c r="U73" s="308"/>
      <c r="V73" s="309"/>
      <c r="W73" s="284"/>
      <c r="X73" s="542" t="str">
        <f>IF($F69=1,"NO APLICA",$D73)</f>
        <v>NO APLICA</v>
      </c>
      <c r="Y73" s="543" t="str">
        <f>IF(OR($F73="",$F73="NO APORTA",$R76=0,$X73="NO APLICA"),"",ROUND($F73/$Q76,2))</f>
        <v/>
      </c>
      <c r="Z73" s="544"/>
      <c r="AA73" s="543"/>
      <c r="AB73" s="540" t="str">
        <f>IF(COUNTIF(Z73:AA73,"SI APLICA")=2,"SI APLICA","")</f>
        <v/>
      </c>
      <c r="AC73" s="28"/>
    </row>
    <row r="74" spans="1:29" s="30" customFormat="1" ht="15.75" customHeight="1">
      <c r="A74" s="112" t="str">
        <f>"Q"&amp;E50</f>
        <v>Q2</v>
      </c>
      <c r="B74" s="791"/>
      <c r="C74" s="54">
        <v>4</v>
      </c>
      <c r="D74" s="100" t="str">
        <f>IF(AND(C74&lt;=F69,F69&lt;&gt;""),VLOOKUP(VALUE(E50&amp;","&amp;C74),INTEGRANTES!$D$19:$F$192,2,0),"")</f>
        <v/>
      </c>
      <c r="E74" s="107" t="str">
        <f>IF(D74&lt;&gt;"",VLOOKUP(VALUE(E50&amp;","&amp;C74),INTEGRANTES!$D$19:$F$192,3,0),"")</f>
        <v/>
      </c>
      <c r="F74" s="380" t="str">
        <f>IF(D74="","",IF(OR(SUMIF($J57:$J63,D74,$O57:$O63)=0,N74="NO"),"NO APORTA",SUMIF($J57:$J63,D74,$O57:$O63)))</f>
        <v/>
      </c>
      <c r="G74" s="380" t="str">
        <f>IF($D74="","",IF($F69&lt;=1,"",ROUND(POSMMLV*PORPO,2)))</f>
        <v/>
      </c>
      <c r="H74" s="765" t="str">
        <f t="shared" si="10"/>
        <v/>
      </c>
      <c r="I74" s="766"/>
      <c r="J74" s="108" t="str">
        <f>IF(D74="","",IF(OR(AND(SUMIF($J54:$J63,D74,$O54:$O63)&gt;=5%*POSMMLV,N74="SI"),AND(SUMIF($J54:$J63,D74,$O54:$O63)=0,E74&lt;=5%,N74="SI")),"CUMPLE","NO CUMPLE"))</f>
        <v/>
      </c>
      <c r="K74" s="105" t="str">
        <f>IF(OR(D74="",J74=""),"",IF(AND(J74="NO CUMPLE",F74="NO APORTA",E74&gt;5%),"EXP = 0 y PART &gt; 5%",IF(F74&lt;5%*Q76,"EXP &lt; 5%*PO","")))</f>
        <v/>
      </c>
      <c r="L74" s="389" t="str">
        <f>IF(OR(D74="",E74=""),"",IF(AND(E74&gt;=0.25,F74&lt;&gt;"NO APORTA",F74&gt;=$R76*0.25),"SI","NO"))</f>
        <v/>
      </c>
      <c r="M74" s="389"/>
      <c r="N74" s="468"/>
      <c r="O74" s="788" t="s">
        <v>414</v>
      </c>
      <c r="P74" s="769" t="s">
        <v>415</v>
      </c>
      <c r="Q74" s="770"/>
      <c r="R74" s="770"/>
      <c r="S74" s="771"/>
      <c r="T74" s="284"/>
      <c r="U74" s="284"/>
      <c r="V74" s="310"/>
      <c r="W74" s="284"/>
      <c r="X74" s="542" t="str">
        <f>IF($F69=1,"NO APLICA",$D74)</f>
        <v>NO APLICA</v>
      </c>
      <c r="Y74" s="543" t="str">
        <f>IF(OR($F74="",$F74="NO APORTA",$R76=0,$X74="NO APLICA"),"",ROUND($F74/$Q76,2))</f>
        <v/>
      </c>
      <c r="Z74" s="544"/>
      <c r="AA74" s="543"/>
      <c r="AB74" s="540" t="str">
        <f t="shared" ref="AB74:AB75" si="12">IF(COUNTIF(Z74:AA74,"SI APLICA")=2,"SI APLICA","")</f>
        <v/>
      </c>
      <c r="AC74" s="28"/>
    </row>
    <row r="75" spans="1:29" s="30" customFormat="1" ht="17.25" customHeight="1">
      <c r="A75" s="112" t="str">
        <f>"R"&amp;E50</f>
        <v>R2</v>
      </c>
      <c r="B75" s="791"/>
      <c r="C75" s="54">
        <v>5</v>
      </c>
      <c r="D75" s="100" t="str">
        <f>IF(AND(C75&lt;=F69,F69&lt;&gt;""),VLOOKUP(VALUE(E50&amp;","&amp;C75),INTEGRANTES!$D$19:$F$192,2,0),"")</f>
        <v/>
      </c>
      <c r="E75" s="107" t="str">
        <f>IF(D75&lt;&gt;"",VLOOKUP(VALUE(E50&amp;","&amp;C75),INTEGRANTES!$D$19:$F$192,3,0),"")</f>
        <v/>
      </c>
      <c r="F75" s="380" t="str">
        <f>IF(D75="","",IF(OR(SUMIF($J57:$J63,D75,$O57:$O63)=0,N75="NO"),"NO APORTA",SUMIF($J57:$J63,D75,$O57:$O63)))</f>
        <v/>
      </c>
      <c r="G75" s="380" t="str">
        <f>IF($D75="","",IF($F69&lt;=1,"",ROUND(POSMMLV*PORPO,2)))</f>
        <v/>
      </c>
      <c r="H75" s="765" t="str">
        <f t="shared" si="10"/>
        <v/>
      </c>
      <c r="I75" s="766"/>
      <c r="J75" s="108" t="str">
        <f>IF(D75="","",IF(OR(AND(SUMIF($J54:$J63,D75,$O54:$O63)&gt;=5%*POSMMLV,N75="SI"),AND(SUMIF($J54:$J63,D75,$O54:$O63)=0,E75&lt;=5%,N75="SI")),"CUMPLE","NO CUMPLE"))</f>
        <v/>
      </c>
      <c r="K75" s="105" t="str">
        <f>IF(OR(D75="",J75=""),"",IF(AND(J75="NO CUMPLE",F75="NO APORTA",E75&gt;5%),"EXP = 0 y PART &gt; 5%",IF(F75&lt;5%*Q76,"EXP &lt; 5%*PO","")))</f>
        <v/>
      </c>
      <c r="L75" s="389" t="str">
        <f>IF(OR(D75="",E75=""),"",IF(AND(E75&gt;=0.25,F75&lt;&gt;"NO APORTA",F75&gt;=$R76*0.25),"SI","NO"))</f>
        <v/>
      </c>
      <c r="M75" s="389"/>
      <c r="N75" s="468"/>
      <c r="O75" s="789"/>
      <c r="P75" s="504" t="s">
        <v>416</v>
      </c>
      <c r="Q75" s="504" t="s">
        <v>417</v>
      </c>
      <c r="R75" s="793" t="s">
        <v>418</v>
      </c>
      <c r="S75" s="793"/>
      <c r="T75" s="284"/>
      <c r="U75" s="284"/>
      <c r="V75" s="310"/>
      <c r="W75" s="284"/>
      <c r="X75" s="542" t="str">
        <f>IF($F69=1,"NO APLICA",$D75)</f>
        <v>NO APLICA</v>
      </c>
      <c r="Y75" s="543" t="str">
        <f>IF(OR($F75="",$F75="NO APORTA",$R76=0,$X75="NO APLICA"),"",ROUND($F75/$Q76,2))</f>
        <v/>
      </c>
      <c r="Z75" s="544"/>
      <c r="AA75" s="543"/>
      <c r="AB75" s="540" t="str">
        <f t="shared" si="12"/>
        <v/>
      </c>
      <c r="AC75" s="28"/>
    </row>
    <row r="76" spans="1:29" s="30" customFormat="1" ht="16.5" customHeight="1" thickBot="1">
      <c r="A76" s="112" t="str">
        <f>"S"&amp;E50</f>
        <v>S2</v>
      </c>
      <c r="B76" s="791"/>
      <c r="C76" s="109">
        <v>6</v>
      </c>
      <c r="D76" s="110" t="str">
        <f>IF(AND(C76&lt;=F69,F69&lt;&gt;""),VLOOKUP(VALUE(E50&amp;","&amp;C76),INTEGRANTES!$D$19:$F$192,2,0),"")</f>
        <v/>
      </c>
      <c r="E76" s="111" t="str">
        <f>IF(D76&lt;&gt;"",VLOOKUP(VALUE(E50&amp;","&amp;C76),INTEGRANTES!$D$19:$F$192,3,0),"")</f>
        <v/>
      </c>
      <c r="F76" s="380" t="str">
        <f>IF(D76="","",IF(OR(SUMIF($J57:$J63,D76,$O57:$O63)=0,N76="NO"),"NO APORTA",SUMIF($J57:$J63,D76,$O57:$O63)))</f>
        <v/>
      </c>
      <c r="G76" s="380" t="str">
        <f>IF($D76="","",IF($F69&lt;=1,"",ROUND(POSMMLV*PORPO,2)))</f>
        <v/>
      </c>
      <c r="H76" s="765" t="str">
        <f>IF($D76="","",IF(OR(F76="NO APORTA",G76&gt;F76),"NO CUMPLE","CUMPLE"))</f>
        <v/>
      </c>
      <c r="I76" s="766"/>
      <c r="J76" s="108" t="str">
        <f>IF(D76="","",IF(OR(AND(SUMIF($J54:$J63,D76,$O54:$O63)&gt;=5%*POSMMLV,N76="SI"),AND(SUMIF($J54:$J63,D76,$O54:$O63)=0,E76&lt;=5%,N76="SI")),"CUMPLE","NO CUMPLE"))</f>
        <v/>
      </c>
      <c r="K76" s="105" t="str">
        <f>IF(OR(D76="",J76=""),"",IF(AND(J76="NO CUMPLE",F76="NO APORTA",E76&gt;5%),"EXP = 0 y PART &gt; 5%",IF(F76&lt;5%*Q76,"EXP &lt; 5%*PO","")))</f>
        <v/>
      </c>
      <c r="L76" s="389" t="str">
        <f>IF(OR(D76="",E76=""),"",IF(AND(E76&gt;=0.25,F76&lt;&gt;"NO APORTA",F76&gt;=$R76*0.25),"SI","NO"))</f>
        <v/>
      </c>
      <c r="M76" s="389"/>
      <c r="N76" s="468"/>
      <c r="O76" s="403" t="str">
        <f ca="1">IF(R76&gt;=Q76,"CUMPLE","NO CUMPLE")</f>
        <v>CUMPLE</v>
      </c>
      <c r="P76" s="312">
        <f>NUMMOD</f>
        <v>1</v>
      </c>
      <c r="Q76" s="313">
        <f ca="1">IF(P76="","",ROUND(VLOOKUP(P76,PRESUPUESTOS!$B$16:$L$16,9,FALSE),7))</f>
        <v>300</v>
      </c>
      <c r="R76" s="834">
        <f>IF(OR(COUNTIF(O54:O63,"")&gt;9,S70&lt;NUMMINCONT),0,SUM(O54:O63))</f>
        <v>415.72</v>
      </c>
      <c r="S76" s="834"/>
      <c r="T76" s="284"/>
      <c r="U76" s="284"/>
      <c r="V76" s="310"/>
      <c r="W76" s="284"/>
      <c r="X76" s="545" t="str">
        <f>IF($F69=1,"NO APLICA",$D76)</f>
        <v>NO APLICA</v>
      </c>
      <c r="Y76" s="543" t="str">
        <f>IF(OR($F76="",$F76="NO APORTA",$R76=0,$X76="NO APLICA"),"",ROUND($F76/$Q76,2))</f>
        <v/>
      </c>
      <c r="Z76" s="544"/>
      <c r="AA76" s="546"/>
      <c r="AB76" s="540" t="str">
        <f>IF(COUNTIF(Z76:AA76,"SI APLICA")=2,"SI APLICA","")</f>
        <v/>
      </c>
      <c r="AC76" s="28"/>
    </row>
    <row r="77" spans="1:29" s="30" customFormat="1" ht="16.5" customHeight="1" thickBot="1">
      <c r="A77" s="112" t="str">
        <f>"T"&amp;E50</f>
        <v>T2</v>
      </c>
      <c r="B77" s="792"/>
      <c r="C77" s="821" t="s">
        <v>419</v>
      </c>
      <c r="D77" s="822"/>
      <c r="E77" s="822"/>
      <c r="F77" s="518"/>
      <c r="G77" s="519"/>
      <c r="H77" s="794" t="str">
        <f>IF(OR($F69="",SUM(E71:E76)=0),"",IF(COUNTIF(H71:H76,"CUMPLE")&gt;=1,"CUMPLE","NO CUMPLE"))</f>
        <v/>
      </c>
      <c r="I77" s="795"/>
      <c r="J77" s="314" t="str">
        <f>IF(COUNTIF(J71:J76,"")&gt;5,"",IF(COUNTIF(J71:J76,"NO CUMPLE")&gt;0,"NO CUMPLE","CUMPLE"))</f>
        <v/>
      </c>
      <c r="K77" s="314" t="str">
        <f>IF(OR(AND(F69=1,N71="SI"),AND(COUNTIF(H77:J77,"CUMPLE")=2)),"CUMPLE","NO CUMPLE")</f>
        <v>CUMPLE</v>
      </c>
      <c r="L77" s="519"/>
      <c r="M77" s="519"/>
      <c r="N77" s="519"/>
      <c r="O77" s="833" t="str">
        <f ca="1">IF(ISNUMBER(F50),"",IF(AND(O76="NO CUMPLE",SUM(N57:N63)&lt;Q76),"EL PROPONENTE SE DEBE REQUERIR POR EXPERIENCIA MINIMA EXIGIDA",""))</f>
        <v/>
      </c>
      <c r="P77" s="833"/>
      <c r="Q77" s="833"/>
      <c r="R77" s="833"/>
      <c r="S77" s="833"/>
      <c r="T77" s="522"/>
      <c r="U77" s="523"/>
      <c r="V77" s="524"/>
      <c r="W77" s="284"/>
      <c r="X77" s="364" t="str">
        <f>IF(Y77=1,"PROPONENTE INDIVIDUAL","PROPONENTE PLURAL")</f>
        <v>PROPONENTE INDIVIDUAL</v>
      </c>
      <c r="Y77" s="276">
        <f>F69</f>
        <v>1</v>
      </c>
      <c r="Z77" s="277" t="str">
        <f>IF(OR(AND(Z71="SI APLICA",AA71="SI APLICA"),AND(Z72="SI APLICA",AA72="SI APLICA"),AND(Z73="SI APLICA",AA73="SI APLICA"),AND(Z74="SI APLICA",AA74="SI APLICA"),AND(Z75="SI APLICA",AA75="SI APLICA"),AND(Z76="SI APLICA",AA76="SI APLICA")),"SI APLICA","NO APLICA")</f>
        <v>SI APLICA</v>
      </c>
      <c r="AA77" s="278" t="str">
        <f>IF(OR(AND(AA71="SI APLICA",AB71="SI APLICA"),AND(AA72="SI APLICA",AB72="SI APLICA"),AND(AA73="SI APLICA",AB73="SI APLICA"),AND(AA74="SI APLICA",AB74="SI APLICA"),AND(AA75="SI APLICA",AB75="SI APLICA"),AND(AA76="SI APLICA",AB76="SI APLICA")),"SI APLICA","NO APLICA")</f>
        <v>SI APLICA</v>
      </c>
      <c r="AB77" s="278" t="str">
        <f>IF(COUNTIF(AB71:AB76,"SI APLICA")&gt;0,"SI APLICA","NO APLICA")</f>
        <v>SI APLICA</v>
      </c>
      <c r="AC77" s="28"/>
    </row>
    <row r="78" spans="1:29" ht="24.95" customHeight="1"/>
    <row r="79" spans="1:29" ht="24.95" customHeight="1"/>
    <row r="80" spans="1:29" s="41" customFormat="1" ht="24" thickBot="1">
      <c r="A80" s="34">
        <v>3</v>
      </c>
      <c r="B80" s="828" t="s">
        <v>355</v>
      </c>
      <c r="C80" s="828"/>
      <c r="D80" s="828"/>
      <c r="E80" s="35">
        <f>VLOOKUP(A80,PROPONENTES!$B$19:$E$108,2,FALSE)</f>
        <v>3</v>
      </c>
      <c r="F80" s="36" t="str">
        <f>VLOOKUP(A80,PROPONENTES!$B$19:$E$108,3,FALSE)</f>
        <v>CONSULTORES DONOVAN SAS</v>
      </c>
      <c r="G80" s="37"/>
      <c r="H80" s="37"/>
      <c r="I80" s="36"/>
      <c r="J80" s="36"/>
      <c r="K80" s="36"/>
      <c r="L80" s="36"/>
      <c r="M80" s="38"/>
      <c r="N80" s="38"/>
      <c r="O80" s="37"/>
      <c r="P80" s="37"/>
      <c r="Q80" s="39"/>
      <c r="R80" s="39"/>
      <c r="S80" s="39"/>
      <c r="T80" s="39"/>
      <c r="U80" s="40"/>
      <c r="Y80" s="52"/>
      <c r="Z80" s="52"/>
      <c r="AA80" s="52"/>
      <c r="AB80" s="28"/>
      <c r="AC80" s="28"/>
    </row>
    <row r="81" spans="1:29" s="27" customFormat="1" ht="24.75" customHeight="1">
      <c r="A81" s="22"/>
      <c r="B81" s="829" t="s">
        <v>356</v>
      </c>
      <c r="C81" s="501" t="s">
        <v>357</v>
      </c>
      <c r="D81" s="502" t="s">
        <v>358</v>
      </c>
      <c r="E81" s="502"/>
      <c r="F81" s="502" t="s">
        <v>359</v>
      </c>
      <c r="G81" s="503"/>
      <c r="H81" s="803" t="s">
        <v>360</v>
      </c>
      <c r="I81" s="831" t="s">
        <v>361</v>
      </c>
      <c r="J81" s="803" t="s">
        <v>362</v>
      </c>
      <c r="K81" s="803" t="s">
        <v>363</v>
      </c>
      <c r="L81" s="803" t="s">
        <v>364</v>
      </c>
      <c r="M81" s="803" t="s">
        <v>365</v>
      </c>
      <c r="N81" s="804" t="s">
        <v>366</v>
      </c>
      <c r="O81" s="805"/>
      <c r="P81" s="806" t="s">
        <v>367</v>
      </c>
      <c r="Q81" s="807"/>
      <c r="R81" s="784" t="s">
        <v>368</v>
      </c>
      <c r="S81" s="774"/>
      <c r="T81" s="798" t="s">
        <v>369</v>
      </c>
      <c r="U81" s="799"/>
      <c r="V81" s="800"/>
      <c r="X81" s="520"/>
      <c r="Y81" s="520"/>
    </row>
    <row r="82" spans="1:29" s="27" customFormat="1" ht="94.5" customHeight="1">
      <c r="A82" s="22"/>
      <c r="B82" s="830"/>
      <c r="C82" s="504" t="s">
        <v>370</v>
      </c>
      <c r="D82" s="505" t="s">
        <v>41</v>
      </c>
      <c r="E82" s="505" t="s">
        <v>371</v>
      </c>
      <c r="F82" s="505" t="s">
        <v>372</v>
      </c>
      <c r="G82" s="506" t="s">
        <v>373</v>
      </c>
      <c r="H82" s="793"/>
      <c r="I82" s="832"/>
      <c r="J82" s="793"/>
      <c r="K82" s="793"/>
      <c r="L82" s="793"/>
      <c r="M82" s="793"/>
      <c r="N82" s="504" t="s">
        <v>374</v>
      </c>
      <c r="O82" s="505" t="s">
        <v>375</v>
      </c>
      <c r="P82" s="801"/>
      <c r="Q82" s="802"/>
      <c r="R82" s="796"/>
      <c r="S82" s="797"/>
      <c r="T82" s="507" t="s">
        <v>376</v>
      </c>
      <c r="U82" s="508" t="s">
        <v>377</v>
      </c>
      <c r="V82" s="509" t="s">
        <v>378</v>
      </c>
      <c r="X82" s="521" t="s">
        <v>379</v>
      </c>
      <c r="Y82" s="521" t="s">
        <v>380</v>
      </c>
    </row>
    <row r="83" spans="1:29" s="27" customFormat="1" ht="15" customHeight="1">
      <c r="A83" s="22"/>
      <c r="B83" s="594"/>
      <c r="C83" s="595">
        <v>3</v>
      </c>
      <c r="D83" s="595">
        <v>4</v>
      </c>
      <c r="E83" s="595">
        <v>5</v>
      </c>
      <c r="F83" s="595">
        <v>6</v>
      </c>
      <c r="G83" s="595">
        <v>7</v>
      </c>
      <c r="H83" s="595">
        <v>8</v>
      </c>
      <c r="I83" s="595">
        <v>9</v>
      </c>
      <c r="J83" s="595">
        <v>10</v>
      </c>
      <c r="K83" s="595">
        <v>11</v>
      </c>
      <c r="L83" s="595">
        <v>12</v>
      </c>
      <c r="M83" s="595">
        <v>13</v>
      </c>
      <c r="N83" s="595">
        <v>14</v>
      </c>
      <c r="O83" s="595">
        <v>15</v>
      </c>
      <c r="P83" s="596">
        <v>16</v>
      </c>
      <c r="Q83" s="597">
        <v>17</v>
      </c>
      <c r="R83" s="596">
        <v>18</v>
      </c>
      <c r="S83" s="597">
        <v>19</v>
      </c>
      <c r="T83" s="598">
        <v>20</v>
      </c>
      <c r="U83" s="255">
        <v>21</v>
      </c>
      <c r="V83" s="599">
        <v>22</v>
      </c>
      <c r="X83" s="589"/>
      <c r="Y83" s="590"/>
    </row>
    <row r="84" spans="1:29" s="44" customFormat="1" ht="51">
      <c r="A84" s="42" t="str">
        <f>"A"&amp;E80</f>
        <v>A3</v>
      </c>
      <c r="B84" s="605">
        <v>1</v>
      </c>
      <c r="C84" s="581" t="s">
        <v>424</v>
      </c>
      <c r="D84" s="581" t="s">
        <v>425</v>
      </c>
      <c r="E84" s="581" t="s">
        <v>426</v>
      </c>
      <c r="F84" s="581" t="s">
        <v>384</v>
      </c>
      <c r="G84" s="534">
        <v>1</v>
      </c>
      <c r="H84" s="534" t="s">
        <v>385</v>
      </c>
      <c r="I84" s="579" t="s">
        <v>384</v>
      </c>
      <c r="J84" s="580" t="str">
        <f>IF(I84="","",IF(I84="I",$F80,VLOOKUP(I84,$C101:$D106,2,0)))</f>
        <v>CONSULTORES DONOVAN SAS</v>
      </c>
      <c r="K84" s="535">
        <v>41802</v>
      </c>
      <c r="L84" s="535">
        <v>42124</v>
      </c>
      <c r="M84" s="536">
        <v>863.66</v>
      </c>
      <c r="N84" s="232">
        <f t="shared" ref="N84:N93" si="13">IF(OR(G84="",M84=""),"",M84*G84)</f>
        <v>863.66</v>
      </c>
      <c r="O84" s="260">
        <f t="shared" ref="O84:O93" si="14">IF(OR(H84="",H84="NO",K84&lt;$Q$17,K84&gt;$R$17,K84="",M84="",N84=""),"",ROUND(N84,7))</f>
        <v>863.66</v>
      </c>
      <c r="P84" s="781" t="s">
        <v>427</v>
      </c>
      <c r="Q84" s="782"/>
      <c r="R84" s="767"/>
      <c r="S84" s="768"/>
      <c r="T84" s="538" t="s">
        <v>385</v>
      </c>
      <c r="U84" s="539">
        <v>10</v>
      </c>
      <c r="V84" s="540" t="s">
        <v>385</v>
      </c>
      <c r="X84" s="541" t="s">
        <v>423</v>
      </c>
      <c r="Y84" s="541" t="s">
        <v>387</v>
      </c>
    </row>
    <row r="85" spans="1:29" s="44" customFormat="1" ht="114.75">
      <c r="A85" s="42" t="str">
        <f>"B"&amp;E80</f>
        <v>B3</v>
      </c>
      <c r="B85" s="605">
        <v>2</v>
      </c>
      <c r="C85" s="581" t="s">
        <v>428</v>
      </c>
      <c r="D85" s="581" t="s">
        <v>429</v>
      </c>
      <c r="E85" s="581" t="s">
        <v>430</v>
      </c>
      <c r="F85" s="581" t="s">
        <v>431</v>
      </c>
      <c r="G85" s="534">
        <v>0.5</v>
      </c>
      <c r="H85" s="534" t="s">
        <v>385</v>
      </c>
      <c r="I85" s="579" t="s">
        <v>384</v>
      </c>
      <c r="J85" s="580" t="str">
        <f>IF(I85="","",IF(I85="I",$F80,VLOOKUP(I85,$C101:$D106,2,0)))</f>
        <v>CONSULTORES DONOVAN SAS</v>
      </c>
      <c r="K85" s="535">
        <v>42361</v>
      </c>
      <c r="L85" s="535">
        <v>42696</v>
      </c>
      <c r="M85" s="536">
        <v>731.27</v>
      </c>
      <c r="N85" s="232">
        <f>IF(OR(G85="",M85=""),"",M85*G85)</f>
        <v>365.63499999999999</v>
      </c>
      <c r="O85" s="260">
        <f t="shared" si="14"/>
        <v>365.63499999999999</v>
      </c>
      <c r="P85" s="781"/>
      <c r="Q85" s="782"/>
      <c r="R85" s="767"/>
      <c r="S85" s="768"/>
      <c r="T85" s="538" t="s">
        <v>385</v>
      </c>
      <c r="U85" s="539">
        <v>62</v>
      </c>
      <c r="V85" s="540" t="s">
        <v>385</v>
      </c>
      <c r="X85" s="541" t="s">
        <v>386</v>
      </c>
      <c r="Y85" s="541" t="s">
        <v>387</v>
      </c>
    </row>
    <row r="86" spans="1:29" s="44" customFormat="1" ht="89.25">
      <c r="A86" s="42" t="str">
        <f>"C"&amp;E80</f>
        <v>C3</v>
      </c>
      <c r="B86" s="605">
        <v>3</v>
      </c>
      <c r="C86" s="581" t="s">
        <v>432</v>
      </c>
      <c r="D86" s="581" t="s">
        <v>433</v>
      </c>
      <c r="E86" s="581" t="s">
        <v>434</v>
      </c>
      <c r="F86" s="581" t="s">
        <v>431</v>
      </c>
      <c r="G86" s="534">
        <v>0.5</v>
      </c>
      <c r="H86" s="534" t="s">
        <v>385</v>
      </c>
      <c r="I86" s="579" t="s">
        <v>384</v>
      </c>
      <c r="J86" s="580" t="str">
        <f>IF(I86="","",IF(I86="I",$F80,VLOOKUP(I86,$C101:$D106,2,0)))</f>
        <v>CONSULTORES DONOVAN SAS</v>
      </c>
      <c r="K86" s="535">
        <v>42366</v>
      </c>
      <c r="L86" s="535">
        <v>42922</v>
      </c>
      <c r="M86" s="536">
        <v>665.23</v>
      </c>
      <c r="N86" s="232">
        <f t="shared" si="13"/>
        <v>332.61500000000001</v>
      </c>
      <c r="O86" s="260">
        <f t="shared" si="14"/>
        <v>332.61500000000001</v>
      </c>
      <c r="P86" s="781"/>
      <c r="Q86" s="782"/>
      <c r="R86" s="767"/>
      <c r="S86" s="768"/>
      <c r="T86" s="538" t="s">
        <v>385</v>
      </c>
      <c r="U86" s="539">
        <v>39</v>
      </c>
      <c r="V86" s="540" t="s">
        <v>385</v>
      </c>
      <c r="X86" s="541" t="s">
        <v>386</v>
      </c>
      <c r="Y86" s="541" t="s">
        <v>435</v>
      </c>
    </row>
    <row r="87" spans="1:29" s="44" customFormat="1" ht="76.5">
      <c r="A87" s="42" t="str">
        <f>"D"&amp;E80</f>
        <v>D3</v>
      </c>
      <c r="B87" s="605">
        <v>4</v>
      </c>
      <c r="C87" s="581" t="s">
        <v>436</v>
      </c>
      <c r="D87" s="581" t="s">
        <v>437</v>
      </c>
      <c r="E87" s="581" t="s">
        <v>438</v>
      </c>
      <c r="F87" s="581" t="s">
        <v>384</v>
      </c>
      <c r="G87" s="534">
        <v>1</v>
      </c>
      <c r="H87" s="534" t="s">
        <v>385</v>
      </c>
      <c r="I87" s="579" t="s">
        <v>384</v>
      </c>
      <c r="J87" s="580" t="str">
        <f>IF(I87="","",IF(I87="I",$F80,VLOOKUP(I87,$C101:$D106,2,0)))</f>
        <v>CONSULTORES DONOVAN SAS</v>
      </c>
      <c r="K87" s="535">
        <v>42354</v>
      </c>
      <c r="L87" s="535">
        <v>42800</v>
      </c>
      <c r="M87" s="536">
        <v>311.76</v>
      </c>
      <c r="N87" s="232">
        <f t="shared" si="13"/>
        <v>311.76</v>
      </c>
      <c r="O87" s="260">
        <f t="shared" si="14"/>
        <v>311.76</v>
      </c>
      <c r="P87" s="781"/>
      <c r="Q87" s="782"/>
      <c r="R87" s="767"/>
      <c r="S87" s="768"/>
      <c r="T87" s="538" t="s">
        <v>385</v>
      </c>
      <c r="U87" s="539">
        <v>38</v>
      </c>
      <c r="V87" s="540" t="s">
        <v>385</v>
      </c>
      <c r="X87" s="541" t="s">
        <v>386</v>
      </c>
      <c r="Y87" s="541" t="s">
        <v>439</v>
      </c>
    </row>
    <row r="88" spans="1:29" s="44" customFormat="1" ht="24.95" customHeight="1">
      <c r="A88" s="42" t="str">
        <f>"E"&amp;E80</f>
        <v>E3</v>
      </c>
      <c r="B88" s="605" t="str">
        <f t="shared" ref="B88:B93" si="15">IF(C88&lt;&gt;"",B87+1,"")</f>
        <v/>
      </c>
      <c r="C88" s="581"/>
      <c r="D88" s="581"/>
      <c r="E88" s="581"/>
      <c r="F88" s="581"/>
      <c r="G88" s="534"/>
      <c r="H88" s="534"/>
      <c r="I88" s="579"/>
      <c r="J88" s="580" t="str">
        <f>IF(I88="","",IF(I88="I",$F80,VLOOKUP(I88,$C101:$D106,2,0)))</f>
        <v/>
      </c>
      <c r="K88" s="535"/>
      <c r="L88" s="535"/>
      <c r="M88" s="536"/>
      <c r="N88" s="232" t="str">
        <f t="shared" si="13"/>
        <v/>
      </c>
      <c r="O88" s="260" t="str">
        <f t="shared" si="14"/>
        <v/>
      </c>
      <c r="P88" s="781"/>
      <c r="Q88" s="782"/>
      <c r="R88" s="767"/>
      <c r="S88" s="768"/>
      <c r="T88" s="538"/>
      <c r="U88" s="539"/>
      <c r="V88" s="540"/>
      <c r="X88" s="541"/>
      <c r="Y88" s="541"/>
    </row>
    <row r="89" spans="1:29" s="44" customFormat="1" ht="24.95" customHeight="1">
      <c r="A89" s="42" t="str">
        <f>"F"&amp;E80</f>
        <v>F3</v>
      </c>
      <c r="B89" s="605" t="str">
        <f t="shared" si="15"/>
        <v/>
      </c>
      <c r="C89" s="581"/>
      <c r="D89" s="581"/>
      <c r="E89" s="581"/>
      <c r="F89" s="581"/>
      <c r="G89" s="534"/>
      <c r="H89" s="534"/>
      <c r="I89" s="579"/>
      <c r="J89" s="580" t="str">
        <f>IF(I89="","",IF(I89="I",$F80,VLOOKUP(I89,$C101:$D106,2,0)))</f>
        <v/>
      </c>
      <c r="K89" s="535"/>
      <c r="L89" s="535"/>
      <c r="M89" s="536"/>
      <c r="N89" s="232" t="str">
        <f t="shared" si="13"/>
        <v/>
      </c>
      <c r="O89" s="260" t="str">
        <f t="shared" si="14"/>
        <v/>
      </c>
      <c r="P89" s="781"/>
      <c r="Q89" s="782"/>
      <c r="R89" s="767"/>
      <c r="S89" s="768"/>
      <c r="T89" s="538"/>
      <c r="U89" s="539"/>
      <c r="V89" s="540"/>
      <c r="X89" s="541"/>
      <c r="Y89" s="541"/>
    </row>
    <row r="90" spans="1:29" s="44" customFormat="1" ht="24.95" customHeight="1">
      <c r="A90" s="42" t="str">
        <f>"G"&amp;E80</f>
        <v>G3</v>
      </c>
      <c r="B90" s="605" t="str">
        <f t="shared" si="15"/>
        <v/>
      </c>
      <c r="C90" s="581"/>
      <c r="D90" s="581"/>
      <c r="E90" s="581"/>
      <c r="F90" s="581"/>
      <c r="G90" s="534"/>
      <c r="H90" s="534"/>
      <c r="I90" s="579"/>
      <c r="J90" s="580" t="str">
        <f>IF(I90="","",IF(I90="I",$F80,VLOOKUP(I90,$C101:$D106,2,0)))</f>
        <v/>
      </c>
      <c r="K90" s="535"/>
      <c r="L90" s="535"/>
      <c r="M90" s="536"/>
      <c r="N90" s="43" t="str">
        <f t="shared" si="13"/>
        <v/>
      </c>
      <c r="O90" s="260" t="str">
        <f t="shared" si="14"/>
        <v/>
      </c>
      <c r="P90" s="781"/>
      <c r="Q90" s="782"/>
      <c r="R90" s="767"/>
      <c r="S90" s="768"/>
      <c r="T90" s="538"/>
      <c r="U90" s="539"/>
      <c r="V90" s="540"/>
      <c r="X90" s="541"/>
      <c r="Y90" s="541"/>
    </row>
    <row r="91" spans="1:29" s="44" customFormat="1" ht="24.95" customHeight="1">
      <c r="A91" s="42" t="str">
        <f>"H"&amp;E80</f>
        <v>H3</v>
      </c>
      <c r="B91" s="605" t="str">
        <f t="shared" si="15"/>
        <v/>
      </c>
      <c r="C91" s="581"/>
      <c r="D91" s="581"/>
      <c r="E91" s="581"/>
      <c r="F91" s="581"/>
      <c r="G91" s="534"/>
      <c r="H91" s="534"/>
      <c r="I91" s="579"/>
      <c r="J91" s="580" t="str">
        <f>IF(I91="","",IF(I91="I",$F80,VLOOKUP(I91,$C101:$D106,2,0)))</f>
        <v/>
      </c>
      <c r="K91" s="535"/>
      <c r="L91" s="535"/>
      <c r="M91" s="537"/>
      <c r="N91" s="43" t="str">
        <f t="shared" si="13"/>
        <v/>
      </c>
      <c r="O91" s="260" t="str">
        <f t="shared" si="14"/>
        <v/>
      </c>
      <c r="P91" s="781"/>
      <c r="Q91" s="782"/>
      <c r="R91" s="767"/>
      <c r="S91" s="768"/>
      <c r="T91" s="538"/>
      <c r="U91" s="539"/>
      <c r="V91" s="540"/>
      <c r="X91" s="541"/>
      <c r="Y91" s="541"/>
    </row>
    <row r="92" spans="1:29" s="44" customFormat="1" ht="24.95" customHeight="1">
      <c r="A92" s="42" t="str">
        <f>"I"&amp;E80</f>
        <v>I3</v>
      </c>
      <c r="B92" s="605" t="str">
        <f t="shared" si="15"/>
        <v/>
      </c>
      <c r="C92" s="581"/>
      <c r="D92" s="581"/>
      <c r="E92" s="581"/>
      <c r="F92" s="581"/>
      <c r="G92" s="534"/>
      <c r="H92" s="534"/>
      <c r="I92" s="579"/>
      <c r="J92" s="580" t="str">
        <f>IF(I92="","",IF(I92="I",$F80,VLOOKUP(I92,$C101:$D106,2,0)))</f>
        <v/>
      </c>
      <c r="K92" s="535"/>
      <c r="L92" s="535"/>
      <c r="M92" s="537"/>
      <c r="N92" s="43" t="str">
        <f t="shared" si="13"/>
        <v/>
      </c>
      <c r="O92" s="260" t="str">
        <f t="shared" si="14"/>
        <v/>
      </c>
      <c r="P92" s="781"/>
      <c r="Q92" s="782"/>
      <c r="R92" s="767"/>
      <c r="S92" s="768"/>
      <c r="T92" s="538"/>
      <c r="U92" s="539"/>
      <c r="V92" s="540"/>
      <c r="X92" s="541"/>
      <c r="Y92" s="541"/>
    </row>
    <row r="93" spans="1:29" s="44" customFormat="1" ht="24.95" customHeight="1" thickBot="1">
      <c r="A93" s="42" t="str">
        <f>"J"&amp;E80</f>
        <v>J3</v>
      </c>
      <c r="B93" s="612" t="str">
        <f t="shared" si="15"/>
        <v/>
      </c>
      <c r="C93" s="582"/>
      <c r="D93" s="582"/>
      <c r="E93" s="582"/>
      <c r="F93" s="582"/>
      <c r="G93" s="583"/>
      <c r="H93" s="583"/>
      <c r="I93" s="584"/>
      <c r="J93" s="585" t="str">
        <f>IF(I93="","",IF(I93="I",$F80,VLOOKUP(I93,$C101:$D106,2,0)))</f>
        <v/>
      </c>
      <c r="K93" s="586"/>
      <c r="L93" s="586"/>
      <c r="M93" s="587"/>
      <c r="N93" s="43" t="str">
        <f t="shared" si="13"/>
        <v/>
      </c>
      <c r="O93" s="260" t="str">
        <f t="shared" si="14"/>
        <v/>
      </c>
      <c r="P93" s="781"/>
      <c r="Q93" s="782"/>
      <c r="R93" s="767"/>
      <c r="S93" s="768"/>
      <c r="T93" s="538"/>
      <c r="U93" s="539"/>
      <c r="V93" s="540"/>
      <c r="X93" s="541"/>
      <c r="Y93" s="541"/>
    </row>
    <row r="94" spans="1:29" s="27" customFormat="1" ht="12" customHeight="1" thickBot="1">
      <c r="A94" s="42"/>
      <c r="B94" s="45"/>
      <c r="C94" s="46"/>
      <c r="D94" s="46"/>
      <c r="E94" s="46"/>
      <c r="F94" s="46"/>
      <c r="G94" s="46"/>
      <c r="H94" s="606"/>
      <c r="I94" s="46"/>
      <c r="J94" s="46"/>
      <c r="K94" s="46"/>
      <c r="L94" s="46"/>
      <c r="M94" s="46"/>
      <c r="N94" s="46"/>
      <c r="O94" s="259"/>
      <c r="P94" s="46"/>
      <c r="Q94" s="46"/>
      <c r="R94" s="259"/>
      <c r="S94" s="46"/>
      <c r="T94" s="46"/>
      <c r="U94" s="47"/>
      <c r="V94" s="48"/>
      <c r="X94" s="592"/>
      <c r="Y94" s="593"/>
      <c r="AB94" s="378"/>
    </row>
    <row r="95" spans="1:29" s="27" customFormat="1" ht="17.25" customHeight="1" thickBot="1">
      <c r="A95" s="42" t="str">
        <f>"Z"&amp;E80</f>
        <v>Z3</v>
      </c>
      <c r="B95" s="510"/>
      <c r="C95" s="511"/>
      <c r="D95" s="511"/>
      <c r="E95" s="511"/>
      <c r="F95" s="511"/>
      <c r="G95" s="511"/>
      <c r="H95" s="511"/>
      <c r="I95" s="511"/>
      <c r="J95" s="511"/>
      <c r="K95" s="511"/>
      <c r="L95" s="511"/>
      <c r="M95" s="511"/>
      <c r="N95" s="437" t="s">
        <v>388</v>
      </c>
      <c r="O95" s="438">
        <f>IF(COUNTIF(O84:O93,"")&gt;9,0,SUM(O84:O93)/(COUNTIF(H84:H93,"SI")))</f>
        <v>468.41750000000002</v>
      </c>
      <c r="P95" s="511"/>
      <c r="Q95" s="511"/>
      <c r="R95" s="530"/>
      <c r="S95" s="530"/>
      <c r="T95" s="531"/>
      <c r="U95" s="532"/>
      <c r="V95" s="533"/>
      <c r="W95" s="285"/>
      <c r="X95" s="613" t="e">
        <f>COUNTIF(#REF!,"")-COUNTIF(#REF!,"CUMPLE")-1</f>
        <v>#REF!</v>
      </c>
      <c r="Y95" s="591"/>
      <c r="AB95" s="28"/>
    </row>
    <row r="96" spans="1:29" ht="17.25" customHeight="1">
      <c r="B96" s="50"/>
      <c r="C96" s="50"/>
      <c r="D96" s="50"/>
      <c r="E96" s="50"/>
      <c r="F96" s="50"/>
      <c r="G96" s="51"/>
      <c r="H96" s="51"/>
      <c r="I96" s="51"/>
      <c r="J96" s="51"/>
      <c r="K96" s="51"/>
      <c r="L96" s="51"/>
      <c r="M96" s="51"/>
      <c r="N96" s="51"/>
      <c r="O96" s="51"/>
      <c r="P96" s="51"/>
      <c r="Q96" s="51"/>
      <c r="R96" s="51"/>
      <c r="S96" s="51"/>
      <c r="T96" s="51"/>
      <c r="U96" s="51"/>
      <c r="V96" s="51"/>
      <c r="W96" s="51"/>
      <c r="X96" s="608"/>
      <c r="Y96" s="51"/>
      <c r="Z96" s="51"/>
      <c r="AA96" s="51"/>
      <c r="AB96" s="51"/>
      <c r="AC96" s="50"/>
    </row>
    <row r="97" spans="1:29" s="27" customFormat="1" ht="16.5" customHeight="1" thickBot="1">
      <c r="A97" s="22"/>
      <c r="B97" s="783" t="s">
        <v>389</v>
      </c>
      <c r="C97" s="783"/>
      <c r="D97" s="783"/>
      <c r="E97" s="783"/>
      <c r="F97" s="783"/>
      <c r="G97" s="783"/>
      <c r="H97" s="783"/>
      <c r="I97" s="783"/>
      <c r="J97" s="783"/>
      <c r="K97" s="783"/>
      <c r="L97" s="783"/>
      <c r="M97" s="783"/>
      <c r="N97" s="783"/>
      <c r="O97" s="783"/>
      <c r="P97" s="783"/>
      <c r="Q97" s="783"/>
      <c r="R97" s="783"/>
      <c r="S97" s="783"/>
      <c r="T97" s="783"/>
      <c r="U97" s="783"/>
      <c r="V97" s="783"/>
      <c r="W97" s="286"/>
      <c r="X97" s="607"/>
      <c r="Y97" s="52"/>
      <c r="Z97" s="52"/>
      <c r="AA97" s="52"/>
      <c r="AB97" s="28"/>
      <c r="AC97" s="28"/>
    </row>
    <row r="98" spans="1:29" s="30" customFormat="1" ht="22.5" customHeight="1">
      <c r="A98" s="112" t="str">
        <f>"K"&amp;E80</f>
        <v>K3</v>
      </c>
      <c r="B98" s="790" t="s">
        <v>390</v>
      </c>
      <c r="C98" s="772" t="s">
        <v>391</v>
      </c>
      <c r="D98" s="773"/>
      <c r="E98" s="773"/>
      <c r="F98" s="773"/>
      <c r="G98" s="773"/>
      <c r="H98" s="773"/>
      <c r="I98" s="773"/>
      <c r="J98" s="773"/>
      <c r="K98" s="773"/>
      <c r="L98" s="773"/>
      <c r="M98" s="774"/>
      <c r="N98" s="525"/>
      <c r="O98" s="588"/>
      <c r="P98" s="772" t="s">
        <v>392</v>
      </c>
      <c r="Q98" s="773"/>
      <c r="R98" s="773"/>
      <c r="S98" s="774"/>
      <c r="T98" s="784" t="s">
        <v>393</v>
      </c>
      <c r="U98" s="774"/>
      <c r="V98" s="811"/>
      <c r="W98" s="284"/>
      <c r="X98" s="778" t="s">
        <v>394</v>
      </c>
      <c r="Y98" s="779"/>
      <c r="Z98" s="779"/>
      <c r="AA98" s="779" t="s">
        <v>395</v>
      </c>
      <c r="AB98" s="808" t="s">
        <v>396</v>
      </c>
      <c r="AC98" s="28"/>
    </row>
    <row r="99" spans="1:29" s="30" customFormat="1" ht="22.5" customHeight="1">
      <c r="A99" s="112" t="str">
        <f>"L"&amp;E80</f>
        <v>L3</v>
      </c>
      <c r="B99" s="791"/>
      <c r="C99" s="769" t="s">
        <v>397</v>
      </c>
      <c r="D99" s="770"/>
      <c r="E99" s="771"/>
      <c r="F99" s="512">
        <f>IF(VLOOKUP(E80,PROPONENTES!$C$19:$E$108,3,0)="","",VLOOKUP(E80,PROPONENTES!$C$19:$E$108,3,0))</f>
        <v>1</v>
      </c>
      <c r="G99" s="824" t="s">
        <v>398</v>
      </c>
      <c r="H99" s="793" t="s">
        <v>399</v>
      </c>
      <c r="I99" s="793"/>
      <c r="J99" s="769" t="s">
        <v>400</v>
      </c>
      <c r="K99" s="823"/>
      <c r="L99" s="513" t="s">
        <v>401</v>
      </c>
      <c r="M99" s="513"/>
      <c r="N99" s="526"/>
      <c r="O99" s="527"/>
      <c r="P99" s="775"/>
      <c r="Q99" s="776"/>
      <c r="R99" s="776"/>
      <c r="S99" s="777"/>
      <c r="T99" s="796"/>
      <c r="U99" s="797"/>
      <c r="V99" s="812"/>
      <c r="W99" s="284"/>
      <c r="X99" s="780" t="s">
        <v>402</v>
      </c>
      <c r="Y99" s="810" t="s">
        <v>403</v>
      </c>
      <c r="Z99" s="810"/>
      <c r="AA99" s="810"/>
      <c r="AB99" s="809"/>
      <c r="AC99" s="28"/>
    </row>
    <row r="100" spans="1:29" s="30" customFormat="1" ht="51.75" customHeight="1" thickBot="1">
      <c r="A100" s="112" t="str">
        <f>"M"&amp;E80</f>
        <v>M3</v>
      </c>
      <c r="B100" s="791"/>
      <c r="C100" s="770" t="s">
        <v>404</v>
      </c>
      <c r="D100" s="771"/>
      <c r="E100" s="514" t="s">
        <v>405</v>
      </c>
      <c r="F100" s="515" t="s">
        <v>406</v>
      </c>
      <c r="G100" s="824"/>
      <c r="H100" s="793"/>
      <c r="I100" s="793"/>
      <c r="J100" s="504" t="s">
        <v>407</v>
      </c>
      <c r="K100" s="516" t="s">
        <v>408</v>
      </c>
      <c r="L100" s="517" t="s">
        <v>409</v>
      </c>
      <c r="M100" s="517"/>
      <c r="N100" s="528" t="s">
        <v>410</v>
      </c>
      <c r="O100" s="529"/>
      <c r="P100" s="386"/>
      <c r="Q100" s="387" t="s">
        <v>411</v>
      </c>
      <c r="R100" s="388"/>
      <c r="S100" s="113">
        <f>COUNTIFS(H84:H93,"SI",O84:O93,"&gt;0")</f>
        <v>4</v>
      </c>
      <c r="T100" s="785"/>
      <c r="U100" s="787"/>
      <c r="V100" s="813"/>
      <c r="W100" s="284"/>
      <c r="X100" s="780"/>
      <c r="Y100" s="810"/>
      <c r="Z100" s="810"/>
      <c r="AA100" s="810"/>
      <c r="AB100" s="809"/>
      <c r="AC100" s="28"/>
    </row>
    <row r="101" spans="1:29" s="30" customFormat="1" ht="15.75" customHeight="1">
      <c r="A101" s="112" t="str">
        <f>"N"&amp;E80</f>
        <v>N3</v>
      </c>
      <c r="B101" s="791"/>
      <c r="C101" s="54">
        <v>1</v>
      </c>
      <c r="D101" s="100" t="str">
        <f>IF(AND(C101&lt;=F99,F99&gt;1,F99&lt;&gt;""),VLOOKUP(VALUE(E80&amp;","&amp;C101),INTEGRANTES!$D$19:$F$192,2,0),"")</f>
        <v/>
      </c>
      <c r="E101" s="107" t="str">
        <f>IF(D101&lt;&gt;"",VLOOKUP(VALUE(E80&amp;","&amp;C101),INTEGRANTES!$D$19:$F$192,3,0),"")</f>
        <v/>
      </c>
      <c r="F101" s="380" t="str">
        <f>IF(D101="","",IF(OR(SUMIF($J87:$J93,D101,$O87:$O93)=0,N101="NO"),"NO APORTA",SUMIF($J87:$J93,D101,$O87:$O93)))</f>
        <v/>
      </c>
      <c r="G101" s="380" t="str">
        <f>IF($D101="","",IF($F99&lt;=1,"",ROUND(POSMMLV*PORPO,2)))</f>
        <v/>
      </c>
      <c r="H101" s="765" t="str">
        <f>IF($D101="","",IF(OR(F101="NO APORTA",G101&gt;F101),"NO CUMPLE","CUMPLE"))</f>
        <v/>
      </c>
      <c r="I101" s="766"/>
      <c r="J101" s="108" t="str">
        <f>IF(D101="","",IF(OR(AND(SUMIF($J84:$J93,D101,$O84:$O93)&gt;=5%*POSMMLV,N101="SI"),AND(SUMIF($J84:$J93,D101,$O84:$O93)=0,E101&lt;=5%,N101="SI")),"CUMPLE","NO CUMPLE"))</f>
        <v/>
      </c>
      <c r="K101" s="105" t="str">
        <f>IF(OR(D101="",J101=""),"",IF(AND(J101="NO CUMPLE",F101="NO APORTA",E101&gt;5%),"EXP = 0 y PART &gt; 5%",IF(F101&lt;5%*Q106,"EXP &lt; 5%*PO","")))</f>
        <v/>
      </c>
      <c r="L101" s="389" t="str">
        <f>IF(OR(D101="",E101=""),"",IF(AND(E101&gt;=0.25,F101&lt;&gt;"NO APORTA",F101&gt;=$R106*0.25),"SI","NO"))</f>
        <v/>
      </c>
      <c r="M101" s="389"/>
      <c r="N101" s="468" t="s">
        <v>385</v>
      </c>
      <c r="O101" s="396">
        <f>COUNTIFS(O84:O93,"&gt;0",H84:H93,"SI")</f>
        <v>4</v>
      </c>
      <c r="P101" s="814" t="s">
        <v>139</v>
      </c>
      <c r="Q101" s="814"/>
      <c r="R101" s="817">
        <f>E80</f>
        <v>3</v>
      </c>
      <c r="S101" s="818"/>
      <c r="T101" s="784" t="s">
        <v>412</v>
      </c>
      <c r="U101" s="773"/>
      <c r="V101" s="774"/>
      <c r="W101" s="283"/>
      <c r="X101" s="542" t="str">
        <f>IF($F99=1,"NO APLICA",$D101)</f>
        <v>NO APLICA</v>
      </c>
      <c r="Y101" s="543" t="str">
        <f>IF(OR($F101="",$F101="NO APORTA",$R106=0,$X101="NO APLICA"),"",ROUND($F101/$Q106,2))</f>
        <v/>
      </c>
      <c r="Z101" s="544" t="str">
        <f>IF(Y107=1,"SI APLICA",IF(OR($X101="",$X101="NO APLICA",$F101="",$F101="NO APORTA"),"",IF(ROUND($F101/Q106,7)&gt;=0.4,"SI APLICA","NO APLICA")))</f>
        <v>SI APLICA</v>
      </c>
      <c r="AA101" s="543" t="s">
        <v>413</v>
      </c>
      <c r="AB101" s="540" t="str">
        <f>IF(COUNTIF(Z101:AA101,"SI APLICA")=2,"SI APLICA","")</f>
        <v>SI APLICA</v>
      </c>
      <c r="AC101" s="28"/>
    </row>
    <row r="102" spans="1:29" s="30" customFormat="1" ht="15.75" customHeight="1" thickBot="1">
      <c r="A102" s="112" t="str">
        <f>"O"&amp;E80</f>
        <v>O3</v>
      </c>
      <c r="B102" s="791"/>
      <c r="C102" s="54">
        <v>2</v>
      </c>
      <c r="D102" s="100" t="str">
        <f>IF(AND(C102&lt;=F99,F99&lt;&gt;""),VLOOKUP(VALUE(E80&amp;","&amp;C102),INTEGRANTES!$D$19:$F$192,2,0),"")</f>
        <v/>
      </c>
      <c r="E102" s="107" t="str">
        <f>IF(D102&lt;&gt;"",VLOOKUP(VALUE(E80&amp;","&amp;C102),INTEGRANTES!$D$19:$F$192,3,0),"")</f>
        <v/>
      </c>
      <c r="F102" s="380" t="str">
        <f>IF(D102="","",IF(OR(SUMIF($J87:$J93,D102,$O87:$O93)=0,N102="NO"),"NO APORTA",SUMIF($J87:$J93,D102,$O87:$O93)))</f>
        <v/>
      </c>
      <c r="G102" s="380" t="str">
        <f>IF($D102="","",IF($F99&lt;=1,"",ROUND(POSMMLV*PORPO,2)))</f>
        <v/>
      </c>
      <c r="H102" s="765" t="str">
        <f t="shared" ref="H102:H105" si="16">IF($D102="","",IF(OR(F102="NO APORTA",G102&gt;F102),"NO CUMPLE","CUMPLE"))</f>
        <v/>
      </c>
      <c r="I102" s="766"/>
      <c r="J102" s="108" t="str">
        <f>IF(D102="","",IF(OR(AND(SUMIF($J84:$J93,D102,$O84:$O93)&gt;=5%*POSMMLV,N102="SI"),AND(SUMIF($J84:$J93,D102,$O84:$O93)=0,E102&lt;=5%,N102="SI")),"CUMPLE","NO CUMPLE"))</f>
        <v/>
      </c>
      <c r="K102" s="105" t="str">
        <f>IF(OR(D102="",J102=""),"",IF(AND(J102="NO CUMPLE",F102="NO APORTA",E102&gt;5%),"EXP = 0 y PART &gt; 5%",IF(F102&lt;5%*Q106,"EXP &lt; 5%*PO","")))</f>
        <v/>
      </c>
      <c r="L102" s="389" t="str">
        <f>IF(OR(D102="",E102=""),"",IF(AND(E102&gt;=0.25,F102&lt;&gt;"NO APORTA",F102&gt;=$R106*0.25),"SI","NO"))</f>
        <v/>
      </c>
      <c r="M102" s="389"/>
      <c r="N102" s="468" t="s">
        <v>385</v>
      </c>
      <c r="O102" s="396"/>
      <c r="P102" s="815"/>
      <c r="Q102" s="815"/>
      <c r="R102" s="815"/>
      <c r="S102" s="819"/>
      <c r="T102" s="785"/>
      <c r="U102" s="786"/>
      <c r="V102" s="787"/>
      <c r="W102" s="283"/>
      <c r="X102" s="542" t="str">
        <f>IF($F99=1,"NO APLICA",$D102)</f>
        <v>NO APLICA</v>
      </c>
      <c r="Y102" s="543" t="str">
        <f>IF(OR($F102="",$F102="NO APORTA",$R106=0,$X102="NO APLICA"),"",ROUND($F102/$Q106,2))</f>
        <v/>
      </c>
      <c r="Z102" s="544"/>
      <c r="AA102" s="543"/>
      <c r="AB102" s="540" t="str">
        <f t="shared" ref="AB102" si="17">IF(COUNTIF(Z102:AA102,"SI APLICA")=2,"SI APLICA","")</f>
        <v/>
      </c>
      <c r="AC102" s="28"/>
    </row>
    <row r="103" spans="1:29" s="30" customFormat="1" ht="15.75" customHeight="1">
      <c r="A103" s="112" t="str">
        <f>"P"&amp;E80</f>
        <v>P3</v>
      </c>
      <c r="B103" s="791"/>
      <c r="C103" s="54">
        <v>3</v>
      </c>
      <c r="D103" s="100" t="str">
        <f>IF(AND(C103&lt;=F99,F99&lt;&gt;""),VLOOKUP(VALUE(E80&amp;","&amp;C103),INTEGRANTES!$D$19:$F$192,2,0),"")</f>
        <v/>
      </c>
      <c r="E103" s="107" t="str">
        <f>IF(D103&lt;&gt;"",VLOOKUP(VALUE(E80&amp;","&amp;C103),INTEGRANTES!$D$19:$F$192,3,0),"")</f>
        <v/>
      </c>
      <c r="F103" s="380" t="str">
        <f>IF(D103="","",IF(OR(SUMIF($J87:$J93,D103,$O87:$O93)=0,N103="NO"),"NO APORTA",SUMIF($J87:$J93,D103,$O87:$O93)))</f>
        <v/>
      </c>
      <c r="G103" s="380" t="str">
        <f>IF($D103="","",IF($F99&lt;=1,"",ROUND(POSMMLV*PORPO,2)))</f>
        <v/>
      </c>
      <c r="H103" s="765" t="str">
        <f t="shared" si="16"/>
        <v/>
      </c>
      <c r="I103" s="766"/>
      <c r="J103" s="108" t="str">
        <f>IF(D103="","",IF(OR(AND(SUMIF($J84:$J93,D103,$O84:$O93)&gt;=5%*POSMMLV,N103="SI"),AND(SUMIF($J84:$J93,D103,$O84:$O93)=0,E103&lt;=5%,N103="SI")),"CUMPLE","NO CUMPLE"))</f>
        <v/>
      </c>
      <c r="K103" s="105" t="str">
        <f>IF(OR(D103="",J103=""),"",IF(AND(J103="NO CUMPLE",F103="NO APORTA",E103&gt;5%),"EXP = 0 y PART &gt; 5%",IF(F103&lt;5%*Q106,"EXP &lt; 5%*PO","")))</f>
        <v/>
      </c>
      <c r="L103" s="389" t="str">
        <f>IF(OR(D103="",E103=""),"",IF(AND(E103&gt;=0.25,F103&lt;&gt;"NO APORTA",F103&gt;=$R106*0.25),"SI","NO"))</f>
        <v/>
      </c>
      <c r="M103" s="389"/>
      <c r="N103" s="468"/>
      <c r="O103" s="397"/>
      <c r="P103" s="816"/>
      <c r="Q103" s="816"/>
      <c r="R103" s="816"/>
      <c r="S103" s="820"/>
      <c r="T103" s="308"/>
      <c r="U103" s="308"/>
      <c r="V103" s="309"/>
      <c r="W103" s="284"/>
      <c r="X103" s="542" t="str">
        <f>IF($F99=1,"NO APLICA",$D103)</f>
        <v>NO APLICA</v>
      </c>
      <c r="Y103" s="543" t="str">
        <f>IF(OR($F103="",$F103="NO APORTA",$R106=0,$X103="NO APLICA"),"",ROUND($F103/$Q106,2))</f>
        <v/>
      </c>
      <c r="Z103" s="544"/>
      <c r="AA103" s="543"/>
      <c r="AB103" s="540" t="str">
        <f>IF(COUNTIF(Z103:AA103,"SI APLICA")=2,"SI APLICA","")</f>
        <v/>
      </c>
      <c r="AC103" s="28"/>
    </row>
    <row r="104" spans="1:29" s="30" customFormat="1" ht="15.75" customHeight="1">
      <c r="A104" s="112" t="str">
        <f>"Q"&amp;E80</f>
        <v>Q3</v>
      </c>
      <c r="B104" s="791"/>
      <c r="C104" s="54">
        <v>4</v>
      </c>
      <c r="D104" s="100" t="str">
        <f>IF(AND(C104&lt;=F99,F99&lt;&gt;""),VLOOKUP(VALUE(E80&amp;","&amp;C104),INTEGRANTES!$D$19:$F$192,2,0),"")</f>
        <v/>
      </c>
      <c r="E104" s="107" t="str">
        <f>IF(D104&lt;&gt;"",VLOOKUP(VALUE(E80&amp;","&amp;C104),INTEGRANTES!$D$19:$F$192,3,0),"")</f>
        <v/>
      </c>
      <c r="F104" s="380" t="str">
        <f>IF(D104="","",IF(OR(SUMIF($J87:$J93,D104,$O87:$O93)=0,N104="NO"),"NO APORTA",SUMIF($J87:$J93,D104,$O87:$O93)))</f>
        <v/>
      </c>
      <c r="G104" s="380" t="str">
        <f>IF($D104="","",IF($F99&lt;=1,"",ROUND(POSMMLV*PORPO,2)))</f>
        <v/>
      </c>
      <c r="H104" s="765" t="str">
        <f t="shared" si="16"/>
        <v/>
      </c>
      <c r="I104" s="766"/>
      <c r="J104" s="108" t="str">
        <f>IF(D104="","",IF(OR(AND(SUMIF($J84:$J93,D104,$O84:$O93)&gt;=5%*POSMMLV,N104="SI"),AND(SUMIF($J84:$J93,D104,$O84:$O93)=0,E104&lt;=5%,N104="SI")),"CUMPLE","NO CUMPLE"))</f>
        <v/>
      </c>
      <c r="K104" s="105" t="str">
        <f>IF(OR(D104="",J104=""),"",IF(AND(J104="NO CUMPLE",F104="NO APORTA",E104&gt;5%),"EXP = 0 y PART &gt; 5%",IF(F104&lt;5%*Q106,"EXP &lt; 5%*PO","")))</f>
        <v/>
      </c>
      <c r="L104" s="389" t="str">
        <f>IF(OR(D104="",E104=""),"",IF(AND(E104&gt;=0.25,F104&lt;&gt;"NO APORTA",F104&gt;=$R106*0.25),"SI","NO"))</f>
        <v/>
      </c>
      <c r="M104" s="389"/>
      <c r="N104" s="468"/>
      <c r="O104" s="788" t="s">
        <v>414</v>
      </c>
      <c r="P104" s="769" t="s">
        <v>415</v>
      </c>
      <c r="Q104" s="770"/>
      <c r="R104" s="770"/>
      <c r="S104" s="771"/>
      <c r="T104" s="284"/>
      <c r="U104" s="284"/>
      <c r="V104" s="310"/>
      <c r="W104" s="284"/>
      <c r="X104" s="542" t="str">
        <f>IF($F99=1,"NO APLICA",$D104)</f>
        <v>NO APLICA</v>
      </c>
      <c r="Y104" s="543" t="str">
        <f>IF(OR($F104="",$F104="NO APORTA",$R106=0,$X104="NO APLICA"),"",ROUND($F104/$Q106,2))</f>
        <v/>
      </c>
      <c r="Z104" s="544"/>
      <c r="AA104" s="543"/>
      <c r="AB104" s="540" t="str">
        <f t="shared" ref="AB104:AB105" si="18">IF(COUNTIF(Z104:AA104,"SI APLICA")=2,"SI APLICA","")</f>
        <v/>
      </c>
      <c r="AC104" s="28"/>
    </row>
    <row r="105" spans="1:29" s="30" customFormat="1" ht="17.25" customHeight="1">
      <c r="A105" s="112" t="str">
        <f>"R"&amp;E80</f>
        <v>R3</v>
      </c>
      <c r="B105" s="791"/>
      <c r="C105" s="54">
        <v>5</v>
      </c>
      <c r="D105" s="100" t="str">
        <f>IF(AND(C105&lt;=F99,F99&lt;&gt;""),VLOOKUP(VALUE(E80&amp;","&amp;C105),INTEGRANTES!$D$19:$F$192,2,0),"")</f>
        <v/>
      </c>
      <c r="E105" s="107" t="str">
        <f>IF(D105&lt;&gt;"",VLOOKUP(VALUE(E80&amp;","&amp;C105),INTEGRANTES!$D$19:$F$192,3,0),"")</f>
        <v/>
      </c>
      <c r="F105" s="380" t="str">
        <f>IF(D105="","",IF(OR(SUMIF($J87:$J93,D105,$O87:$O93)=0,N105="NO"),"NO APORTA",SUMIF($J87:$J93,D105,$O87:$O93)))</f>
        <v/>
      </c>
      <c r="G105" s="380" t="str">
        <f>IF($D105="","",IF($F99&lt;=1,"",ROUND(POSMMLV*PORPO,2)))</f>
        <v/>
      </c>
      <c r="H105" s="765" t="str">
        <f t="shared" si="16"/>
        <v/>
      </c>
      <c r="I105" s="766"/>
      <c r="J105" s="108" t="str">
        <f>IF(D105="","",IF(OR(AND(SUMIF($J84:$J93,D105,$O84:$O93)&gt;=5%*POSMMLV,N105="SI"),AND(SUMIF($J84:$J93,D105,$O84:$O93)=0,E105&lt;=5%,N105="SI")),"CUMPLE","NO CUMPLE"))</f>
        <v/>
      </c>
      <c r="K105" s="105" t="str">
        <f>IF(OR(D105="",J105=""),"",IF(AND(J105="NO CUMPLE",F105="NO APORTA",E105&gt;5%),"EXP = 0 y PART &gt; 5%",IF(F105&lt;5%*Q106,"EXP &lt; 5%*PO","")))</f>
        <v/>
      </c>
      <c r="L105" s="389" t="str">
        <f>IF(OR(D105="",E105=""),"",IF(AND(E105&gt;=0.25,F105&lt;&gt;"NO APORTA",F105&gt;=$R106*0.25),"SI","NO"))</f>
        <v/>
      </c>
      <c r="M105" s="389"/>
      <c r="N105" s="468"/>
      <c r="O105" s="789"/>
      <c r="P105" s="504" t="s">
        <v>416</v>
      </c>
      <c r="Q105" s="504" t="s">
        <v>417</v>
      </c>
      <c r="R105" s="793" t="s">
        <v>418</v>
      </c>
      <c r="S105" s="793"/>
      <c r="T105" s="284"/>
      <c r="U105" s="284"/>
      <c r="V105" s="310"/>
      <c r="W105" s="284"/>
      <c r="X105" s="542" t="str">
        <f>IF($F99=1,"NO APLICA",$D105)</f>
        <v>NO APLICA</v>
      </c>
      <c r="Y105" s="543" t="str">
        <f>IF(OR($F105="",$F105="NO APORTA",$R106=0,$X105="NO APLICA"),"",ROUND($F105/$Q106,2))</f>
        <v/>
      </c>
      <c r="Z105" s="544"/>
      <c r="AA105" s="543"/>
      <c r="AB105" s="540" t="str">
        <f t="shared" si="18"/>
        <v/>
      </c>
      <c r="AC105" s="28"/>
    </row>
    <row r="106" spans="1:29" s="30" customFormat="1" ht="16.5" customHeight="1" thickBot="1">
      <c r="A106" s="112" t="str">
        <f>"S"&amp;E80</f>
        <v>S3</v>
      </c>
      <c r="B106" s="791"/>
      <c r="C106" s="109">
        <v>6</v>
      </c>
      <c r="D106" s="110" t="str">
        <f>IF(AND(C106&lt;=F99,F99&lt;&gt;""),VLOOKUP(VALUE(E80&amp;","&amp;C106),INTEGRANTES!$D$19:$F$192,2,0),"")</f>
        <v/>
      </c>
      <c r="E106" s="111" t="str">
        <f>IF(D106&lt;&gt;"",VLOOKUP(VALUE(E80&amp;","&amp;C106),INTEGRANTES!$D$19:$F$192,3,0),"")</f>
        <v/>
      </c>
      <c r="F106" s="380" t="str">
        <f>IF(D106="","",IF(OR(SUMIF($J87:$J93,D106,$O87:$O93)=0,N106="NO"),"NO APORTA",SUMIF($J87:$J93,D106,$O87:$O93)))</f>
        <v/>
      </c>
      <c r="G106" s="380" t="str">
        <f>IF($D106="","",IF($F99&lt;=1,"",ROUND(POSMMLV*PORPO,2)))</f>
        <v/>
      </c>
      <c r="H106" s="765" t="str">
        <f>IF($D106="","",IF(OR(F106="NO APORTA",G106&gt;F106),"NO CUMPLE","CUMPLE"))</f>
        <v/>
      </c>
      <c r="I106" s="766"/>
      <c r="J106" s="108" t="str">
        <f>IF(D106="","",IF(OR(AND(SUMIF($J84:$J93,D106,$O84:$O93)&gt;=5%*POSMMLV,N106="SI"),AND(SUMIF($J84:$J93,D106,$O84:$O93)=0,E106&lt;=5%,N106="SI")),"CUMPLE","NO CUMPLE"))</f>
        <v/>
      </c>
      <c r="K106" s="105" t="str">
        <f>IF(OR(D106="",J106=""),"",IF(AND(J106="NO CUMPLE",F106="NO APORTA",E106&gt;5%),"EXP = 0 y PART &gt; 5%",IF(F106&lt;5%*Q106,"EXP &lt; 5%*PO","")))</f>
        <v/>
      </c>
      <c r="L106" s="389" t="str">
        <f>IF(OR(D106="",E106=""),"",IF(AND(E106&gt;=0.25,F106&lt;&gt;"NO APORTA",F106&gt;=$R106*0.25),"SI","NO"))</f>
        <v/>
      </c>
      <c r="M106" s="389"/>
      <c r="N106" s="468"/>
      <c r="O106" s="403" t="str">
        <f ca="1">IF(R106&gt;=Q106,"CUMPLE","NO CUMPLE")</f>
        <v>CUMPLE</v>
      </c>
      <c r="P106" s="312">
        <f>NUMMOD</f>
        <v>1</v>
      </c>
      <c r="Q106" s="313">
        <f ca="1">IF(P106="","",ROUND(VLOOKUP(P106,PRESUPUESTOS!$B$16:$L$16,9,FALSE),7))</f>
        <v>300</v>
      </c>
      <c r="R106" s="834">
        <f>IF(OR(COUNTIF(O84:O93,"")&gt;9,S100&lt;NUMMINCONT),0,SUM(O84:O93))</f>
        <v>1873.67</v>
      </c>
      <c r="S106" s="834"/>
      <c r="T106" s="284"/>
      <c r="U106" s="284"/>
      <c r="V106" s="310"/>
      <c r="W106" s="284"/>
      <c r="X106" s="545" t="str">
        <f>IF($F99=1,"NO APLICA",$D106)</f>
        <v>NO APLICA</v>
      </c>
      <c r="Y106" s="543" t="str">
        <f>IF(OR($F106="",$F106="NO APORTA",$R106=0,$X106="NO APLICA"),"",ROUND($F106/$Q106,2))</f>
        <v/>
      </c>
      <c r="Z106" s="544"/>
      <c r="AA106" s="546"/>
      <c r="AB106" s="540" t="str">
        <f>IF(COUNTIF(Z106:AA106,"SI APLICA")=2,"SI APLICA","")</f>
        <v/>
      </c>
      <c r="AC106" s="28"/>
    </row>
    <row r="107" spans="1:29" s="30" customFormat="1" ht="16.5" customHeight="1" thickBot="1">
      <c r="A107" s="112" t="str">
        <f>"T"&amp;E80</f>
        <v>T3</v>
      </c>
      <c r="B107" s="792"/>
      <c r="C107" s="821" t="s">
        <v>419</v>
      </c>
      <c r="D107" s="822"/>
      <c r="E107" s="822"/>
      <c r="F107" s="518"/>
      <c r="G107" s="519"/>
      <c r="H107" s="794" t="str">
        <f>IF(OR($F99="",SUM(E101:E106)=0),"",IF(COUNTIF(H101:H106,"CUMPLE")&gt;=1,"CUMPLE","NO CUMPLE"))</f>
        <v/>
      </c>
      <c r="I107" s="795"/>
      <c r="J107" s="314" t="str">
        <f>IF(COUNTIF(J101:J106,"")&gt;5,"",IF(COUNTIF(J101:J106,"NO CUMPLE")&gt;0,"NO CUMPLE","CUMPLE"))</f>
        <v/>
      </c>
      <c r="K107" s="314" t="str">
        <f>IF(OR(AND(F99=1,N101="SI"),AND(COUNTIF(H107:J107,"CUMPLE")=2)),"CUMPLE","NO CUMPLE")</f>
        <v>CUMPLE</v>
      </c>
      <c r="L107" s="519"/>
      <c r="M107" s="519"/>
      <c r="N107" s="519"/>
      <c r="O107" s="833" t="str">
        <f ca="1">IF(ISNUMBER(F80),"",IF(AND(O106="NO CUMPLE",SUM(N87:N93)&lt;Q106),"EL PROPONENTE SE DEBE REQUERIR POR EXPERIENCIA MINIMA EXIGIDA",""))</f>
        <v/>
      </c>
      <c r="P107" s="833"/>
      <c r="Q107" s="833"/>
      <c r="R107" s="833"/>
      <c r="S107" s="833"/>
      <c r="T107" s="522"/>
      <c r="U107" s="523"/>
      <c r="V107" s="524"/>
      <c r="W107" s="284"/>
      <c r="X107" s="364" t="str">
        <f>IF(Y107=1,"PROPONENTE INDIVIDUAL","PROPONENTE PLURAL")</f>
        <v>PROPONENTE INDIVIDUAL</v>
      </c>
      <c r="Y107" s="276">
        <f>F99</f>
        <v>1</v>
      </c>
      <c r="Z107" s="277" t="str">
        <f>IF(OR(AND(Z101="SI APLICA",AA101="SI APLICA"),AND(Z102="SI APLICA",AA102="SI APLICA"),AND(Z103="SI APLICA",AA103="SI APLICA"),AND(Z104="SI APLICA",AA104="SI APLICA"),AND(Z105="SI APLICA",AA105="SI APLICA"),AND(Z106="SI APLICA",AA106="SI APLICA")),"SI APLICA","NO APLICA")</f>
        <v>SI APLICA</v>
      </c>
      <c r="AA107" s="278" t="str">
        <f>IF(OR(AND(AA101="SI APLICA",AB101="SI APLICA"),AND(AA102="SI APLICA",AB102="SI APLICA"),AND(AA103="SI APLICA",AB103="SI APLICA"),AND(AA104="SI APLICA",AB104="SI APLICA"),AND(AA105="SI APLICA",AB105="SI APLICA"),AND(AA106="SI APLICA",AB106="SI APLICA")),"SI APLICA","NO APLICA")</f>
        <v>SI APLICA</v>
      </c>
      <c r="AB107" s="278" t="str">
        <f>IF(COUNTIF(AB101:AB106,"SI APLICA")&gt;0,"SI APLICA","NO APLICA")</f>
        <v>SI APLICA</v>
      </c>
      <c r="AC107" s="28"/>
    </row>
    <row r="108" spans="1:29" ht="24.95" customHeight="1"/>
    <row r="109" spans="1:29" ht="24.95" customHeight="1"/>
    <row r="110" spans="1:29" s="41" customFormat="1" ht="24" thickBot="1">
      <c r="A110" s="34">
        <v>4</v>
      </c>
      <c r="B110" s="828" t="s">
        <v>355</v>
      </c>
      <c r="C110" s="828"/>
      <c r="D110" s="828"/>
      <c r="E110" s="35">
        <f>VLOOKUP(A110,PROPONENTES!$B$19:$E$108,2,FALSE)</f>
        <v>4</v>
      </c>
      <c r="F110" s="36" t="str">
        <f>VLOOKUP(A110,PROPONENTES!$B$19:$E$108,3,FALSE)</f>
        <v>COMPAÑIA DE PROYECTOS TÉCNICOS CPT S.A</v>
      </c>
      <c r="G110" s="37"/>
      <c r="H110" s="37"/>
      <c r="I110" s="36"/>
      <c r="J110" s="36"/>
      <c r="K110" s="36"/>
      <c r="L110" s="36"/>
      <c r="M110" s="38"/>
      <c r="N110" s="38"/>
      <c r="O110" s="37"/>
      <c r="P110" s="37"/>
      <c r="Q110" s="39"/>
      <c r="R110" s="39"/>
      <c r="S110" s="39"/>
      <c r="T110" s="39"/>
      <c r="U110" s="40"/>
      <c r="Y110" s="52"/>
      <c r="Z110" s="52"/>
      <c r="AA110" s="52"/>
      <c r="AB110" s="28"/>
      <c r="AC110" s="28"/>
    </row>
    <row r="111" spans="1:29" s="27" customFormat="1" ht="24.75" customHeight="1">
      <c r="A111" s="22"/>
      <c r="B111" s="829" t="s">
        <v>356</v>
      </c>
      <c r="C111" s="501" t="s">
        <v>357</v>
      </c>
      <c r="D111" s="502" t="s">
        <v>358</v>
      </c>
      <c r="E111" s="502"/>
      <c r="F111" s="502" t="s">
        <v>359</v>
      </c>
      <c r="G111" s="503"/>
      <c r="H111" s="803" t="s">
        <v>360</v>
      </c>
      <c r="I111" s="831" t="s">
        <v>361</v>
      </c>
      <c r="J111" s="803" t="s">
        <v>362</v>
      </c>
      <c r="K111" s="803" t="s">
        <v>363</v>
      </c>
      <c r="L111" s="803" t="s">
        <v>364</v>
      </c>
      <c r="M111" s="803" t="s">
        <v>365</v>
      </c>
      <c r="N111" s="804" t="s">
        <v>366</v>
      </c>
      <c r="O111" s="805"/>
      <c r="P111" s="806" t="s">
        <v>367</v>
      </c>
      <c r="Q111" s="807"/>
      <c r="R111" s="784" t="s">
        <v>368</v>
      </c>
      <c r="S111" s="774"/>
      <c r="T111" s="798" t="s">
        <v>369</v>
      </c>
      <c r="U111" s="799"/>
      <c r="V111" s="800"/>
      <c r="X111" s="520"/>
      <c r="Y111" s="520"/>
    </row>
    <row r="112" spans="1:29" s="27" customFormat="1" ht="94.5" customHeight="1">
      <c r="A112" s="22"/>
      <c r="B112" s="830"/>
      <c r="C112" s="504" t="s">
        <v>370</v>
      </c>
      <c r="D112" s="505" t="s">
        <v>41</v>
      </c>
      <c r="E112" s="505" t="s">
        <v>371</v>
      </c>
      <c r="F112" s="505" t="s">
        <v>372</v>
      </c>
      <c r="G112" s="506" t="s">
        <v>373</v>
      </c>
      <c r="H112" s="793"/>
      <c r="I112" s="832"/>
      <c r="J112" s="793"/>
      <c r="K112" s="793"/>
      <c r="L112" s="793"/>
      <c r="M112" s="793"/>
      <c r="N112" s="504" t="s">
        <v>374</v>
      </c>
      <c r="O112" s="505" t="s">
        <v>375</v>
      </c>
      <c r="P112" s="801"/>
      <c r="Q112" s="802"/>
      <c r="R112" s="796"/>
      <c r="S112" s="797"/>
      <c r="T112" s="507" t="s">
        <v>376</v>
      </c>
      <c r="U112" s="508" t="s">
        <v>377</v>
      </c>
      <c r="V112" s="509" t="s">
        <v>378</v>
      </c>
      <c r="X112" s="521" t="s">
        <v>379</v>
      </c>
      <c r="Y112" s="521" t="s">
        <v>380</v>
      </c>
    </row>
    <row r="113" spans="1:29" s="27" customFormat="1" ht="15" customHeight="1">
      <c r="A113" s="22"/>
      <c r="B113" s="594"/>
      <c r="C113" s="595">
        <v>3</v>
      </c>
      <c r="D113" s="595">
        <v>4</v>
      </c>
      <c r="E113" s="595">
        <v>5</v>
      </c>
      <c r="F113" s="595">
        <v>6</v>
      </c>
      <c r="G113" s="595">
        <v>7</v>
      </c>
      <c r="H113" s="595">
        <v>8</v>
      </c>
      <c r="I113" s="595">
        <v>9</v>
      </c>
      <c r="J113" s="595">
        <v>10</v>
      </c>
      <c r="K113" s="595">
        <v>11</v>
      </c>
      <c r="L113" s="595">
        <v>12</v>
      </c>
      <c r="M113" s="595">
        <v>13</v>
      </c>
      <c r="N113" s="595">
        <v>14</v>
      </c>
      <c r="O113" s="595">
        <v>15</v>
      </c>
      <c r="P113" s="596">
        <v>16</v>
      </c>
      <c r="Q113" s="597">
        <v>17</v>
      </c>
      <c r="R113" s="596">
        <v>18</v>
      </c>
      <c r="S113" s="597">
        <v>19</v>
      </c>
      <c r="T113" s="598">
        <v>20</v>
      </c>
      <c r="U113" s="255">
        <v>21</v>
      </c>
      <c r="V113" s="599">
        <v>22</v>
      </c>
      <c r="X113" s="589"/>
      <c r="Y113" s="590"/>
    </row>
    <row r="114" spans="1:29" s="44" customFormat="1" ht="51">
      <c r="A114" s="42" t="str">
        <f>"A"&amp;E110</f>
        <v>A4</v>
      </c>
      <c r="B114" s="605">
        <f>IF(C114&lt;&gt;"",B113+1,"")</f>
        <v>1</v>
      </c>
      <c r="C114" s="581" t="s">
        <v>440</v>
      </c>
      <c r="D114" s="581" t="s">
        <v>441</v>
      </c>
      <c r="E114" s="581" t="s">
        <v>442</v>
      </c>
      <c r="F114" s="581" t="s">
        <v>431</v>
      </c>
      <c r="G114" s="534">
        <v>0.5</v>
      </c>
      <c r="H114" s="534" t="s">
        <v>385</v>
      </c>
      <c r="I114" s="579" t="s">
        <v>384</v>
      </c>
      <c r="J114" s="580" t="str">
        <f>IF(I114="","",IF(I114="I",$F110,VLOOKUP(I114,$C131:$D136,2,0)))</f>
        <v>COMPAÑIA DE PROYECTOS TÉCNICOS CPT S.A</v>
      </c>
      <c r="K114" s="535">
        <v>37459</v>
      </c>
      <c r="L114" s="535">
        <v>38049</v>
      </c>
      <c r="M114" s="536">
        <v>1211.92</v>
      </c>
      <c r="N114" s="232">
        <f t="shared" ref="N114:N123" si="19">IF(OR(G114="",M114=""),"",M114*G114)</f>
        <v>605.96</v>
      </c>
      <c r="O114" s="260">
        <f t="shared" ref="O114:O123" si="20">IF(OR(H114="",H114="NO",K114&lt;$Q$17,K114&gt;$R$17,K114="",M114="",N114=""),"",ROUND(N114,7))</f>
        <v>605.96</v>
      </c>
      <c r="P114" s="781"/>
      <c r="Q114" s="782"/>
      <c r="R114" s="767"/>
      <c r="S114" s="768"/>
      <c r="T114" s="538" t="s">
        <v>385</v>
      </c>
      <c r="U114" s="539">
        <v>101</v>
      </c>
      <c r="V114" s="540" t="s">
        <v>385</v>
      </c>
      <c r="X114" s="541" t="s">
        <v>386</v>
      </c>
      <c r="Y114" s="541" t="s">
        <v>387</v>
      </c>
    </row>
    <row r="115" spans="1:29" s="44" customFormat="1" ht="38.25">
      <c r="A115" s="42" t="str">
        <f>"B"&amp;E110</f>
        <v>B4</v>
      </c>
      <c r="B115" s="605">
        <f t="shared" ref="B115:B123" si="21">IF(C115&lt;&gt;"",B114+1,"")</f>
        <v>2</v>
      </c>
      <c r="C115" s="581" t="s">
        <v>443</v>
      </c>
      <c r="D115" s="581" t="s">
        <v>444</v>
      </c>
      <c r="E115" s="581" t="s">
        <v>445</v>
      </c>
      <c r="F115" s="581" t="s">
        <v>431</v>
      </c>
      <c r="G115" s="534">
        <v>0.4</v>
      </c>
      <c r="H115" s="534" t="s">
        <v>385</v>
      </c>
      <c r="I115" s="579" t="s">
        <v>384</v>
      </c>
      <c r="J115" s="580" t="str">
        <f>IF(I115="","",IF(I115="I",$F110,VLOOKUP(I115,$C131:$D136,2,0)))</f>
        <v>COMPAÑIA DE PROYECTOS TÉCNICOS CPT S.A</v>
      </c>
      <c r="K115" s="535">
        <v>43367</v>
      </c>
      <c r="L115" s="535">
        <v>43819</v>
      </c>
      <c r="M115" s="536">
        <v>1345.29</v>
      </c>
      <c r="N115" s="232">
        <f t="shared" si="19"/>
        <v>538.11599999999999</v>
      </c>
      <c r="O115" s="260">
        <f t="shared" si="20"/>
        <v>538.11599999999999</v>
      </c>
      <c r="P115" s="781"/>
      <c r="Q115" s="782"/>
      <c r="R115" s="767"/>
      <c r="S115" s="768"/>
      <c r="T115" s="538" t="s">
        <v>385</v>
      </c>
      <c r="U115" s="539">
        <v>180</v>
      </c>
      <c r="V115" s="540" t="s">
        <v>385</v>
      </c>
      <c r="X115" s="541" t="s">
        <v>446</v>
      </c>
      <c r="Y115" s="541" t="s">
        <v>439</v>
      </c>
    </row>
    <row r="116" spans="1:29" s="44" customFormat="1" ht="25.5">
      <c r="A116" s="42" t="str">
        <f>"C"&amp;E110</f>
        <v>C4</v>
      </c>
      <c r="B116" s="605">
        <f t="shared" si="21"/>
        <v>3</v>
      </c>
      <c r="C116" s="581" t="s">
        <v>443</v>
      </c>
      <c r="D116" s="581" t="s">
        <v>447</v>
      </c>
      <c r="E116" s="581" t="s">
        <v>448</v>
      </c>
      <c r="F116" s="581" t="s">
        <v>431</v>
      </c>
      <c r="G116" s="534">
        <v>1</v>
      </c>
      <c r="H116" s="534" t="s">
        <v>385</v>
      </c>
      <c r="I116" s="579" t="s">
        <v>384</v>
      </c>
      <c r="J116" s="580" t="str">
        <f>IF(I116="","",IF(I116="I",$F110,VLOOKUP(I116,$C131:$D136,2,0)))</f>
        <v>COMPAÑIA DE PROYECTOS TÉCNICOS CPT S.A</v>
      </c>
      <c r="K116" s="535">
        <v>38992</v>
      </c>
      <c r="L116" s="535">
        <v>39115</v>
      </c>
      <c r="M116" s="536">
        <v>230.19</v>
      </c>
      <c r="N116" s="232">
        <f t="shared" si="19"/>
        <v>230.19</v>
      </c>
      <c r="O116" s="260">
        <f t="shared" si="20"/>
        <v>230.19</v>
      </c>
      <c r="P116" s="781"/>
      <c r="Q116" s="782"/>
      <c r="R116" s="767"/>
      <c r="S116" s="768"/>
      <c r="T116" s="538" t="s">
        <v>385</v>
      </c>
      <c r="U116" s="539">
        <v>100</v>
      </c>
      <c r="V116" s="540" t="s">
        <v>385</v>
      </c>
      <c r="X116" s="541" t="s">
        <v>449</v>
      </c>
      <c r="Y116" s="541" t="s">
        <v>387</v>
      </c>
    </row>
    <row r="117" spans="1:29" s="44" customFormat="1" ht="25.5">
      <c r="A117" s="42" t="str">
        <f>"D"&amp;E110</f>
        <v>D4</v>
      </c>
      <c r="B117" s="605">
        <f t="shared" si="21"/>
        <v>4</v>
      </c>
      <c r="C117" s="581" t="s">
        <v>443</v>
      </c>
      <c r="D117" s="581" t="s">
        <v>450</v>
      </c>
      <c r="E117" s="581" t="s">
        <v>451</v>
      </c>
      <c r="F117" s="581" t="s">
        <v>431</v>
      </c>
      <c r="G117" s="534">
        <v>0.4</v>
      </c>
      <c r="H117" s="534" t="s">
        <v>385</v>
      </c>
      <c r="I117" s="579" t="s">
        <v>384</v>
      </c>
      <c r="J117" s="580" t="str">
        <f>IF(I117="","",IF(I117="I",$F110,VLOOKUP(I117,$C131:$D136,2,0)))</f>
        <v>COMPAÑIA DE PROYECTOS TÉCNICOS CPT S.A</v>
      </c>
      <c r="K117" s="535">
        <v>41246</v>
      </c>
      <c r="L117" s="535">
        <v>41550</v>
      </c>
      <c r="M117" s="536">
        <v>1457.26</v>
      </c>
      <c r="N117" s="232">
        <f t="shared" si="19"/>
        <v>582.904</v>
      </c>
      <c r="O117" s="260">
        <f t="shared" si="20"/>
        <v>582.904</v>
      </c>
      <c r="P117" s="781"/>
      <c r="Q117" s="782"/>
      <c r="R117" s="767"/>
      <c r="S117" s="768"/>
      <c r="T117" s="538" t="s">
        <v>385</v>
      </c>
      <c r="U117" s="539">
        <v>150</v>
      </c>
      <c r="V117" s="540" t="s">
        <v>385</v>
      </c>
      <c r="X117" s="541" t="s">
        <v>449</v>
      </c>
      <c r="Y117" s="541" t="s">
        <v>387</v>
      </c>
    </row>
    <row r="118" spans="1:29" s="44" customFormat="1" ht="24.95" customHeight="1">
      <c r="A118" s="42" t="str">
        <f>"E"&amp;E110</f>
        <v>E4</v>
      </c>
      <c r="B118" s="605" t="str">
        <f t="shared" si="21"/>
        <v/>
      </c>
      <c r="C118" s="581"/>
      <c r="D118" s="581"/>
      <c r="E118" s="581"/>
      <c r="F118" s="581"/>
      <c r="G118" s="534"/>
      <c r="H118" s="534"/>
      <c r="I118" s="579"/>
      <c r="J118" s="580" t="str">
        <f>IF(I118="","",IF(I118="I",$F110,VLOOKUP(I118,$C131:$D136,2,0)))</f>
        <v/>
      </c>
      <c r="K118" s="535"/>
      <c r="L118" s="535"/>
      <c r="M118" s="536"/>
      <c r="N118" s="232" t="str">
        <f t="shared" si="19"/>
        <v/>
      </c>
      <c r="O118" s="260" t="str">
        <f t="shared" si="20"/>
        <v/>
      </c>
      <c r="P118" s="781"/>
      <c r="Q118" s="782"/>
      <c r="R118" s="767"/>
      <c r="S118" s="768"/>
      <c r="T118" s="538"/>
      <c r="U118" s="539"/>
      <c r="V118" s="540"/>
      <c r="X118" s="541"/>
      <c r="Y118" s="541"/>
    </row>
    <row r="119" spans="1:29" s="44" customFormat="1" ht="24.95" customHeight="1">
      <c r="A119" s="42" t="str">
        <f>"F"&amp;E110</f>
        <v>F4</v>
      </c>
      <c r="B119" s="605" t="str">
        <f t="shared" si="21"/>
        <v/>
      </c>
      <c r="C119" s="581"/>
      <c r="D119" s="581"/>
      <c r="E119" s="581"/>
      <c r="F119" s="581"/>
      <c r="G119" s="534"/>
      <c r="H119" s="534"/>
      <c r="I119" s="579"/>
      <c r="J119" s="580" t="str">
        <f>IF(I119="","",IF(I119="I",$F110,VLOOKUP(I119,$C131:$D136,2,0)))</f>
        <v/>
      </c>
      <c r="K119" s="535"/>
      <c r="L119" s="535"/>
      <c r="M119" s="536"/>
      <c r="N119" s="232" t="str">
        <f t="shared" si="19"/>
        <v/>
      </c>
      <c r="O119" s="260" t="str">
        <f t="shared" si="20"/>
        <v/>
      </c>
      <c r="P119" s="781"/>
      <c r="Q119" s="782"/>
      <c r="R119" s="767"/>
      <c r="S119" s="768"/>
      <c r="T119" s="538"/>
      <c r="U119" s="539"/>
      <c r="V119" s="540"/>
      <c r="X119" s="541"/>
      <c r="Y119" s="541"/>
    </row>
    <row r="120" spans="1:29" s="44" customFormat="1" ht="24.95" customHeight="1">
      <c r="A120" s="42" t="str">
        <f>"G"&amp;E110</f>
        <v>G4</v>
      </c>
      <c r="B120" s="605" t="str">
        <f t="shared" si="21"/>
        <v/>
      </c>
      <c r="C120" s="581"/>
      <c r="D120" s="581"/>
      <c r="E120" s="581"/>
      <c r="F120" s="581"/>
      <c r="G120" s="534"/>
      <c r="H120" s="534"/>
      <c r="I120" s="579"/>
      <c r="J120" s="580" t="str">
        <f>IF(I120="","",IF(I120="I",$F110,VLOOKUP(I120,$C131:$D136,2,0)))</f>
        <v/>
      </c>
      <c r="K120" s="535"/>
      <c r="L120" s="535"/>
      <c r="M120" s="536"/>
      <c r="N120" s="43" t="str">
        <f t="shared" si="19"/>
        <v/>
      </c>
      <c r="O120" s="260" t="str">
        <f t="shared" si="20"/>
        <v/>
      </c>
      <c r="P120" s="781"/>
      <c r="Q120" s="782"/>
      <c r="R120" s="767"/>
      <c r="S120" s="768"/>
      <c r="T120" s="538"/>
      <c r="U120" s="539"/>
      <c r="V120" s="540"/>
      <c r="X120" s="541"/>
      <c r="Y120" s="541"/>
    </row>
    <row r="121" spans="1:29" s="44" customFormat="1" ht="24.95" customHeight="1">
      <c r="A121" s="42" t="str">
        <f>"H"&amp;E110</f>
        <v>H4</v>
      </c>
      <c r="B121" s="605" t="str">
        <f t="shared" si="21"/>
        <v/>
      </c>
      <c r="C121" s="581"/>
      <c r="D121" s="581"/>
      <c r="E121" s="581"/>
      <c r="F121" s="581"/>
      <c r="G121" s="534"/>
      <c r="H121" s="534"/>
      <c r="I121" s="579"/>
      <c r="J121" s="580" t="str">
        <f>IF(I121="","",IF(I121="I",$F110,VLOOKUP(I121,$C131:$D136,2,0)))</f>
        <v/>
      </c>
      <c r="K121" s="535"/>
      <c r="L121" s="535"/>
      <c r="M121" s="537"/>
      <c r="N121" s="43" t="str">
        <f t="shared" si="19"/>
        <v/>
      </c>
      <c r="O121" s="260" t="str">
        <f t="shared" si="20"/>
        <v/>
      </c>
      <c r="P121" s="781"/>
      <c r="Q121" s="782"/>
      <c r="R121" s="767"/>
      <c r="S121" s="768"/>
      <c r="T121" s="538"/>
      <c r="U121" s="539"/>
      <c r="V121" s="540"/>
      <c r="X121" s="541"/>
      <c r="Y121" s="541"/>
    </row>
    <row r="122" spans="1:29" s="44" customFormat="1" ht="24.95" customHeight="1">
      <c r="A122" s="42" t="str">
        <f>"I"&amp;E110</f>
        <v>I4</v>
      </c>
      <c r="B122" s="605" t="str">
        <f t="shared" si="21"/>
        <v/>
      </c>
      <c r="C122" s="581"/>
      <c r="D122" s="581"/>
      <c r="E122" s="581"/>
      <c r="F122" s="581"/>
      <c r="G122" s="534"/>
      <c r="H122" s="534"/>
      <c r="I122" s="579"/>
      <c r="J122" s="580" t="str">
        <f>IF(I122="","",IF(I122="I",$F110,VLOOKUP(I122,$C131:$D136,2,0)))</f>
        <v/>
      </c>
      <c r="K122" s="535"/>
      <c r="L122" s="535"/>
      <c r="M122" s="537"/>
      <c r="N122" s="43" t="str">
        <f t="shared" si="19"/>
        <v/>
      </c>
      <c r="O122" s="260" t="str">
        <f t="shared" si="20"/>
        <v/>
      </c>
      <c r="P122" s="781"/>
      <c r="Q122" s="782"/>
      <c r="R122" s="767"/>
      <c r="S122" s="768"/>
      <c r="T122" s="538"/>
      <c r="U122" s="539"/>
      <c r="V122" s="540"/>
      <c r="X122" s="541"/>
      <c r="Y122" s="541"/>
    </row>
    <row r="123" spans="1:29" s="44" customFormat="1" ht="24.95" customHeight="1" thickBot="1">
      <c r="A123" s="42" t="str">
        <f>"J"&amp;E110</f>
        <v>J4</v>
      </c>
      <c r="B123" s="612" t="str">
        <f t="shared" si="21"/>
        <v/>
      </c>
      <c r="C123" s="582"/>
      <c r="D123" s="582"/>
      <c r="E123" s="582"/>
      <c r="F123" s="582"/>
      <c r="G123" s="583"/>
      <c r="H123" s="583"/>
      <c r="I123" s="584"/>
      <c r="J123" s="585" t="str">
        <f>IF(I123="","",IF(I123="I",$F110,VLOOKUP(I123,$C131:$D136,2,0)))</f>
        <v/>
      </c>
      <c r="K123" s="586"/>
      <c r="L123" s="586"/>
      <c r="M123" s="587"/>
      <c r="N123" s="43" t="str">
        <f t="shared" si="19"/>
        <v/>
      </c>
      <c r="O123" s="260" t="str">
        <f t="shared" si="20"/>
        <v/>
      </c>
      <c r="P123" s="781"/>
      <c r="Q123" s="782"/>
      <c r="R123" s="767"/>
      <c r="S123" s="768"/>
      <c r="T123" s="538"/>
      <c r="U123" s="539"/>
      <c r="V123" s="540"/>
      <c r="X123" s="541"/>
      <c r="Y123" s="541"/>
    </row>
    <row r="124" spans="1:29" s="27" customFormat="1" ht="12" customHeight="1" thickBot="1">
      <c r="A124" s="42"/>
      <c r="B124" s="45"/>
      <c r="C124" s="46"/>
      <c r="D124" s="46"/>
      <c r="E124" s="46"/>
      <c r="F124" s="46"/>
      <c r="G124" s="46"/>
      <c r="H124" s="606"/>
      <c r="I124" s="46"/>
      <c r="J124" s="46"/>
      <c r="K124" s="46"/>
      <c r="L124" s="46"/>
      <c r="M124" s="46"/>
      <c r="N124" s="46"/>
      <c r="O124" s="259"/>
      <c r="P124" s="46"/>
      <c r="Q124" s="46"/>
      <c r="R124" s="259"/>
      <c r="S124" s="46"/>
      <c r="T124" s="46"/>
      <c r="U124" s="47"/>
      <c r="V124" s="48"/>
      <c r="X124" s="592"/>
      <c r="Y124" s="593"/>
      <c r="AB124" s="378"/>
    </row>
    <row r="125" spans="1:29" s="27" customFormat="1" ht="17.25" customHeight="1" thickBot="1">
      <c r="A125" s="42" t="str">
        <f>"Z"&amp;E110</f>
        <v>Z4</v>
      </c>
      <c r="B125" s="510"/>
      <c r="C125" s="511"/>
      <c r="D125" s="511"/>
      <c r="E125" s="511"/>
      <c r="F125" s="511"/>
      <c r="G125" s="511"/>
      <c r="H125" s="511"/>
      <c r="I125" s="511"/>
      <c r="J125" s="511"/>
      <c r="K125" s="511"/>
      <c r="L125" s="511"/>
      <c r="M125" s="511"/>
      <c r="N125" s="437" t="s">
        <v>388</v>
      </c>
      <c r="O125" s="438">
        <f>IF(COUNTIF(O114:O123,"")&gt;9,0,SUM(O114:O123)/(COUNTIF(H114:H123,"SI")))</f>
        <v>489.29250000000002</v>
      </c>
      <c r="P125" s="511"/>
      <c r="Q125" s="511"/>
      <c r="R125" s="530"/>
      <c r="S125" s="530"/>
      <c r="T125" s="531"/>
      <c r="U125" s="532"/>
      <c r="V125" s="533"/>
      <c r="W125" s="285"/>
      <c r="X125" s="613" t="e">
        <f>COUNTIF(#REF!,"")-COUNTIF(#REF!,"CUMPLE")-1</f>
        <v>#REF!</v>
      </c>
      <c r="Y125" s="591"/>
      <c r="AB125" s="28"/>
    </row>
    <row r="126" spans="1:29" ht="17.25" customHeight="1">
      <c r="B126" s="50"/>
      <c r="C126" s="50"/>
      <c r="D126" s="50"/>
      <c r="E126" s="50"/>
      <c r="F126" s="50"/>
      <c r="G126" s="51"/>
      <c r="H126" s="51"/>
      <c r="I126" s="51"/>
      <c r="J126" s="51"/>
      <c r="K126" s="51"/>
      <c r="L126" s="51"/>
      <c r="M126" s="51"/>
      <c r="N126" s="51"/>
      <c r="O126" s="51"/>
      <c r="P126" s="51"/>
      <c r="Q126" s="51"/>
      <c r="R126" s="51"/>
      <c r="S126" s="51"/>
      <c r="T126" s="51"/>
      <c r="U126" s="51"/>
      <c r="V126" s="51"/>
      <c r="W126" s="51"/>
      <c r="X126" s="608"/>
      <c r="Y126" s="51"/>
      <c r="Z126" s="51"/>
      <c r="AA126" s="51"/>
      <c r="AB126" s="51"/>
      <c r="AC126" s="50"/>
    </row>
    <row r="127" spans="1:29" s="27" customFormat="1" ht="16.5" customHeight="1" thickBot="1">
      <c r="A127" s="22"/>
      <c r="B127" s="783" t="s">
        <v>389</v>
      </c>
      <c r="C127" s="783"/>
      <c r="D127" s="783"/>
      <c r="E127" s="783"/>
      <c r="F127" s="783"/>
      <c r="G127" s="783"/>
      <c r="H127" s="783"/>
      <c r="I127" s="783"/>
      <c r="J127" s="783"/>
      <c r="K127" s="783"/>
      <c r="L127" s="783"/>
      <c r="M127" s="783"/>
      <c r="N127" s="783"/>
      <c r="O127" s="783"/>
      <c r="P127" s="783"/>
      <c r="Q127" s="783"/>
      <c r="R127" s="783"/>
      <c r="S127" s="783"/>
      <c r="T127" s="783"/>
      <c r="U127" s="783"/>
      <c r="V127" s="783"/>
      <c r="W127" s="286"/>
      <c r="X127" s="607"/>
      <c r="Y127" s="52"/>
      <c r="Z127" s="52"/>
      <c r="AA127" s="52"/>
      <c r="AB127" s="28"/>
      <c r="AC127" s="28"/>
    </row>
    <row r="128" spans="1:29" s="30" customFormat="1" ht="22.5" customHeight="1">
      <c r="A128" s="112" t="str">
        <f>"K"&amp;E110</f>
        <v>K4</v>
      </c>
      <c r="B128" s="790" t="s">
        <v>390</v>
      </c>
      <c r="C128" s="772" t="s">
        <v>391</v>
      </c>
      <c r="D128" s="773"/>
      <c r="E128" s="773"/>
      <c r="F128" s="773"/>
      <c r="G128" s="773"/>
      <c r="H128" s="773"/>
      <c r="I128" s="773"/>
      <c r="J128" s="773"/>
      <c r="K128" s="773"/>
      <c r="L128" s="773"/>
      <c r="M128" s="774"/>
      <c r="N128" s="525"/>
      <c r="O128" s="588"/>
      <c r="P128" s="772" t="s">
        <v>392</v>
      </c>
      <c r="Q128" s="773"/>
      <c r="R128" s="773"/>
      <c r="S128" s="774"/>
      <c r="T128" s="784" t="s">
        <v>393</v>
      </c>
      <c r="U128" s="774"/>
      <c r="V128" s="811"/>
      <c r="W128" s="284"/>
      <c r="X128" s="778" t="s">
        <v>394</v>
      </c>
      <c r="Y128" s="779"/>
      <c r="Z128" s="779"/>
      <c r="AA128" s="779" t="s">
        <v>395</v>
      </c>
      <c r="AB128" s="808" t="s">
        <v>396</v>
      </c>
      <c r="AC128" s="28"/>
    </row>
    <row r="129" spans="1:29" s="30" customFormat="1" ht="22.5" customHeight="1">
      <c r="A129" s="112" t="str">
        <f>"L"&amp;E110</f>
        <v>L4</v>
      </c>
      <c r="B129" s="791"/>
      <c r="C129" s="769" t="s">
        <v>397</v>
      </c>
      <c r="D129" s="770"/>
      <c r="E129" s="771"/>
      <c r="F129" s="512">
        <f>IF(VLOOKUP(E110,PROPONENTES!$C$19:$E$108,3,0)="","",VLOOKUP(E110,PROPONENTES!$C$19:$E$108,3,0))</f>
        <v>1</v>
      </c>
      <c r="G129" s="824" t="s">
        <v>398</v>
      </c>
      <c r="H129" s="793" t="s">
        <v>399</v>
      </c>
      <c r="I129" s="793"/>
      <c r="J129" s="769" t="s">
        <v>400</v>
      </c>
      <c r="K129" s="823"/>
      <c r="L129" s="513" t="s">
        <v>401</v>
      </c>
      <c r="M129" s="513"/>
      <c r="N129" s="526"/>
      <c r="O129" s="527"/>
      <c r="P129" s="775"/>
      <c r="Q129" s="776"/>
      <c r="R129" s="776"/>
      <c r="S129" s="777"/>
      <c r="T129" s="796"/>
      <c r="U129" s="797"/>
      <c r="V129" s="812"/>
      <c r="W129" s="284"/>
      <c r="X129" s="780" t="s">
        <v>402</v>
      </c>
      <c r="Y129" s="810" t="s">
        <v>403</v>
      </c>
      <c r="Z129" s="810"/>
      <c r="AA129" s="810"/>
      <c r="AB129" s="809"/>
      <c r="AC129" s="28"/>
    </row>
    <row r="130" spans="1:29" s="30" customFormat="1" ht="51.75" customHeight="1" thickBot="1">
      <c r="A130" s="112" t="str">
        <f>"M"&amp;E110</f>
        <v>M4</v>
      </c>
      <c r="B130" s="791"/>
      <c r="C130" s="770" t="s">
        <v>404</v>
      </c>
      <c r="D130" s="771"/>
      <c r="E130" s="514" t="s">
        <v>405</v>
      </c>
      <c r="F130" s="515" t="s">
        <v>406</v>
      </c>
      <c r="G130" s="824"/>
      <c r="H130" s="793"/>
      <c r="I130" s="793"/>
      <c r="J130" s="504" t="s">
        <v>407</v>
      </c>
      <c r="K130" s="516" t="s">
        <v>408</v>
      </c>
      <c r="L130" s="517" t="s">
        <v>409</v>
      </c>
      <c r="M130" s="517"/>
      <c r="N130" s="528" t="s">
        <v>410</v>
      </c>
      <c r="O130" s="529"/>
      <c r="P130" s="386"/>
      <c r="Q130" s="387" t="s">
        <v>411</v>
      </c>
      <c r="R130" s="388"/>
      <c r="S130" s="113">
        <f>COUNTIFS(H114:H123,"SI",O114:O123,"&gt;0")</f>
        <v>4</v>
      </c>
      <c r="T130" s="785"/>
      <c r="U130" s="787"/>
      <c r="V130" s="813"/>
      <c r="W130" s="284"/>
      <c r="X130" s="780"/>
      <c r="Y130" s="810"/>
      <c r="Z130" s="810"/>
      <c r="AA130" s="810"/>
      <c r="AB130" s="809"/>
      <c r="AC130" s="28"/>
    </row>
    <row r="131" spans="1:29" s="30" customFormat="1" ht="15.75" customHeight="1">
      <c r="A131" s="112" t="str">
        <f>"N"&amp;E110</f>
        <v>N4</v>
      </c>
      <c r="B131" s="791"/>
      <c r="C131" s="54">
        <v>1</v>
      </c>
      <c r="D131" s="100" t="str">
        <f>IF(AND(C131&lt;=F129,F129&gt;1,F129&lt;&gt;""),VLOOKUP(VALUE(E110&amp;","&amp;C131),INTEGRANTES!$D$19:$F$192,2,0),"")</f>
        <v/>
      </c>
      <c r="E131" s="107" t="str">
        <f>IF(D131&lt;&gt;"",VLOOKUP(VALUE(E110&amp;","&amp;C131),INTEGRANTES!$D$19:$F$192,3,0),"")</f>
        <v/>
      </c>
      <c r="F131" s="380" t="str">
        <f>IF(D131="","",IF(OR(SUMIF($J117:$J123,D131,$O117:$O123)=0,N131="NO"),"NO APORTA",SUMIF($J117:$J123,D131,$O117:$O123)))</f>
        <v/>
      </c>
      <c r="G131" s="380" t="str">
        <f>IF($D131="","",IF($F129&lt;=1,"",ROUND(POSMMLV*PORPO,2)))</f>
        <v/>
      </c>
      <c r="H131" s="765" t="str">
        <f>IF($D131="","",IF(OR(F131="NO APORTA",G131&gt;F131),"NO CUMPLE","CUMPLE"))</f>
        <v/>
      </c>
      <c r="I131" s="766"/>
      <c r="J131" s="108" t="str">
        <f>IF(D131="","",IF(OR(AND(SUMIF($J114:$J123,D131,$O114:$O123)&gt;=5%*POSMMLV,N131="SI"),AND(SUMIF($J114:$J123,D131,$O114:$O123)=0,E131&lt;=5%,N131="SI")),"CUMPLE","NO CUMPLE"))</f>
        <v/>
      </c>
      <c r="K131" s="105" t="str">
        <f>IF(OR(D131="",J131=""),"",IF(AND(J131="NO CUMPLE",F131="NO APORTA",E131&gt;5%),"EXP = 0 y PART &gt; 5%",IF(F131&lt;5%*Q136,"EXP &lt; 5%*PO","")))</f>
        <v/>
      </c>
      <c r="L131" s="389" t="str">
        <f>IF(OR(D131="",E131=""),"",IF(AND(E131&gt;=0.25,F131&lt;&gt;"NO APORTA",F131&gt;=$R136*0.25),"SI","NO"))</f>
        <v/>
      </c>
      <c r="M131" s="389"/>
      <c r="N131" s="468" t="s">
        <v>385</v>
      </c>
      <c r="O131" s="396">
        <f>COUNTIFS(O114:O123,"&gt;0",H114:H123,"SI")</f>
        <v>4</v>
      </c>
      <c r="P131" s="814" t="s">
        <v>139</v>
      </c>
      <c r="Q131" s="814"/>
      <c r="R131" s="817">
        <f>E110</f>
        <v>4</v>
      </c>
      <c r="S131" s="818"/>
      <c r="T131" s="784" t="s">
        <v>412</v>
      </c>
      <c r="U131" s="773"/>
      <c r="V131" s="774"/>
      <c r="W131" s="283"/>
      <c r="X131" s="542" t="str">
        <f>IF($F129=1,"NO APLICA",$D131)</f>
        <v>NO APLICA</v>
      </c>
      <c r="Y131" s="543" t="str">
        <f>IF(OR($F131="",$F131="NO APORTA",$R136=0,$X131="NO APLICA"),"",ROUND($F131/$Q136,2))</f>
        <v/>
      </c>
      <c r="Z131" s="544" t="str">
        <f>IF(Y137=1,"SI APLICA",IF(OR($X131="",$X131="NO APLICA",$F131="",$F131="NO APORTA"),"",IF(ROUND($F131/Q136,7)&gt;=0.4,"SI APLICA","NO APLICA")))</f>
        <v>SI APLICA</v>
      </c>
      <c r="AA131" s="543" t="s">
        <v>413</v>
      </c>
      <c r="AB131" s="540" t="str">
        <f>IF(COUNTIF(Z131:AA131,"SI APLICA")=2,"SI APLICA","")</f>
        <v>SI APLICA</v>
      </c>
      <c r="AC131" s="28"/>
    </row>
    <row r="132" spans="1:29" s="30" customFormat="1" ht="15.75" customHeight="1" thickBot="1">
      <c r="A132" s="112" t="str">
        <f>"O"&amp;E110</f>
        <v>O4</v>
      </c>
      <c r="B132" s="791"/>
      <c r="C132" s="54">
        <v>2</v>
      </c>
      <c r="D132" s="100" t="str">
        <f>IF(AND(C132&lt;=F129,F129&lt;&gt;""),VLOOKUP(VALUE(E110&amp;","&amp;C132),INTEGRANTES!$D$19:$F$192,2,0),"")</f>
        <v/>
      </c>
      <c r="E132" s="107" t="str">
        <f>IF(D132&lt;&gt;"",VLOOKUP(VALUE(E110&amp;","&amp;C132),INTEGRANTES!$D$19:$F$192,3,0),"")</f>
        <v/>
      </c>
      <c r="F132" s="380" t="str">
        <f>IF(D132="","",IF(OR(SUMIF($J117:$J123,D132,$O117:$O123)=0,N132="NO"),"NO APORTA",SUMIF($J117:$J123,D132,$O117:$O123)))</f>
        <v/>
      </c>
      <c r="G132" s="380" t="str">
        <f>IF($D132="","",IF($F129&lt;=1,"",ROUND(POSMMLV*PORPO,2)))</f>
        <v/>
      </c>
      <c r="H132" s="765" t="str">
        <f t="shared" ref="H132:H135" si="22">IF($D132="","",IF(OR(F132="NO APORTA",G132&gt;F132),"NO CUMPLE","CUMPLE"))</f>
        <v/>
      </c>
      <c r="I132" s="766"/>
      <c r="J132" s="108" t="str">
        <f>IF(D132="","",IF(OR(AND(SUMIF($J114:$J123,D132,$O114:$O123)&gt;=5%*POSMMLV,N132="SI"),AND(SUMIF($J114:$J123,D132,$O114:$O123)=0,E132&lt;=5%,N132="SI")),"CUMPLE","NO CUMPLE"))</f>
        <v/>
      </c>
      <c r="K132" s="105" t="str">
        <f>IF(OR(D132="",J132=""),"",IF(AND(J132="NO CUMPLE",F132="NO APORTA",E132&gt;5%),"EXP = 0 y PART &gt; 5%",IF(F132&lt;5%*Q136,"EXP &lt; 5%*PO","")))</f>
        <v/>
      </c>
      <c r="L132" s="389" t="str">
        <f>IF(OR(D132="",E132=""),"",IF(AND(E132&gt;=0.25,F132&lt;&gt;"NO APORTA",F132&gt;=$R136*0.25),"SI","NO"))</f>
        <v/>
      </c>
      <c r="M132" s="389"/>
      <c r="N132" s="468" t="s">
        <v>385</v>
      </c>
      <c r="O132" s="396"/>
      <c r="P132" s="815"/>
      <c r="Q132" s="815"/>
      <c r="R132" s="815"/>
      <c r="S132" s="819"/>
      <c r="T132" s="785"/>
      <c r="U132" s="786"/>
      <c r="V132" s="787"/>
      <c r="W132" s="283"/>
      <c r="X132" s="542" t="str">
        <f>IF($F129=1,"NO APLICA",$D132)</f>
        <v>NO APLICA</v>
      </c>
      <c r="Y132" s="543" t="str">
        <f>IF(OR($F132="",$F132="NO APORTA",$R136=0,$X132="NO APLICA"),"",ROUND($F132/$Q136,2))</f>
        <v/>
      </c>
      <c r="Z132" s="544"/>
      <c r="AA132" s="543"/>
      <c r="AB132" s="540" t="str">
        <f t="shared" ref="AB132" si="23">IF(COUNTIF(Z132:AA132,"SI APLICA")=2,"SI APLICA","")</f>
        <v/>
      </c>
      <c r="AC132" s="28"/>
    </row>
    <row r="133" spans="1:29" s="30" customFormat="1" ht="15.75" customHeight="1">
      <c r="A133" s="112" t="str">
        <f>"P"&amp;E110</f>
        <v>P4</v>
      </c>
      <c r="B133" s="791"/>
      <c r="C133" s="54">
        <v>3</v>
      </c>
      <c r="D133" s="100" t="str">
        <f>IF(AND(C133&lt;=F129,F129&lt;&gt;""),VLOOKUP(VALUE(E110&amp;","&amp;C133),INTEGRANTES!$D$19:$F$192,2,0),"")</f>
        <v/>
      </c>
      <c r="E133" s="107" t="str">
        <f>IF(D133&lt;&gt;"",VLOOKUP(VALUE(E110&amp;","&amp;C133),INTEGRANTES!$D$19:$F$192,3,0),"")</f>
        <v/>
      </c>
      <c r="F133" s="380" t="str">
        <f>IF(D133="","",IF(OR(SUMIF($J117:$J123,D133,$O117:$O123)=0,N133="NO"),"NO APORTA",SUMIF($J117:$J123,D133,$O117:$O123)))</f>
        <v/>
      </c>
      <c r="G133" s="380" t="str">
        <f>IF($D133="","",IF($F129&lt;=1,"",ROUND(POSMMLV*PORPO,2)))</f>
        <v/>
      </c>
      <c r="H133" s="765" t="str">
        <f t="shared" si="22"/>
        <v/>
      </c>
      <c r="I133" s="766"/>
      <c r="J133" s="108" t="str">
        <f>IF(D133="","",IF(OR(AND(SUMIF($J114:$J123,D133,$O114:$O123)&gt;=5%*POSMMLV,N133="SI"),AND(SUMIF($J114:$J123,D133,$O114:$O123)=0,E133&lt;=5%,N133="SI")),"CUMPLE","NO CUMPLE"))</f>
        <v/>
      </c>
      <c r="K133" s="105" t="str">
        <f>IF(OR(D133="",J133=""),"",IF(AND(J133="NO CUMPLE",F133="NO APORTA",E133&gt;5%),"EXP = 0 y PART &gt; 5%",IF(F133&lt;5%*Q136,"EXP &lt; 5%*PO","")))</f>
        <v/>
      </c>
      <c r="L133" s="389" t="str">
        <f>IF(OR(D133="",E133=""),"",IF(AND(E133&gt;=0.25,F133&lt;&gt;"NO APORTA",F133&gt;=$R136*0.25),"SI","NO"))</f>
        <v/>
      </c>
      <c r="M133" s="389"/>
      <c r="N133" s="468"/>
      <c r="O133" s="397"/>
      <c r="P133" s="816"/>
      <c r="Q133" s="816"/>
      <c r="R133" s="816"/>
      <c r="S133" s="820"/>
      <c r="T133" s="308"/>
      <c r="U133" s="308"/>
      <c r="V133" s="309"/>
      <c r="W133" s="284"/>
      <c r="X133" s="542" t="str">
        <f>IF($F129=1,"NO APLICA",$D133)</f>
        <v>NO APLICA</v>
      </c>
      <c r="Y133" s="543" t="str">
        <f>IF(OR($F133="",$F133="NO APORTA",$R136=0,$X133="NO APLICA"),"",ROUND($F133/$Q136,2))</f>
        <v/>
      </c>
      <c r="Z133" s="544"/>
      <c r="AA133" s="543"/>
      <c r="AB133" s="540" t="str">
        <f>IF(COUNTIF(Z133:AA133,"SI APLICA")=2,"SI APLICA","")</f>
        <v/>
      </c>
      <c r="AC133" s="28"/>
    </row>
    <row r="134" spans="1:29" s="30" customFormat="1" ht="15.75" customHeight="1">
      <c r="A134" s="112" t="str">
        <f>"Q"&amp;E110</f>
        <v>Q4</v>
      </c>
      <c r="B134" s="791"/>
      <c r="C134" s="54">
        <v>4</v>
      </c>
      <c r="D134" s="100" t="str">
        <f>IF(AND(C134&lt;=F129,F129&lt;&gt;""),VLOOKUP(VALUE(E110&amp;","&amp;C134),INTEGRANTES!$D$19:$F$192,2,0),"")</f>
        <v/>
      </c>
      <c r="E134" s="107" t="str">
        <f>IF(D134&lt;&gt;"",VLOOKUP(VALUE(E110&amp;","&amp;C134),INTEGRANTES!$D$19:$F$192,3,0),"")</f>
        <v/>
      </c>
      <c r="F134" s="380" t="str">
        <f>IF(D134="","",IF(OR(SUMIF($J117:$J123,D134,$O117:$O123)=0,N134="NO"),"NO APORTA",SUMIF($J117:$J123,D134,$O117:$O123)))</f>
        <v/>
      </c>
      <c r="G134" s="380" t="str">
        <f>IF($D134="","",IF($F129&lt;=1,"",ROUND(POSMMLV*PORPO,2)))</f>
        <v/>
      </c>
      <c r="H134" s="765" t="str">
        <f t="shared" si="22"/>
        <v/>
      </c>
      <c r="I134" s="766"/>
      <c r="J134" s="108" t="str">
        <f>IF(D134="","",IF(OR(AND(SUMIF($J114:$J123,D134,$O114:$O123)&gt;=5%*POSMMLV,N134="SI"),AND(SUMIF($J114:$J123,D134,$O114:$O123)=0,E134&lt;=5%,N134="SI")),"CUMPLE","NO CUMPLE"))</f>
        <v/>
      </c>
      <c r="K134" s="105" t="str">
        <f>IF(OR(D134="",J134=""),"",IF(AND(J134="NO CUMPLE",F134="NO APORTA",E134&gt;5%),"EXP = 0 y PART &gt; 5%",IF(F134&lt;5%*Q136,"EXP &lt; 5%*PO","")))</f>
        <v/>
      </c>
      <c r="L134" s="389" t="str">
        <f>IF(OR(D134="",E134=""),"",IF(AND(E134&gt;=0.25,F134&lt;&gt;"NO APORTA",F134&gt;=$R136*0.25),"SI","NO"))</f>
        <v/>
      </c>
      <c r="M134" s="389"/>
      <c r="N134" s="468"/>
      <c r="O134" s="788" t="s">
        <v>414</v>
      </c>
      <c r="P134" s="769" t="s">
        <v>415</v>
      </c>
      <c r="Q134" s="770"/>
      <c r="R134" s="770"/>
      <c r="S134" s="771"/>
      <c r="T134" s="284"/>
      <c r="U134" s="284"/>
      <c r="V134" s="310"/>
      <c r="W134" s="284"/>
      <c r="X134" s="542" t="str">
        <f>IF($F129=1,"NO APLICA",$D134)</f>
        <v>NO APLICA</v>
      </c>
      <c r="Y134" s="543" t="str">
        <f>IF(OR($F134="",$F134="NO APORTA",$R136=0,$X134="NO APLICA"),"",ROUND($F134/$Q136,2))</f>
        <v/>
      </c>
      <c r="Z134" s="544"/>
      <c r="AA134" s="543"/>
      <c r="AB134" s="540" t="str">
        <f t="shared" ref="AB134:AB135" si="24">IF(COUNTIF(Z134:AA134,"SI APLICA")=2,"SI APLICA","")</f>
        <v/>
      </c>
      <c r="AC134" s="28"/>
    </row>
    <row r="135" spans="1:29" s="30" customFormat="1" ht="17.25" customHeight="1">
      <c r="A135" s="112" t="str">
        <f>"R"&amp;E110</f>
        <v>R4</v>
      </c>
      <c r="B135" s="791"/>
      <c r="C135" s="54">
        <v>5</v>
      </c>
      <c r="D135" s="100" t="str">
        <f>IF(AND(C135&lt;=F129,F129&lt;&gt;""),VLOOKUP(VALUE(E110&amp;","&amp;C135),INTEGRANTES!$D$19:$F$192,2,0),"")</f>
        <v/>
      </c>
      <c r="E135" s="107" t="str">
        <f>IF(D135&lt;&gt;"",VLOOKUP(VALUE(E110&amp;","&amp;C135),INTEGRANTES!$D$19:$F$192,3,0),"")</f>
        <v/>
      </c>
      <c r="F135" s="380" t="str">
        <f>IF(D135="","",IF(OR(SUMIF($J117:$J123,D135,$O117:$O123)=0,N135="NO"),"NO APORTA",SUMIF($J117:$J123,D135,$O117:$O123)))</f>
        <v/>
      </c>
      <c r="G135" s="380" t="str">
        <f>IF($D135="","",IF($F129&lt;=1,"",ROUND(POSMMLV*PORPO,2)))</f>
        <v/>
      </c>
      <c r="H135" s="765" t="str">
        <f t="shared" si="22"/>
        <v/>
      </c>
      <c r="I135" s="766"/>
      <c r="J135" s="108" t="str">
        <f>IF(D135="","",IF(OR(AND(SUMIF($J114:$J123,D135,$O114:$O123)&gt;=5%*POSMMLV,N135="SI"),AND(SUMIF($J114:$J123,D135,$O114:$O123)=0,E135&lt;=5%,N135="SI")),"CUMPLE","NO CUMPLE"))</f>
        <v/>
      </c>
      <c r="K135" s="105" t="str">
        <f>IF(OR(D135="",J135=""),"",IF(AND(J135="NO CUMPLE",F135="NO APORTA",E135&gt;5%),"EXP = 0 y PART &gt; 5%",IF(F135&lt;5%*Q136,"EXP &lt; 5%*PO","")))</f>
        <v/>
      </c>
      <c r="L135" s="389" t="str">
        <f>IF(OR(D135="",E135=""),"",IF(AND(E135&gt;=0.25,F135&lt;&gt;"NO APORTA",F135&gt;=$R136*0.25),"SI","NO"))</f>
        <v/>
      </c>
      <c r="M135" s="389"/>
      <c r="N135" s="468"/>
      <c r="O135" s="789"/>
      <c r="P135" s="504" t="s">
        <v>416</v>
      </c>
      <c r="Q135" s="504" t="s">
        <v>417</v>
      </c>
      <c r="R135" s="793" t="s">
        <v>418</v>
      </c>
      <c r="S135" s="793"/>
      <c r="T135" s="284"/>
      <c r="U135" s="284"/>
      <c r="V135" s="310"/>
      <c r="W135" s="284"/>
      <c r="X135" s="542" t="str">
        <f>IF($F129=1,"NO APLICA",$D135)</f>
        <v>NO APLICA</v>
      </c>
      <c r="Y135" s="543" t="str">
        <f>IF(OR($F135="",$F135="NO APORTA",$R136=0,$X135="NO APLICA"),"",ROUND($F135/$Q136,2))</f>
        <v/>
      </c>
      <c r="Z135" s="544"/>
      <c r="AA135" s="543"/>
      <c r="AB135" s="540" t="str">
        <f t="shared" si="24"/>
        <v/>
      </c>
      <c r="AC135" s="28"/>
    </row>
    <row r="136" spans="1:29" s="30" customFormat="1" ht="16.5" customHeight="1" thickBot="1">
      <c r="A136" s="112" t="str">
        <f>"S"&amp;E110</f>
        <v>S4</v>
      </c>
      <c r="B136" s="791"/>
      <c r="C136" s="109">
        <v>6</v>
      </c>
      <c r="D136" s="110" t="str">
        <f>IF(AND(C136&lt;=F129,F129&lt;&gt;""),VLOOKUP(VALUE(E110&amp;","&amp;C136),INTEGRANTES!$D$19:$F$192,2,0),"")</f>
        <v/>
      </c>
      <c r="E136" s="111" t="str">
        <f>IF(D136&lt;&gt;"",VLOOKUP(VALUE(E110&amp;","&amp;C136),INTEGRANTES!$D$19:$F$192,3,0),"")</f>
        <v/>
      </c>
      <c r="F136" s="380" t="str">
        <f>IF(D136="","",IF(OR(SUMIF($J117:$J123,D136,$O117:$O123)=0,N136="NO"),"NO APORTA",SUMIF($J117:$J123,D136,$O117:$O123)))</f>
        <v/>
      </c>
      <c r="G136" s="380" t="str">
        <f>IF($D136="","",IF($F129&lt;=1,"",ROUND(POSMMLV*PORPO,2)))</f>
        <v/>
      </c>
      <c r="H136" s="765" t="str">
        <f>IF($D136="","",IF(OR(F136="NO APORTA",G136&gt;F136),"NO CUMPLE","CUMPLE"))</f>
        <v/>
      </c>
      <c r="I136" s="766"/>
      <c r="J136" s="108" t="str">
        <f>IF(D136="","",IF(OR(AND(SUMIF($J114:$J123,D136,$O114:$O123)&gt;=5%*POSMMLV,N136="SI"),AND(SUMIF($J114:$J123,D136,$O114:$O123)=0,E136&lt;=5%,N136="SI")),"CUMPLE","NO CUMPLE"))</f>
        <v/>
      </c>
      <c r="K136" s="105" t="str">
        <f>IF(OR(D136="",J136=""),"",IF(AND(J136="NO CUMPLE",F136="NO APORTA",E136&gt;5%),"EXP = 0 y PART &gt; 5%",IF(F136&lt;5%*Q136,"EXP &lt; 5%*PO","")))</f>
        <v/>
      </c>
      <c r="L136" s="389" t="str">
        <f>IF(OR(D136="",E136=""),"",IF(AND(E136&gt;=0.25,F136&lt;&gt;"NO APORTA",F136&gt;=$R136*0.25),"SI","NO"))</f>
        <v/>
      </c>
      <c r="M136" s="389"/>
      <c r="N136" s="468"/>
      <c r="O136" s="403" t="str">
        <f ca="1">IF(R136&gt;=Q136,"CUMPLE","NO CUMPLE")</f>
        <v>CUMPLE</v>
      </c>
      <c r="P136" s="312">
        <f>NUMMOD</f>
        <v>1</v>
      </c>
      <c r="Q136" s="313">
        <f ca="1">IF(P136="","",ROUND(VLOOKUP(P136,PRESUPUESTOS!$B$16:$L$16,9,FALSE),7))</f>
        <v>300</v>
      </c>
      <c r="R136" s="834">
        <f>IF(OR(COUNTIF(O114:O123,"")&gt;9,S130&lt;NUMMINCONT),0,SUM(O114:O123))</f>
        <v>1957.17</v>
      </c>
      <c r="S136" s="834"/>
      <c r="T136" s="284"/>
      <c r="U136" s="284"/>
      <c r="V136" s="310"/>
      <c r="W136" s="284"/>
      <c r="X136" s="545" t="str">
        <f>IF($F129=1,"NO APLICA",$D136)</f>
        <v>NO APLICA</v>
      </c>
      <c r="Y136" s="543" t="str">
        <f>IF(OR($F136="",$F136="NO APORTA",$R136=0,$X136="NO APLICA"),"",ROUND($F136/$Q136,2))</f>
        <v/>
      </c>
      <c r="Z136" s="544"/>
      <c r="AA136" s="546"/>
      <c r="AB136" s="540" t="str">
        <f>IF(COUNTIF(Z136:AA136,"SI APLICA")=2,"SI APLICA","")</f>
        <v/>
      </c>
      <c r="AC136" s="28"/>
    </row>
    <row r="137" spans="1:29" s="30" customFormat="1" ht="16.5" customHeight="1" thickBot="1">
      <c r="A137" s="112" t="str">
        <f>"T"&amp;E110</f>
        <v>T4</v>
      </c>
      <c r="B137" s="792"/>
      <c r="C137" s="821" t="s">
        <v>419</v>
      </c>
      <c r="D137" s="822"/>
      <c r="E137" s="822"/>
      <c r="F137" s="518"/>
      <c r="G137" s="519"/>
      <c r="H137" s="794" t="str">
        <f>IF(OR($F129="",SUM(E131:E136)=0),"",IF(COUNTIF(H131:H136,"CUMPLE")&gt;=1,"CUMPLE","NO CUMPLE"))</f>
        <v/>
      </c>
      <c r="I137" s="795"/>
      <c r="J137" s="314" t="str">
        <f>IF(COUNTIF(J131:J136,"")&gt;5,"",IF(COUNTIF(J131:J136,"NO CUMPLE")&gt;0,"NO CUMPLE","CUMPLE"))</f>
        <v/>
      </c>
      <c r="K137" s="314" t="str">
        <f>IF(OR(AND(F129=1,N131="SI"),AND(COUNTIF(H137:J137,"CUMPLE")=2)),"CUMPLE","NO CUMPLE")</f>
        <v>CUMPLE</v>
      </c>
      <c r="L137" s="519"/>
      <c r="M137" s="519"/>
      <c r="N137" s="519"/>
      <c r="O137" s="833" t="str">
        <f ca="1">IF(ISNUMBER(F110),"",IF(AND(O136="NO CUMPLE",SUM(N117:N123)&lt;Q136),"EL PROPONENTE SE DEBE REQUERIR POR EXPERIENCIA MINIMA EXIGIDA",""))</f>
        <v/>
      </c>
      <c r="P137" s="833"/>
      <c r="Q137" s="833"/>
      <c r="R137" s="833"/>
      <c r="S137" s="833"/>
      <c r="T137" s="522"/>
      <c r="U137" s="523"/>
      <c r="V137" s="524"/>
      <c r="W137" s="284"/>
      <c r="X137" s="364" t="str">
        <f>IF(Y137=1,"PROPONENTE INDIVIDUAL","PROPONENTE PLURAL")</f>
        <v>PROPONENTE INDIVIDUAL</v>
      </c>
      <c r="Y137" s="276">
        <f>F129</f>
        <v>1</v>
      </c>
      <c r="Z137" s="277" t="str">
        <f>IF(OR(AND(Z131="SI APLICA",AA131="SI APLICA"),AND(Z132="SI APLICA",AA132="SI APLICA"),AND(Z133="SI APLICA",AA133="SI APLICA"),AND(Z134="SI APLICA",AA134="SI APLICA"),AND(Z135="SI APLICA",AA135="SI APLICA"),AND(Z136="SI APLICA",AA136="SI APLICA")),"SI APLICA","NO APLICA")</f>
        <v>SI APLICA</v>
      </c>
      <c r="AA137" s="278" t="str">
        <f>IF(OR(AND(AA131="SI APLICA",AB131="SI APLICA"),AND(AA132="SI APLICA",AB132="SI APLICA"),AND(AA133="SI APLICA",AB133="SI APLICA"),AND(AA134="SI APLICA",AB134="SI APLICA"),AND(AA135="SI APLICA",AB135="SI APLICA"),AND(AA136="SI APLICA",AB136="SI APLICA")),"SI APLICA","NO APLICA")</f>
        <v>SI APLICA</v>
      </c>
      <c r="AB137" s="278" t="str">
        <f>IF(COUNTIF(AB131:AB136,"SI APLICA")&gt;0,"SI APLICA","NO APLICA")</f>
        <v>SI APLICA</v>
      </c>
      <c r="AC137" s="28"/>
    </row>
    <row r="138" spans="1:29" ht="24.95" customHeight="1"/>
    <row r="139" spans="1:29" ht="24.95" customHeight="1"/>
    <row r="140" spans="1:29" s="41" customFormat="1" ht="24" thickBot="1">
      <c r="A140" s="34">
        <v>5</v>
      </c>
      <c r="B140" s="828" t="s">
        <v>355</v>
      </c>
      <c r="C140" s="828"/>
      <c r="D140" s="828"/>
      <c r="E140" s="35">
        <f>VLOOKUP(A140,PROPONENTES!$B$19:$E$108,2,FALSE)</f>
        <v>5</v>
      </c>
      <c r="F140" s="36" t="str">
        <f>VLOOKUP(A140,PROPONENTES!$B$19:$E$108,3,FALSE)</f>
        <v>GAVINCO INGENIEROS CONSULTORES SAS</v>
      </c>
      <c r="G140" s="37"/>
      <c r="H140" s="37"/>
      <c r="I140" s="36"/>
      <c r="J140" s="36"/>
      <c r="K140" s="36"/>
      <c r="L140" s="36"/>
      <c r="M140" s="38"/>
      <c r="N140" s="38"/>
      <c r="O140" s="37"/>
      <c r="P140" s="37"/>
      <c r="Q140" s="39"/>
      <c r="R140" s="39"/>
      <c r="S140" s="39"/>
      <c r="T140" s="39"/>
      <c r="U140" s="40"/>
      <c r="Y140" s="52"/>
      <c r="Z140" s="52"/>
      <c r="AA140" s="52"/>
      <c r="AB140" s="28"/>
      <c r="AC140" s="28"/>
    </row>
    <row r="141" spans="1:29" s="27" customFormat="1" ht="24.75" customHeight="1">
      <c r="A141" s="22"/>
      <c r="B141" s="829" t="s">
        <v>356</v>
      </c>
      <c r="C141" s="501" t="s">
        <v>357</v>
      </c>
      <c r="D141" s="502" t="s">
        <v>358</v>
      </c>
      <c r="E141" s="502"/>
      <c r="F141" s="502" t="s">
        <v>359</v>
      </c>
      <c r="G141" s="503"/>
      <c r="H141" s="803" t="s">
        <v>360</v>
      </c>
      <c r="I141" s="831" t="s">
        <v>361</v>
      </c>
      <c r="J141" s="803" t="s">
        <v>362</v>
      </c>
      <c r="K141" s="803" t="s">
        <v>363</v>
      </c>
      <c r="L141" s="803" t="s">
        <v>364</v>
      </c>
      <c r="M141" s="803" t="s">
        <v>365</v>
      </c>
      <c r="N141" s="804" t="s">
        <v>366</v>
      </c>
      <c r="O141" s="805"/>
      <c r="P141" s="806" t="s">
        <v>367</v>
      </c>
      <c r="Q141" s="807"/>
      <c r="R141" s="784" t="s">
        <v>368</v>
      </c>
      <c r="S141" s="774"/>
      <c r="T141" s="798" t="s">
        <v>369</v>
      </c>
      <c r="U141" s="799"/>
      <c r="V141" s="800"/>
      <c r="X141" s="520"/>
      <c r="Y141" s="520"/>
    </row>
    <row r="142" spans="1:29" s="27" customFormat="1" ht="94.5" customHeight="1">
      <c r="A142" s="22"/>
      <c r="B142" s="830"/>
      <c r="C142" s="504" t="s">
        <v>370</v>
      </c>
      <c r="D142" s="505" t="s">
        <v>41</v>
      </c>
      <c r="E142" s="505" t="s">
        <v>371</v>
      </c>
      <c r="F142" s="505" t="s">
        <v>372</v>
      </c>
      <c r="G142" s="506" t="s">
        <v>373</v>
      </c>
      <c r="H142" s="793"/>
      <c r="I142" s="832"/>
      <c r="J142" s="793"/>
      <c r="K142" s="793"/>
      <c r="L142" s="793"/>
      <c r="M142" s="793"/>
      <c r="N142" s="504" t="s">
        <v>374</v>
      </c>
      <c r="O142" s="505" t="s">
        <v>375</v>
      </c>
      <c r="P142" s="801"/>
      <c r="Q142" s="802"/>
      <c r="R142" s="796"/>
      <c r="S142" s="797"/>
      <c r="T142" s="507" t="s">
        <v>376</v>
      </c>
      <c r="U142" s="508" t="s">
        <v>377</v>
      </c>
      <c r="V142" s="509" t="s">
        <v>378</v>
      </c>
      <c r="X142" s="521" t="s">
        <v>379</v>
      </c>
      <c r="Y142" s="521" t="s">
        <v>380</v>
      </c>
    </row>
    <row r="143" spans="1:29" s="27" customFormat="1" ht="15" customHeight="1">
      <c r="A143" s="22"/>
      <c r="B143" s="594"/>
      <c r="C143" s="595">
        <v>3</v>
      </c>
      <c r="D143" s="595">
        <v>4</v>
      </c>
      <c r="E143" s="595">
        <v>5</v>
      </c>
      <c r="F143" s="595">
        <v>6</v>
      </c>
      <c r="G143" s="595">
        <v>7</v>
      </c>
      <c r="H143" s="595">
        <v>8</v>
      </c>
      <c r="I143" s="595">
        <v>9</v>
      </c>
      <c r="J143" s="595">
        <v>10</v>
      </c>
      <c r="K143" s="595">
        <v>11</v>
      </c>
      <c r="L143" s="595">
        <v>12</v>
      </c>
      <c r="M143" s="595">
        <v>13</v>
      </c>
      <c r="N143" s="595">
        <v>14</v>
      </c>
      <c r="O143" s="595">
        <v>15</v>
      </c>
      <c r="P143" s="596">
        <v>16</v>
      </c>
      <c r="Q143" s="597">
        <v>17</v>
      </c>
      <c r="R143" s="596">
        <v>18</v>
      </c>
      <c r="S143" s="597">
        <v>19</v>
      </c>
      <c r="T143" s="598">
        <v>20</v>
      </c>
      <c r="U143" s="255">
        <v>21</v>
      </c>
      <c r="V143" s="599">
        <v>22</v>
      </c>
      <c r="X143" s="589"/>
      <c r="Y143" s="590"/>
    </row>
    <row r="144" spans="1:29" s="44" customFormat="1" ht="24.95" customHeight="1">
      <c r="A144" s="42" t="str">
        <f>"A"&amp;E140</f>
        <v>A5</v>
      </c>
      <c r="B144" s="605">
        <f>IF(C144&lt;&gt;"",B143+1,"")</f>
        <v>1</v>
      </c>
      <c r="C144" s="581" t="s">
        <v>443</v>
      </c>
      <c r="D144" s="581" t="s">
        <v>452</v>
      </c>
      <c r="E144" s="581" t="s">
        <v>453</v>
      </c>
      <c r="F144" s="581" t="s">
        <v>431</v>
      </c>
      <c r="G144" s="534">
        <v>0.9</v>
      </c>
      <c r="H144" s="534" t="s">
        <v>385</v>
      </c>
      <c r="I144" s="579" t="s">
        <v>384</v>
      </c>
      <c r="J144" s="580" t="str">
        <f>IF(I144="","",IF(I144="I",$F140,VLOOKUP(I144,$C161:$D166,2,0)))</f>
        <v>GAVINCO INGENIEROS CONSULTORES SAS</v>
      </c>
      <c r="K144" s="535">
        <v>39325</v>
      </c>
      <c r="L144" s="535">
        <v>39437</v>
      </c>
      <c r="M144" s="536">
        <v>199.74</v>
      </c>
      <c r="N144" s="232">
        <f t="shared" ref="N144:N153" si="25">IF(OR(G144="",M144=""),"",M144*G144)</f>
        <v>179.76600000000002</v>
      </c>
      <c r="O144" s="260">
        <f t="shared" ref="O144:O153" si="26">IF(OR(H144="",H144="NO",K144&lt;$Q$17,K144&gt;$R$17,K144="",M144="",N144=""),"",ROUND(N144,7))</f>
        <v>179.76599999999999</v>
      </c>
      <c r="P144" s="781"/>
      <c r="Q144" s="782"/>
      <c r="R144" s="767"/>
      <c r="S144" s="768"/>
      <c r="T144" s="538" t="s">
        <v>385</v>
      </c>
      <c r="U144" s="539">
        <v>6</v>
      </c>
      <c r="V144" s="540" t="s">
        <v>385</v>
      </c>
      <c r="X144" s="541" t="s">
        <v>449</v>
      </c>
      <c r="Y144" s="541" t="s">
        <v>387</v>
      </c>
    </row>
    <row r="145" spans="1:29" s="44" customFormat="1" ht="24.95" customHeight="1">
      <c r="A145" s="42" t="str">
        <f>"B"&amp;E140</f>
        <v>B5</v>
      </c>
      <c r="B145" s="605">
        <f t="shared" ref="B145:B153" si="27">IF(C145&lt;&gt;"",B144+1,"")</f>
        <v>2</v>
      </c>
      <c r="C145" s="581" t="s">
        <v>454</v>
      </c>
      <c r="D145" s="581" t="s">
        <v>455</v>
      </c>
      <c r="E145" s="581" t="s">
        <v>456</v>
      </c>
      <c r="F145" s="581" t="s">
        <v>384</v>
      </c>
      <c r="G145" s="534">
        <v>1</v>
      </c>
      <c r="H145" s="534" t="s">
        <v>385</v>
      </c>
      <c r="I145" s="579" t="s">
        <v>384</v>
      </c>
      <c r="J145" s="580" t="str">
        <f>IF(I145="","",IF(I145="I",$F140,VLOOKUP(I145,$C161:$D166,2,0)))</f>
        <v>GAVINCO INGENIEROS CONSULTORES SAS</v>
      </c>
      <c r="K145" s="535">
        <v>39860</v>
      </c>
      <c r="L145" s="535">
        <v>39919</v>
      </c>
      <c r="M145" s="536">
        <v>148.38</v>
      </c>
      <c r="N145" s="232">
        <f t="shared" si="25"/>
        <v>148.38</v>
      </c>
      <c r="O145" s="260">
        <f t="shared" si="26"/>
        <v>148.38</v>
      </c>
      <c r="P145" s="781"/>
      <c r="Q145" s="782"/>
      <c r="R145" s="767"/>
      <c r="S145" s="768"/>
      <c r="T145" s="538" t="s">
        <v>385</v>
      </c>
      <c r="U145" s="539">
        <v>26</v>
      </c>
      <c r="V145" s="540" t="s">
        <v>385</v>
      </c>
      <c r="X145" s="541" t="s">
        <v>386</v>
      </c>
      <c r="Y145" s="541" t="s">
        <v>387</v>
      </c>
    </row>
    <row r="146" spans="1:29" s="44" customFormat="1" ht="63.75">
      <c r="A146" s="42" t="str">
        <f>"C"&amp;E140</f>
        <v>C5</v>
      </c>
      <c r="B146" s="605">
        <f t="shared" si="27"/>
        <v>3</v>
      </c>
      <c r="C146" s="581" t="s">
        <v>457</v>
      </c>
      <c r="D146" s="581" t="s">
        <v>458</v>
      </c>
      <c r="E146" s="581" t="s">
        <v>459</v>
      </c>
      <c r="F146" s="581" t="s">
        <v>431</v>
      </c>
      <c r="G146" s="534">
        <v>0.6</v>
      </c>
      <c r="H146" s="534" t="s">
        <v>385</v>
      </c>
      <c r="I146" s="579" t="s">
        <v>384</v>
      </c>
      <c r="J146" s="580" t="str">
        <f>IF(I146="","",IF(I146="I",$F140,VLOOKUP(I146,$C161:$D166,2,0)))</f>
        <v>GAVINCO INGENIEROS CONSULTORES SAS</v>
      </c>
      <c r="K146" s="535">
        <v>41460</v>
      </c>
      <c r="L146" s="535">
        <v>42364</v>
      </c>
      <c r="M146" s="536">
        <v>2073.4699999999998</v>
      </c>
      <c r="N146" s="232">
        <f t="shared" si="25"/>
        <v>1244.0819999999999</v>
      </c>
      <c r="O146" s="260">
        <f t="shared" si="26"/>
        <v>1244.0820000000001</v>
      </c>
      <c r="P146" s="781"/>
      <c r="Q146" s="782"/>
      <c r="R146" s="767"/>
      <c r="S146" s="768"/>
      <c r="T146" s="538" t="s">
        <v>385</v>
      </c>
      <c r="U146" s="539">
        <v>99</v>
      </c>
      <c r="V146" s="540" t="s">
        <v>385</v>
      </c>
      <c r="X146" s="541" t="s">
        <v>386</v>
      </c>
      <c r="Y146" s="541" t="s">
        <v>439</v>
      </c>
    </row>
    <row r="147" spans="1:29" s="44" customFormat="1" ht="76.5">
      <c r="A147" s="42" t="str">
        <f>"D"&amp;E140</f>
        <v>D5</v>
      </c>
      <c r="B147" s="605">
        <f t="shared" si="27"/>
        <v>4</v>
      </c>
      <c r="C147" s="581" t="s">
        <v>460</v>
      </c>
      <c r="D147" s="581" t="s">
        <v>461</v>
      </c>
      <c r="E147" s="581" t="s">
        <v>462</v>
      </c>
      <c r="F147" s="581" t="s">
        <v>384</v>
      </c>
      <c r="G147" s="534">
        <v>1</v>
      </c>
      <c r="H147" s="534" t="s">
        <v>385</v>
      </c>
      <c r="I147" s="579" t="s">
        <v>384</v>
      </c>
      <c r="J147" s="580" t="str">
        <f>IF(I147="","",IF(I147="I",$F140,VLOOKUP(I147,$C161:$D166,2,0)))</f>
        <v>GAVINCO INGENIEROS CONSULTORES SAS</v>
      </c>
      <c r="K147" s="535">
        <v>41999</v>
      </c>
      <c r="L147" s="535">
        <v>42191</v>
      </c>
      <c r="M147" s="536">
        <v>326.60000000000002</v>
      </c>
      <c r="N147" s="232">
        <f t="shared" si="25"/>
        <v>326.60000000000002</v>
      </c>
      <c r="O147" s="260">
        <f t="shared" si="26"/>
        <v>326.60000000000002</v>
      </c>
      <c r="P147" s="781"/>
      <c r="Q147" s="782"/>
      <c r="R147" s="767"/>
      <c r="S147" s="768"/>
      <c r="T147" s="538" t="s">
        <v>385</v>
      </c>
      <c r="U147" s="539">
        <v>97</v>
      </c>
      <c r="V147" s="540" t="s">
        <v>385</v>
      </c>
      <c r="X147" s="541" t="s">
        <v>463</v>
      </c>
      <c r="Y147" s="541" t="s">
        <v>387</v>
      </c>
    </row>
    <row r="148" spans="1:29" s="44" customFormat="1" ht="24.95" customHeight="1">
      <c r="A148" s="42" t="str">
        <f>"E"&amp;E140</f>
        <v>E5</v>
      </c>
      <c r="B148" s="605" t="str">
        <f t="shared" si="27"/>
        <v/>
      </c>
      <c r="C148" s="581"/>
      <c r="D148" s="581"/>
      <c r="E148" s="581"/>
      <c r="F148" s="581"/>
      <c r="G148" s="534"/>
      <c r="H148" s="534"/>
      <c r="I148" s="579"/>
      <c r="J148" s="580" t="str">
        <f>IF(I148="","",IF(I148="I",$F140,VLOOKUP(I148,$C161:$D166,2,0)))</f>
        <v/>
      </c>
      <c r="K148" s="535"/>
      <c r="L148" s="535"/>
      <c r="M148" s="536"/>
      <c r="N148" s="232" t="str">
        <f t="shared" si="25"/>
        <v/>
      </c>
      <c r="O148" s="260" t="str">
        <f t="shared" si="26"/>
        <v/>
      </c>
      <c r="P148" s="781"/>
      <c r="Q148" s="782"/>
      <c r="R148" s="767"/>
      <c r="S148" s="768"/>
      <c r="T148" s="538"/>
      <c r="U148" s="539"/>
      <c r="V148" s="540"/>
      <c r="X148" s="541"/>
      <c r="Y148" s="541"/>
    </row>
    <row r="149" spans="1:29" s="44" customFormat="1" ht="24.95" customHeight="1">
      <c r="A149" s="42" t="str">
        <f>"F"&amp;E140</f>
        <v>F5</v>
      </c>
      <c r="B149" s="605" t="str">
        <f t="shared" si="27"/>
        <v/>
      </c>
      <c r="C149" s="581"/>
      <c r="D149" s="581"/>
      <c r="E149" s="581"/>
      <c r="F149" s="581"/>
      <c r="G149" s="534"/>
      <c r="H149" s="534"/>
      <c r="I149" s="579"/>
      <c r="J149" s="580" t="str">
        <f>IF(I149="","",IF(I149="I",$F140,VLOOKUP(I149,$C161:$D166,2,0)))</f>
        <v/>
      </c>
      <c r="K149" s="535"/>
      <c r="L149" s="535"/>
      <c r="M149" s="536"/>
      <c r="N149" s="232" t="str">
        <f t="shared" si="25"/>
        <v/>
      </c>
      <c r="O149" s="260" t="str">
        <f t="shared" si="26"/>
        <v/>
      </c>
      <c r="P149" s="781"/>
      <c r="Q149" s="782"/>
      <c r="R149" s="767"/>
      <c r="S149" s="768"/>
      <c r="T149" s="538"/>
      <c r="U149" s="539"/>
      <c r="V149" s="540"/>
      <c r="X149" s="541"/>
      <c r="Y149" s="541"/>
    </row>
    <row r="150" spans="1:29" s="44" customFormat="1" ht="24.95" customHeight="1">
      <c r="A150" s="42" t="str">
        <f>"G"&amp;E140</f>
        <v>G5</v>
      </c>
      <c r="B150" s="605" t="str">
        <f t="shared" si="27"/>
        <v/>
      </c>
      <c r="C150" s="581"/>
      <c r="D150" s="581"/>
      <c r="E150" s="581"/>
      <c r="F150" s="581"/>
      <c r="G150" s="534"/>
      <c r="H150" s="534"/>
      <c r="I150" s="579"/>
      <c r="J150" s="580" t="str">
        <f>IF(I150="","",IF(I150="I",$F140,VLOOKUP(I150,$C161:$D166,2,0)))</f>
        <v/>
      </c>
      <c r="K150" s="535"/>
      <c r="L150" s="535"/>
      <c r="M150" s="536"/>
      <c r="N150" s="43" t="str">
        <f t="shared" si="25"/>
        <v/>
      </c>
      <c r="O150" s="260" t="str">
        <f t="shared" si="26"/>
        <v/>
      </c>
      <c r="P150" s="781"/>
      <c r="Q150" s="782"/>
      <c r="R150" s="767"/>
      <c r="S150" s="768"/>
      <c r="T150" s="538"/>
      <c r="U150" s="539"/>
      <c r="V150" s="540"/>
      <c r="X150" s="541"/>
      <c r="Y150" s="541"/>
    </row>
    <row r="151" spans="1:29" s="44" customFormat="1" ht="24.95" customHeight="1">
      <c r="A151" s="42" t="str">
        <f>"H"&amp;E140</f>
        <v>H5</v>
      </c>
      <c r="B151" s="605" t="str">
        <f t="shared" si="27"/>
        <v/>
      </c>
      <c r="C151" s="581"/>
      <c r="D151" s="581"/>
      <c r="E151" s="581"/>
      <c r="F151" s="581"/>
      <c r="G151" s="534"/>
      <c r="H151" s="534"/>
      <c r="I151" s="579"/>
      <c r="J151" s="580" t="str">
        <f>IF(I151="","",IF(I151="I",$F140,VLOOKUP(I151,$C161:$D166,2,0)))</f>
        <v/>
      </c>
      <c r="K151" s="535"/>
      <c r="L151" s="535"/>
      <c r="M151" s="537"/>
      <c r="N151" s="43" t="str">
        <f t="shared" si="25"/>
        <v/>
      </c>
      <c r="O151" s="260" t="str">
        <f t="shared" si="26"/>
        <v/>
      </c>
      <c r="P151" s="781"/>
      <c r="Q151" s="782"/>
      <c r="R151" s="767"/>
      <c r="S151" s="768"/>
      <c r="T151" s="538"/>
      <c r="U151" s="539"/>
      <c r="V151" s="540"/>
      <c r="X151" s="541"/>
      <c r="Y151" s="541"/>
    </row>
    <row r="152" spans="1:29" s="44" customFormat="1" ht="24.95" customHeight="1">
      <c r="A152" s="42" t="str">
        <f>"I"&amp;E140</f>
        <v>I5</v>
      </c>
      <c r="B152" s="605" t="str">
        <f t="shared" si="27"/>
        <v/>
      </c>
      <c r="C152" s="581"/>
      <c r="D152" s="581"/>
      <c r="E152" s="581"/>
      <c r="F152" s="581"/>
      <c r="G152" s="534"/>
      <c r="H152" s="534"/>
      <c r="I152" s="579"/>
      <c r="J152" s="580" t="str">
        <f>IF(I152="","",IF(I152="I",$F140,VLOOKUP(I152,$C161:$D166,2,0)))</f>
        <v/>
      </c>
      <c r="K152" s="535"/>
      <c r="L152" s="535"/>
      <c r="M152" s="537"/>
      <c r="N152" s="43" t="str">
        <f t="shared" si="25"/>
        <v/>
      </c>
      <c r="O152" s="260" t="str">
        <f t="shared" si="26"/>
        <v/>
      </c>
      <c r="P152" s="781"/>
      <c r="Q152" s="782"/>
      <c r="R152" s="767"/>
      <c r="S152" s="768"/>
      <c r="T152" s="538"/>
      <c r="U152" s="539"/>
      <c r="V152" s="540"/>
      <c r="X152" s="541"/>
      <c r="Y152" s="541"/>
    </row>
    <row r="153" spans="1:29" s="44" customFormat="1" ht="24.95" customHeight="1" thickBot="1">
      <c r="A153" s="42" t="str">
        <f>"J"&amp;E140</f>
        <v>J5</v>
      </c>
      <c r="B153" s="612" t="str">
        <f t="shared" si="27"/>
        <v/>
      </c>
      <c r="C153" s="582"/>
      <c r="D153" s="582"/>
      <c r="E153" s="582"/>
      <c r="F153" s="582"/>
      <c r="G153" s="583"/>
      <c r="H153" s="583"/>
      <c r="I153" s="584"/>
      <c r="J153" s="585" t="str">
        <f>IF(I153="","",IF(I153="I",$F140,VLOOKUP(I153,$C161:$D166,2,0)))</f>
        <v/>
      </c>
      <c r="K153" s="586"/>
      <c r="L153" s="586"/>
      <c r="M153" s="587"/>
      <c r="N153" s="43" t="str">
        <f t="shared" si="25"/>
        <v/>
      </c>
      <c r="O153" s="260" t="str">
        <f t="shared" si="26"/>
        <v/>
      </c>
      <c r="P153" s="781"/>
      <c r="Q153" s="782"/>
      <c r="R153" s="767"/>
      <c r="S153" s="768"/>
      <c r="T153" s="538"/>
      <c r="U153" s="539"/>
      <c r="V153" s="540"/>
      <c r="X153" s="541"/>
      <c r="Y153" s="541"/>
    </row>
    <row r="154" spans="1:29" s="27" customFormat="1" ht="12" customHeight="1" thickBot="1">
      <c r="A154" s="42"/>
      <c r="B154" s="45"/>
      <c r="C154" s="46"/>
      <c r="D154" s="46"/>
      <c r="E154" s="46"/>
      <c r="F154" s="46"/>
      <c r="G154" s="46"/>
      <c r="H154" s="606"/>
      <c r="I154" s="46"/>
      <c r="J154" s="46"/>
      <c r="K154" s="46"/>
      <c r="L154" s="46"/>
      <c r="M154" s="46"/>
      <c r="N154" s="46"/>
      <c r="O154" s="259"/>
      <c r="P154" s="46"/>
      <c r="Q154" s="46"/>
      <c r="R154" s="259"/>
      <c r="S154" s="46"/>
      <c r="T154" s="46"/>
      <c r="U154" s="47"/>
      <c r="V154" s="48"/>
      <c r="X154" s="592"/>
      <c r="Y154" s="593"/>
      <c r="AB154" s="378"/>
    </row>
    <row r="155" spans="1:29" s="27" customFormat="1" ht="17.25" customHeight="1" thickBot="1">
      <c r="A155" s="42" t="str">
        <f>"Z"&amp;E140</f>
        <v>Z5</v>
      </c>
      <c r="B155" s="510"/>
      <c r="C155" s="511"/>
      <c r="D155" s="511"/>
      <c r="E155" s="511"/>
      <c r="F155" s="511"/>
      <c r="G155" s="511"/>
      <c r="H155" s="511"/>
      <c r="I155" s="511"/>
      <c r="J155" s="511"/>
      <c r="K155" s="511"/>
      <c r="L155" s="511"/>
      <c r="M155" s="511"/>
      <c r="N155" s="437" t="s">
        <v>388</v>
      </c>
      <c r="O155" s="438">
        <f>IF(COUNTIF(O144:O153,"")&gt;9,0,SUM(O144:O153)/(COUNTIF(H144:H153,"SI")))</f>
        <v>474.70699999999999</v>
      </c>
      <c r="P155" s="511"/>
      <c r="Q155" s="511"/>
      <c r="R155" s="530"/>
      <c r="S155" s="530"/>
      <c r="T155" s="531"/>
      <c r="U155" s="532"/>
      <c r="V155" s="533"/>
      <c r="W155" s="285"/>
      <c r="X155" s="613" t="e">
        <f>COUNTIF(#REF!,"")-COUNTIF(#REF!,"CUMPLE")-1</f>
        <v>#REF!</v>
      </c>
      <c r="Y155" s="591"/>
      <c r="AB155" s="28"/>
    </row>
    <row r="156" spans="1:29" ht="17.25" customHeight="1">
      <c r="B156" s="50"/>
      <c r="C156" s="50"/>
      <c r="D156" s="50"/>
      <c r="E156" s="50"/>
      <c r="F156" s="50"/>
      <c r="G156" s="51"/>
      <c r="H156" s="51"/>
      <c r="I156" s="51"/>
      <c r="J156" s="51"/>
      <c r="K156" s="51"/>
      <c r="L156" s="51"/>
      <c r="M156" s="51"/>
      <c r="N156" s="51"/>
      <c r="O156" s="51"/>
      <c r="P156" s="51"/>
      <c r="Q156" s="51"/>
      <c r="R156" s="51"/>
      <c r="S156" s="51"/>
      <c r="T156" s="51"/>
      <c r="U156" s="51"/>
      <c r="V156" s="51"/>
      <c r="W156" s="51"/>
      <c r="X156" s="608"/>
      <c r="Y156" s="51"/>
      <c r="Z156" s="51"/>
      <c r="AA156" s="51"/>
      <c r="AB156" s="51"/>
      <c r="AC156" s="50"/>
    </row>
    <row r="157" spans="1:29" s="27" customFormat="1" ht="16.5" customHeight="1" thickBot="1">
      <c r="A157" s="22"/>
      <c r="B157" s="783" t="s">
        <v>389</v>
      </c>
      <c r="C157" s="783"/>
      <c r="D157" s="783"/>
      <c r="E157" s="783"/>
      <c r="F157" s="783"/>
      <c r="G157" s="783"/>
      <c r="H157" s="783"/>
      <c r="I157" s="783"/>
      <c r="J157" s="783"/>
      <c r="K157" s="783"/>
      <c r="L157" s="783"/>
      <c r="M157" s="783"/>
      <c r="N157" s="783"/>
      <c r="O157" s="783"/>
      <c r="P157" s="783"/>
      <c r="Q157" s="783"/>
      <c r="R157" s="783"/>
      <c r="S157" s="783"/>
      <c r="T157" s="783"/>
      <c r="U157" s="783"/>
      <c r="V157" s="783"/>
      <c r="W157" s="286"/>
      <c r="X157" s="607"/>
      <c r="Y157" s="52"/>
      <c r="Z157" s="52"/>
      <c r="AA157" s="52"/>
      <c r="AB157" s="28"/>
      <c r="AC157" s="28"/>
    </row>
    <row r="158" spans="1:29" s="30" customFormat="1" ht="22.5" customHeight="1">
      <c r="A158" s="112" t="str">
        <f>"K"&amp;E140</f>
        <v>K5</v>
      </c>
      <c r="B158" s="790" t="s">
        <v>390</v>
      </c>
      <c r="C158" s="772" t="s">
        <v>391</v>
      </c>
      <c r="D158" s="773"/>
      <c r="E158" s="773"/>
      <c r="F158" s="773"/>
      <c r="G158" s="773"/>
      <c r="H158" s="773"/>
      <c r="I158" s="773"/>
      <c r="J158" s="773"/>
      <c r="K158" s="773"/>
      <c r="L158" s="773"/>
      <c r="M158" s="774"/>
      <c r="N158" s="525"/>
      <c r="O158" s="588"/>
      <c r="P158" s="772" t="s">
        <v>392</v>
      </c>
      <c r="Q158" s="773"/>
      <c r="R158" s="773"/>
      <c r="S158" s="774"/>
      <c r="T158" s="784" t="s">
        <v>393</v>
      </c>
      <c r="U158" s="774"/>
      <c r="V158" s="811"/>
      <c r="W158" s="284"/>
      <c r="X158" s="778" t="s">
        <v>394</v>
      </c>
      <c r="Y158" s="779"/>
      <c r="Z158" s="779"/>
      <c r="AA158" s="779" t="s">
        <v>395</v>
      </c>
      <c r="AB158" s="808" t="s">
        <v>396</v>
      </c>
      <c r="AC158" s="28"/>
    </row>
    <row r="159" spans="1:29" s="30" customFormat="1" ht="22.5" customHeight="1">
      <c r="A159" s="112" t="str">
        <f>"L"&amp;E140</f>
        <v>L5</v>
      </c>
      <c r="B159" s="791"/>
      <c r="C159" s="769" t="s">
        <v>397</v>
      </c>
      <c r="D159" s="770"/>
      <c r="E159" s="771"/>
      <c r="F159" s="512">
        <f>IF(VLOOKUP(E140,PROPONENTES!$C$19:$E$108,3,0)="","",VLOOKUP(E140,PROPONENTES!$C$19:$E$108,3,0))</f>
        <v>1</v>
      </c>
      <c r="G159" s="824" t="s">
        <v>398</v>
      </c>
      <c r="H159" s="793" t="s">
        <v>399</v>
      </c>
      <c r="I159" s="793"/>
      <c r="J159" s="769" t="s">
        <v>400</v>
      </c>
      <c r="K159" s="823"/>
      <c r="L159" s="513" t="s">
        <v>401</v>
      </c>
      <c r="M159" s="513"/>
      <c r="N159" s="526"/>
      <c r="O159" s="527"/>
      <c r="P159" s="775"/>
      <c r="Q159" s="776"/>
      <c r="R159" s="776"/>
      <c r="S159" s="777"/>
      <c r="T159" s="796"/>
      <c r="U159" s="797"/>
      <c r="V159" s="812"/>
      <c r="W159" s="284"/>
      <c r="X159" s="780" t="s">
        <v>402</v>
      </c>
      <c r="Y159" s="810" t="s">
        <v>403</v>
      </c>
      <c r="Z159" s="810"/>
      <c r="AA159" s="810"/>
      <c r="AB159" s="809"/>
      <c r="AC159" s="28"/>
    </row>
    <row r="160" spans="1:29" s="30" customFormat="1" ht="51.75" customHeight="1" thickBot="1">
      <c r="A160" s="112" t="str">
        <f>"M"&amp;E140</f>
        <v>M5</v>
      </c>
      <c r="B160" s="791"/>
      <c r="C160" s="770" t="s">
        <v>404</v>
      </c>
      <c r="D160" s="771"/>
      <c r="E160" s="514" t="s">
        <v>405</v>
      </c>
      <c r="F160" s="515" t="s">
        <v>406</v>
      </c>
      <c r="G160" s="824"/>
      <c r="H160" s="793"/>
      <c r="I160" s="793"/>
      <c r="J160" s="504" t="s">
        <v>407</v>
      </c>
      <c r="K160" s="516" t="s">
        <v>408</v>
      </c>
      <c r="L160" s="517" t="s">
        <v>409</v>
      </c>
      <c r="M160" s="517"/>
      <c r="N160" s="528" t="s">
        <v>410</v>
      </c>
      <c r="O160" s="529"/>
      <c r="P160" s="386"/>
      <c r="Q160" s="387" t="s">
        <v>411</v>
      </c>
      <c r="R160" s="388"/>
      <c r="S160" s="113">
        <f>COUNTIFS(H144:H153,"SI",O144:O153,"&gt;0")</f>
        <v>4</v>
      </c>
      <c r="T160" s="785"/>
      <c r="U160" s="787"/>
      <c r="V160" s="813"/>
      <c r="W160" s="284"/>
      <c r="X160" s="780"/>
      <c r="Y160" s="810"/>
      <c r="Z160" s="810"/>
      <c r="AA160" s="810"/>
      <c r="AB160" s="809"/>
      <c r="AC160" s="28"/>
    </row>
    <row r="161" spans="1:29" s="30" customFormat="1" ht="15.75" customHeight="1">
      <c r="A161" s="112" t="str">
        <f>"N"&amp;E140</f>
        <v>N5</v>
      </c>
      <c r="B161" s="791"/>
      <c r="C161" s="54">
        <v>1</v>
      </c>
      <c r="D161" s="100" t="str">
        <f>IF(AND(C161&lt;=F159,F159&gt;1,F159&lt;&gt;""),VLOOKUP(VALUE(E140&amp;","&amp;C161),INTEGRANTES!$D$19:$F$192,2,0),"")</f>
        <v/>
      </c>
      <c r="E161" s="107" t="str">
        <f>IF(D161&lt;&gt;"",VLOOKUP(VALUE(E140&amp;","&amp;C161),INTEGRANTES!$D$19:$F$192,3,0),"")</f>
        <v/>
      </c>
      <c r="F161" s="380" t="str">
        <f>IF(D161="","",IF(OR(SUMIF($J147:$J153,D161,$O147:$O153)=0,N161="NO"),"NO APORTA",SUMIF($J147:$J153,D161,$O147:$O153)))</f>
        <v/>
      </c>
      <c r="G161" s="380" t="str">
        <f>IF($D161="","",IF($F159&lt;=1,"",ROUND(POSMMLV*PORPO,2)))</f>
        <v/>
      </c>
      <c r="H161" s="765" t="str">
        <f>IF($D161="","",IF(OR(F161="NO APORTA",G161&gt;F161),"NO CUMPLE","CUMPLE"))</f>
        <v/>
      </c>
      <c r="I161" s="766"/>
      <c r="J161" s="108" t="str">
        <f>IF(D161="","",IF(OR(AND(SUMIF($J144:$J153,D161,$O144:$O153)&gt;=5%*POSMMLV,N161="SI"),AND(SUMIF($J144:$J153,D161,$O144:$O153)=0,E161&lt;=5%,N161="SI")),"CUMPLE","NO CUMPLE"))</f>
        <v/>
      </c>
      <c r="K161" s="105" t="str">
        <f>IF(OR(D161="",J161=""),"",IF(AND(J161="NO CUMPLE",F161="NO APORTA",E161&gt;5%),"EXP = 0 y PART &gt; 5%",IF(F161&lt;5%*Q166,"EXP &lt; 5%*PO","")))</f>
        <v/>
      </c>
      <c r="L161" s="389" t="str">
        <f>IF(OR(D161="",E161=""),"",IF(AND(E161&gt;=0.25,F161&lt;&gt;"NO APORTA",F161&gt;=$R166*0.25),"SI","NO"))</f>
        <v/>
      </c>
      <c r="M161" s="389"/>
      <c r="N161" s="468" t="s">
        <v>385</v>
      </c>
      <c r="O161" s="396">
        <f>COUNTIFS(O144:O153,"&gt;0",H144:H153,"SI")</f>
        <v>4</v>
      </c>
      <c r="P161" s="814" t="s">
        <v>139</v>
      </c>
      <c r="Q161" s="814"/>
      <c r="R161" s="817">
        <f>E140</f>
        <v>5</v>
      </c>
      <c r="S161" s="818"/>
      <c r="T161" s="784" t="s">
        <v>412</v>
      </c>
      <c r="U161" s="773"/>
      <c r="V161" s="774"/>
      <c r="W161" s="283"/>
      <c r="X161" s="542" t="str">
        <f>IF($F159=1,"NO APLICA",$D161)</f>
        <v>NO APLICA</v>
      </c>
      <c r="Y161" s="543" t="str">
        <f>IF(OR($F161="",$F161="NO APORTA",$R166=0,$X161="NO APLICA"),"",ROUND($F161/$Q166,2))</f>
        <v/>
      </c>
      <c r="Z161" s="544" t="str">
        <f>IF(Y167=1,"SI APLICA",IF(OR($X161="",$X161="NO APLICA",$F161="",$F161="NO APORTA"),"",IF(ROUND($F161/Q166,7)&gt;=0.4,"SI APLICA","NO APLICA")))</f>
        <v>SI APLICA</v>
      </c>
      <c r="AA161" s="543" t="s">
        <v>413</v>
      </c>
      <c r="AB161" s="540" t="str">
        <f>IF(COUNTIF(Z161:AA161,"SI APLICA")=2,"SI APLICA","")</f>
        <v>SI APLICA</v>
      </c>
      <c r="AC161" s="28"/>
    </row>
    <row r="162" spans="1:29" s="30" customFormat="1" ht="15.75" customHeight="1" thickBot="1">
      <c r="A162" s="112" t="str">
        <f>"O"&amp;E140</f>
        <v>O5</v>
      </c>
      <c r="B162" s="791"/>
      <c r="C162" s="54">
        <v>2</v>
      </c>
      <c r="D162" s="100" t="str">
        <f>IF(AND(C162&lt;=F159,F159&lt;&gt;""),VLOOKUP(VALUE(E140&amp;","&amp;C162),INTEGRANTES!$D$19:$F$192,2,0),"")</f>
        <v/>
      </c>
      <c r="E162" s="107" t="str">
        <f>IF(D162&lt;&gt;"",VLOOKUP(VALUE(E140&amp;","&amp;C162),INTEGRANTES!$D$19:$F$192,3,0),"")</f>
        <v/>
      </c>
      <c r="F162" s="380" t="str">
        <f>IF(D162="","",IF(OR(SUMIF($J147:$J153,D162,$O147:$O153)=0,N162="NO"),"NO APORTA",SUMIF($J147:$J153,D162,$O147:$O153)))</f>
        <v/>
      </c>
      <c r="G162" s="380" t="str">
        <f>IF($D162="","",IF($F159&lt;=1,"",ROUND(POSMMLV*PORPO,2)))</f>
        <v/>
      </c>
      <c r="H162" s="765" t="str">
        <f t="shared" ref="H162:H165" si="28">IF($D162="","",IF(OR(F162="NO APORTA",G162&gt;F162),"NO CUMPLE","CUMPLE"))</f>
        <v/>
      </c>
      <c r="I162" s="766"/>
      <c r="J162" s="108" t="str">
        <f>IF(D162="","",IF(OR(AND(SUMIF($J144:$J153,D162,$O144:$O153)&gt;=5%*POSMMLV,N162="SI"),AND(SUMIF($J144:$J153,D162,$O144:$O153)=0,E162&lt;=5%,N162="SI")),"CUMPLE","NO CUMPLE"))</f>
        <v/>
      </c>
      <c r="K162" s="105" t="str">
        <f>IF(OR(D162="",J162=""),"",IF(AND(J162="NO CUMPLE",F162="NO APORTA",E162&gt;5%),"EXP = 0 y PART &gt; 5%",IF(F162&lt;5%*Q166,"EXP &lt; 5%*PO","")))</f>
        <v/>
      </c>
      <c r="L162" s="389" t="str">
        <f>IF(OR(D162="",E162=""),"",IF(AND(E162&gt;=0.25,F162&lt;&gt;"NO APORTA",F162&gt;=$R166*0.25),"SI","NO"))</f>
        <v/>
      </c>
      <c r="M162" s="389"/>
      <c r="N162" s="468" t="s">
        <v>385</v>
      </c>
      <c r="O162" s="396"/>
      <c r="P162" s="815"/>
      <c r="Q162" s="815"/>
      <c r="R162" s="815"/>
      <c r="S162" s="819"/>
      <c r="T162" s="785"/>
      <c r="U162" s="786"/>
      <c r="V162" s="787"/>
      <c r="W162" s="283"/>
      <c r="X162" s="542" t="str">
        <f>IF($F159=1,"NO APLICA",$D162)</f>
        <v>NO APLICA</v>
      </c>
      <c r="Y162" s="543" t="str">
        <f>IF(OR($F162="",$F162="NO APORTA",$R166=0,$X162="NO APLICA"),"",ROUND($F162/$Q166,2))</f>
        <v/>
      </c>
      <c r="Z162" s="544"/>
      <c r="AA162" s="543"/>
      <c r="AB162" s="540" t="str">
        <f t="shared" ref="AB162" si="29">IF(COUNTIF(Z162:AA162,"SI APLICA")=2,"SI APLICA","")</f>
        <v/>
      </c>
      <c r="AC162" s="28"/>
    </row>
    <row r="163" spans="1:29" s="30" customFormat="1" ht="15.75" customHeight="1">
      <c r="A163" s="112" t="str">
        <f>"P"&amp;E140</f>
        <v>P5</v>
      </c>
      <c r="B163" s="791"/>
      <c r="C163" s="54">
        <v>3</v>
      </c>
      <c r="D163" s="100" t="str">
        <f>IF(AND(C163&lt;=F159,F159&lt;&gt;""),VLOOKUP(VALUE(E140&amp;","&amp;C163),INTEGRANTES!$D$19:$F$192,2,0),"")</f>
        <v/>
      </c>
      <c r="E163" s="107" t="str">
        <f>IF(D163&lt;&gt;"",VLOOKUP(VALUE(E140&amp;","&amp;C163),INTEGRANTES!$D$19:$F$192,3,0),"")</f>
        <v/>
      </c>
      <c r="F163" s="380" t="str">
        <f>IF(D163="","",IF(OR(SUMIF($J147:$J153,D163,$O147:$O153)=0,N163="NO"),"NO APORTA",SUMIF($J147:$J153,D163,$O147:$O153)))</f>
        <v/>
      </c>
      <c r="G163" s="380" t="str">
        <f>IF($D163="","",IF($F159&lt;=1,"",ROUND(POSMMLV*PORPO,2)))</f>
        <v/>
      </c>
      <c r="H163" s="765" t="str">
        <f t="shared" si="28"/>
        <v/>
      </c>
      <c r="I163" s="766"/>
      <c r="J163" s="108" t="str">
        <f>IF(D163="","",IF(OR(AND(SUMIF($J144:$J153,D163,$O144:$O153)&gt;=5%*POSMMLV,N163="SI"),AND(SUMIF($J144:$J153,D163,$O144:$O153)=0,E163&lt;=5%,N163="SI")),"CUMPLE","NO CUMPLE"))</f>
        <v/>
      </c>
      <c r="K163" s="105" t="str">
        <f>IF(OR(D163="",J163=""),"",IF(AND(J163="NO CUMPLE",F163="NO APORTA",E163&gt;5%),"EXP = 0 y PART &gt; 5%",IF(F163&lt;5%*Q166,"EXP &lt; 5%*PO","")))</f>
        <v/>
      </c>
      <c r="L163" s="389" t="str">
        <f>IF(OR(D163="",E163=""),"",IF(AND(E163&gt;=0.25,F163&lt;&gt;"NO APORTA",F163&gt;=$R166*0.25),"SI","NO"))</f>
        <v/>
      </c>
      <c r="M163" s="389"/>
      <c r="N163" s="468"/>
      <c r="O163" s="397"/>
      <c r="P163" s="816"/>
      <c r="Q163" s="816"/>
      <c r="R163" s="816"/>
      <c r="S163" s="820"/>
      <c r="T163" s="308"/>
      <c r="U163" s="308"/>
      <c r="V163" s="309"/>
      <c r="W163" s="284"/>
      <c r="X163" s="542" t="str">
        <f>IF($F159=1,"NO APLICA",$D163)</f>
        <v>NO APLICA</v>
      </c>
      <c r="Y163" s="543" t="str">
        <f>IF(OR($F163="",$F163="NO APORTA",$R166=0,$X163="NO APLICA"),"",ROUND($F163/$Q166,2))</f>
        <v/>
      </c>
      <c r="Z163" s="544"/>
      <c r="AA163" s="543"/>
      <c r="AB163" s="540" t="str">
        <f>IF(COUNTIF(Z163:AA163,"SI APLICA")=2,"SI APLICA","")</f>
        <v/>
      </c>
      <c r="AC163" s="28"/>
    </row>
    <row r="164" spans="1:29" s="30" customFormat="1" ht="15.75" customHeight="1">
      <c r="A164" s="112" t="str">
        <f>"Q"&amp;E140</f>
        <v>Q5</v>
      </c>
      <c r="B164" s="791"/>
      <c r="C164" s="54">
        <v>4</v>
      </c>
      <c r="D164" s="100" t="str">
        <f>IF(AND(C164&lt;=F159,F159&lt;&gt;""),VLOOKUP(VALUE(E140&amp;","&amp;C164),INTEGRANTES!$D$19:$F$192,2,0),"")</f>
        <v/>
      </c>
      <c r="E164" s="107" t="str">
        <f>IF(D164&lt;&gt;"",VLOOKUP(VALUE(E140&amp;","&amp;C164),INTEGRANTES!$D$19:$F$192,3,0),"")</f>
        <v/>
      </c>
      <c r="F164" s="380" t="str">
        <f>IF(D164="","",IF(OR(SUMIF($J147:$J153,D164,$O147:$O153)=0,N164="NO"),"NO APORTA",SUMIF($J147:$J153,D164,$O147:$O153)))</f>
        <v/>
      </c>
      <c r="G164" s="380" t="str">
        <f>IF($D164="","",IF($F159&lt;=1,"",ROUND(POSMMLV*PORPO,2)))</f>
        <v/>
      </c>
      <c r="H164" s="765" t="str">
        <f t="shared" si="28"/>
        <v/>
      </c>
      <c r="I164" s="766"/>
      <c r="J164" s="108" t="str">
        <f>IF(D164="","",IF(OR(AND(SUMIF($J144:$J153,D164,$O144:$O153)&gt;=5%*POSMMLV,N164="SI"),AND(SUMIF($J144:$J153,D164,$O144:$O153)=0,E164&lt;=5%,N164="SI")),"CUMPLE","NO CUMPLE"))</f>
        <v/>
      </c>
      <c r="K164" s="105" t="str">
        <f>IF(OR(D164="",J164=""),"",IF(AND(J164="NO CUMPLE",F164="NO APORTA",E164&gt;5%),"EXP = 0 y PART &gt; 5%",IF(F164&lt;5%*Q166,"EXP &lt; 5%*PO","")))</f>
        <v/>
      </c>
      <c r="L164" s="389" t="str">
        <f>IF(OR(D164="",E164=""),"",IF(AND(E164&gt;=0.25,F164&lt;&gt;"NO APORTA",F164&gt;=$R166*0.25),"SI","NO"))</f>
        <v/>
      </c>
      <c r="M164" s="389"/>
      <c r="N164" s="468"/>
      <c r="O164" s="788" t="s">
        <v>414</v>
      </c>
      <c r="P164" s="769" t="s">
        <v>415</v>
      </c>
      <c r="Q164" s="770"/>
      <c r="R164" s="770"/>
      <c r="S164" s="771"/>
      <c r="T164" s="284"/>
      <c r="U164" s="284"/>
      <c r="V164" s="310"/>
      <c r="W164" s="284"/>
      <c r="X164" s="542" t="str">
        <f>IF($F159=1,"NO APLICA",$D164)</f>
        <v>NO APLICA</v>
      </c>
      <c r="Y164" s="543" t="str">
        <f>IF(OR($F164="",$F164="NO APORTA",$R166=0,$X164="NO APLICA"),"",ROUND($F164/$Q166,2))</f>
        <v/>
      </c>
      <c r="Z164" s="544"/>
      <c r="AA164" s="543"/>
      <c r="AB164" s="540" t="str">
        <f t="shared" ref="AB164:AB165" si="30">IF(COUNTIF(Z164:AA164,"SI APLICA")=2,"SI APLICA","")</f>
        <v/>
      </c>
      <c r="AC164" s="28"/>
    </row>
    <row r="165" spans="1:29" s="30" customFormat="1" ht="17.25" customHeight="1">
      <c r="A165" s="112" t="str">
        <f>"R"&amp;E140</f>
        <v>R5</v>
      </c>
      <c r="B165" s="791"/>
      <c r="C165" s="54">
        <v>5</v>
      </c>
      <c r="D165" s="100" t="str">
        <f>IF(AND(C165&lt;=F159,F159&lt;&gt;""),VLOOKUP(VALUE(E140&amp;","&amp;C165),INTEGRANTES!$D$19:$F$192,2,0),"")</f>
        <v/>
      </c>
      <c r="E165" s="107" t="str">
        <f>IF(D165&lt;&gt;"",VLOOKUP(VALUE(E140&amp;","&amp;C165),INTEGRANTES!$D$19:$F$192,3,0),"")</f>
        <v/>
      </c>
      <c r="F165" s="380" t="str">
        <f>IF(D165="","",IF(OR(SUMIF($J147:$J153,D165,$O147:$O153)=0,N165="NO"),"NO APORTA",SUMIF($J147:$J153,D165,$O147:$O153)))</f>
        <v/>
      </c>
      <c r="G165" s="380" t="str">
        <f>IF($D165="","",IF($F159&lt;=1,"",ROUND(POSMMLV*PORPO,2)))</f>
        <v/>
      </c>
      <c r="H165" s="765" t="str">
        <f t="shared" si="28"/>
        <v/>
      </c>
      <c r="I165" s="766"/>
      <c r="J165" s="108" t="str">
        <f>IF(D165="","",IF(OR(AND(SUMIF($J144:$J153,D165,$O144:$O153)&gt;=5%*POSMMLV,N165="SI"),AND(SUMIF($J144:$J153,D165,$O144:$O153)=0,E165&lt;=5%,N165="SI")),"CUMPLE","NO CUMPLE"))</f>
        <v/>
      </c>
      <c r="K165" s="105" t="str">
        <f>IF(OR(D165="",J165=""),"",IF(AND(J165="NO CUMPLE",F165="NO APORTA",E165&gt;5%),"EXP = 0 y PART &gt; 5%",IF(F165&lt;5%*Q166,"EXP &lt; 5%*PO","")))</f>
        <v/>
      </c>
      <c r="L165" s="389" t="str">
        <f>IF(OR(D165="",E165=""),"",IF(AND(E165&gt;=0.25,F165&lt;&gt;"NO APORTA",F165&gt;=$R166*0.25),"SI","NO"))</f>
        <v/>
      </c>
      <c r="M165" s="389"/>
      <c r="N165" s="468"/>
      <c r="O165" s="789"/>
      <c r="P165" s="504" t="s">
        <v>416</v>
      </c>
      <c r="Q165" s="504" t="s">
        <v>417</v>
      </c>
      <c r="R165" s="793" t="s">
        <v>418</v>
      </c>
      <c r="S165" s="793"/>
      <c r="T165" s="284"/>
      <c r="U165" s="284"/>
      <c r="V165" s="310"/>
      <c r="W165" s="284"/>
      <c r="X165" s="542" t="str">
        <f>IF($F159=1,"NO APLICA",$D165)</f>
        <v>NO APLICA</v>
      </c>
      <c r="Y165" s="543" t="str">
        <f>IF(OR($F165="",$F165="NO APORTA",$R166=0,$X165="NO APLICA"),"",ROUND($F165/$Q166,2))</f>
        <v/>
      </c>
      <c r="Z165" s="544"/>
      <c r="AA165" s="543"/>
      <c r="AB165" s="540" t="str">
        <f t="shared" si="30"/>
        <v/>
      </c>
      <c r="AC165" s="28"/>
    </row>
    <row r="166" spans="1:29" s="30" customFormat="1" ht="16.5" customHeight="1" thickBot="1">
      <c r="A166" s="112" t="str">
        <f>"S"&amp;E140</f>
        <v>S5</v>
      </c>
      <c r="B166" s="791"/>
      <c r="C166" s="109">
        <v>6</v>
      </c>
      <c r="D166" s="110" t="str">
        <f>IF(AND(C166&lt;=F159,F159&lt;&gt;""),VLOOKUP(VALUE(E140&amp;","&amp;C166),INTEGRANTES!$D$19:$F$192,2,0),"")</f>
        <v/>
      </c>
      <c r="E166" s="111" t="str">
        <f>IF(D166&lt;&gt;"",VLOOKUP(VALUE(E140&amp;","&amp;C166),INTEGRANTES!$D$19:$F$192,3,0),"")</f>
        <v/>
      </c>
      <c r="F166" s="380" t="str">
        <f>IF(D166="","",IF(OR(SUMIF($J147:$J153,D166,$O147:$O153)=0,N166="NO"),"NO APORTA",SUMIF($J147:$J153,D166,$O147:$O153)))</f>
        <v/>
      </c>
      <c r="G166" s="380" t="str">
        <f>IF($D166="","",IF($F159&lt;=1,"",ROUND(POSMMLV*PORPO,2)))</f>
        <v/>
      </c>
      <c r="H166" s="765" t="str">
        <f>IF($D166="","",IF(OR(F166="NO APORTA",G166&gt;F166),"NO CUMPLE","CUMPLE"))</f>
        <v/>
      </c>
      <c r="I166" s="766"/>
      <c r="J166" s="108" t="str">
        <f>IF(D166="","",IF(OR(AND(SUMIF($J144:$J153,D166,$O144:$O153)&gt;=5%*POSMMLV,N166="SI"),AND(SUMIF($J144:$J153,D166,$O144:$O153)=0,E166&lt;=5%,N166="SI")),"CUMPLE","NO CUMPLE"))</f>
        <v/>
      </c>
      <c r="K166" s="105" t="str">
        <f>IF(OR(D166="",J166=""),"",IF(AND(J166="NO CUMPLE",F166="NO APORTA",E166&gt;5%),"EXP = 0 y PART &gt; 5%",IF(F166&lt;5%*Q166,"EXP &lt; 5%*PO","")))</f>
        <v/>
      </c>
      <c r="L166" s="389" t="str">
        <f>IF(OR(D166="",E166=""),"",IF(AND(E166&gt;=0.25,F166&lt;&gt;"NO APORTA",F166&gt;=$R166*0.25),"SI","NO"))</f>
        <v/>
      </c>
      <c r="M166" s="389"/>
      <c r="N166" s="468"/>
      <c r="O166" s="403" t="str">
        <f ca="1">IF(R166&gt;=Q166,"CUMPLE","NO CUMPLE")</f>
        <v>CUMPLE</v>
      </c>
      <c r="P166" s="312">
        <f>NUMMOD</f>
        <v>1</v>
      </c>
      <c r="Q166" s="313">
        <f ca="1">IF(P166="","",ROUND(VLOOKUP(P166,PRESUPUESTOS!$B$16:$L$16,9,FALSE),7))</f>
        <v>300</v>
      </c>
      <c r="R166" s="834">
        <f>IF(OR(COUNTIF(O144:O153,"")&gt;9,S160&lt;NUMMINCONT),0,SUM(O144:O153))</f>
        <v>1898.828</v>
      </c>
      <c r="S166" s="834"/>
      <c r="T166" s="284"/>
      <c r="U166" s="284"/>
      <c r="V166" s="310"/>
      <c r="W166" s="284"/>
      <c r="X166" s="545" t="str">
        <f>IF($F159=1,"NO APLICA",$D166)</f>
        <v>NO APLICA</v>
      </c>
      <c r="Y166" s="543" t="str">
        <f>IF(OR($F166="",$F166="NO APORTA",$R166=0,$X166="NO APLICA"),"",ROUND($F166/$Q166,2))</f>
        <v/>
      </c>
      <c r="Z166" s="544"/>
      <c r="AA166" s="546"/>
      <c r="AB166" s="540" t="str">
        <f>IF(COUNTIF(Z166:AA166,"SI APLICA")=2,"SI APLICA","")</f>
        <v/>
      </c>
      <c r="AC166" s="28"/>
    </row>
    <row r="167" spans="1:29" s="30" customFormat="1" ht="16.5" customHeight="1" thickBot="1">
      <c r="A167" s="112" t="str">
        <f>"T"&amp;E140</f>
        <v>T5</v>
      </c>
      <c r="B167" s="792"/>
      <c r="C167" s="821" t="s">
        <v>419</v>
      </c>
      <c r="D167" s="822"/>
      <c r="E167" s="822"/>
      <c r="F167" s="518"/>
      <c r="G167" s="519"/>
      <c r="H167" s="794" t="str">
        <f>IF(OR($F159="",SUM(E161:E166)=0),"",IF(COUNTIF(H161:H166,"CUMPLE")&gt;=1,"CUMPLE","NO CUMPLE"))</f>
        <v/>
      </c>
      <c r="I167" s="795"/>
      <c r="J167" s="314" t="str">
        <f>IF(COUNTIF(J161:J166,"")&gt;5,"",IF(COUNTIF(J161:J166,"NO CUMPLE")&gt;0,"NO CUMPLE","CUMPLE"))</f>
        <v/>
      </c>
      <c r="K167" s="314" t="str">
        <f>IF(OR(AND(F159=1,N161="SI"),AND(COUNTIF(H167:J167,"CUMPLE")=2)),"CUMPLE","NO CUMPLE")</f>
        <v>CUMPLE</v>
      </c>
      <c r="L167" s="519"/>
      <c r="M167" s="519"/>
      <c r="N167" s="519"/>
      <c r="O167" s="833" t="str">
        <f ca="1">IF(ISNUMBER(F140),"",IF(AND(O166="NO CUMPLE",SUM(N147:N153)&lt;Q166),"EL PROPONENTE SE DEBE REQUERIR POR EXPERIENCIA MINIMA EXIGIDA",""))</f>
        <v/>
      </c>
      <c r="P167" s="833"/>
      <c r="Q167" s="833"/>
      <c r="R167" s="833"/>
      <c r="S167" s="833"/>
      <c r="T167" s="522"/>
      <c r="U167" s="523"/>
      <c r="V167" s="524"/>
      <c r="W167" s="284"/>
      <c r="X167" s="364" t="str">
        <f>IF(Y167=1,"PROPONENTE INDIVIDUAL","PROPONENTE PLURAL")</f>
        <v>PROPONENTE INDIVIDUAL</v>
      </c>
      <c r="Y167" s="276">
        <f>F159</f>
        <v>1</v>
      </c>
      <c r="Z167" s="277" t="str">
        <f>IF(OR(AND(Z161="SI APLICA",AA161="SI APLICA"),AND(Z162="SI APLICA",AA162="SI APLICA"),AND(Z163="SI APLICA",AA163="SI APLICA"),AND(Z164="SI APLICA",AA164="SI APLICA"),AND(Z165="SI APLICA",AA165="SI APLICA"),AND(Z166="SI APLICA",AA166="SI APLICA")),"SI APLICA","NO APLICA")</f>
        <v>SI APLICA</v>
      </c>
      <c r="AA167" s="278" t="str">
        <f>IF(OR(AND(AA161="SI APLICA",AB161="SI APLICA"),AND(AA162="SI APLICA",AB162="SI APLICA"),AND(AA163="SI APLICA",AB163="SI APLICA"),AND(AA164="SI APLICA",AB164="SI APLICA"),AND(AA165="SI APLICA",AB165="SI APLICA"),AND(AA166="SI APLICA",AB166="SI APLICA")),"SI APLICA","NO APLICA")</f>
        <v>SI APLICA</v>
      </c>
      <c r="AB167" s="278" t="str">
        <f>IF(COUNTIF(AB161:AB166,"SI APLICA")&gt;0,"SI APLICA","NO APLICA")</f>
        <v>SI APLICA</v>
      </c>
      <c r="AC167" s="28"/>
    </row>
    <row r="168" spans="1:29" ht="24.95" customHeight="1"/>
    <row r="169" spans="1:29" ht="24.95" customHeight="1"/>
    <row r="170" spans="1:29" s="41" customFormat="1" ht="24" thickBot="1">
      <c r="A170" s="34">
        <v>6</v>
      </c>
      <c r="B170" s="828" t="s">
        <v>355</v>
      </c>
      <c r="C170" s="828"/>
      <c r="D170" s="828"/>
      <c r="E170" s="35">
        <f>VLOOKUP(A170,PROPONENTES!$B$19:$E$108,2,FALSE)</f>
        <v>6</v>
      </c>
      <c r="F170" s="36" t="str">
        <f>VLOOKUP(A170,PROPONENTES!$B$19:$E$108,3,FALSE)</f>
        <v>RD INGENIEROS CIVILES SAS</v>
      </c>
      <c r="G170" s="37"/>
      <c r="H170" s="37"/>
      <c r="I170" s="36"/>
      <c r="J170" s="36"/>
      <c r="K170" s="36"/>
      <c r="L170" s="36"/>
      <c r="M170" s="38"/>
      <c r="N170" s="38"/>
      <c r="O170" s="37"/>
      <c r="P170" s="37"/>
      <c r="Q170" s="39"/>
      <c r="R170" s="39"/>
      <c r="S170" s="39"/>
      <c r="T170" s="39"/>
      <c r="U170" s="40"/>
      <c r="Y170" s="52"/>
      <c r="Z170" s="52"/>
      <c r="AA170" s="52"/>
      <c r="AB170" s="28"/>
      <c r="AC170" s="28"/>
    </row>
    <row r="171" spans="1:29" s="27" customFormat="1" ht="24.75" customHeight="1">
      <c r="A171" s="22"/>
      <c r="B171" s="829" t="s">
        <v>356</v>
      </c>
      <c r="C171" s="501" t="s">
        <v>357</v>
      </c>
      <c r="D171" s="502" t="s">
        <v>358</v>
      </c>
      <c r="E171" s="502"/>
      <c r="F171" s="502" t="s">
        <v>359</v>
      </c>
      <c r="G171" s="503"/>
      <c r="H171" s="803" t="s">
        <v>360</v>
      </c>
      <c r="I171" s="831" t="s">
        <v>361</v>
      </c>
      <c r="J171" s="803" t="s">
        <v>362</v>
      </c>
      <c r="K171" s="803" t="s">
        <v>363</v>
      </c>
      <c r="L171" s="803" t="s">
        <v>364</v>
      </c>
      <c r="M171" s="803" t="s">
        <v>365</v>
      </c>
      <c r="N171" s="804" t="s">
        <v>366</v>
      </c>
      <c r="O171" s="805"/>
      <c r="P171" s="806" t="s">
        <v>367</v>
      </c>
      <c r="Q171" s="807"/>
      <c r="R171" s="784" t="s">
        <v>368</v>
      </c>
      <c r="S171" s="774"/>
      <c r="T171" s="798" t="s">
        <v>369</v>
      </c>
      <c r="U171" s="799"/>
      <c r="V171" s="800"/>
      <c r="X171" s="520"/>
      <c r="Y171" s="520"/>
    </row>
    <row r="172" spans="1:29" s="27" customFormat="1" ht="94.5" customHeight="1">
      <c r="A172" s="22"/>
      <c r="B172" s="830"/>
      <c r="C172" s="504" t="s">
        <v>370</v>
      </c>
      <c r="D172" s="505" t="s">
        <v>41</v>
      </c>
      <c r="E172" s="505" t="s">
        <v>371</v>
      </c>
      <c r="F172" s="505" t="s">
        <v>372</v>
      </c>
      <c r="G172" s="506" t="s">
        <v>373</v>
      </c>
      <c r="H172" s="793"/>
      <c r="I172" s="832"/>
      <c r="J172" s="793"/>
      <c r="K172" s="793"/>
      <c r="L172" s="793"/>
      <c r="M172" s="793"/>
      <c r="N172" s="504" t="s">
        <v>374</v>
      </c>
      <c r="O172" s="505" t="s">
        <v>375</v>
      </c>
      <c r="P172" s="801"/>
      <c r="Q172" s="802"/>
      <c r="R172" s="796"/>
      <c r="S172" s="797"/>
      <c r="T172" s="507" t="s">
        <v>376</v>
      </c>
      <c r="U172" s="508" t="s">
        <v>377</v>
      </c>
      <c r="V172" s="509" t="s">
        <v>378</v>
      </c>
      <c r="X172" s="521" t="s">
        <v>379</v>
      </c>
      <c r="Y172" s="521" t="s">
        <v>380</v>
      </c>
    </row>
    <row r="173" spans="1:29" s="27" customFormat="1" ht="15" customHeight="1">
      <c r="A173" s="22"/>
      <c r="B173" s="594"/>
      <c r="C173" s="595">
        <v>3</v>
      </c>
      <c r="D173" s="595">
        <v>4</v>
      </c>
      <c r="E173" s="595">
        <v>5</v>
      </c>
      <c r="F173" s="595">
        <v>6</v>
      </c>
      <c r="G173" s="595">
        <v>7</v>
      </c>
      <c r="H173" s="595">
        <v>8</v>
      </c>
      <c r="I173" s="595">
        <v>9</v>
      </c>
      <c r="J173" s="595">
        <v>10</v>
      </c>
      <c r="K173" s="595">
        <v>11</v>
      </c>
      <c r="L173" s="595">
        <v>12</v>
      </c>
      <c r="M173" s="595">
        <v>13</v>
      </c>
      <c r="N173" s="595">
        <v>14</v>
      </c>
      <c r="O173" s="595">
        <v>15</v>
      </c>
      <c r="P173" s="596">
        <v>16</v>
      </c>
      <c r="Q173" s="597">
        <v>17</v>
      </c>
      <c r="R173" s="596">
        <v>18</v>
      </c>
      <c r="S173" s="597">
        <v>19</v>
      </c>
      <c r="T173" s="598">
        <v>20</v>
      </c>
      <c r="U173" s="255">
        <v>21</v>
      </c>
      <c r="V173" s="599">
        <v>22</v>
      </c>
      <c r="X173" s="589"/>
      <c r="Y173" s="590"/>
    </row>
    <row r="174" spans="1:29" s="44" customFormat="1" ht="120.75" customHeight="1">
      <c r="A174" s="42" t="str">
        <f>"A"&amp;E170</f>
        <v>A6</v>
      </c>
      <c r="B174" s="605">
        <f>IF(C174&lt;&gt;"",B173+1,"")</f>
        <v>1</v>
      </c>
      <c r="C174" s="581" t="s">
        <v>443</v>
      </c>
      <c r="D174" s="581" t="s">
        <v>464</v>
      </c>
      <c r="E174" s="581" t="s">
        <v>465</v>
      </c>
      <c r="F174" s="581" t="s">
        <v>431</v>
      </c>
      <c r="G174" s="534">
        <v>0.1</v>
      </c>
      <c r="H174" s="534" t="s">
        <v>385</v>
      </c>
      <c r="I174" s="579" t="s">
        <v>384</v>
      </c>
      <c r="J174" s="580" t="str">
        <f>IF(I174="","",IF(I174="I",$F170,VLOOKUP(I174,$C191:$D196,2,0)))</f>
        <v>RD INGENIEROS CIVILES SAS</v>
      </c>
      <c r="K174" s="535">
        <v>41121</v>
      </c>
      <c r="L174" s="535">
        <v>41882</v>
      </c>
      <c r="M174" s="536">
        <v>5067.72</v>
      </c>
      <c r="N174" s="232">
        <f t="shared" ref="N174:N183" si="31">IF(OR(G174="",M174=""),"",M174*G174)</f>
        <v>506.77200000000005</v>
      </c>
      <c r="O174" s="260">
        <f t="shared" ref="O174:O183" si="32">IF(OR(H174="",H174="NO",K174&lt;$Q$17,K174&gt;$R$17,K174="",M174="",N174=""),"",ROUND(N174,7))</f>
        <v>506.77199999999999</v>
      </c>
      <c r="P174" s="781"/>
      <c r="Q174" s="782"/>
      <c r="R174" s="767"/>
      <c r="S174" s="768"/>
      <c r="T174" s="538" t="s">
        <v>385</v>
      </c>
      <c r="U174" s="539" t="s">
        <v>385</v>
      </c>
      <c r="V174" s="540" t="s">
        <v>385</v>
      </c>
      <c r="X174" s="541" t="s">
        <v>449</v>
      </c>
      <c r="Y174" s="541" t="s">
        <v>387</v>
      </c>
    </row>
    <row r="175" spans="1:29" s="44" customFormat="1" ht="24.95" customHeight="1">
      <c r="A175" s="42" t="str">
        <f>"B"&amp;E170</f>
        <v>B6</v>
      </c>
      <c r="B175" s="605" t="str">
        <f t="shared" ref="B175:B183" si="33">IF(C175&lt;&gt;"",B174+1,"")</f>
        <v/>
      </c>
      <c r="C175" s="581"/>
      <c r="D175" s="581"/>
      <c r="E175" s="581"/>
      <c r="F175" s="581"/>
      <c r="G175" s="534"/>
      <c r="H175" s="534"/>
      <c r="I175" s="579"/>
      <c r="J175" s="580" t="str">
        <f>IF(I175="","",IF(I175="I",$F170,VLOOKUP(I175,$C191:$D196,2,0)))</f>
        <v/>
      </c>
      <c r="K175" s="535"/>
      <c r="L175" s="535"/>
      <c r="M175" s="536"/>
      <c r="N175" s="232" t="str">
        <f t="shared" si="31"/>
        <v/>
      </c>
      <c r="O175" s="260" t="str">
        <f t="shared" si="32"/>
        <v/>
      </c>
      <c r="P175" s="781"/>
      <c r="Q175" s="782"/>
      <c r="R175" s="767"/>
      <c r="S175" s="768"/>
      <c r="T175" s="538"/>
      <c r="U175" s="539"/>
      <c r="V175" s="540"/>
      <c r="X175" s="541"/>
      <c r="Y175" s="541"/>
    </row>
    <row r="176" spans="1:29" s="44" customFormat="1" ht="24.95" customHeight="1">
      <c r="A176" s="42" t="str">
        <f>"C"&amp;E170</f>
        <v>C6</v>
      </c>
      <c r="B176" s="605" t="str">
        <f t="shared" si="33"/>
        <v/>
      </c>
      <c r="C176" s="581"/>
      <c r="D176" s="581"/>
      <c r="E176" s="581"/>
      <c r="F176" s="581"/>
      <c r="G176" s="534"/>
      <c r="H176" s="534"/>
      <c r="I176" s="579"/>
      <c r="J176" s="580" t="str">
        <f>IF(I176="","",IF(I176="I",$F170,VLOOKUP(I176,$C191:$D196,2,0)))</f>
        <v/>
      </c>
      <c r="K176" s="535"/>
      <c r="L176" s="535"/>
      <c r="M176" s="536"/>
      <c r="N176" s="232" t="str">
        <f t="shared" si="31"/>
        <v/>
      </c>
      <c r="O176" s="260" t="str">
        <f t="shared" si="32"/>
        <v/>
      </c>
      <c r="P176" s="781"/>
      <c r="Q176" s="782"/>
      <c r="R176" s="767"/>
      <c r="S176" s="768"/>
      <c r="T176" s="538"/>
      <c r="U176" s="539"/>
      <c r="V176" s="540"/>
      <c r="X176" s="541"/>
      <c r="Y176" s="541"/>
    </row>
    <row r="177" spans="1:29" s="44" customFormat="1" ht="24.95" customHeight="1">
      <c r="A177" s="42" t="str">
        <f>"D"&amp;E170</f>
        <v>D6</v>
      </c>
      <c r="B177" s="605" t="str">
        <f t="shared" si="33"/>
        <v/>
      </c>
      <c r="C177" s="581"/>
      <c r="D177" s="581"/>
      <c r="E177" s="581"/>
      <c r="F177" s="581"/>
      <c r="G177" s="534"/>
      <c r="H177" s="534"/>
      <c r="I177" s="579"/>
      <c r="J177" s="580" t="str">
        <f>IF(I177="","",IF(I177="I",$F170,VLOOKUP(I177,$C191:$D196,2,0)))</f>
        <v/>
      </c>
      <c r="K177" s="535"/>
      <c r="L177" s="535"/>
      <c r="M177" s="536"/>
      <c r="N177" s="232" t="str">
        <f t="shared" si="31"/>
        <v/>
      </c>
      <c r="O177" s="260" t="str">
        <f t="shared" si="32"/>
        <v/>
      </c>
      <c r="P177" s="781"/>
      <c r="Q177" s="782"/>
      <c r="R177" s="767"/>
      <c r="S177" s="768"/>
      <c r="T177" s="538"/>
      <c r="U177" s="539"/>
      <c r="V177" s="540"/>
      <c r="X177" s="541"/>
      <c r="Y177" s="541"/>
    </row>
    <row r="178" spans="1:29" s="44" customFormat="1" ht="24.95" customHeight="1">
      <c r="A178" s="42" t="str">
        <f>"E"&amp;E170</f>
        <v>E6</v>
      </c>
      <c r="B178" s="605" t="str">
        <f t="shared" si="33"/>
        <v/>
      </c>
      <c r="C178" s="581"/>
      <c r="D178" s="581"/>
      <c r="E178" s="581"/>
      <c r="F178" s="581"/>
      <c r="G178" s="534"/>
      <c r="H178" s="534"/>
      <c r="I178" s="579"/>
      <c r="J178" s="580" t="str">
        <f>IF(I178="","",IF(I178="I",$F170,VLOOKUP(I178,$C191:$D196,2,0)))</f>
        <v/>
      </c>
      <c r="K178" s="535"/>
      <c r="L178" s="535"/>
      <c r="M178" s="536"/>
      <c r="N178" s="232" t="str">
        <f t="shared" si="31"/>
        <v/>
      </c>
      <c r="O178" s="260" t="str">
        <f t="shared" si="32"/>
        <v/>
      </c>
      <c r="P178" s="781"/>
      <c r="Q178" s="782"/>
      <c r="R178" s="767"/>
      <c r="S178" s="768"/>
      <c r="T178" s="538"/>
      <c r="U178" s="539"/>
      <c r="V178" s="540"/>
      <c r="X178" s="541"/>
      <c r="Y178" s="541"/>
    </row>
    <row r="179" spans="1:29" s="44" customFormat="1" ht="24.95" customHeight="1">
      <c r="A179" s="42" t="str">
        <f>"F"&amp;E170</f>
        <v>F6</v>
      </c>
      <c r="B179" s="605" t="str">
        <f t="shared" si="33"/>
        <v/>
      </c>
      <c r="C179" s="581"/>
      <c r="D179" s="581"/>
      <c r="E179" s="581"/>
      <c r="F179" s="581"/>
      <c r="G179" s="534"/>
      <c r="H179" s="534"/>
      <c r="I179" s="579"/>
      <c r="J179" s="580" t="str">
        <f>IF(I179="","",IF(I179="I",$F170,VLOOKUP(I179,$C191:$D196,2,0)))</f>
        <v/>
      </c>
      <c r="K179" s="535"/>
      <c r="L179" s="535"/>
      <c r="M179" s="536"/>
      <c r="N179" s="232" t="str">
        <f t="shared" si="31"/>
        <v/>
      </c>
      <c r="O179" s="260" t="str">
        <f t="shared" si="32"/>
        <v/>
      </c>
      <c r="P179" s="781"/>
      <c r="Q179" s="782"/>
      <c r="R179" s="767"/>
      <c r="S179" s="768"/>
      <c r="T179" s="538"/>
      <c r="U179" s="539"/>
      <c r="V179" s="540"/>
      <c r="X179" s="541"/>
      <c r="Y179" s="541"/>
    </row>
    <row r="180" spans="1:29" s="44" customFormat="1" ht="24.95" customHeight="1">
      <c r="A180" s="42" t="str">
        <f>"G"&amp;E170</f>
        <v>G6</v>
      </c>
      <c r="B180" s="605" t="str">
        <f t="shared" si="33"/>
        <v/>
      </c>
      <c r="C180" s="581"/>
      <c r="D180" s="581"/>
      <c r="E180" s="581"/>
      <c r="F180" s="581"/>
      <c r="G180" s="534"/>
      <c r="H180" s="534"/>
      <c r="I180" s="579"/>
      <c r="J180" s="580" t="str">
        <f>IF(I180="","",IF(I180="I",$F170,VLOOKUP(I180,$C191:$D196,2,0)))</f>
        <v/>
      </c>
      <c r="K180" s="535"/>
      <c r="L180" s="535"/>
      <c r="M180" s="536"/>
      <c r="N180" s="43" t="str">
        <f t="shared" si="31"/>
        <v/>
      </c>
      <c r="O180" s="260" t="str">
        <f t="shared" si="32"/>
        <v/>
      </c>
      <c r="P180" s="781"/>
      <c r="Q180" s="782"/>
      <c r="R180" s="767"/>
      <c r="S180" s="768"/>
      <c r="T180" s="538"/>
      <c r="U180" s="539"/>
      <c r="V180" s="540"/>
      <c r="X180" s="541"/>
      <c r="Y180" s="541"/>
    </row>
    <row r="181" spans="1:29" s="44" customFormat="1" ht="24.95" customHeight="1">
      <c r="A181" s="42" t="str">
        <f>"H"&amp;E170</f>
        <v>H6</v>
      </c>
      <c r="B181" s="605" t="str">
        <f t="shared" si="33"/>
        <v/>
      </c>
      <c r="C181" s="581"/>
      <c r="D181" s="581"/>
      <c r="E181" s="581"/>
      <c r="F181" s="581"/>
      <c r="G181" s="534"/>
      <c r="H181" s="534"/>
      <c r="I181" s="579"/>
      <c r="J181" s="580" t="str">
        <f>IF(I181="","",IF(I181="I",$F170,VLOOKUP(I181,$C191:$D196,2,0)))</f>
        <v/>
      </c>
      <c r="K181" s="535"/>
      <c r="L181" s="535"/>
      <c r="M181" s="537"/>
      <c r="N181" s="43" t="str">
        <f t="shared" si="31"/>
        <v/>
      </c>
      <c r="O181" s="260" t="str">
        <f t="shared" si="32"/>
        <v/>
      </c>
      <c r="P181" s="781"/>
      <c r="Q181" s="782"/>
      <c r="R181" s="767"/>
      <c r="S181" s="768"/>
      <c r="T181" s="538"/>
      <c r="U181" s="539"/>
      <c r="V181" s="540"/>
      <c r="X181" s="541"/>
      <c r="Y181" s="541"/>
    </row>
    <row r="182" spans="1:29" s="44" customFormat="1" ht="24.95" customHeight="1">
      <c r="A182" s="42" t="str">
        <f>"I"&amp;E170</f>
        <v>I6</v>
      </c>
      <c r="B182" s="605" t="str">
        <f t="shared" si="33"/>
        <v/>
      </c>
      <c r="C182" s="581"/>
      <c r="D182" s="581"/>
      <c r="E182" s="581"/>
      <c r="F182" s="581"/>
      <c r="G182" s="534"/>
      <c r="H182" s="534"/>
      <c r="I182" s="579"/>
      <c r="J182" s="580" t="str">
        <f>IF(I182="","",IF(I182="I",$F170,VLOOKUP(I182,$C191:$D196,2,0)))</f>
        <v/>
      </c>
      <c r="K182" s="535"/>
      <c r="L182" s="535"/>
      <c r="M182" s="537"/>
      <c r="N182" s="43" t="str">
        <f t="shared" si="31"/>
        <v/>
      </c>
      <c r="O182" s="260" t="str">
        <f t="shared" si="32"/>
        <v/>
      </c>
      <c r="P182" s="781"/>
      <c r="Q182" s="782"/>
      <c r="R182" s="767"/>
      <c r="S182" s="768"/>
      <c r="T182" s="538"/>
      <c r="U182" s="539"/>
      <c r="V182" s="540"/>
      <c r="X182" s="541"/>
      <c r="Y182" s="541"/>
    </row>
    <row r="183" spans="1:29" s="44" customFormat="1" ht="24.95" customHeight="1" thickBot="1">
      <c r="A183" s="42" t="str">
        <f>"J"&amp;E170</f>
        <v>J6</v>
      </c>
      <c r="B183" s="612" t="str">
        <f t="shared" si="33"/>
        <v/>
      </c>
      <c r="C183" s="582"/>
      <c r="D183" s="582"/>
      <c r="E183" s="582"/>
      <c r="F183" s="582"/>
      <c r="G183" s="583"/>
      <c r="H183" s="583"/>
      <c r="I183" s="584"/>
      <c r="J183" s="585" t="str">
        <f>IF(I183="","",IF(I183="I",$F170,VLOOKUP(I183,$C191:$D196,2,0)))</f>
        <v/>
      </c>
      <c r="K183" s="586"/>
      <c r="L183" s="586"/>
      <c r="M183" s="587"/>
      <c r="N183" s="43" t="str">
        <f t="shared" si="31"/>
        <v/>
      </c>
      <c r="O183" s="260" t="str">
        <f t="shared" si="32"/>
        <v/>
      </c>
      <c r="P183" s="781"/>
      <c r="Q183" s="782"/>
      <c r="R183" s="767"/>
      <c r="S183" s="768"/>
      <c r="T183" s="538"/>
      <c r="U183" s="539"/>
      <c r="V183" s="540"/>
      <c r="X183" s="541"/>
      <c r="Y183" s="541"/>
    </row>
    <row r="184" spans="1:29" s="27" customFormat="1" ht="12" customHeight="1" thickBot="1">
      <c r="A184" s="42"/>
      <c r="B184" s="45"/>
      <c r="C184" s="46"/>
      <c r="D184" s="46"/>
      <c r="E184" s="46"/>
      <c r="F184" s="46"/>
      <c r="G184" s="46"/>
      <c r="H184" s="606"/>
      <c r="I184" s="46"/>
      <c r="J184" s="46"/>
      <c r="K184" s="46"/>
      <c r="L184" s="46"/>
      <c r="M184" s="46"/>
      <c r="N184" s="46"/>
      <c r="O184" s="259"/>
      <c r="P184" s="46"/>
      <c r="Q184" s="46"/>
      <c r="R184" s="259"/>
      <c r="S184" s="46"/>
      <c r="T184" s="46"/>
      <c r="U184" s="47"/>
      <c r="V184" s="48"/>
      <c r="X184" s="592"/>
      <c r="Y184" s="593"/>
      <c r="AB184" s="378"/>
    </row>
    <row r="185" spans="1:29" s="27" customFormat="1" ht="17.25" customHeight="1" thickBot="1">
      <c r="A185" s="42" t="str">
        <f>"Z"&amp;E170</f>
        <v>Z6</v>
      </c>
      <c r="B185" s="510"/>
      <c r="C185" s="511"/>
      <c r="D185" s="511"/>
      <c r="E185" s="511"/>
      <c r="F185" s="511"/>
      <c r="G185" s="511"/>
      <c r="H185" s="511"/>
      <c r="I185" s="511"/>
      <c r="J185" s="511"/>
      <c r="K185" s="511"/>
      <c r="L185" s="511"/>
      <c r="M185" s="511"/>
      <c r="N185" s="437" t="s">
        <v>388</v>
      </c>
      <c r="O185" s="438">
        <f>IF(COUNTIF(O174:O183,"")&gt;9,0,SUM(O174:O183)/(COUNTIF(H174:H183,"SI")))</f>
        <v>506.77199999999999</v>
      </c>
      <c r="P185" s="511"/>
      <c r="Q185" s="511"/>
      <c r="R185" s="530"/>
      <c r="S185" s="530"/>
      <c r="T185" s="531"/>
      <c r="U185" s="532"/>
      <c r="V185" s="533"/>
      <c r="W185" s="285"/>
      <c r="X185" s="613" t="e">
        <f>COUNTIF(#REF!,"")-COUNTIF(#REF!,"CUMPLE")-1</f>
        <v>#REF!</v>
      </c>
      <c r="Y185" s="591"/>
      <c r="AB185" s="28"/>
    </row>
    <row r="186" spans="1:29" ht="17.25" customHeight="1">
      <c r="B186" s="50"/>
      <c r="C186" s="50"/>
      <c r="D186" s="50"/>
      <c r="E186" s="50"/>
      <c r="F186" s="50"/>
      <c r="G186" s="51"/>
      <c r="H186" s="51"/>
      <c r="I186" s="51"/>
      <c r="J186" s="51"/>
      <c r="K186" s="51"/>
      <c r="L186" s="51"/>
      <c r="M186" s="51"/>
      <c r="N186" s="51"/>
      <c r="O186" s="51"/>
      <c r="P186" s="51"/>
      <c r="Q186" s="51"/>
      <c r="R186" s="51"/>
      <c r="S186" s="51"/>
      <c r="T186" s="51"/>
      <c r="U186" s="51"/>
      <c r="V186" s="51"/>
      <c r="W186" s="51"/>
      <c r="X186" s="608"/>
      <c r="Y186" s="51"/>
      <c r="Z186" s="51"/>
      <c r="AA186" s="51"/>
      <c r="AB186" s="51"/>
      <c r="AC186" s="50"/>
    </row>
    <row r="187" spans="1:29" s="27" customFormat="1" ht="16.5" customHeight="1" thickBot="1">
      <c r="A187" s="22"/>
      <c r="B187" s="783" t="s">
        <v>389</v>
      </c>
      <c r="C187" s="783"/>
      <c r="D187" s="783"/>
      <c r="E187" s="783"/>
      <c r="F187" s="783"/>
      <c r="G187" s="783"/>
      <c r="H187" s="783"/>
      <c r="I187" s="783"/>
      <c r="J187" s="783"/>
      <c r="K187" s="783"/>
      <c r="L187" s="783"/>
      <c r="M187" s="783"/>
      <c r="N187" s="783"/>
      <c r="O187" s="783"/>
      <c r="P187" s="783"/>
      <c r="Q187" s="783"/>
      <c r="R187" s="783"/>
      <c r="S187" s="783"/>
      <c r="T187" s="783"/>
      <c r="U187" s="783"/>
      <c r="V187" s="783"/>
      <c r="W187" s="286"/>
      <c r="X187" s="607"/>
      <c r="Y187" s="52"/>
      <c r="Z187" s="52"/>
      <c r="AA187" s="52"/>
      <c r="AB187" s="28"/>
      <c r="AC187" s="28"/>
    </row>
    <row r="188" spans="1:29" s="30" customFormat="1" ht="22.5" customHeight="1">
      <c r="A188" s="112" t="str">
        <f>"K"&amp;E170</f>
        <v>K6</v>
      </c>
      <c r="B188" s="790" t="s">
        <v>390</v>
      </c>
      <c r="C188" s="772" t="s">
        <v>391</v>
      </c>
      <c r="D188" s="773"/>
      <c r="E188" s="773"/>
      <c r="F188" s="773"/>
      <c r="G188" s="773"/>
      <c r="H188" s="773"/>
      <c r="I188" s="773"/>
      <c r="J188" s="773"/>
      <c r="K188" s="773"/>
      <c r="L188" s="773"/>
      <c r="M188" s="774"/>
      <c r="N188" s="525"/>
      <c r="O188" s="588"/>
      <c r="P188" s="772" t="s">
        <v>392</v>
      </c>
      <c r="Q188" s="773"/>
      <c r="R188" s="773"/>
      <c r="S188" s="774"/>
      <c r="T188" s="784" t="s">
        <v>393</v>
      </c>
      <c r="U188" s="774"/>
      <c r="V188" s="811"/>
      <c r="W188" s="284"/>
      <c r="X188" s="778" t="s">
        <v>394</v>
      </c>
      <c r="Y188" s="779"/>
      <c r="Z188" s="779"/>
      <c r="AA188" s="779" t="s">
        <v>395</v>
      </c>
      <c r="AB188" s="808" t="s">
        <v>396</v>
      </c>
      <c r="AC188" s="28"/>
    </row>
    <row r="189" spans="1:29" s="30" customFormat="1" ht="22.5" customHeight="1">
      <c r="A189" s="112" t="str">
        <f>"L"&amp;E170</f>
        <v>L6</v>
      </c>
      <c r="B189" s="791"/>
      <c r="C189" s="769" t="s">
        <v>397</v>
      </c>
      <c r="D189" s="770"/>
      <c r="E189" s="771"/>
      <c r="F189" s="512">
        <f>IF(VLOOKUP(E170,PROPONENTES!$C$19:$E$108,3,0)="","",VLOOKUP(E170,PROPONENTES!$C$19:$E$108,3,0))</f>
        <v>1</v>
      </c>
      <c r="G189" s="824" t="s">
        <v>398</v>
      </c>
      <c r="H189" s="793" t="s">
        <v>399</v>
      </c>
      <c r="I189" s="793"/>
      <c r="J189" s="769" t="s">
        <v>400</v>
      </c>
      <c r="K189" s="823"/>
      <c r="L189" s="513" t="s">
        <v>401</v>
      </c>
      <c r="M189" s="513"/>
      <c r="N189" s="526"/>
      <c r="O189" s="527"/>
      <c r="P189" s="775"/>
      <c r="Q189" s="776"/>
      <c r="R189" s="776"/>
      <c r="S189" s="777"/>
      <c r="T189" s="796"/>
      <c r="U189" s="797"/>
      <c r="V189" s="812"/>
      <c r="W189" s="284"/>
      <c r="X189" s="780" t="s">
        <v>402</v>
      </c>
      <c r="Y189" s="810" t="s">
        <v>403</v>
      </c>
      <c r="Z189" s="810"/>
      <c r="AA189" s="810"/>
      <c r="AB189" s="809"/>
      <c r="AC189" s="28"/>
    </row>
    <row r="190" spans="1:29" s="30" customFormat="1" ht="51.75" customHeight="1" thickBot="1">
      <c r="A190" s="112" t="str">
        <f>"M"&amp;E170</f>
        <v>M6</v>
      </c>
      <c r="B190" s="791"/>
      <c r="C190" s="770" t="s">
        <v>404</v>
      </c>
      <c r="D190" s="771"/>
      <c r="E190" s="514" t="s">
        <v>405</v>
      </c>
      <c r="F190" s="515" t="s">
        <v>406</v>
      </c>
      <c r="G190" s="824"/>
      <c r="H190" s="793"/>
      <c r="I190" s="793"/>
      <c r="J190" s="504" t="s">
        <v>407</v>
      </c>
      <c r="K190" s="516" t="s">
        <v>408</v>
      </c>
      <c r="L190" s="517" t="s">
        <v>409</v>
      </c>
      <c r="M190" s="517"/>
      <c r="N190" s="528" t="s">
        <v>410</v>
      </c>
      <c r="O190" s="529"/>
      <c r="P190" s="386"/>
      <c r="Q190" s="387" t="s">
        <v>411</v>
      </c>
      <c r="R190" s="388"/>
      <c r="S190" s="113">
        <f>COUNTIFS(H174:H183,"SI",O174:O183,"&gt;0")</f>
        <v>1</v>
      </c>
      <c r="T190" s="785"/>
      <c r="U190" s="787"/>
      <c r="V190" s="813"/>
      <c r="W190" s="284"/>
      <c r="X190" s="780"/>
      <c r="Y190" s="810"/>
      <c r="Z190" s="810"/>
      <c r="AA190" s="810"/>
      <c r="AB190" s="809"/>
      <c r="AC190" s="28"/>
    </row>
    <row r="191" spans="1:29" s="30" customFormat="1" ht="15.75" customHeight="1">
      <c r="A191" s="112" t="str">
        <f>"N"&amp;E170</f>
        <v>N6</v>
      </c>
      <c r="B191" s="791"/>
      <c r="C191" s="54">
        <v>1</v>
      </c>
      <c r="D191" s="100" t="str">
        <f>IF(AND(C191&lt;=F189,F189&gt;1,F189&lt;&gt;""),VLOOKUP(VALUE(E170&amp;","&amp;C191),INTEGRANTES!$D$19:$F$192,2,0),"")</f>
        <v/>
      </c>
      <c r="E191" s="107" t="str">
        <f>IF(D191&lt;&gt;"",VLOOKUP(VALUE(E170&amp;","&amp;C191),INTEGRANTES!$D$19:$F$192,3,0),"")</f>
        <v/>
      </c>
      <c r="F191" s="380" t="str">
        <f>IF(D191="","",IF(OR(SUMIF($J177:$J183,D191,$O177:$O183)=0,N191="NO"),"NO APORTA",SUMIF($J177:$J183,D191,$O177:$O183)))</f>
        <v/>
      </c>
      <c r="G191" s="380" t="str">
        <f>IF($D191="","",IF($F189&lt;=1,"",ROUND(POSMMLV*PORPO,2)))</f>
        <v/>
      </c>
      <c r="H191" s="765" t="str">
        <f>IF($D191="","",IF(OR(F191="NO APORTA",G191&gt;F191),"NO CUMPLE","CUMPLE"))</f>
        <v/>
      </c>
      <c r="I191" s="766"/>
      <c r="J191" s="108" t="str">
        <f>IF(D191="","",IF(OR(AND(SUMIF($J174:$J183,D191,$O174:$O183)&gt;=5%*POSMMLV,N191="SI"),AND(SUMIF($J174:$J183,D191,$O174:$O183)=0,E191&lt;=5%,N191="SI")),"CUMPLE","NO CUMPLE"))</f>
        <v/>
      </c>
      <c r="K191" s="105" t="str">
        <f>IF(OR(D191="",J191=""),"",IF(AND(J191="NO CUMPLE",F191="NO APORTA",E191&gt;5%),"EXP = 0 y PART &gt; 5%",IF(F191&lt;5%*Q196,"EXP &lt; 5%*PO","")))</f>
        <v/>
      </c>
      <c r="L191" s="389" t="str">
        <f>IF(OR(D191="",E191=""),"",IF(AND(E191&gt;=0.25,F191&lt;&gt;"NO APORTA",F191&gt;=$R196*0.25),"SI","NO"))</f>
        <v/>
      </c>
      <c r="M191" s="389"/>
      <c r="N191" s="468" t="s">
        <v>385</v>
      </c>
      <c r="O191" s="396">
        <f>COUNTIFS(O174:O183,"&gt;0",H174:H183,"SI")</f>
        <v>1</v>
      </c>
      <c r="P191" s="814" t="s">
        <v>139</v>
      </c>
      <c r="Q191" s="814"/>
      <c r="R191" s="817">
        <f>E170</f>
        <v>6</v>
      </c>
      <c r="S191" s="818"/>
      <c r="T191" s="784" t="s">
        <v>412</v>
      </c>
      <c r="U191" s="773"/>
      <c r="V191" s="774"/>
      <c r="W191" s="283"/>
      <c r="X191" s="542" t="str">
        <f>IF($F189=1,"NO APLICA",$D191)</f>
        <v>NO APLICA</v>
      </c>
      <c r="Y191" s="543" t="str">
        <f>IF(OR($F191="",$F191="NO APORTA",$R196=0,$X191="NO APLICA"),"",ROUND($F191/$Q196,2))</f>
        <v/>
      </c>
      <c r="Z191" s="544" t="str">
        <f>IF(Y197=1,"SI APLICA",IF(OR($X191="",$X191="NO APLICA",$F191="",$F191="NO APORTA"),"",IF(ROUND($F191/Q196,7)&gt;=0.4,"SI APLICA","NO APLICA")))</f>
        <v>SI APLICA</v>
      </c>
      <c r="AA191" s="543" t="s">
        <v>413</v>
      </c>
      <c r="AB191" s="540" t="str">
        <f>IF(COUNTIF(Z191:AA191,"SI APLICA")=2,"SI APLICA","")</f>
        <v>SI APLICA</v>
      </c>
      <c r="AC191" s="28"/>
    </row>
    <row r="192" spans="1:29" s="30" customFormat="1" ht="15.75" customHeight="1" thickBot="1">
      <c r="A192" s="112" t="str">
        <f>"O"&amp;E170</f>
        <v>O6</v>
      </c>
      <c r="B192" s="791"/>
      <c r="C192" s="54">
        <v>2</v>
      </c>
      <c r="D192" s="100" t="str">
        <f>IF(AND(C192&lt;=F189,F189&lt;&gt;""),VLOOKUP(VALUE(E170&amp;","&amp;C192),INTEGRANTES!$D$19:$F$192,2,0),"")</f>
        <v/>
      </c>
      <c r="E192" s="107" t="str">
        <f>IF(D192&lt;&gt;"",VLOOKUP(VALUE(E170&amp;","&amp;C192),INTEGRANTES!$D$19:$F$192,3,0),"")</f>
        <v/>
      </c>
      <c r="F192" s="380" t="str">
        <f>IF(D192="","",IF(OR(SUMIF($J177:$J183,D192,$O177:$O183)=0,N192="NO"),"NO APORTA",SUMIF($J177:$J183,D192,$O177:$O183)))</f>
        <v/>
      </c>
      <c r="G192" s="380" t="str">
        <f>IF($D192="","",IF($F189&lt;=1,"",ROUND(POSMMLV*PORPO,2)))</f>
        <v/>
      </c>
      <c r="H192" s="765" t="str">
        <f t="shared" ref="H192:H195" si="34">IF($D192="","",IF(OR(F192="NO APORTA",G192&gt;F192),"NO CUMPLE","CUMPLE"))</f>
        <v/>
      </c>
      <c r="I192" s="766"/>
      <c r="J192" s="108" t="str">
        <f>IF(D192="","",IF(OR(AND(SUMIF($J174:$J183,D192,$O174:$O183)&gt;=5%*POSMMLV,N192="SI"),AND(SUMIF($J174:$J183,D192,$O174:$O183)=0,E192&lt;=5%,N192="SI")),"CUMPLE","NO CUMPLE"))</f>
        <v/>
      </c>
      <c r="K192" s="105" t="str">
        <f>IF(OR(D192="",J192=""),"",IF(AND(J192="NO CUMPLE",F192="NO APORTA",E192&gt;5%),"EXP = 0 y PART &gt; 5%",IF(F192&lt;5%*Q196,"EXP &lt; 5%*PO","")))</f>
        <v/>
      </c>
      <c r="L192" s="389" t="str">
        <f>IF(OR(D192="",E192=""),"",IF(AND(E192&gt;=0.25,F192&lt;&gt;"NO APORTA",F192&gt;=$R196*0.25),"SI","NO"))</f>
        <v/>
      </c>
      <c r="M192" s="389"/>
      <c r="N192" s="468" t="s">
        <v>385</v>
      </c>
      <c r="O192" s="396"/>
      <c r="P192" s="815"/>
      <c r="Q192" s="815"/>
      <c r="R192" s="815"/>
      <c r="S192" s="819"/>
      <c r="T192" s="785"/>
      <c r="U192" s="786"/>
      <c r="V192" s="787"/>
      <c r="W192" s="283"/>
      <c r="X192" s="542" t="str">
        <f>IF($F189=1,"NO APLICA",$D192)</f>
        <v>NO APLICA</v>
      </c>
      <c r="Y192" s="543" t="str">
        <f>IF(OR($F192="",$F192="NO APORTA",$R196=0,$X192="NO APLICA"),"",ROUND($F192/$Q196,2))</f>
        <v/>
      </c>
      <c r="Z192" s="544"/>
      <c r="AA192" s="543"/>
      <c r="AB192" s="540" t="str">
        <f t="shared" ref="AB192" si="35">IF(COUNTIF(Z192:AA192,"SI APLICA")=2,"SI APLICA","")</f>
        <v/>
      </c>
      <c r="AC192" s="28"/>
    </row>
    <row r="193" spans="1:29" s="30" customFormat="1" ht="15.75" customHeight="1">
      <c r="A193" s="112" t="str">
        <f>"P"&amp;E170</f>
        <v>P6</v>
      </c>
      <c r="B193" s="791"/>
      <c r="C193" s="54">
        <v>3</v>
      </c>
      <c r="D193" s="100" t="str">
        <f>IF(AND(C193&lt;=F189,F189&lt;&gt;""),VLOOKUP(VALUE(E170&amp;","&amp;C193),INTEGRANTES!$D$19:$F$192,2,0),"")</f>
        <v/>
      </c>
      <c r="E193" s="107" t="str">
        <f>IF(D193&lt;&gt;"",VLOOKUP(VALUE(E170&amp;","&amp;C193),INTEGRANTES!$D$19:$F$192,3,0),"")</f>
        <v/>
      </c>
      <c r="F193" s="380" t="str">
        <f>IF(D193="","",IF(OR(SUMIF($J177:$J183,D193,$O177:$O183)=0,N193="NO"),"NO APORTA",SUMIF($J177:$J183,D193,$O177:$O183)))</f>
        <v/>
      </c>
      <c r="G193" s="380" t="str">
        <f>IF($D193="","",IF($F189&lt;=1,"",ROUND(POSMMLV*PORPO,2)))</f>
        <v/>
      </c>
      <c r="H193" s="765" t="str">
        <f t="shared" si="34"/>
        <v/>
      </c>
      <c r="I193" s="766"/>
      <c r="J193" s="108" t="str">
        <f>IF(D193="","",IF(OR(AND(SUMIF($J174:$J183,D193,$O174:$O183)&gt;=5%*POSMMLV,N193="SI"),AND(SUMIF($J174:$J183,D193,$O174:$O183)=0,E193&lt;=5%,N193="SI")),"CUMPLE","NO CUMPLE"))</f>
        <v/>
      </c>
      <c r="K193" s="105" t="str">
        <f>IF(OR(D193="",J193=""),"",IF(AND(J193="NO CUMPLE",F193="NO APORTA",E193&gt;5%),"EXP = 0 y PART &gt; 5%",IF(F193&lt;5%*Q196,"EXP &lt; 5%*PO","")))</f>
        <v/>
      </c>
      <c r="L193" s="389" t="str">
        <f>IF(OR(D193="",E193=""),"",IF(AND(E193&gt;=0.25,F193&lt;&gt;"NO APORTA",F193&gt;=$R196*0.25),"SI","NO"))</f>
        <v/>
      </c>
      <c r="M193" s="389"/>
      <c r="N193" s="468"/>
      <c r="O193" s="397"/>
      <c r="P193" s="816"/>
      <c r="Q193" s="816"/>
      <c r="R193" s="816"/>
      <c r="S193" s="820"/>
      <c r="T193" s="308"/>
      <c r="U193" s="308"/>
      <c r="V193" s="309"/>
      <c r="W193" s="284"/>
      <c r="X193" s="542" t="str">
        <f>IF($F189=1,"NO APLICA",$D193)</f>
        <v>NO APLICA</v>
      </c>
      <c r="Y193" s="543" t="str">
        <f>IF(OR($F193="",$F193="NO APORTA",$R196=0,$X193="NO APLICA"),"",ROUND($F193/$Q196,2))</f>
        <v/>
      </c>
      <c r="Z193" s="544"/>
      <c r="AA193" s="543"/>
      <c r="AB193" s="540" t="str">
        <f>IF(COUNTIF(Z193:AA193,"SI APLICA")=2,"SI APLICA","")</f>
        <v/>
      </c>
      <c r="AC193" s="28"/>
    </row>
    <row r="194" spans="1:29" s="30" customFormat="1" ht="15.75" customHeight="1">
      <c r="A194" s="112" t="str">
        <f>"Q"&amp;E170</f>
        <v>Q6</v>
      </c>
      <c r="B194" s="791"/>
      <c r="C194" s="54">
        <v>4</v>
      </c>
      <c r="D194" s="100" t="str">
        <f>IF(AND(C194&lt;=F189,F189&lt;&gt;""),VLOOKUP(VALUE(E170&amp;","&amp;C194),INTEGRANTES!$D$19:$F$192,2,0),"")</f>
        <v/>
      </c>
      <c r="E194" s="107" t="str">
        <f>IF(D194&lt;&gt;"",VLOOKUP(VALUE(E170&amp;","&amp;C194),INTEGRANTES!$D$19:$F$192,3,0),"")</f>
        <v/>
      </c>
      <c r="F194" s="380" t="str">
        <f>IF(D194="","",IF(OR(SUMIF($J177:$J183,D194,$O177:$O183)=0,N194="NO"),"NO APORTA",SUMIF($J177:$J183,D194,$O177:$O183)))</f>
        <v/>
      </c>
      <c r="G194" s="380" t="str">
        <f>IF($D194="","",IF($F189&lt;=1,"",ROUND(POSMMLV*PORPO,2)))</f>
        <v/>
      </c>
      <c r="H194" s="765" t="str">
        <f t="shared" si="34"/>
        <v/>
      </c>
      <c r="I194" s="766"/>
      <c r="J194" s="108" t="str">
        <f>IF(D194="","",IF(OR(AND(SUMIF($J174:$J183,D194,$O174:$O183)&gt;=5%*POSMMLV,N194="SI"),AND(SUMIF($J174:$J183,D194,$O174:$O183)=0,E194&lt;=5%,N194="SI")),"CUMPLE","NO CUMPLE"))</f>
        <v/>
      </c>
      <c r="K194" s="105" t="str">
        <f>IF(OR(D194="",J194=""),"",IF(AND(J194="NO CUMPLE",F194="NO APORTA",E194&gt;5%),"EXP = 0 y PART &gt; 5%",IF(F194&lt;5%*Q196,"EXP &lt; 5%*PO","")))</f>
        <v/>
      </c>
      <c r="L194" s="389" t="str">
        <f>IF(OR(D194="",E194=""),"",IF(AND(E194&gt;=0.25,F194&lt;&gt;"NO APORTA",F194&gt;=$R196*0.25),"SI","NO"))</f>
        <v/>
      </c>
      <c r="M194" s="389"/>
      <c r="N194" s="468"/>
      <c r="O194" s="788" t="s">
        <v>414</v>
      </c>
      <c r="P194" s="769" t="s">
        <v>415</v>
      </c>
      <c r="Q194" s="770"/>
      <c r="R194" s="770"/>
      <c r="S194" s="771"/>
      <c r="T194" s="284"/>
      <c r="U194" s="284"/>
      <c r="V194" s="310"/>
      <c r="W194" s="284"/>
      <c r="X194" s="542" t="str">
        <f>IF($F189=1,"NO APLICA",$D194)</f>
        <v>NO APLICA</v>
      </c>
      <c r="Y194" s="543" t="str">
        <f>IF(OR($F194="",$F194="NO APORTA",$R196=0,$X194="NO APLICA"),"",ROUND($F194/$Q196,2))</f>
        <v/>
      </c>
      <c r="Z194" s="544"/>
      <c r="AA194" s="543"/>
      <c r="AB194" s="540" t="str">
        <f t="shared" ref="AB194:AB195" si="36">IF(COUNTIF(Z194:AA194,"SI APLICA")=2,"SI APLICA","")</f>
        <v/>
      </c>
      <c r="AC194" s="28"/>
    </row>
    <row r="195" spans="1:29" s="30" customFormat="1" ht="17.25" customHeight="1">
      <c r="A195" s="112" t="str">
        <f>"R"&amp;E170</f>
        <v>R6</v>
      </c>
      <c r="B195" s="791"/>
      <c r="C195" s="54">
        <v>5</v>
      </c>
      <c r="D195" s="100" t="str">
        <f>IF(AND(C195&lt;=F189,F189&lt;&gt;""),VLOOKUP(VALUE(E170&amp;","&amp;C195),INTEGRANTES!$D$19:$F$192,2,0),"")</f>
        <v/>
      </c>
      <c r="E195" s="107" t="str">
        <f>IF(D195&lt;&gt;"",VLOOKUP(VALUE(E170&amp;","&amp;C195),INTEGRANTES!$D$19:$F$192,3,0),"")</f>
        <v/>
      </c>
      <c r="F195" s="380" t="str">
        <f>IF(D195="","",IF(OR(SUMIF($J177:$J183,D195,$O177:$O183)=0,N195="NO"),"NO APORTA",SUMIF($J177:$J183,D195,$O177:$O183)))</f>
        <v/>
      </c>
      <c r="G195" s="380" t="str">
        <f>IF($D195="","",IF($F189&lt;=1,"",ROUND(POSMMLV*PORPO,2)))</f>
        <v/>
      </c>
      <c r="H195" s="765" t="str">
        <f t="shared" si="34"/>
        <v/>
      </c>
      <c r="I195" s="766"/>
      <c r="J195" s="108" t="str">
        <f>IF(D195="","",IF(OR(AND(SUMIF($J174:$J183,D195,$O174:$O183)&gt;=5%*POSMMLV,N195="SI"),AND(SUMIF($J174:$J183,D195,$O174:$O183)=0,E195&lt;=5%,N195="SI")),"CUMPLE","NO CUMPLE"))</f>
        <v/>
      </c>
      <c r="K195" s="105" t="str">
        <f>IF(OR(D195="",J195=""),"",IF(AND(J195="NO CUMPLE",F195="NO APORTA",E195&gt;5%),"EXP = 0 y PART &gt; 5%",IF(F195&lt;5%*Q196,"EXP &lt; 5%*PO","")))</f>
        <v/>
      </c>
      <c r="L195" s="389" t="str">
        <f>IF(OR(D195="",E195=""),"",IF(AND(E195&gt;=0.25,F195&lt;&gt;"NO APORTA",F195&gt;=$R196*0.25),"SI","NO"))</f>
        <v/>
      </c>
      <c r="M195" s="389"/>
      <c r="N195" s="468"/>
      <c r="O195" s="789"/>
      <c r="P195" s="504" t="s">
        <v>416</v>
      </c>
      <c r="Q195" s="504" t="s">
        <v>417</v>
      </c>
      <c r="R195" s="793" t="s">
        <v>418</v>
      </c>
      <c r="S195" s="793"/>
      <c r="T195" s="284"/>
      <c r="U195" s="284"/>
      <c r="V195" s="310"/>
      <c r="W195" s="284"/>
      <c r="X195" s="542" t="str">
        <f>IF($F189=1,"NO APLICA",$D195)</f>
        <v>NO APLICA</v>
      </c>
      <c r="Y195" s="543" t="str">
        <f>IF(OR($F195="",$F195="NO APORTA",$R196=0,$X195="NO APLICA"),"",ROUND($F195/$Q196,2))</f>
        <v/>
      </c>
      <c r="Z195" s="544"/>
      <c r="AA195" s="543"/>
      <c r="AB195" s="540" t="str">
        <f t="shared" si="36"/>
        <v/>
      </c>
      <c r="AC195" s="28"/>
    </row>
    <row r="196" spans="1:29" s="30" customFormat="1" ht="16.5" customHeight="1" thickBot="1">
      <c r="A196" s="112" t="str">
        <f>"S"&amp;E170</f>
        <v>S6</v>
      </c>
      <c r="B196" s="791"/>
      <c r="C196" s="109">
        <v>6</v>
      </c>
      <c r="D196" s="110" t="str">
        <f>IF(AND(C196&lt;=F189,F189&lt;&gt;""),VLOOKUP(VALUE(E170&amp;","&amp;C196),INTEGRANTES!$D$19:$F$192,2,0),"")</f>
        <v/>
      </c>
      <c r="E196" s="111" t="str">
        <f>IF(D196&lt;&gt;"",VLOOKUP(VALUE(E170&amp;","&amp;C196),INTEGRANTES!$D$19:$F$192,3,0),"")</f>
        <v/>
      </c>
      <c r="F196" s="380" t="str">
        <f>IF(D196="","",IF(OR(SUMIF($J177:$J183,D196,$O177:$O183)=0,N196="NO"),"NO APORTA",SUMIF($J177:$J183,D196,$O177:$O183)))</f>
        <v/>
      </c>
      <c r="G196" s="380" t="str">
        <f>IF($D196="","",IF($F189&lt;=1,"",ROUND(POSMMLV*PORPO,2)))</f>
        <v/>
      </c>
      <c r="H196" s="765" t="str">
        <f>IF($D196="","",IF(OR(F196="NO APORTA",G196&gt;F196),"NO CUMPLE","CUMPLE"))</f>
        <v/>
      </c>
      <c r="I196" s="766"/>
      <c r="J196" s="108" t="str">
        <f>IF(D196="","",IF(OR(AND(SUMIF($J174:$J183,D196,$O174:$O183)&gt;=5%*POSMMLV,N196="SI"),AND(SUMIF($J174:$J183,D196,$O174:$O183)=0,E196&lt;=5%,N196="SI")),"CUMPLE","NO CUMPLE"))</f>
        <v/>
      </c>
      <c r="K196" s="105" t="str">
        <f>IF(OR(D196="",J196=""),"",IF(AND(J196="NO CUMPLE",F196="NO APORTA",E196&gt;5%),"EXP = 0 y PART &gt; 5%",IF(F196&lt;5%*Q196,"EXP &lt; 5%*PO","")))</f>
        <v/>
      </c>
      <c r="L196" s="389" t="str">
        <f>IF(OR(D196="",E196=""),"",IF(AND(E196&gt;=0.25,F196&lt;&gt;"NO APORTA",F196&gt;=$R196*0.25),"SI","NO"))</f>
        <v/>
      </c>
      <c r="M196" s="389"/>
      <c r="N196" s="468"/>
      <c r="O196" s="403" t="str">
        <f ca="1">IF(R196&gt;=Q196,"CUMPLE","NO CUMPLE")</f>
        <v>CUMPLE</v>
      </c>
      <c r="P196" s="312">
        <f>NUMMOD</f>
        <v>1</v>
      </c>
      <c r="Q196" s="313">
        <f ca="1">IF(P196="","",ROUND(VLOOKUP(P196,PRESUPUESTOS!$B$16:$L$16,9,FALSE),7))</f>
        <v>300</v>
      </c>
      <c r="R196" s="834">
        <f>IF(OR(COUNTIF(O174:O183,"")&gt;9,S190&lt;NUMMINCONT),0,SUM(O174:O183))</f>
        <v>506.77199999999999</v>
      </c>
      <c r="S196" s="834"/>
      <c r="T196" s="284"/>
      <c r="U196" s="284"/>
      <c r="V196" s="310"/>
      <c r="W196" s="284"/>
      <c r="X196" s="545" t="str">
        <f>IF($F189=1,"NO APLICA",$D196)</f>
        <v>NO APLICA</v>
      </c>
      <c r="Y196" s="543" t="str">
        <f>IF(OR($F196="",$F196="NO APORTA",$R196=0,$X196="NO APLICA"),"",ROUND($F196/$Q196,2))</f>
        <v/>
      </c>
      <c r="Z196" s="544"/>
      <c r="AA196" s="546"/>
      <c r="AB196" s="540" t="str">
        <f>IF(COUNTIF(Z196:AA196,"SI APLICA")=2,"SI APLICA","")</f>
        <v/>
      </c>
      <c r="AC196" s="28"/>
    </row>
    <row r="197" spans="1:29" s="30" customFormat="1" ht="16.5" customHeight="1" thickBot="1">
      <c r="A197" s="112" t="str">
        <f>"T"&amp;E170</f>
        <v>T6</v>
      </c>
      <c r="B197" s="792"/>
      <c r="C197" s="821" t="s">
        <v>419</v>
      </c>
      <c r="D197" s="822"/>
      <c r="E197" s="822"/>
      <c r="F197" s="518"/>
      <c r="G197" s="519"/>
      <c r="H197" s="794" t="str">
        <f>IF(OR($F189="",SUM(E191:E196)=0),"",IF(COUNTIF(H191:H196,"CUMPLE")&gt;=1,"CUMPLE","NO CUMPLE"))</f>
        <v/>
      </c>
      <c r="I197" s="795"/>
      <c r="J197" s="314" t="str">
        <f>IF(COUNTIF(J191:J196,"")&gt;5,"",IF(COUNTIF(J191:J196,"NO CUMPLE")&gt;0,"NO CUMPLE","CUMPLE"))</f>
        <v/>
      </c>
      <c r="K197" s="314" t="str">
        <f>IF(OR(AND(F189=1,N191="SI"),AND(COUNTIF(H197:J197,"CUMPLE")=2)),"CUMPLE","NO CUMPLE")</f>
        <v>CUMPLE</v>
      </c>
      <c r="L197" s="519"/>
      <c r="M197" s="519"/>
      <c r="N197" s="519"/>
      <c r="O197" s="833" t="str">
        <f ca="1">IF(ISNUMBER(F170),"",IF(AND(O196="NO CUMPLE",SUM(N177:N183)&lt;Q196),"EL PROPONENTE SE DEBE REQUERIR POR EXPERIENCIA MINIMA EXIGIDA",""))</f>
        <v/>
      </c>
      <c r="P197" s="833"/>
      <c r="Q197" s="833"/>
      <c r="R197" s="833"/>
      <c r="S197" s="833"/>
      <c r="T197" s="522"/>
      <c r="U197" s="523"/>
      <c r="V197" s="524"/>
      <c r="W197" s="284"/>
      <c r="X197" s="364" t="str">
        <f>IF(Y197=1,"PROPONENTE INDIVIDUAL","PROPONENTE PLURAL")</f>
        <v>PROPONENTE INDIVIDUAL</v>
      </c>
      <c r="Y197" s="276">
        <f>F189</f>
        <v>1</v>
      </c>
      <c r="Z197" s="277" t="str">
        <f>IF(OR(AND(Z191="SI APLICA",AA191="SI APLICA"),AND(Z192="SI APLICA",AA192="SI APLICA"),AND(Z193="SI APLICA",AA193="SI APLICA"),AND(Z194="SI APLICA",AA194="SI APLICA"),AND(Z195="SI APLICA",AA195="SI APLICA"),AND(Z196="SI APLICA",AA196="SI APLICA")),"SI APLICA","NO APLICA")</f>
        <v>SI APLICA</v>
      </c>
      <c r="AA197" s="278" t="str">
        <f>IF(OR(AND(AA191="SI APLICA",AB191="SI APLICA"),AND(AA192="SI APLICA",AB192="SI APLICA"),AND(AA193="SI APLICA",AB193="SI APLICA"),AND(AA194="SI APLICA",AB194="SI APLICA"),AND(AA195="SI APLICA",AB195="SI APLICA"),AND(AA196="SI APLICA",AB196="SI APLICA")),"SI APLICA","NO APLICA")</f>
        <v>SI APLICA</v>
      </c>
      <c r="AB197" s="278" t="str">
        <f>IF(COUNTIF(AB191:AB196,"SI APLICA")&gt;0,"SI APLICA","NO APLICA")</f>
        <v>SI APLICA</v>
      </c>
      <c r="AC197" s="28"/>
    </row>
    <row r="198" spans="1:29" ht="24.95" customHeight="1"/>
    <row r="199" spans="1:29" ht="24.95" customHeight="1"/>
    <row r="200" spans="1:29" s="41" customFormat="1" ht="24" thickBot="1">
      <c r="A200" s="34">
        <v>7</v>
      </c>
      <c r="B200" s="828" t="s">
        <v>355</v>
      </c>
      <c r="C200" s="828"/>
      <c r="D200" s="828"/>
      <c r="E200" s="35">
        <f>VLOOKUP(A200,PROPONENTES!$B$19:$E$108,2,FALSE)</f>
        <v>7</v>
      </c>
      <c r="F200" s="36" t="str">
        <f>VLOOKUP(A200,PROPONENTES!$B$19:$E$108,3,FALSE)</f>
        <v>CONSORCIO FEEC TOLIMA</v>
      </c>
      <c r="G200" s="37"/>
      <c r="H200" s="37"/>
      <c r="I200" s="36"/>
      <c r="J200" s="36"/>
      <c r="K200" s="36"/>
      <c r="L200" s="36"/>
      <c r="M200" s="38"/>
      <c r="N200" s="38"/>
      <c r="O200" s="37"/>
      <c r="P200" s="37"/>
      <c r="Q200" s="39"/>
      <c r="R200" s="39"/>
      <c r="S200" s="39"/>
      <c r="T200" s="39"/>
      <c r="U200" s="40"/>
      <c r="Y200" s="52"/>
      <c r="Z200" s="52"/>
      <c r="AA200" s="52"/>
      <c r="AB200" s="28"/>
      <c r="AC200" s="28"/>
    </row>
    <row r="201" spans="1:29" s="27" customFormat="1" ht="24.75" customHeight="1">
      <c r="A201" s="22"/>
      <c r="B201" s="829" t="s">
        <v>356</v>
      </c>
      <c r="C201" s="501" t="s">
        <v>357</v>
      </c>
      <c r="D201" s="502" t="s">
        <v>358</v>
      </c>
      <c r="E201" s="502"/>
      <c r="F201" s="502" t="s">
        <v>359</v>
      </c>
      <c r="G201" s="503"/>
      <c r="H201" s="803" t="s">
        <v>360</v>
      </c>
      <c r="I201" s="831" t="s">
        <v>361</v>
      </c>
      <c r="J201" s="803" t="s">
        <v>362</v>
      </c>
      <c r="K201" s="803" t="s">
        <v>363</v>
      </c>
      <c r="L201" s="803" t="s">
        <v>364</v>
      </c>
      <c r="M201" s="803" t="s">
        <v>365</v>
      </c>
      <c r="N201" s="804" t="s">
        <v>366</v>
      </c>
      <c r="O201" s="805"/>
      <c r="P201" s="806" t="s">
        <v>367</v>
      </c>
      <c r="Q201" s="807"/>
      <c r="R201" s="784" t="s">
        <v>368</v>
      </c>
      <c r="S201" s="774"/>
      <c r="T201" s="798" t="s">
        <v>369</v>
      </c>
      <c r="U201" s="799"/>
      <c r="V201" s="800"/>
      <c r="X201" s="520"/>
      <c r="Y201" s="520"/>
    </row>
    <row r="202" spans="1:29" s="27" customFormat="1" ht="94.5" customHeight="1">
      <c r="A202" s="22"/>
      <c r="B202" s="830"/>
      <c r="C202" s="504" t="s">
        <v>370</v>
      </c>
      <c r="D202" s="505" t="s">
        <v>41</v>
      </c>
      <c r="E202" s="505" t="s">
        <v>371</v>
      </c>
      <c r="F202" s="505" t="s">
        <v>372</v>
      </c>
      <c r="G202" s="506" t="s">
        <v>373</v>
      </c>
      <c r="H202" s="793"/>
      <c r="I202" s="832"/>
      <c r="J202" s="793"/>
      <c r="K202" s="793"/>
      <c r="L202" s="793"/>
      <c r="M202" s="793"/>
      <c r="N202" s="504" t="s">
        <v>374</v>
      </c>
      <c r="O202" s="505" t="s">
        <v>375</v>
      </c>
      <c r="P202" s="801"/>
      <c r="Q202" s="802"/>
      <c r="R202" s="796"/>
      <c r="S202" s="797"/>
      <c r="T202" s="507" t="s">
        <v>376</v>
      </c>
      <c r="U202" s="508" t="s">
        <v>377</v>
      </c>
      <c r="V202" s="509" t="s">
        <v>378</v>
      </c>
      <c r="X202" s="521" t="s">
        <v>379</v>
      </c>
      <c r="Y202" s="521" t="s">
        <v>380</v>
      </c>
    </row>
    <row r="203" spans="1:29" s="27" customFormat="1" ht="15" customHeight="1">
      <c r="A203" s="22"/>
      <c r="B203" s="594"/>
      <c r="C203" s="595">
        <v>3</v>
      </c>
      <c r="D203" s="595">
        <v>4</v>
      </c>
      <c r="E203" s="595">
        <v>5</v>
      </c>
      <c r="F203" s="595">
        <v>6</v>
      </c>
      <c r="G203" s="595">
        <v>7</v>
      </c>
      <c r="H203" s="595">
        <v>8</v>
      </c>
      <c r="I203" s="595">
        <v>9</v>
      </c>
      <c r="J203" s="595">
        <v>10</v>
      </c>
      <c r="K203" s="595">
        <v>11</v>
      </c>
      <c r="L203" s="595">
        <v>12</v>
      </c>
      <c r="M203" s="595">
        <v>13</v>
      </c>
      <c r="N203" s="595">
        <v>14</v>
      </c>
      <c r="O203" s="595">
        <v>15</v>
      </c>
      <c r="P203" s="596">
        <v>16</v>
      </c>
      <c r="Q203" s="597">
        <v>17</v>
      </c>
      <c r="R203" s="596">
        <v>18</v>
      </c>
      <c r="S203" s="597">
        <v>19</v>
      </c>
      <c r="T203" s="598">
        <v>20</v>
      </c>
      <c r="U203" s="255">
        <v>21</v>
      </c>
      <c r="V203" s="599">
        <v>22</v>
      </c>
      <c r="X203" s="589"/>
      <c r="Y203" s="590"/>
    </row>
    <row r="204" spans="1:29" s="44" customFormat="1" ht="38.25">
      <c r="A204" s="42" t="str">
        <f>"A"&amp;E200</f>
        <v>A7</v>
      </c>
      <c r="B204" s="605">
        <f>IF(C204&lt;&gt;"",B203+1,"")</f>
        <v>1</v>
      </c>
      <c r="C204" s="581" t="s">
        <v>466</v>
      </c>
      <c r="D204" s="581" t="s">
        <v>467</v>
      </c>
      <c r="E204" s="581" t="s">
        <v>468</v>
      </c>
      <c r="F204" s="581" t="s">
        <v>431</v>
      </c>
      <c r="G204" s="534">
        <v>0.75</v>
      </c>
      <c r="H204" s="534" t="s">
        <v>385</v>
      </c>
      <c r="I204" s="579">
        <v>1</v>
      </c>
      <c r="J204" s="580" t="str">
        <f>IF(I204="","",IF(I204="I",$F200,VLOOKUP(I204,$C221:$D226,2,0)))</f>
        <v>CONSULTORIA INGENIERIA ESTUDIOS ECONOMICOS CITEC SAS</v>
      </c>
      <c r="K204" s="535">
        <v>37938</v>
      </c>
      <c r="L204" s="535">
        <v>38245</v>
      </c>
      <c r="M204" s="536">
        <v>1655</v>
      </c>
      <c r="N204" s="232">
        <f t="shared" ref="N204:N213" si="37">IF(OR(G204="",M204=""),"",M204*G204)</f>
        <v>1241.25</v>
      </c>
      <c r="O204" s="260">
        <f t="shared" ref="O204:O213" si="38">IF(OR(H204="",H204="NO",K204&lt;$Q$17,K204&gt;$R$17,K204="",M204="",N204=""),"",ROUND(N204,7))</f>
        <v>1241.25</v>
      </c>
      <c r="P204" s="781"/>
      <c r="Q204" s="782"/>
      <c r="R204" s="767"/>
      <c r="S204" s="768"/>
      <c r="T204" s="538" t="s">
        <v>385</v>
      </c>
      <c r="U204" s="539">
        <v>14</v>
      </c>
      <c r="V204" s="540" t="s">
        <v>385</v>
      </c>
      <c r="X204" s="541" t="s">
        <v>449</v>
      </c>
      <c r="Y204" s="541" t="s">
        <v>387</v>
      </c>
    </row>
    <row r="205" spans="1:29" s="44" customFormat="1" ht="76.5">
      <c r="A205" s="42" t="str">
        <f>"B"&amp;E200</f>
        <v>B7</v>
      </c>
      <c r="B205" s="605">
        <f t="shared" ref="B205:B213" si="39">IF(C205&lt;&gt;"",B204+1,"")</f>
        <v>2</v>
      </c>
      <c r="C205" s="581" t="s">
        <v>469</v>
      </c>
      <c r="D205" s="581" t="s">
        <v>470</v>
      </c>
      <c r="E205" s="581" t="s">
        <v>471</v>
      </c>
      <c r="F205" s="581" t="s">
        <v>431</v>
      </c>
      <c r="G205" s="534">
        <v>0.4</v>
      </c>
      <c r="H205" s="534" t="s">
        <v>385</v>
      </c>
      <c r="I205" s="579">
        <v>3</v>
      </c>
      <c r="J205" s="580" t="str">
        <f>IF(I205="","",IF(I205="I",$F200,VLOOKUP(I205,$C221:$D226,2,0)))</f>
        <v>ESTUTEC SAS</v>
      </c>
      <c r="K205" s="535">
        <v>43019</v>
      </c>
      <c r="L205" s="535">
        <v>43444</v>
      </c>
      <c r="M205" s="536">
        <v>665.07</v>
      </c>
      <c r="N205" s="232">
        <f t="shared" si="37"/>
        <v>266.02800000000002</v>
      </c>
      <c r="O205" s="260">
        <f t="shared" si="38"/>
        <v>266.02800000000002</v>
      </c>
      <c r="P205" s="781"/>
      <c r="Q205" s="782"/>
      <c r="R205" s="767"/>
      <c r="S205" s="768"/>
      <c r="T205" s="538" t="s">
        <v>385</v>
      </c>
      <c r="U205" s="539">
        <v>84</v>
      </c>
      <c r="V205" s="540" t="s">
        <v>385</v>
      </c>
      <c r="X205" s="541" t="s">
        <v>463</v>
      </c>
      <c r="Y205" s="541" t="s">
        <v>387</v>
      </c>
    </row>
    <row r="206" spans="1:29" s="44" customFormat="1" ht="63.75">
      <c r="A206" s="42" t="str">
        <f>"C"&amp;E200</f>
        <v>C7</v>
      </c>
      <c r="B206" s="605">
        <f t="shared" si="39"/>
        <v>3</v>
      </c>
      <c r="C206" s="581" t="s">
        <v>424</v>
      </c>
      <c r="D206" s="581" t="s">
        <v>472</v>
      </c>
      <c r="E206" s="581" t="s">
        <v>473</v>
      </c>
      <c r="F206" s="581" t="s">
        <v>431</v>
      </c>
      <c r="G206" s="534">
        <v>0.1</v>
      </c>
      <c r="H206" s="534" t="s">
        <v>385</v>
      </c>
      <c r="I206" s="579">
        <v>4</v>
      </c>
      <c r="J206" s="580" t="str">
        <f>IF(I206="","",IF(I206="I",$F200,VLOOKUP(I206,$C221:$D226,2,0)))</f>
        <v>FERNANDEZ INGENIEROS CONSULTORES SAS FERDINCO SAS</v>
      </c>
      <c r="K206" s="535">
        <v>42394</v>
      </c>
      <c r="L206" s="535">
        <v>43284</v>
      </c>
      <c r="M206" s="536">
        <v>3843.58</v>
      </c>
      <c r="N206" s="232">
        <f t="shared" si="37"/>
        <v>384.358</v>
      </c>
      <c r="O206" s="260">
        <f t="shared" si="38"/>
        <v>384.358</v>
      </c>
      <c r="P206" s="781"/>
      <c r="Q206" s="782"/>
      <c r="R206" s="767"/>
      <c r="S206" s="768"/>
      <c r="T206" s="538" t="s">
        <v>385</v>
      </c>
      <c r="U206" s="539">
        <v>4</v>
      </c>
      <c r="V206" s="540" t="s">
        <v>385</v>
      </c>
      <c r="X206" s="541" t="s">
        <v>446</v>
      </c>
      <c r="Y206" s="541" t="s">
        <v>387</v>
      </c>
    </row>
    <row r="207" spans="1:29" s="44" customFormat="1" ht="38.25">
      <c r="A207" s="42" t="str">
        <f>"D"&amp;E200</f>
        <v>D7</v>
      </c>
      <c r="B207" s="605">
        <f t="shared" si="39"/>
        <v>4</v>
      </c>
      <c r="C207" s="581" t="s">
        <v>474</v>
      </c>
      <c r="D207" s="581" t="s">
        <v>475</v>
      </c>
      <c r="E207" s="581" t="s">
        <v>476</v>
      </c>
      <c r="F207" s="581" t="s">
        <v>431</v>
      </c>
      <c r="G207" s="534">
        <v>0.17</v>
      </c>
      <c r="H207" s="534" t="s">
        <v>385</v>
      </c>
      <c r="I207" s="579">
        <v>2</v>
      </c>
      <c r="J207" s="580" t="str">
        <f>IF(I207="","",IF(I207="I",$F200,VLOOKUP(I207,$C221:$D226,2,0)))</f>
        <v>EC CONSULTORIA SAS</v>
      </c>
      <c r="K207" s="535">
        <v>37739</v>
      </c>
      <c r="L207" s="535">
        <v>38074</v>
      </c>
      <c r="M207" s="536">
        <v>1259.96</v>
      </c>
      <c r="N207" s="232">
        <f t="shared" si="37"/>
        <v>214.19320000000002</v>
      </c>
      <c r="O207" s="260">
        <f t="shared" si="38"/>
        <v>214.19319999999999</v>
      </c>
      <c r="P207" s="781"/>
      <c r="Q207" s="782"/>
      <c r="R207" s="767"/>
      <c r="S207" s="768"/>
      <c r="T207" s="538" t="s">
        <v>385</v>
      </c>
      <c r="U207" s="539">
        <v>3</v>
      </c>
      <c r="V207" s="540" t="s">
        <v>385</v>
      </c>
      <c r="X207" s="541" t="s">
        <v>386</v>
      </c>
      <c r="Y207" s="541" t="s">
        <v>439</v>
      </c>
    </row>
    <row r="208" spans="1:29" s="44" customFormat="1" ht="24.95" customHeight="1">
      <c r="A208" s="42" t="str">
        <f>"E"&amp;E200</f>
        <v>E7</v>
      </c>
      <c r="B208" s="605" t="str">
        <f t="shared" si="39"/>
        <v/>
      </c>
      <c r="C208" s="581"/>
      <c r="D208" s="581"/>
      <c r="E208" s="581"/>
      <c r="F208" s="581"/>
      <c r="G208" s="534"/>
      <c r="H208" s="534"/>
      <c r="I208" s="579"/>
      <c r="J208" s="580" t="str">
        <f>IF(I208="","",IF(I208="I",$F200,VLOOKUP(I208,$C221:$D226,2,0)))</f>
        <v/>
      </c>
      <c r="K208" s="535"/>
      <c r="L208" s="535"/>
      <c r="M208" s="536"/>
      <c r="N208" s="232" t="str">
        <f t="shared" si="37"/>
        <v/>
      </c>
      <c r="O208" s="260" t="str">
        <f t="shared" si="38"/>
        <v/>
      </c>
      <c r="P208" s="781"/>
      <c r="Q208" s="782"/>
      <c r="R208" s="767"/>
      <c r="S208" s="768"/>
      <c r="T208" s="538"/>
      <c r="U208" s="539"/>
      <c r="V208" s="540"/>
      <c r="X208" s="541"/>
      <c r="Y208" s="541"/>
    </row>
    <row r="209" spans="1:29" s="44" customFormat="1" ht="24.95" customHeight="1">
      <c r="A209" s="42" t="str">
        <f>"F"&amp;E200</f>
        <v>F7</v>
      </c>
      <c r="B209" s="605" t="str">
        <f t="shared" si="39"/>
        <v/>
      </c>
      <c r="C209" s="581"/>
      <c r="D209" s="581"/>
      <c r="E209" s="581"/>
      <c r="F209" s="581"/>
      <c r="G209" s="534"/>
      <c r="H209" s="534"/>
      <c r="I209" s="579"/>
      <c r="J209" s="580" t="str">
        <f>IF(I209="","",IF(I209="I",$F200,VLOOKUP(I209,$C221:$D226,2,0)))</f>
        <v/>
      </c>
      <c r="K209" s="535"/>
      <c r="L209" s="535"/>
      <c r="M209" s="536"/>
      <c r="N209" s="232" t="str">
        <f t="shared" si="37"/>
        <v/>
      </c>
      <c r="O209" s="260" t="str">
        <f t="shared" si="38"/>
        <v/>
      </c>
      <c r="P209" s="781"/>
      <c r="Q209" s="782"/>
      <c r="R209" s="767"/>
      <c r="S209" s="768"/>
      <c r="T209" s="538"/>
      <c r="U209" s="539"/>
      <c r="V209" s="540"/>
      <c r="X209" s="541"/>
      <c r="Y209" s="541"/>
    </row>
    <row r="210" spans="1:29" s="44" customFormat="1" ht="24.95" customHeight="1">
      <c r="A210" s="42" t="str">
        <f>"G"&amp;E200</f>
        <v>G7</v>
      </c>
      <c r="B210" s="605" t="str">
        <f t="shared" si="39"/>
        <v/>
      </c>
      <c r="C210" s="581"/>
      <c r="D210" s="581"/>
      <c r="E210" s="581"/>
      <c r="F210" s="581"/>
      <c r="G210" s="534"/>
      <c r="H210" s="534"/>
      <c r="I210" s="579"/>
      <c r="J210" s="580" t="str">
        <f>IF(I210="","",IF(I210="I",$F200,VLOOKUP(I210,$C221:$D226,2,0)))</f>
        <v/>
      </c>
      <c r="K210" s="535"/>
      <c r="L210" s="535"/>
      <c r="M210" s="536"/>
      <c r="N210" s="43" t="str">
        <f t="shared" si="37"/>
        <v/>
      </c>
      <c r="O210" s="260" t="str">
        <f t="shared" si="38"/>
        <v/>
      </c>
      <c r="P210" s="781"/>
      <c r="Q210" s="782"/>
      <c r="R210" s="767"/>
      <c r="S210" s="768"/>
      <c r="T210" s="538"/>
      <c r="U210" s="539"/>
      <c r="V210" s="540"/>
      <c r="X210" s="541"/>
      <c r="Y210" s="541"/>
    </row>
    <row r="211" spans="1:29" s="44" customFormat="1" ht="24.95" customHeight="1">
      <c r="A211" s="42" t="str">
        <f>"H"&amp;E200</f>
        <v>H7</v>
      </c>
      <c r="B211" s="605" t="str">
        <f t="shared" si="39"/>
        <v/>
      </c>
      <c r="C211" s="581"/>
      <c r="D211" s="581"/>
      <c r="E211" s="581"/>
      <c r="F211" s="581"/>
      <c r="G211" s="534"/>
      <c r="H211" s="534"/>
      <c r="I211" s="579"/>
      <c r="J211" s="580" t="str">
        <f>IF(I211="","",IF(I211="I",$F200,VLOOKUP(I211,$C221:$D226,2,0)))</f>
        <v/>
      </c>
      <c r="K211" s="535"/>
      <c r="L211" s="535"/>
      <c r="M211" s="537"/>
      <c r="N211" s="43" t="str">
        <f t="shared" si="37"/>
        <v/>
      </c>
      <c r="O211" s="260" t="str">
        <f t="shared" si="38"/>
        <v/>
      </c>
      <c r="P211" s="781"/>
      <c r="Q211" s="782"/>
      <c r="R211" s="767"/>
      <c r="S211" s="768"/>
      <c r="T211" s="538"/>
      <c r="U211" s="539"/>
      <c r="V211" s="540"/>
      <c r="X211" s="541"/>
      <c r="Y211" s="541"/>
    </row>
    <row r="212" spans="1:29" s="44" customFormat="1" ht="24.95" customHeight="1">
      <c r="A212" s="42" t="str">
        <f>"I"&amp;E200</f>
        <v>I7</v>
      </c>
      <c r="B212" s="605" t="str">
        <f t="shared" si="39"/>
        <v/>
      </c>
      <c r="C212" s="581"/>
      <c r="D212" s="581"/>
      <c r="E212" s="581"/>
      <c r="F212" s="581"/>
      <c r="G212" s="534"/>
      <c r="H212" s="534"/>
      <c r="I212" s="579"/>
      <c r="J212" s="580" t="str">
        <f>IF(I212="","",IF(I212="I",$F200,VLOOKUP(I212,$C221:$D226,2,0)))</f>
        <v/>
      </c>
      <c r="K212" s="535"/>
      <c r="L212" s="535"/>
      <c r="M212" s="537"/>
      <c r="N212" s="43" t="str">
        <f t="shared" si="37"/>
        <v/>
      </c>
      <c r="O212" s="260" t="str">
        <f t="shared" si="38"/>
        <v/>
      </c>
      <c r="P212" s="781"/>
      <c r="Q212" s="782"/>
      <c r="R212" s="767"/>
      <c r="S212" s="768"/>
      <c r="T212" s="538"/>
      <c r="U212" s="539"/>
      <c r="V212" s="540"/>
      <c r="X212" s="541"/>
      <c r="Y212" s="541"/>
    </row>
    <row r="213" spans="1:29" s="44" customFormat="1" ht="24.95" customHeight="1" thickBot="1">
      <c r="A213" s="42" t="str">
        <f>"J"&amp;E200</f>
        <v>J7</v>
      </c>
      <c r="B213" s="612" t="str">
        <f t="shared" si="39"/>
        <v/>
      </c>
      <c r="C213" s="582"/>
      <c r="D213" s="582"/>
      <c r="E213" s="582"/>
      <c r="F213" s="582"/>
      <c r="G213" s="583"/>
      <c r="H213" s="583"/>
      <c r="I213" s="584"/>
      <c r="J213" s="585" t="str">
        <f>IF(I213="","",IF(I213="I",$F200,VLOOKUP(I213,$C221:$D226,2,0)))</f>
        <v/>
      </c>
      <c r="K213" s="586"/>
      <c r="L213" s="586"/>
      <c r="M213" s="587"/>
      <c r="N213" s="43" t="str">
        <f t="shared" si="37"/>
        <v/>
      </c>
      <c r="O213" s="260" t="str">
        <f t="shared" si="38"/>
        <v/>
      </c>
      <c r="P213" s="781"/>
      <c r="Q213" s="782"/>
      <c r="R213" s="767"/>
      <c r="S213" s="768"/>
      <c r="T213" s="538"/>
      <c r="U213" s="539"/>
      <c r="V213" s="540"/>
      <c r="X213" s="541"/>
      <c r="Y213" s="541"/>
    </row>
    <row r="214" spans="1:29" s="27" customFormat="1" ht="12" customHeight="1" thickBot="1">
      <c r="A214" s="42"/>
      <c r="B214" s="45"/>
      <c r="C214" s="46"/>
      <c r="D214" s="46"/>
      <c r="E214" s="46"/>
      <c r="F214" s="46"/>
      <c r="G214" s="46"/>
      <c r="H214" s="606"/>
      <c r="I214" s="46"/>
      <c r="J214" s="46"/>
      <c r="K214" s="46"/>
      <c r="L214" s="46"/>
      <c r="M214" s="46"/>
      <c r="N214" s="46"/>
      <c r="O214" s="259"/>
      <c r="P214" s="46"/>
      <c r="Q214" s="46"/>
      <c r="R214" s="259"/>
      <c r="S214" s="46"/>
      <c r="T214" s="46"/>
      <c r="U214" s="47"/>
      <c r="V214" s="48"/>
      <c r="X214" s="592"/>
      <c r="Y214" s="593"/>
      <c r="AB214" s="378"/>
    </row>
    <row r="215" spans="1:29" s="27" customFormat="1" ht="17.25" customHeight="1" thickBot="1">
      <c r="A215" s="42" t="str">
        <f>"Z"&amp;E200</f>
        <v>Z7</v>
      </c>
      <c r="B215" s="510"/>
      <c r="C215" s="511"/>
      <c r="D215" s="511"/>
      <c r="E215" s="511"/>
      <c r="F215" s="511"/>
      <c r="G215" s="511"/>
      <c r="H215" s="511"/>
      <c r="I215" s="511"/>
      <c r="J215" s="511"/>
      <c r="K215" s="511"/>
      <c r="L215" s="511"/>
      <c r="M215" s="511"/>
      <c r="N215" s="437" t="s">
        <v>388</v>
      </c>
      <c r="O215" s="438">
        <f>IF(COUNTIF(O204:O213,"")&gt;9,0,SUM(O204:O213)/(COUNTIF(H204:H213,"SI")))</f>
        <v>526.45730000000003</v>
      </c>
      <c r="P215" s="511"/>
      <c r="Q215" s="511"/>
      <c r="R215" s="530"/>
      <c r="S215" s="530"/>
      <c r="T215" s="531"/>
      <c r="U215" s="532"/>
      <c r="V215" s="533"/>
      <c r="W215" s="285"/>
      <c r="X215" s="613" t="e">
        <f>COUNTIF(#REF!,"")-COUNTIF(#REF!,"CUMPLE")-1</f>
        <v>#REF!</v>
      </c>
      <c r="Y215" s="591"/>
      <c r="AB215" s="28"/>
    </row>
    <row r="216" spans="1:29" ht="17.25" customHeight="1">
      <c r="B216" s="50"/>
      <c r="C216" s="50"/>
      <c r="D216" s="50"/>
      <c r="E216" s="50"/>
      <c r="F216" s="50"/>
      <c r="G216" s="51"/>
      <c r="H216" s="51"/>
      <c r="I216" s="51"/>
      <c r="J216" s="51"/>
      <c r="K216" s="51"/>
      <c r="L216" s="51"/>
      <c r="M216" s="51"/>
      <c r="N216" s="51"/>
      <c r="O216" s="51"/>
      <c r="P216" s="51"/>
      <c r="Q216" s="51"/>
      <c r="R216" s="51"/>
      <c r="S216" s="51"/>
      <c r="T216" s="51"/>
      <c r="U216" s="51"/>
      <c r="V216" s="51"/>
      <c r="W216" s="51"/>
      <c r="X216" s="608"/>
      <c r="Y216" s="51"/>
      <c r="Z216" s="51"/>
      <c r="AA216" s="51"/>
      <c r="AB216" s="51"/>
      <c r="AC216" s="50"/>
    </row>
    <row r="217" spans="1:29" s="27" customFormat="1" ht="16.5" customHeight="1" thickBot="1">
      <c r="A217" s="22"/>
      <c r="B217" s="783" t="s">
        <v>389</v>
      </c>
      <c r="C217" s="783"/>
      <c r="D217" s="783"/>
      <c r="E217" s="783"/>
      <c r="F217" s="783"/>
      <c r="G217" s="783"/>
      <c r="H217" s="783"/>
      <c r="I217" s="783"/>
      <c r="J217" s="783"/>
      <c r="K217" s="783"/>
      <c r="L217" s="783"/>
      <c r="M217" s="783"/>
      <c r="N217" s="783"/>
      <c r="O217" s="783"/>
      <c r="P217" s="783"/>
      <c r="Q217" s="783"/>
      <c r="R217" s="783"/>
      <c r="S217" s="783"/>
      <c r="T217" s="783"/>
      <c r="U217" s="783"/>
      <c r="V217" s="783"/>
      <c r="W217" s="286"/>
      <c r="X217" s="607"/>
      <c r="Y217" s="52"/>
      <c r="Z217" s="52"/>
      <c r="AA217" s="52"/>
      <c r="AB217" s="28"/>
      <c r="AC217" s="28"/>
    </row>
    <row r="218" spans="1:29" s="30" customFormat="1" ht="22.5" customHeight="1">
      <c r="A218" s="112" t="str">
        <f>"K"&amp;E200</f>
        <v>K7</v>
      </c>
      <c r="B218" s="790" t="s">
        <v>390</v>
      </c>
      <c r="C218" s="772" t="s">
        <v>391</v>
      </c>
      <c r="D218" s="773"/>
      <c r="E218" s="773"/>
      <c r="F218" s="773"/>
      <c r="G218" s="773"/>
      <c r="H218" s="773"/>
      <c r="I218" s="773"/>
      <c r="J218" s="773"/>
      <c r="K218" s="773"/>
      <c r="L218" s="773"/>
      <c r="M218" s="774"/>
      <c r="N218" s="525"/>
      <c r="O218" s="588"/>
      <c r="P218" s="772" t="s">
        <v>392</v>
      </c>
      <c r="Q218" s="773"/>
      <c r="R218" s="773"/>
      <c r="S218" s="774"/>
      <c r="T218" s="784" t="s">
        <v>393</v>
      </c>
      <c r="U218" s="774"/>
      <c r="V218" s="811"/>
      <c r="W218" s="284"/>
      <c r="X218" s="778" t="s">
        <v>394</v>
      </c>
      <c r="Y218" s="779"/>
      <c r="Z218" s="779"/>
      <c r="AA218" s="779" t="s">
        <v>395</v>
      </c>
      <c r="AB218" s="808" t="s">
        <v>396</v>
      </c>
      <c r="AC218" s="28"/>
    </row>
    <row r="219" spans="1:29" s="30" customFormat="1" ht="22.5" customHeight="1">
      <c r="A219" s="112" t="str">
        <f>"L"&amp;E200</f>
        <v>L7</v>
      </c>
      <c r="B219" s="791"/>
      <c r="C219" s="769" t="s">
        <v>397</v>
      </c>
      <c r="D219" s="770"/>
      <c r="E219" s="771"/>
      <c r="F219" s="512">
        <f>IF(VLOOKUP(E200,PROPONENTES!$C$19:$E$108,3,0)="","",VLOOKUP(E200,PROPONENTES!$C$19:$E$108,3,0))</f>
        <v>4</v>
      </c>
      <c r="G219" s="824" t="s">
        <v>398</v>
      </c>
      <c r="H219" s="793" t="s">
        <v>399</v>
      </c>
      <c r="I219" s="793"/>
      <c r="J219" s="769" t="s">
        <v>400</v>
      </c>
      <c r="K219" s="823"/>
      <c r="L219" s="513" t="s">
        <v>401</v>
      </c>
      <c r="M219" s="513"/>
      <c r="N219" s="526"/>
      <c r="O219" s="527"/>
      <c r="P219" s="775"/>
      <c r="Q219" s="776"/>
      <c r="R219" s="776"/>
      <c r="S219" s="777"/>
      <c r="T219" s="796"/>
      <c r="U219" s="797"/>
      <c r="V219" s="812"/>
      <c r="W219" s="284"/>
      <c r="X219" s="780" t="s">
        <v>402</v>
      </c>
      <c r="Y219" s="810" t="s">
        <v>403</v>
      </c>
      <c r="Z219" s="810"/>
      <c r="AA219" s="810"/>
      <c r="AB219" s="809"/>
      <c r="AC219" s="28"/>
    </row>
    <row r="220" spans="1:29" s="30" customFormat="1" ht="70.5" customHeight="1" thickBot="1">
      <c r="A220" s="112" t="str">
        <f>"M"&amp;E200</f>
        <v>M7</v>
      </c>
      <c r="B220" s="791"/>
      <c r="C220" s="770" t="s">
        <v>404</v>
      </c>
      <c r="D220" s="771"/>
      <c r="E220" s="514" t="s">
        <v>405</v>
      </c>
      <c r="F220" s="515" t="s">
        <v>406</v>
      </c>
      <c r="G220" s="824"/>
      <c r="H220" s="793"/>
      <c r="I220" s="793"/>
      <c r="J220" s="504" t="s">
        <v>407</v>
      </c>
      <c r="K220" s="516" t="s">
        <v>408</v>
      </c>
      <c r="L220" s="517" t="s">
        <v>409</v>
      </c>
      <c r="M220" s="517"/>
      <c r="N220" s="528" t="s">
        <v>410</v>
      </c>
      <c r="O220" s="529"/>
      <c r="P220" s="386"/>
      <c r="Q220" s="387" t="s">
        <v>411</v>
      </c>
      <c r="R220" s="388"/>
      <c r="S220" s="113">
        <f>COUNTIFS(H204:H213,"SI",O204:O213,"&gt;0")</f>
        <v>4</v>
      </c>
      <c r="T220" s="785"/>
      <c r="U220" s="787"/>
      <c r="V220" s="813"/>
      <c r="W220" s="284"/>
      <c r="X220" s="780"/>
      <c r="Y220" s="810"/>
      <c r="Z220" s="810"/>
      <c r="AA220" s="810"/>
      <c r="AB220" s="809"/>
      <c r="AC220" s="28"/>
    </row>
    <row r="221" spans="1:29" s="30" customFormat="1" ht="53.25" customHeight="1">
      <c r="A221" s="112" t="str">
        <f>"N"&amp;E200</f>
        <v>N7</v>
      </c>
      <c r="B221" s="791"/>
      <c r="C221" s="54">
        <v>1</v>
      </c>
      <c r="D221" s="100" t="str">
        <f>IF(AND(C221&lt;=F219,F219&gt;1,F219&lt;&gt;""),VLOOKUP(VALUE(E200&amp;","&amp;C221),INTEGRANTES!$D$19:$F$192,2,0),"")</f>
        <v>CONSULTORIA INGENIERIA ESTUDIOS ECONOMICOS CITEC SAS</v>
      </c>
      <c r="E221" s="107">
        <f>IF(D221&lt;&gt;"",VLOOKUP(VALUE(E200&amp;","&amp;C221),INTEGRANTES!$D$19:$F$192,3,0),"")</f>
        <v>0.35</v>
      </c>
      <c r="F221" s="380" t="str">
        <f>IF(D221="","",IF(OR(SUMIF($J207:$J213,D221,$O207:$O213)=0,N221="NO"),"NO APORTA",SUMIF($J207:$J213,D221,$O207:$O213)))</f>
        <v>NO APORTA</v>
      </c>
      <c r="G221" s="380">
        <f ca="1">IF($D221="","",IF($F219&lt;=1,"",ROUND(POSMMLV*PORPO,2)))</f>
        <v>150</v>
      </c>
      <c r="H221" s="765" t="str">
        <f ca="1">IF($D221="","",IF(OR(F221="NO APORTA",G221&gt;F221),"NO CUMPLE","CUMPLE"))</f>
        <v>NO CUMPLE</v>
      </c>
      <c r="I221" s="766"/>
      <c r="J221" s="108" t="str">
        <f ca="1">IF(D221="","",IF(OR(AND(SUMIF($J204:$J213,D221,$O204:$O213)&gt;=5%*POSMMLV,N221="SI"),AND(SUMIF($J204:$J213,D221,$O204:$O213)=0,E221&lt;=5%,N221="SI")),"CUMPLE","NO CUMPLE"))</f>
        <v>CUMPLE</v>
      </c>
      <c r="K221" s="105" t="str">
        <f ca="1">IF(OR(D221="",J221=""),"",IF(AND(J221="NO CUMPLE",F221="NO APORTA",E221&gt;5%),"EXP = 0 y PART &gt; 5%",IF(F221&lt;5%*Q226,"EXP &lt; 5%*PO","")))</f>
        <v/>
      </c>
      <c r="L221" s="389" t="str">
        <f>IF(OR(D221="",E221=""),"",IF(AND(E221&gt;=0.25,F221&lt;&gt;"NO APORTA",F221&gt;=$R226*0.25),"SI","NO"))</f>
        <v>NO</v>
      </c>
      <c r="M221" s="389"/>
      <c r="N221" s="468" t="s">
        <v>385</v>
      </c>
      <c r="O221" s="396">
        <f>COUNTIFS(O204:O213,"&gt;0",H204:H213,"SI")</f>
        <v>4</v>
      </c>
      <c r="P221" s="814" t="s">
        <v>139</v>
      </c>
      <c r="Q221" s="814"/>
      <c r="R221" s="817">
        <f>E200</f>
        <v>7</v>
      </c>
      <c r="S221" s="818"/>
      <c r="T221" s="784" t="s">
        <v>412</v>
      </c>
      <c r="U221" s="773"/>
      <c r="V221" s="774"/>
      <c r="W221" s="283"/>
      <c r="X221" s="542" t="str">
        <f>IF($F219=1,"NO APLICA",$D221)</f>
        <v>CONSULTORIA INGENIERIA ESTUDIOS ECONOMICOS CITEC SAS</v>
      </c>
      <c r="Y221" s="543" t="str">
        <f>IF(OR($F221="",$F221="NO APORTA",$R226=0,$X221="NO APLICA"),"",ROUND($F221/$Q226,2))</f>
        <v/>
      </c>
      <c r="Z221" s="544" t="str">
        <f>IF(Y227=1,"SI APLICA",IF(OR($X221="",$X221="NO APLICA",$F221="",$F221="NO APORTA"),"",IF(ROUND($F221/Q226,7)&gt;=0.4,"SI APLICA","NO APLICA")))</f>
        <v/>
      </c>
      <c r="AA221" s="543"/>
      <c r="AB221" s="540" t="str">
        <f>IF(COUNTIF(Z221:AA221,"SI APLICA")=2,"SI APLICA","")</f>
        <v/>
      </c>
      <c r="AC221" s="28"/>
    </row>
    <row r="222" spans="1:29" s="30" customFormat="1" ht="30.75" customHeight="1" thickBot="1">
      <c r="A222" s="112" t="str">
        <f>"O"&amp;E200</f>
        <v>O7</v>
      </c>
      <c r="B222" s="791"/>
      <c r="C222" s="54">
        <v>2</v>
      </c>
      <c r="D222" s="100" t="str">
        <f>IF(AND(C222&lt;=F219,F219&lt;&gt;""),VLOOKUP(VALUE(E200&amp;","&amp;C222),INTEGRANTES!$D$19:$F$192,2,0),"")</f>
        <v>EC CONSULTORIA SAS</v>
      </c>
      <c r="E222" s="107">
        <f>IF(D222&lt;&gt;"",VLOOKUP(VALUE(E200&amp;","&amp;C222),INTEGRANTES!$D$19:$F$192,3,0),"")</f>
        <v>0.25</v>
      </c>
      <c r="F222" s="380">
        <f>IF(D222="","",IF(OR(SUMIF($J207:$J213,D222,$O207:$O213)=0,N222="NO"),"NO APORTA",SUMIF($J207:$J213,D222,$O207:$O213)))</f>
        <v>214.19319999999999</v>
      </c>
      <c r="G222" s="380">
        <f ca="1">IF($D222="","",IF($F219&lt;=1,"",ROUND(POSMMLV*PORPO,2)))</f>
        <v>150</v>
      </c>
      <c r="H222" s="765" t="str">
        <f t="shared" ref="H222:H225" ca="1" si="40">IF($D222="","",IF(OR(F222="NO APORTA",G222&gt;F222),"NO CUMPLE","CUMPLE"))</f>
        <v>CUMPLE</v>
      </c>
      <c r="I222" s="766"/>
      <c r="J222" s="108" t="str">
        <f ca="1">IF(D222="","",IF(OR(AND(SUMIF($J204:$J213,D222,$O204:$O213)&gt;=5%*POSMMLV,N222="SI"),AND(SUMIF($J204:$J213,D222,$O204:$O213)=0,E222&lt;=5%,N222="SI")),"CUMPLE","NO CUMPLE"))</f>
        <v>CUMPLE</v>
      </c>
      <c r="K222" s="105" t="str">
        <f ca="1">IF(OR(D222="",J222=""),"",IF(AND(J222="NO CUMPLE",F222="NO APORTA",E222&gt;5%),"EXP = 0 y PART &gt; 5%",IF(F222&lt;5%*Q226,"EXP &lt; 5%*PO","")))</f>
        <v/>
      </c>
      <c r="L222" s="389" t="str">
        <f>IF(OR(D222="",E222=""),"",IF(AND(E222&gt;=0.25,F222&lt;&gt;"NO APORTA",F222&gt;=$R226*0.25),"SI","NO"))</f>
        <v>NO</v>
      </c>
      <c r="M222" s="389"/>
      <c r="N222" s="468" t="s">
        <v>385</v>
      </c>
      <c r="O222" s="396"/>
      <c r="P222" s="815"/>
      <c r="Q222" s="815"/>
      <c r="R222" s="815"/>
      <c r="S222" s="819"/>
      <c r="T222" s="785"/>
      <c r="U222" s="786"/>
      <c r="V222" s="787"/>
      <c r="W222" s="283"/>
      <c r="X222" s="542" t="str">
        <f>IF($F219=1,"NO APLICA",$D222)</f>
        <v>EC CONSULTORIA SAS</v>
      </c>
      <c r="Y222" s="543">
        <f ca="1">IF(OR($F222="",$F222="NO APORTA",$R226=0,$X222="NO APLICA"),"",ROUND($F222/$Q226,2))</f>
        <v>0.71</v>
      </c>
      <c r="Z222" s="544" t="str">
        <f ca="1">IF(Y227=1,"SI APLICA",IF(OR($X222="",$X222="NO APLICA",$F222="",$F222="NO APORTA"),"",IF(ROUND($F222/Q226,7)&gt;=0.4,"SI APLICA","NO APLICA")))</f>
        <v>SI APLICA</v>
      </c>
      <c r="AA222" s="543" t="s">
        <v>413</v>
      </c>
      <c r="AB222" s="540" t="str">
        <f t="shared" ref="AB222" ca="1" si="41">IF(COUNTIF(Z222:AA222,"SI APLICA")=2,"SI APLICA","")</f>
        <v>SI APLICA</v>
      </c>
      <c r="AC222" s="28"/>
    </row>
    <row r="223" spans="1:29" s="30" customFormat="1" ht="23.25" customHeight="1">
      <c r="A223" s="112" t="str">
        <f>"P"&amp;E200</f>
        <v>P7</v>
      </c>
      <c r="B223" s="791"/>
      <c r="C223" s="54">
        <v>3</v>
      </c>
      <c r="D223" s="100" t="str">
        <f>IF(AND(C223&lt;=F219,F219&lt;&gt;""),VLOOKUP(VALUE(E200&amp;","&amp;C223),INTEGRANTES!$D$19:$F$192,2,0),"")</f>
        <v>ESTUTEC SAS</v>
      </c>
      <c r="E223" s="107">
        <f>IF(D223&lt;&gt;"",VLOOKUP(VALUE(E200&amp;","&amp;C223),INTEGRANTES!$D$19:$F$192,3,0),"")</f>
        <v>0.2</v>
      </c>
      <c r="F223" s="380" t="str">
        <f>IF(D223="","",IF(OR(SUMIF($J207:$J213,D223,$O207:$O213)=0,N223="NO"),"NO APORTA",SUMIF($J207:$J213,D223,$O207:$O213)))</f>
        <v>NO APORTA</v>
      </c>
      <c r="G223" s="380">
        <f ca="1">IF($D223="","",IF($F219&lt;=1,"",ROUND(POSMMLV*PORPO,2)))</f>
        <v>150</v>
      </c>
      <c r="H223" s="765" t="str">
        <f t="shared" ca="1" si="40"/>
        <v>NO CUMPLE</v>
      </c>
      <c r="I223" s="766"/>
      <c r="J223" s="108" t="str">
        <f ca="1">IF(D223="","",IF(OR(AND(SUMIF($J204:$J213,D223,$O204:$O213)&gt;=5%*POSMMLV,N223="SI"),AND(SUMIF($J204:$J213,D223,$O204:$O213)=0,E223&lt;=5%,N223="SI")),"CUMPLE","NO CUMPLE"))</f>
        <v>CUMPLE</v>
      </c>
      <c r="K223" s="105" t="str">
        <f ca="1">IF(OR(D223="",J223=""),"",IF(AND(J223="NO CUMPLE",F223="NO APORTA",E223&gt;5%),"EXP = 0 y PART &gt; 5%",IF(F223&lt;5%*Q226,"EXP &lt; 5%*PO","")))</f>
        <v/>
      </c>
      <c r="L223" s="389" t="str">
        <f>IF(OR(D223="",E223=""),"",IF(AND(E223&gt;=0.25,F223&lt;&gt;"NO APORTA",F223&gt;=$R226*0.25),"SI","NO"))</f>
        <v>NO</v>
      </c>
      <c r="M223" s="389"/>
      <c r="N223" s="468" t="s">
        <v>385</v>
      </c>
      <c r="O223" s="397"/>
      <c r="P223" s="816"/>
      <c r="Q223" s="816"/>
      <c r="R223" s="816"/>
      <c r="S223" s="820"/>
      <c r="T223" s="308"/>
      <c r="U223" s="308"/>
      <c r="V223" s="309"/>
      <c r="W223" s="284"/>
      <c r="X223" s="542" t="str">
        <f>IF($F219=1,"NO APLICA",$D223)</f>
        <v>ESTUTEC SAS</v>
      </c>
      <c r="Y223" s="543" t="str">
        <f>IF(OR($F223="",$F223="NO APORTA",$R226=0,$X223="NO APLICA"),"",ROUND($F223/$Q226,2))</f>
        <v/>
      </c>
      <c r="Z223" s="544" t="str">
        <f>IF(Y227=1,"SI APLICA",IF(OR($X223="",$X223="NO APLICA",$F223="",$F223="NO APORTA"),"",IF(ROUND($F223/Q226,7)&gt;=0.4,"SI APLICA","NO APLICA")))</f>
        <v/>
      </c>
      <c r="AA223" s="543"/>
      <c r="AB223" s="540" t="str">
        <f>IF(COUNTIF(Z223:AA223,"SI APLICA")=2,"SI APLICA","")</f>
        <v/>
      </c>
      <c r="AC223" s="28"/>
    </row>
    <row r="224" spans="1:29" s="30" customFormat="1" ht="50.25" customHeight="1">
      <c r="A224" s="112" t="str">
        <f>"Q"&amp;E200</f>
        <v>Q7</v>
      </c>
      <c r="B224" s="791"/>
      <c r="C224" s="54">
        <v>4</v>
      </c>
      <c r="D224" s="100" t="str">
        <f>IF(AND(C224&lt;=F219,F219&lt;&gt;""),VLOOKUP(VALUE(E200&amp;","&amp;C224),INTEGRANTES!$D$19:$F$192,2,0),"")</f>
        <v>FERNANDEZ INGENIEROS CONSULTORES SAS FERDINCO SAS</v>
      </c>
      <c r="E224" s="107">
        <f>IF(D224&lt;&gt;"",VLOOKUP(VALUE(E200&amp;","&amp;C224),INTEGRANTES!$D$19:$F$192,3,0),"")</f>
        <v>0.2</v>
      </c>
      <c r="F224" s="380" t="str">
        <f>IF(D224="","",IF(OR(SUMIF($J207:$J213,D224,$O207:$O213)=0,N224="NO"),"NO APORTA",SUMIF($J207:$J213,D224,$O207:$O213)))</f>
        <v>NO APORTA</v>
      </c>
      <c r="G224" s="380">
        <f ca="1">IF($D224="","",IF($F219&lt;=1,"",ROUND(POSMMLV*PORPO,2)))</f>
        <v>150</v>
      </c>
      <c r="H224" s="765" t="str">
        <f t="shared" ca="1" si="40"/>
        <v>NO CUMPLE</v>
      </c>
      <c r="I224" s="766"/>
      <c r="J224" s="108" t="str">
        <f ca="1">IF(D224="","",IF(OR(AND(SUMIF($J204:$J213,D224,$O204:$O213)&gt;=5%*POSMMLV,N224="SI"),AND(SUMIF($J204:$J213,D224,$O204:$O213)=0,E224&lt;=5%,N224="SI")),"CUMPLE","NO CUMPLE"))</f>
        <v>CUMPLE</v>
      </c>
      <c r="K224" s="105" t="str">
        <f ca="1">IF(OR(D224="",J224=""),"",IF(AND(J224="NO CUMPLE",F224="NO APORTA",E224&gt;5%),"EXP = 0 y PART &gt; 5%",IF(F224&lt;5%*Q226,"EXP &lt; 5%*PO","")))</f>
        <v/>
      </c>
      <c r="L224" s="389" t="str">
        <f>IF(OR(D224="",E224=""),"",IF(AND(E224&gt;=0.25,F224&lt;&gt;"NO APORTA",F224&gt;=$R226*0.25),"SI","NO"))</f>
        <v>NO</v>
      </c>
      <c r="M224" s="389"/>
      <c r="N224" s="468" t="s">
        <v>385</v>
      </c>
      <c r="O224" s="788" t="s">
        <v>414</v>
      </c>
      <c r="P224" s="769" t="s">
        <v>415</v>
      </c>
      <c r="Q224" s="770"/>
      <c r="R224" s="770"/>
      <c r="S224" s="771"/>
      <c r="T224" s="284"/>
      <c r="U224" s="284"/>
      <c r="V224" s="310"/>
      <c r="W224" s="284"/>
      <c r="X224" s="542" t="str">
        <f>IF($F219=1,"NO APLICA",$D224)</f>
        <v>FERNANDEZ INGENIEROS CONSULTORES SAS FERDINCO SAS</v>
      </c>
      <c r="Y224" s="543" t="str">
        <f>IF(OR($F224="",$F224="NO APORTA",$R226=0,$X224="NO APLICA"),"",ROUND($F224/$Q226,2))</f>
        <v/>
      </c>
      <c r="Z224" s="544" t="str">
        <f>IF(Y227=1,"SI APLICA",IF(OR($X224="",$X224="NO APLICA",$F224="",$F224="NO APORTA"),"",IF(ROUND($F224/Q226,7)&gt;=0.4,"SI APLICA","NO APLICA")))</f>
        <v/>
      </c>
      <c r="AA224" s="543"/>
      <c r="AB224" s="540" t="str">
        <f t="shared" ref="AB224:AB225" si="42">IF(COUNTIF(Z224:AA224,"SI APLICA")=2,"SI APLICA","")</f>
        <v/>
      </c>
      <c r="AC224" s="28"/>
    </row>
    <row r="225" spans="1:29" s="30" customFormat="1" ht="32.25" customHeight="1">
      <c r="A225" s="112" t="str">
        <f>"R"&amp;E200</f>
        <v>R7</v>
      </c>
      <c r="B225" s="791"/>
      <c r="C225" s="54">
        <v>5</v>
      </c>
      <c r="D225" s="100" t="str">
        <f>IF(AND(C225&lt;=F219,F219&lt;&gt;""),VLOOKUP(VALUE(E200&amp;","&amp;C225),INTEGRANTES!$D$19:$F$192,2,0),"")</f>
        <v/>
      </c>
      <c r="E225" s="107" t="str">
        <f>IF(D225&lt;&gt;"",VLOOKUP(VALUE(E200&amp;","&amp;C225),INTEGRANTES!$D$19:$F$192,3,0),"")</f>
        <v/>
      </c>
      <c r="F225" s="380" t="str">
        <f>IF(D225="","",IF(OR(SUMIF($J207:$J213,D225,$O207:$O213)=0,N225="NO"),"NO APORTA",SUMIF($J207:$J213,D225,$O207:$O213)))</f>
        <v/>
      </c>
      <c r="G225" s="380" t="str">
        <f>IF($D225="","",IF($F219&lt;=1,"",ROUND(POSMMLV*PORPO,2)))</f>
        <v/>
      </c>
      <c r="H225" s="765" t="str">
        <f t="shared" si="40"/>
        <v/>
      </c>
      <c r="I225" s="766"/>
      <c r="J225" s="108" t="str">
        <f>IF(D225="","",IF(OR(AND(SUMIF($J204:$J213,D225,$O204:$O213)&gt;=5%*POSMMLV,N225="SI"),AND(SUMIF($J204:$J213,D225,$O204:$O213)=0,E225&lt;=5%,N225="SI")),"CUMPLE","NO CUMPLE"))</f>
        <v/>
      </c>
      <c r="K225" s="105" t="str">
        <f>IF(OR(D225="",J225=""),"",IF(AND(J225="NO CUMPLE",F225="NO APORTA",E225&gt;5%),"EXP = 0 y PART &gt; 5%",IF(F225&lt;5%*Q226,"EXP &lt; 5%*PO","")))</f>
        <v/>
      </c>
      <c r="L225" s="389" t="str">
        <f>IF(OR(D225="",E225=""),"",IF(AND(E225&gt;=0.25,F225&lt;&gt;"NO APORTA",F225&gt;=$R226*0.25),"SI","NO"))</f>
        <v/>
      </c>
      <c r="M225" s="389"/>
      <c r="N225" s="468"/>
      <c r="O225" s="789"/>
      <c r="P225" s="504" t="s">
        <v>416</v>
      </c>
      <c r="Q225" s="504" t="s">
        <v>417</v>
      </c>
      <c r="R225" s="793" t="s">
        <v>418</v>
      </c>
      <c r="S225" s="793"/>
      <c r="T225" s="284"/>
      <c r="U225" s="284"/>
      <c r="V225" s="310"/>
      <c r="W225" s="284"/>
      <c r="X225" s="542" t="str">
        <f>IF($F219=1,"NO APLICA",$D225)</f>
        <v/>
      </c>
      <c r="Y225" s="543" t="str">
        <f>IF(OR($F225="",$F225="NO APORTA",$R226=0,$X225="NO APLICA"),"",ROUND($F225/$Q226,2))</f>
        <v/>
      </c>
      <c r="Z225" s="544" t="str">
        <f>IF(Y227=1,"SI APLICA",IF(OR($X225="",$X225="NO APLICA",$F225="",$F225="NO APORTA"),"",IF(ROUND($F225/Q226,7)&gt;=0.4,"SI APLICA","NO APLICA")))</f>
        <v/>
      </c>
      <c r="AA225" s="543"/>
      <c r="AB225" s="540" t="str">
        <f t="shared" si="42"/>
        <v/>
      </c>
      <c r="AC225" s="28"/>
    </row>
    <row r="226" spans="1:29" s="30" customFormat="1" ht="16.5" customHeight="1" thickBot="1">
      <c r="A226" s="112" t="str">
        <f>"S"&amp;E200</f>
        <v>S7</v>
      </c>
      <c r="B226" s="791"/>
      <c r="C226" s="109">
        <v>6</v>
      </c>
      <c r="D226" s="110" t="str">
        <f>IF(AND(C226&lt;=F219,F219&lt;&gt;""),VLOOKUP(VALUE(E200&amp;","&amp;C226),INTEGRANTES!$D$19:$F$192,2,0),"")</f>
        <v/>
      </c>
      <c r="E226" s="111" t="str">
        <f>IF(D226&lt;&gt;"",VLOOKUP(VALUE(E200&amp;","&amp;C226),INTEGRANTES!$D$19:$F$192,3,0),"")</f>
        <v/>
      </c>
      <c r="F226" s="380" t="str">
        <f>IF(D226="","",IF(OR(SUMIF($J207:$J213,D226,$O207:$O213)=0,N226="NO"),"NO APORTA",SUMIF($J207:$J213,D226,$O207:$O213)))</f>
        <v/>
      </c>
      <c r="G226" s="380" t="str">
        <f>IF($D226="","",IF($F219&lt;=1,"",ROUND(POSMMLV*PORPO,2)))</f>
        <v/>
      </c>
      <c r="H226" s="765" t="str">
        <f>IF($D226="","",IF(OR(F226="NO APORTA",G226&gt;F226),"NO CUMPLE","CUMPLE"))</f>
        <v/>
      </c>
      <c r="I226" s="766"/>
      <c r="J226" s="108" t="str">
        <f>IF(D226="","",IF(OR(AND(SUMIF($J204:$J213,D226,$O204:$O213)&gt;=5%*POSMMLV,N226="SI"),AND(SUMIF($J204:$J213,D226,$O204:$O213)=0,E226&lt;=5%,N226="SI")),"CUMPLE","NO CUMPLE"))</f>
        <v/>
      </c>
      <c r="K226" s="105" t="str">
        <f>IF(OR(D226="",J226=""),"",IF(AND(J226="NO CUMPLE",F226="NO APORTA",E226&gt;5%),"EXP = 0 y PART &gt; 5%",IF(F226&lt;5%*Q226,"EXP &lt; 5%*PO","")))</f>
        <v/>
      </c>
      <c r="L226" s="389" t="str">
        <f>IF(OR(D226="",E226=""),"",IF(AND(E226&gt;=0.25,F226&lt;&gt;"NO APORTA",F226&gt;=$R226*0.25),"SI","NO"))</f>
        <v/>
      </c>
      <c r="M226" s="389"/>
      <c r="N226" s="468"/>
      <c r="O226" s="403" t="str">
        <f ca="1">IF(R226&gt;=Q226,"CUMPLE","NO CUMPLE")</f>
        <v>CUMPLE</v>
      </c>
      <c r="P226" s="312">
        <f>NUMMOD</f>
        <v>1</v>
      </c>
      <c r="Q226" s="313">
        <f ca="1">IF(P226="","",ROUND(VLOOKUP(P226,PRESUPUESTOS!$B$16:$L$16,9,FALSE),7))</f>
        <v>300</v>
      </c>
      <c r="R226" s="834">
        <f>IF(OR(COUNTIF(O204:O213,"")&gt;9,S220&lt;NUMMINCONT),0,SUM(O204:O213))</f>
        <v>2105.8292000000001</v>
      </c>
      <c r="S226" s="834"/>
      <c r="T226" s="284"/>
      <c r="U226" s="284"/>
      <c r="V226" s="310"/>
      <c r="W226" s="284"/>
      <c r="X226" s="545" t="str">
        <f>IF($F219=1,"NO APLICA",$D226)</f>
        <v/>
      </c>
      <c r="Y226" s="543" t="str">
        <f>IF(OR($F226="",$F226="NO APORTA",$R226=0,$X226="NO APLICA"),"",ROUND($F226/$Q226,2))</f>
        <v/>
      </c>
      <c r="Z226" s="544" t="str">
        <f>IF(Y227=1,"SI APLICA",IF(OR($X226="",$X226="NO APLICA",$F226="",$F226="NO APORTA"),"",IF(ROUND($F226/Q226,7)&gt;=0.4,"SI APLICA","NO APLICA")))</f>
        <v/>
      </c>
      <c r="AA226" s="546"/>
      <c r="AB226" s="540" t="str">
        <f>IF(COUNTIF(Z226:AA226,"SI APLICA")=2,"SI APLICA","")</f>
        <v/>
      </c>
      <c r="AC226" s="28"/>
    </row>
    <row r="227" spans="1:29" s="30" customFormat="1" ht="16.5" customHeight="1" thickBot="1">
      <c r="A227" s="112" t="str">
        <f>"T"&amp;E200</f>
        <v>T7</v>
      </c>
      <c r="B227" s="792"/>
      <c r="C227" s="821" t="s">
        <v>419</v>
      </c>
      <c r="D227" s="822"/>
      <c r="E227" s="822"/>
      <c r="F227" s="518"/>
      <c r="G227" s="519"/>
      <c r="H227" s="794" t="str">
        <f ca="1">IF(OR($F219="",SUM(E221:E226)=0),"",IF(COUNTIF(H221:H226,"CUMPLE")&gt;=1,"CUMPLE","NO CUMPLE"))</f>
        <v>CUMPLE</v>
      </c>
      <c r="I227" s="795"/>
      <c r="J227" s="314" t="str">
        <f ca="1">IF(COUNTIF(J221:J226,"")&gt;5,"",IF(COUNTIF(J221:J226,"NO CUMPLE")&gt;0,"NO CUMPLE","CUMPLE"))</f>
        <v>CUMPLE</v>
      </c>
      <c r="K227" s="314" t="str">
        <f ca="1">IF(OR(AND(F219=1,N221="SI"),AND(COUNTIF(H227:J227,"CUMPLE")=2)),"CUMPLE","NO CUMPLE")</f>
        <v>CUMPLE</v>
      </c>
      <c r="L227" s="519"/>
      <c r="M227" s="519"/>
      <c r="N227" s="519"/>
      <c r="O227" s="833" t="str">
        <f ca="1">IF(ISNUMBER(F200),"",IF(AND(O226="NO CUMPLE",SUM(N207:N213)&lt;Q226),"EL PROPONENTE SE DEBE REQUERIR POR EXPERIENCIA MINIMA EXIGIDA",""))</f>
        <v/>
      </c>
      <c r="P227" s="833"/>
      <c r="Q227" s="833"/>
      <c r="R227" s="833"/>
      <c r="S227" s="833"/>
      <c r="T227" s="522"/>
      <c r="U227" s="523"/>
      <c r="V227" s="524"/>
      <c r="W227" s="284"/>
      <c r="X227" s="364" t="str">
        <f>IF(Y227=1,"PROPONENTE INDIVIDUAL","PROPONENTE PLURAL")</f>
        <v>PROPONENTE PLURAL</v>
      </c>
      <c r="Y227" s="276">
        <f>F219</f>
        <v>4</v>
      </c>
      <c r="Z227" s="277" t="str">
        <f ca="1">IF(OR(AND(Z221="SI APLICA",AA221="SI APLICA"),AND(Z222="SI APLICA",AA222="SI APLICA"),AND(Z223="SI APLICA",AA223="SI APLICA"),AND(Z224="SI APLICA",AA224="SI APLICA"),AND(Z225="SI APLICA",AA225="SI APLICA"),AND(Z226="SI APLICA",AA226="SI APLICA")),"SI APLICA","NO APLICA")</f>
        <v>SI APLICA</v>
      </c>
      <c r="AA227" s="278" t="str">
        <f ca="1">IF(OR(AND(AA221="SI APLICA",AB221="SI APLICA"),AND(AA222="SI APLICA",AB222="SI APLICA"),AND(AA223="SI APLICA",AB223="SI APLICA"),AND(AA224="SI APLICA",AB224="SI APLICA"),AND(AA225="SI APLICA",AB225="SI APLICA"),AND(AA226="SI APLICA",AB226="SI APLICA")),"SI APLICA","NO APLICA")</f>
        <v>SI APLICA</v>
      </c>
      <c r="AB227" s="278" t="str">
        <f ca="1">IF(COUNTIF(AB221:AB226,"SI APLICA")&gt;0,"SI APLICA","NO APLICA")</f>
        <v>SI APLICA</v>
      </c>
      <c r="AC227" s="28"/>
    </row>
    <row r="228" spans="1:29" ht="24.95" customHeight="1"/>
    <row r="229" spans="1:29" ht="24.95" customHeight="1"/>
    <row r="230" spans="1:29" s="41" customFormat="1" ht="24" thickBot="1">
      <c r="A230" s="34">
        <v>8</v>
      </c>
      <c r="B230" s="828" t="s">
        <v>355</v>
      </c>
      <c r="C230" s="828"/>
      <c r="D230" s="828"/>
      <c r="E230" s="35">
        <f>VLOOKUP(A230,PROPONENTES!$B$19:$E$108,2,FALSE)</f>
        <v>8</v>
      </c>
      <c r="F230" s="36" t="str">
        <f>VLOOKUP(A230,PROPONENTES!$B$19:$E$108,3,FALSE)</f>
        <v>CARLOS ALBERTO PALTA MUÑOZ</v>
      </c>
      <c r="G230" s="37"/>
      <c r="H230" s="37"/>
      <c r="I230" s="36"/>
      <c r="J230" s="36"/>
      <c r="K230" s="36"/>
      <c r="L230" s="36"/>
      <c r="M230" s="38"/>
      <c r="N230" s="38"/>
      <c r="O230" s="37"/>
      <c r="P230" s="37"/>
      <c r="Q230" s="39"/>
      <c r="R230" s="39"/>
      <c r="S230" s="39"/>
      <c r="T230" s="39"/>
      <c r="U230" s="40"/>
      <c r="Y230" s="52"/>
      <c r="Z230" s="52"/>
      <c r="AA230" s="52"/>
      <c r="AB230" s="28"/>
      <c r="AC230" s="28"/>
    </row>
    <row r="231" spans="1:29" s="27" customFormat="1" ht="24.75" customHeight="1">
      <c r="A231" s="22"/>
      <c r="B231" s="829" t="s">
        <v>356</v>
      </c>
      <c r="C231" s="501" t="s">
        <v>357</v>
      </c>
      <c r="D231" s="502" t="s">
        <v>358</v>
      </c>
      <c r="E231" s="502"/>
      <c r="F231" s="502" t="s">
        <v>359</v>
      </c>
      <c r="G231" s="503"/>
      <c r="H231" s="803" t="s">
        <v>360</v>
      </c>
      <c r="I231" s="831" t="s">
        <v>361</v>
      </c>
      <c r="J231" s="803" t="s">
        <v>362</v>
      </c>
      <c r="K231" s="803" t="s">
        <v>363</v>
      </c>
      <c r="L231" s="803" t="s">
        <v>364</v>
      </c>
      <c r="M231" s="803" t="s">
        <v>365</v>
      </c>
      <c r="N231" s="804" t="s">
        <v>366</v>
      </c>
      <c r="O231" s="805"/>
      <c r="P231" s="806" t="s">
        <v>367</v>
      </c>
      <c r="Q231" s="807"/>
      <c r="R231" s="784" t="s">
        <v>368</v>
      </c>
      <c r="S231" s="774"/>
      <c r="T231" s="798" t="s">
        <v>369</v>
      </c>
      <c r="U231" s="799"/>
      <c r="V231" s="800"/>
      <c r="X231" s="520"/>
      <c r="Y231" s="520"/>
    </row>
    <row r="232" spans="1:29" s="27" customFormat="1" ht="94.5" customHeight="1">
      <c r="A232" s="22"/>
      <c r="B232" s="830"/>
      <c r="C232" s="504" t="s">
        <v>370</v>
      </c>
      <c r="D232" s="505" t="s">
        <v>41</v>
      </c>
      <c r="E232" s="505" t="s">
        <v>371</v>
      </c>
      <c r="F232" s="505" t="s">
        <v>372</v>
      </c>
      <c r="G232" s="506" t="s">
        <v>373</v>
      </c>
      <c r="H232" s="793"/>
      <c r="I232" s="832"/>
      <c r="J232" s="793"/>
      <c r="K232" s="793"/>
      <c r="L232" s="793"/>
      <c r="M232" s="793"/>
      <c r="N232" s="504" t="s">
        <v>374</v>
      </c>
      <c r="O232" s="505" t="s">
        <v>375</v>
      </c>
      <c r="P232" s="801"/>
      <c r="Q232" s="802"/>
      <c r="R232" s="796"/>
      <c r="S232" s="797"/>
      <c r="T232" s="507" t="s">
        <v>376</v>
      </c>
      <c r="U232" s="508" t="s">
        <v>377</v>
      </c>
      <c r="V232" s="509" t="s">
        <v>378</v>
      </c>
      <c r="X232" s="521" t="s">
        <v>379</v>
      </c>
      <c r="Y232" s="521" t="s">
        <v>380</v>
      </c>
    </row>
    <row r="233" spans="1:29" s="27" customFormat="1" ht="15" customHeight="1">
      <c r="A233" s="22"/>
      <c r="B233" s="594"/>
      <c r="C233" s="595">
        <v>3</v>
      </c>
      <c r="D233" s="595">
        <v>4</v>
      </c>
      <c r="E233" s="595">
        <v>5</v>
      </c>
      <c r="F233" s="595">
        <v>6</v>
      </c>
      <c r="G233" s="595">
        <v>7</v>
      </c>
      <c r="H233" s="595">
        <v>8</v>
      </c>
      <c r="I233" s="595">
        <v>9</v>
      </c>
      <c r="J233" s="595">
        <v>10</v>
      </c>
      <c r="K233" s="595">
        <v>11</v>
      </c>
      <c r="L233" s="595">
        <v>12</v>
      </c>
      <c r="M233" s="595">
        <v>13</v>
      </c>
      <c r="N233" s="595">
        <v>14</v>
      </c>
      <c r="O233" s="595">
        <v>15</v>
      </c>
      <c r="P233" s="596">
        <v>16</v>
      </c>
      <c r="Q233" s="597">
        <v>17</v>
      </c>
      <c r="R233" s="596">
        <v>18</v>
      </c>
      <c r="S233" s="597">
        <v>19</v>
      </c>
      <c r="T233" s="598">
        <v>20</v>
      </c>
      <c r="U233" s="255">
        <v>21</v>
      </c>
      <c r="V233" s="599">
        <v>22</v>
      </c>
      <c r="X233" s="589"/>
      <c r="Y233" s="590"/>
    </row>
    <row r="234" spans="1:29" s="44" customFormat="1" ht="98.25" customHeight="1">
      <c r="A234" s="42" t="str">
        <f>"A"&amp;E230</f>
        <v>A8</v>
      </c>
      <c r="B234" s="605">
        <f>IF(C234&lt;&gt;"",B233+1,"")</f>
        <v>1</v>
      </c>
      <c r="C234" s="581" t="s">
        <v>440</v>
      </c>
      <c r="D234" s="581" t="s">
        <v>477</v>
      </c>
      <c r="E234" s="581" t="s">
        <v>478</v>
      </c>
      <c r="F234" s="581" t="s">
        <v>431</v>
      </c>
      <c r="G234" s="534">
        <v>0.3</v>
      </c>
      <c r="H234" s="635" t="s">
        <v>385</v>
      </c>
      <c r="I234" s="579" t="s">
        <v>384</v>
      </c>
      <c r="J234" s="580" t="str">
        <f>IF(I234="","",IF(I234="I",$F230,VLOOKUP(I234,$C251:$D256,2,0)))</f>
        <v>CARLOS ALBERTO PALTA MUÑOZ</v>
      </c>
      <c r="K234" s="535">
        <v>41355</v>
      </c>
      <c r="L234" s="535">
        <v>41675</v>
      </c>
      <c r="M234" s="536">
        <v>1210.6099999999999</v>
      </c>
      <c r="N234" s="232">
        <f t="shared" ref="N234:N243" si="43">IF(OR(G234="",M234=""),"",M234*G234)</f>
        <v>363.18299999999994</v>
      </c>
      <c r="O234" s="260">
        <f t="shared" ref="O234:O243" si="44">IF(OR(H234="",H234="NO",K234&lt;$Q$17,K234&gt;$R$17,K234="",M234="",N234=""),"",ROUND(N234,7))</f>
        <v>363.18299999999999</v>
      </c>
      <c r="P234" s="781"/>
      <c r="Q234" s="782"/>
      <c r="R234" s="767"/>
      <c r="S234" s="768"/>
      <c r="T234" s="538" t="s">
        <v>385</v>
      </c>
      <c r="U234" s="539">
        <v>28</v>
      </c>
      <c r="V234" s="540" t="s">
        <v>385</v>
      </c>
      <c r="X234" s="541" t="s">
        <v>386</v>
      </c>
      <c r="Y234" s="541" t="s">
        <v>387</v>
      </c>
    </row>
    <row r="235" spans="1:29" s="44" customFormat="1" ht="180" customHeight="1">
      <c r="A235" s="42" t="str">
        <f>"B"&amp;E230</f>
        <v>B8</v>
      </c>
      <c r="B235" s="605">
        <f t="shared" ref="B235:B243" si="45">IF(C235&lt;&gt;"",B234+1,"")</f>
        <v>2</v>
      </c>
      <c r="C235" s="581" t="s">
        <v>440</v>
      </c>
      <c r="D235" s="581" t="s">
        <v>479</v>
      </c>
      <c r="E235" s="581" t="s">
        <v>480</v>
      </c>
      <c r="F235" s="581" t="s">
        <v>431</v>
      </c>
      <c r="G235" s="534">
        <v>0.3</v>
      </c>
      <c r="H235" s="534" t="s">
        <v>385</v>
      </c>
      <c r="I235" s="579" t="s">
        <v>384</v>
      </c>
      <c r="J235" s="580" t="str">
        <f>IF(I235="","",IF(I235="I",$F230,VLOOKUP(I235,$C251:$D256,2,0)))</f>
        <v>CARLOS ALBERTO PALTA MUÑOZ</v>
      </c>
      <c r="K235" s="535">
        <v>41381</v>
      </c>
      <c r="L235" s="535">
        <v>41928</v>
      </c>
      <c r="M235" s="536">
        <v>2291.85</v>
      </c>
      <c r="N235" s="232">
        <f t="shared" si="43"/>
        <v>687.55499999999995</v>
      </c>
      <c r="O235" s="260">
        <f t="shared" si="44"/>
        <v>687.55499999999995</v>
      </c>
      <c r="P235" s="781"/>
      <c r="Q235" s="782"/>
      <c r="R235" s="767"/>
      <c r="S235" s="768"/>
      <c r="T235" s="538" t="s">
        <v>385</v>
      </c>
      <c r="U235" s="539">
        <v>40</v>
      </c>
      <c r="V235" s="540" t="s">
        <v>385</v>
      </c>
      <c r="X235" s="541" t="s">
        <v>386</v>
      </c>
      <c r="Y235" s="541" t="s">
        <v>387</v>
      </c>
    </row>
    <row r="236" spans="1:29" s="44" customFormat="1" ht="24.95" customHeight="1">
      <c r="A236" s="42" t="str">
        <f>"C"&amp;E230</f>
        <v>C8</v>
      </c>
      <c r="B236" s="605" t="str">
        <f t="shared" si="45"/>
        <v/>
      </c>
      <c r="C236" s="581"/>
      <c r="D236" s="581"/>
      <c r="E236" s="581"/>
      <c r="F236" s="581"/>
      <c r="G236" s="534"/>
      <c r="H236" s="534"/>
      <c r="I236" s="579"/>
      <c r="J236" s="580" t="str">
        <f>IF(I236="","",IF(I236="I",$F230,VLOOKUP(I236,$C251:$D256,2,0)))</f>
        <v/>
      </c>
      <c r="K236" s="535"/>
      <c r="L236" s="535"/>
      <c r="M236" s="536"/>
      <c r="N236" s="232" t="str">
        <f t="shared" si="43"/>
        <v/>
      </c>
      <c r="O236" s="260" t="str">
        <f t="shared" si="44"/>
        <v/>
      </c>
      <c r="P236" s="781"/>
      <c r="Q236" s="782"/>
      <c r="R236" s="767"/>
      <c r="S236" s="768"/>
      <c r="T236" s="538"/>
      <c r="U236" s="539"/>
      <c r="V236" s="540"/>
      <c r="X236" s="541"/>
      <c r="Y236" s="541"/>
    </row>
    <row r="237" spans="1:29" s="44" customFormat="1" ht="24.95" customHeight="1">
      <c r="A237" s="42" t="str">
        <f>"D"&amp;E230</f>
        <v>D8</v>
      </c>
      <c r="B237" s="605" t="str">
        <f t="shared" si="45"/>
        <v/>
      </c>
      <c r="C237" s="581"/>
      <c r="D237" s="581"/>
      <c r="E237" s="581"/>
      <c r="F237" s="581"/>
      <c r="G237" s="534"/>
      <c r="H237" s="534"/>
      <c r="I237" s="579"/>
      <c r="J237" s="580" t="str">
        <f>IF(I237="","",IF(I237="I",$F230,VLOOKUP(I237,$C251:$D256,2,0)))</f>
        <v/>
      </c>
      <c r="K237" s="535"/>
      <c r="L237" s="535"/>
      <c r="M237" s="536"/>
      <c r="N237" s="232" t="str">
        <f t="shared" si="43"/>
        <v/>
      </c>
      <c r="O237" s="260" t="str">
        <f t="shared" si="44"/>
        <v/>
      </c>
      <c r="P237" s="781"/>
      <c r="Q237" s="782"/>
      <c r="R237" s="767"/>
      <c r="S237" s="768"/>
      <c r="T237" s="538"/>
      <c r="U237" s="539"/>
      <c r="V237" s="540"/>
      <c r="X237" s="541"/>
      <c r="Y237" s="541"/>
    </row>
    <row r="238" spans="1:29" s="44" customFormat="1" ht="24.95" customHeight="1">
      <c r="A238" s="42" t="str">
        <f>"E"&amp;E230</f>
        <v>E8</v>
      </c>
      <c r="B238" s="605" t="str">
        <f t="shared" si="45"/>
        <v/>
      </c>
      <c r="C238" s="581"/>
      <c r="D238" s="581"/>
      <c r="E238" s="581"/>
      <c r="F238" s="581"/>
      <c r="G238" s="534"/>
      <c r="H238" s="534"/>
      <c r="I238" s="579"/>
      <c r="J238" s="580" t="str">
        <f>IF(I238="","",IF(I238="I",$F230,VLOOKUP(I238,$C251:$D256,2,0)))</f>
        <v/>
      </c>
      <c r="K238" s="535"/>
      <c r="L238" s="535"/>
      <c r="M238" s="536"/>
      <c r="N238" s="232" t="str">
        <f t="shared" si="43"/>
        <v/>
      </c>
      <c r="O238" s="260" t="str">
        <f t="shared" si="44"/>
        <v/>
      </c>
      <c r="P238" s="781"/>
      <c r="Q238" s="782"/>
      <c r="R238" s="767"/>
      <c r="S238" s="768"/>
      <c r="T238" s="538"/>
      <c r="U238" s="539"/>
      <c r="V238" s="540"/>
      <c r="X238" s="541"/>
      <c r="Y238" s="541"/>
    </row>
    <row r="239" spans="1:29" s="44" customFormat="1" ht="24.95" customHeight="1">
      <c r="A239" s="42" t="str">
        <f>"F"&amp;E230</f>
        <v>F8</v>
      </c>
      <c r="B239" s="605" t="str">
        <f t="shared" si="45"/>
        <v/>
      </c>
      <c r="C239" s="581"/>
      <c r="D239" s="581"/>
      <c r="E239" s="581"/>
      <c r="F239" s="581"/>
      <c r="G239" s="534"/>
      <c r="H239" s="534"/>
      <c r="I239" s="579"/>
      <c r="J239" s="580" t="str">
        <f>IF(I239="","",IF(I239="I",$F230,VLOOKUP(I239,$C251:$D256,2,0)))</f>
        <v/>
      </c>
      <c r="K239" s="535"/>
      <c r="L239" s="535"/>
      <c r="M239" s="536"/>
      <c r="N239" s="232" t="str">
        <f t="shared" si="43"/>
        <v/>
      </c>
      <c r="O239" s="260" t="str">
        <f t="shared" si="44"/>
        <v/>
      </c>
      <c r="P239" s="781"/>
      <c r="Q239" s="782"/>
      <c r="R239" s="767"/>
      <c r="S239" s="768"/>
      <c r="T239" s="538"/>
      <c r="U239" s="539"/>
      <c r="V239" s="540"/>
      <c r="X239" s="541"/>
      <c r="Y239" s="541"/>
    </row>
    <row r="240" spans="1:29" s="44" customFormat="1" ht="24.95" customHeight="1">
      <c r="A240" s="42" t="str">
        <f>"G"&amp;E230</f>
        <v>G8</v>
      </c>
      <c r="B240" s="605" t="str">
        <f t="shared" si="45"/>
        <v/>
      </c>
      <c r="C240" s="581"/>
      <c r="D240" s="581"/>
      <c r="E240" s="581"/>
      <c r="F240" s="581"/>
      <c r="G240" s="534"/>
      <c r="H240" s="534"/>
      <c r="I240" s="579"/>
      <c r="J240" s="580" t="str">
        <f>IF(I240="","",IF(I240="I",$F230,VLOOKUP(I240,$C251:$D256,2,0)))</f>
        <v/>
      </c>
      <c r="K240" s="535"/>
      <c r="L240" s="535"/>
      <c r="M240" s="536"/>
      <c r="N240" s="43" t="str">
        <f t="shared" si="43"/>
        <v/>
      </c>
      <c r="O240" s="260" t="str">
        <f t="shared" si="44"/>
        <v/>
      </c>
      <c r="P240" s="781"/>
      <c r="Q240" s="782"/>
      <c r="R240" s="767"/>
      <c r="S240" s="768"/>
      <c r="T240" s="538"/>
      <c r="U240" s="539"/>
      <c r="V240" s="540"/>
      <c r="X240" s="541"/>
      <c r="Y240" s="541"/>
    </row>
    <row r="241" spans="1:29" s="44" customFormat="1" ht="24.95" customHeight="1">
      <c r="A241" s="42" t="str">
        <f>"H"&amp;E230</f>
        <v>H8</v>
      </c>
      <c r="B241" s="605" t="str">
        <f t="shared" si="45"/>
        <v/>
      </c>
      <c r="C241" s="581"/>
      <c r="D241" s="581"/>
      <c r="E241" s="581"/>
      <c r="F241" s="581"/>
      <c r="G241" s="534"/>
      <c r="H241" s="534"/>
      <c r="I241" s="579"/>
      <c r="J241" s="580" t="str">
        <f>IF(I241="","",IF(I241="I",$F230,VLOOKUP(I241,$C251:$D256,2,0)))</f>
        <v/>
      </c>
      <c r="K241" s="535"/>
      <c r="L241" s="535"/>
      <c r="M241" s="537"/>
      <c r="N241" s="43" t="str">
        <f t="shared" si="43"/>
        <v/>
      </c>
      <c r="O241" s="260" t="str">
        <f t="shared" si="44"/>
        <v/>
      </c>
      <c r="P241" s="781"/>
      <c r="Q241" s="782"/>
      <c r="R241" s="767"/>
      <c r="S241" s="768"/>
      <c r="T241" s="538"/>
      <c r="U241" s="539"/>
      <c r="V241" s="540"/>
      <c r="X241" s="541"/>
      <c r="Y241" s="541"/>
    </row>
    <row r="242" spans="1:29" s="44" customFormat="1" ht="24.95" customHeight="1">
      <c r="A242" s="42" t="str">
        <f>"I"&amp;E230</f>
        <v>I8</v>
      </c>
      <c r="B242" s="605" t="str">
        <f t="shared" si="45"/>
        <v/>
      </c>
      <c r="C242" s="581"/>
      <c r="D242" s="581"/>
      <c r="E242" s="581"/>
      <c r="F242" s="581"/>
      <c r="G242" s="534"/>
      <c r="H242" s="534"/>
      <c r="I242" s="579"/>
      <c r="J242" s="580" t="str">
        <f>IF(I242="","",IF(I242="I",$F230,VLOOKUP(I242,$C251:$D256,2,0)))</f>
        <v/>
      </c>
      <c r="K242" s="535"/>
      <c r="L242" s="535"/>
      <c r="M242" s="537"/>
      <c r="N242" s="43" t="str">
        <f t="shared" si="43"/>
        <v/>
      </c>
      <c r="O242" s="260" t="str">
        <f t="shared" si="44"/>
        <v/>
      </c>
      <c r="P242" s="781"/>
      <c r="Q242" s="782"/>
      <c r="R242" s="767"/>
      <c r="S242" s="768"/>
      <c r="T242" s="538"/>
      <c r="U242" s="539"/>
      <c r="V242" s="540"/>
      <c r="X242" s="541"/>
      <c r="Y242" s="541"/>
    </row>
    <row r="243" spans="1:29" s="44" customFormat="1" ht="24.95" customHeight="1" thickBot="1">
      <c r="A243" s="42" t="str">
        <f>"J"&amp;E230</f>
        <v>J8</v>
      </c>
      <c r="B243" s="612" t="str">
        <f t="shared" si="45"/>
        <v/>
      </c>
      <c r="C243" s="582"/>
      <c r="D243" s="582"/>
      <c r="E243" s="582"/>
      <c r="F243" s="582"/>
      <c r="G243" s="583"/>
      <c r="H243" s="583"/>
      <c r="I243" s="584"/>
      <c r="J243" s="585" t="str">
        <f>IF(I243="","",IF(I243="I",$F230,VLOOKUP(I243,$C251:$D256,2,0)))</f>
        <v/>
      </c>
      <c r="K243" s="586"/>
      <c r="L243" s="586"/>
      <c r="M243" s="587"/>
      <c r="N243" s="43" t="str">
        <f t="shared" si="43"/>
        <v/>
      </c>
      <c r="O243" s="260" t="str">
        <f t="shared" si="44"/>
        <v/>
      </c>
      <c r="P243" s="781"/>
      <c r="Q243" s="782"/>
      <c r="R243" s="767"/>
      <c r="S243" s="768"/>
      <c r="T243" s="538"/>
      <c r="U243" s="539"/>
      <c r="V243" s="540"/>
      <c r="X243" s="541"/>
      <c r="Y243" s="541"/>
    </row>
    <row r="244" spans="1:29" s="27" customFormat="1" ht="12" customHeight="1" thickBot="1">
      <c r="A244" s="42"/>
      <c r="B244" s="45"/>
      <c r="C244" s="46"/>
      <c r="D244" s="46"/>
      <c r="E244" s="46"/>
      <c r="F244" s="46"/>
      <c r="G244" s="46"/>
      <c r="H244" s="606"/>
      <c r="I244" s="46"/>
      <c r="J244" s="46"/>
      <c r="K244" s="46"/>
      <c r="L244" s="46"/>
      <c r="M244" s="46"/>
      <c r="N244" s="46"/>
      <c r="O244" s="259"/>
      <c r="P244" s="46"/>
      <c r="Q244" s="46"/>
      <c r="R244" s="259"/>
      <c r="S244" s="46"/>
      <c r="T244" s="46"/>
      <c r="U244" s="47"/>
      <c r="V244" s="48"/>
      <c r="X244" s="592"/>
      <c r="Y244" s="593"/>
      <c r="AB244" s="378"/>
    </row>
    <row r="245" spans="1:29" s="27" customFormat="1" ht="17.25" customHeight="1" thickBot="1">
      <c r="A245" s="42" t="str">
        <f>"Z"&amp;E230</f>
        <v>Z8</v>
      </c>
      <c r="B245" s="510"/>
      <c r="C245" s="511"/>
      <c r="D245" s="511"/>
      <c r="E245" s="511"/>
      <c r="F245" s="511"/>
      <c r="G245" s="511"/>
      <c r="H245" s="511"/>
      <c r="I245" s="511"/>
      <c r="J245" s="511"/>
      <c r="K245" s="511"/>
      <c r="L245" s="511"/>
      <c r="M245" s="511"/>
      <c r="N245" s="437" t="s">
        <v>388</v>
      </c>
      <c r="O245" s="438">
        <f>IF(COUNTIF(O234:O243,"")&gt;9,0,SUM(O234:O243)/(COUNTIF(H234:H243,"SI")))</f>
        <v>525.36899999999991</v>
      </c>
      <c r="P245" s="511"/>
      <c r="Q245" s="511"/>
      <c r="R245" s="530"/>
      <c r="S245" s="530"/>
      <c r="T245" s="531"/>
      <c r="U245" s="532"/>
      <c r="V245" s="533"/>
      <c r="W245" s="285"/>
      <c r="X245" s="613" t="e">
        <f>COUNTIF(#REF!,"")-COUNTIF(#REF!,"CUMPLE")-1</f>
        <v>#REF!</v>
      </c>
      <c r="Y245" s="591"/>
      <c r="AB245" s="28"/>
    </row>
    <row r="246" spans="1:29" ht="17.25" customHeight="1">
      <c r="B246" s="50"/>
      <c r="C246" s="50"/>
      <c r="D246" s="50"/>
      <c r="E246" s="50"/>
      <c r="F246" s="50"/>
      <c r="G246" s="51"/>
      <c r="H246" s="51"/>
      <c r="I246" s="51"/>
      <c r="J246" s="51"/>
      <c r="K246" s="51"/>
      <c r="L246" s="51"/>
      <c r="M246" s="51"/>
      <c r="N246" s="51"/>
      <c r="O246" s="51"/>
      <c r="P246" s="51"/>
      <c r="Q246" s="51"/>
      <c r="R246" s="51"/>
      <c r="S246" s="51"/>
      <c r="T246" s="51"/>
      <c r="U246" s="51"/>
      <c r="V246" s="51"/>
      <c r="W246" s="51"/>
      <c r="X246" s="608"/>
      <c r="Y246" s="51"/>
      <c r="Z246" s="51"/>
      <c r="AA246" s="51"/>
      <c r="AB246" s="51"/>
      <c r="AC246" s="50"/>
    </row>
    <row r="247" spans="1:29" s="27" customFormat="1" ht="16.5" customHeight="1" thickBot="1">
      <c r="A247" s="22"/>
      <c r="B247" s="783" t="s">
        <v>389</v>
      </c>
      <c r="C247" s="783"/>
      <c r="D247" s="783"/>
      <c r="E247" s="783"/>
      <c r="F247" s="783"/>
      <c r="G247" s="783"/>
      <c r="H247" s="783"/>
      <c r="I247" s="783"/>
      <c r="J247" s="783"/>
      <c r="K247" s="783"/>
      <c r="L247" s="783"/>
      <c r="M247" s="783"/>
      <c r="N247" s="783"/>
      <c r="O247" s="783"/>
      <c r="P247" s="783"/>
      <c r="Q247" s="783"/>
      <c r="R247" s="783"/>
      <c r="S247" s="783"/>
      <c r="T247" s="783"/>
      <c r="U247" s="783"/>
      <c r="V247" s="783"/>
      <c r="W247" s="286"/>
      <c r="X247" s="607"/>
      <c r="Y247" s="52"/>
      <c r="Z247" s="52"/>
      <c r="AA247" s="52"/>
      <c r="AB247" s="28"/>
      <c r="AC247" s="28"/>
    </row>
    <row r="248" spans="1:29" s="30" customFormat="1" ht="22.5" customHeight="1">
      <c r="A248" s="112" t="str">
        <f>"K"&amp;E230</f>
        <v>K8</v>
      </c>
      <c r="B248" s="790" t="s">
        <v>390</v>
      </c>
      <c r="C248" s="772" t="s">
        <v>391</v>
      </c>
      <c r="D248" s="773"/>
      <c r="E248" s="773"/>
      <c r="F248" s="773"/>
      <c r="G248" s="773"/>
      <c r="H248" s="773"/>
      <c r="I248" s="773"/>
      <c r="J248" s="773"/>
      <c r="K248" s="773"/>
      <c r="L248" s="773"/>
      <c r="M248" s="774"/>
      <c r="N248" s="525"/>
      <c r="O248" s="588"/>
      <c r="P248" s="772" t="s">
        <v>392</v>
      </c>
      <c r="Q248" s="773"/>
      <c r="R248" s="773"/>
      <c r="S248" s="774"/>
      <c r="T248" s="784" t="s">
        <v>393</v>
      </c>
      <c r="U248" s="774"/>
      <c r="V248" s="811"/>
      <c r="W248" s="284"/>
      <c r="X248" s="778" t="s">
        <v>394</v>
      </c>
      <c r="Y248" s="779"/>
      <c r="Z248" s="779"/>
      <c r="AA248" s="779" t="s">
        <v>395</v>
      </c>
      <c r="AB248" s="808" t="s">
        <v>396</v>
      </c>
      <c r="AC248" s="28"/>
    </row>
    <row r="249" spans="1:29" s="30" customFormat="1" ht="22.5" customHeight="1">
      <c r="A249" s="112" t="str">
        <f>"L"&amp;E230</f>
        <v>L8</v>
      </c>
      <c r="B249" s="791"/>
      <c r="C249" s="769" t="s">
        <v>397</v>
      </c>
      <c r="D249" s="770"/>
      <c r="E249" s="771"/>
      <c r="F249" s="512">
        <f>IF(VLOOKUP(E230,PROPONENTES!$C$19:$E$108,3,0)="","",VLOOKUP(E230,PROPONENTES!$C$19:$E$108,3,0))</f>
        <v>1</v>
      </c>
      <c r="G249" s="824" t="s">
        <v>398</v>
      </c>
      <c r="H249" s="793" t="s">
        <v>399</v>
      </c>
      <c r="I249" s="793"/>
      <c r="J249" s="769" t="s">
        <v>400</v>
      </c>
      <c r="K249" s="823"/>
      <c r="L249" s="513" t="s">
        <v>401</v>
      </c>
      <c r="M249" s="513"/>
      <c r="N249" s="526"/>
      <c r="O249" s="527"/>
      <c r="P249" s="775"/>
      <c r="Q249" s="776"/>
      <c r="R249" s="776"/>
      <c r="S249" s="777"/>
      <c r="T249" s="796"/>
      <c r="U249" s="797"/>
      <c r="V249" s="812"/>
      <c r="W249" s="284"/>
      <c r="X249" s="780" t="s">
        <v>402</v>
      </c>
      <c r="Y249" s="810" t="s">
        <v>403</v>
      </c>
      <c r="Z249" s="810"/>
      <c r="AA249" s="810"/>
      <c r="AB249" s="809"/>
      <c r="AC249" s="28"/>
    </row>
    <row r="250" spans="1:29" s="30" customFormat="1" ht="51.75" customHeight="1" thickBot="1">
      <c r="A250" s="112" t="str">
        <f>"M"&amp;E230</f>
        <v>M8</v>
      </c>
      <c r="B250" s="791"/>
      <c r="C250" s="770" t="s">
        <v>404</v>
      </c>
      <c r="D250" s="771"/>
      <c r="E250" s="514" t="s">
        <v>405</v>
      </c>
      <c r="F250" s="515" t="s">
        <v>406</v>
      </c>
      <c r="G250" s="824"/>
      <c r="H250" s="793"/>
      <c r="I250" s="793"/>
      <c r="J250" s="504" t="s">
        <v>407</v>
      </c>
      <c r="K250" s="516" t="s">
        <v>408</v>
      </c>
      <c r="L250" s="517" t="s">
        <v>409</v>
      </c>
      <c r="M250" s="517"/>
      <c r="N250" s="528" t="s">
        <v>410</v>
      </c>
      <c r="O250" s="529"/>
      <c r="P250" s="386"/>
      <c r="Q250" s="387" t="s">
        <v>411</v>
      </c>
      <c r="R250" s="388"/>
      <c r="S250" s="113">
        <f>COUNTIFS(H234:H243,"SI",O234:O243,"&gt;0")</f>
        <v>2</v>
      </c>
      <c r="T250" s="785"/>
      <c r="U250" s="787"/>
      <c r="V250" s="813"/>
      <c r="W250" s="284"/>
      <c r="X250" s="780"/>
      <c r="Y250" s="810"/>
      <c r="Z250" s="810"/>
      <c r="AA250" s="810"/>
      <c r="AB250" s="809"/>
      <c r="AC250" s="28"/>
    </row>
    <row r="251" spans="1:29" s="30" customFormat="1" ht="15.75" customHeight="1">
      <c r="A251" s="112" t="str">
        <f>"N"&amp;E230</f>
        <v>N8</v>
      </c>
      <c r="B251" s="791"/>
      <c r="C251" s="54">
        <v>1</v>
      </c>
      <c r="D251" s="100" t="str">
        <f>IF(AND(C251&lt;=F249,F249&gt;1,F249&lt;&gt;""),VLOOKUP(VALUE(E230&amp;","&amp;C251),INTEGRANTES!$D$19:$F$192,2,0),"")</f>
        <v/>
      </c>
      <c r="E251" s="107" t="str">
        <f>IF(D251&lt;&gt;"",VLOOKUP(VALUE(E230&amp;","&amp;C251),INTEGRANTES!$D$19:$F$192,3,0),"")</f>
        <v/>
      </c>
      <c r="F251" s="380" t="str">
        <f>IF(D251="","",IF(OR(SUMIF($J237:$J243,D251,$O237:$O243)=0,N251="NO"),"NO APORTA",SUMIF($J237:$J243,D251,$O237:$O243)))</f>
        <v/>
      </c>
      <c r="G251" s="380" t="str">
        <f>IF($D251="","",IF($F249&lt;=1,"",ROUND(POSMMLV*PORPO,2)))</f>
        <v/>
      </c>
      <c r="H251" s="765" t="str">
        <f>IF($D251="","",IF(OR(F251="NO APORTA",G251&gt;F251),"NO CUMPLE","CUMPLE"))</f>
        <v/>
      </c>
      <c r="I251" s="766"/>
      <c r="J251" s="108" t="str">
        <f>IF(D251="","",IF(OR(AND(SUMIF($J234:$J243,D251,$O234:$O243)&gt;=5%*POSMMLV,N251="SI"),AND(SUMIF($J234:$J243,D251,$O234:$O243)=0,E251&lt;=5%,N251="SI")),"CUMPLE","NO CUMPLE"))</f>
        <v/>
      </c>
      <c r="K251" s="105" t="str">
        <f>IF(OR(D251="",J251=""),"",IF(AND(J251="NO CUMPLE",F251="NO APORTA",E251&gt;5%),"EXP = 0 y PART &gt; 5%",IF(F251&lt;5%*Q256,"EXP &lt; 5%*PO","")))</f>
        <v/>
      </c>
      <c r="L251" s="389" t="str">
        <f>IF(OR(D251="",E251=""),"",IF(AND(E251&gt;=0.25,F251&lt;&gt;"NO APORTA",F251&gt;=$R256*0.25),"SI","NO"))</f>
        <v/>
      </c>
      <c r="M251" s="389"/>
      <c r="N251" s="468" t="s">
        <v>385</v>
      </c>
      <c r="O251" s="396">
        <f>COUNTIFS(O234:O243,"&gt;0",H234:H243,"SI")</f>
        <v>2</v>
      </c>
      <c r="P251" s="814" t="s">
        <v>139</v>
      </c>
      <c r="Q251" s="814"/>
      <c r="R251" s="817">
        <f>E230</f>
        <v>8</v>
      </c>
      <c r="S251" s="818"/>
      <c r="T251" s="784" t="s">
        <v>412</v>
      </c>
      <c r="U251" s="773"/>
      <c r="V251" s="774"/>
      <c r="W251" s="283"/>
      <c r="X251" s="542" t="str">
        <f>IF($F249=1,"NO APLICA",$D251)</f>
        <v>NO APLICA</v>
      </c>
      <c r="Y251" s="543" t="str">
        <f>IF(OR($F251="",$F251="NO APORTA",$R256=0,$X251="NO APLICA"),"",ROUND($F251/$Q256,2))</f>
        <v/>
      </c>
      <c r="Z251" s="544" t="str">
        <f>IF(Y257=1,"SI APLICA",IF(OR($X251="",$X251="NO APLICA",$F251="",$F251="NO APORTA"),"",IF(ROUND($F251/Q256,7)&gt;=0.4,"SI APLICA","NO APLICA")))</f>
        <v>SI APLICA</v>
      </c>
      <c r="AA251" s="543" t="s">
        <v>413</v>
      </c>
      <c r="AB251" s="540" t="str">
        <f>IF(COUNTIF(Z251:AA251,"SI APLICA")=2,"SI APLICA","")</f>
        <v>SI APLICA</v>
      </c>
      <c r="AC251" s="28"/>
    </row>
    <row r="252" spans="1:29" s="30" customFormat="1" ht="15.75" customHeight="1" thickBot="1">
      <c r="A252" s="112" t="str">
        <f>"O"&amp;E230</f>
        <v>O8</v>
      </c>
      <c r="B252" s="791"/>
      <c r="C252" s="54">
        <v>2</v>
      </c>
      <c r="D252" s="100" t="str">
        <f>IF(AND(C252&lt;=F249,F249&lt;&gt;""),VLOOKUP(VALUE(E230&amp;","&amp;C252),INTEGRANTES!$D$19:$F$192,2,0),"")</f>
        <v/>
      </c>
      <c r="E252" s="107" t="str">
        <f>IF(D252&lt;&gt;"",VLOOKUP(VALUE(E230&amp;","&amp;C252),INTEGRANTES!$D$19:$F$192,3,0),"")</f>
        <v/>
      </c>
      <c r="F252" s="380" t="str">
        <f>IF(D252="","",IF(OR(SUMIF($J237:$J243,D252,$O237:$O243)=0,N252="NO"),"NO APORTA",SUMIF($J237:$J243,D252,$O237:$O243)))</f>
        <v/>
      </c>
      <c r="G252" s="380" t="str">
        <f>IF($D252="","",IF($F249&lt;=1,"",ROUND(POSMMLV*PORPO,2)))</f>
        <v/>
      </c>
      <c r="H252" s="765" t="str">
        <f t="shared" ref="H252:H255" si="46">IF($D252="","",IF(OR(F252="NO APORTA",G252&gt;F252),"NO CUMPLE","CUMPLE"))</f>
        <v/>
      </c>
      <c r="I252" s="766"/>
      <c r="J252" s="108" t="str">
        <f>IF(D252="","",IF(OR(AND(SUMIF($J234:$J243,D252,$O234:$O243)&gt;=5%*POSMMLV,N252="SI"),AND(SUMIF($J234:$J243,D252,$O234:$O243)=0,E252&lt;=5%,N252="SI")),"CUMPLE","NO CUMPLE"))</f>
        <v/>
      </c>
      <c r="K252" s="105" t="str">
        <f>IF(OR(D252="",J252=""),"",IF(AND(J252="NO CUMPLE",F252="NO APORTA",E252&gt;5%),"EXP = 0 y PART &gt; 5%",IF(F252&lt;5%*Q256,"EXP &lt; 5%*PO","")))</f>
        <v/>
      </c>
      <c r="L252" s="389" t="str">
        <f>IF(OR(D252="",E252=""),"",IF(AND(E252&gt;=0.25,F252&lt;&gt;"NO APORTA",F252&gt;=$R256*0.25),"SI","NO"))</f>
        <v/>
      </c>
      <c r="M252" s="389"/>
      <c r="N252" s="468" t="s">
        <v>385</v>
      </c>
      <c r="O252" s="396"/>
      <c r="P252" s="815"/>
      <c r="Q252" s="815"/>
      <c r="R252" s="815"/>
      <c r="S252" s="819"/>
      <c r="T252" s="785"/>
      <c r="U252" s="786"/>
      <c r="V252" s="787"/>
      <c r="W252" s="283"/>
      <c r="X252" s="542" t="str">
        <f>IF($F249=1,"NO APLICA",$D252)</f>
        <v>NO APLICA</v>
      </c>
      <c r="Y252" s="543" t="str">
        <f>IF(OR($F252="",$F252="NO APORTA",$R256=0,$X252="NO APLICA"),"",ROUND($F252/$Q256,2))</f>
        <v/>
      </c>
      <c r="Z252" s="544"/>
      <c r="AA252" s="543"/>
      <c r="AB252" s="540" t="str">
        <f t="shared" ref="AB252" si="47">IF(COUNTIF(Z252:AA252,"SI APLICA")=2,"SI APLICA","")</f>
        <v/>
      </c>
      <c r="AC252" s="28"/>
    </row>
    <row r="253" spans="1:29" s="30" customFormat="1" ht="15.75" customHeight="1">
      <c r="A253" s="112" t="str">
        <f>"P"&amp;E230</f>
        <v>P8</v>
      </c>
      <c r="B253" s="791"/>
      <c r="C253" s="54">
        <v>3</v>
      </c>
      <c r="D253" s="100" t="str">
        <f>IF(AND(C253&lt;=F249,F249&lt;&gt;""),VLOOKUP(VALUE(E230&amp;","&amp;C253),INTEGRANTES!$D$19:$F$192,2,0),"")</f>
        <v/>
      </c>
      <c r="E253" s="107" t="str">
        <f>IF(D253&lt;&gt;"",VLOOKUP(VALUE(E230&amp;","&amp;C253),INTEGRANTES!$D$19:$F$192,3,0),"")</f>
        <v/>
      </c>
      <c r="F253" s="380" t="str">
        <f>IF(D253="","",IF(OR(SUMIF($J237:$J243,D253,$O237:$O243)=0,N253="NO"),"NO APORTA",SUMIF($J237:$J243,D253,$O237:$O243)))</f>
        <v/>
      </c>
      <c r="G253" s="380" t="str">
        <f>IF($D253="","",IF($F249&lt;=1,"",ROUND(POSMMLV*PORPO,2)))</f>
        <v/>
      </c>
      <c r="H253" s="765" t="str">
        <f t="shared" si="46"/>
        <v/>
      </c>
      <c r="I253" s="766"/>
      <c r="J253" s="108" t="str">
        <f>IF(D253="","",IF(OR(AND(SUMIF($J234:$J243,D253,$O234:$O243)&gt;=5%*POSMMLV,N253="SI"),AND(SUMIF($J234:$J243,D253,$O234:$O243)=0,E253&lt;=5%,N253="SI")),"CUMPLE","NO CUMPLE"))</f>
        <v/>
      </c>
      <c r="K253" s="105" t="str">
        <f>IF(OR(D253="",J253=""),"",IF(AND(J253="NO CUMPLE",F253="NO APORTA",E253&gt;5%),"EXP = 0 y PART &gt; 5%",IF(F253&lt;5%*Q256,"EXP &lt; 5%*PO","")))</f>
        <v/>
      </c>
      <c r="L253" s="389" t="str">
        <f>IF(OR(D253="",E253=""),"",IF(AND(E253&gt;=0.25,F253&lt;&gt;"NO APORTA",F253&gt;=$R256*0.25),"SI","NO"))</f>
        <v/>
      </c>
      <c r="M253" s="389"/>
      <c r="N253" s="468"/>
      <c r="O253" s="397"/>
      <c r="P253" s="816"/>
      <c r="Q253" s="816"/>
      <c r="R253" s="816"/>
      <c r="S253" s="820"/>
      <c r="T253" s="308"/>
      <c r="U253" s="308"/>
      <c r="V253" s="309"/>
      <c r="W253" s="284"/>
      <c r="X253" s="542" t="str">
        <f>IF($F249=1,"NO APLICA",$D253)</f>
        <v>NO APLICA</v>
      </c>
      <c r="Y253" s="543" t="str">
        <f>IF(OR($F253="",$F253="NO APORTA",$R256=0,$X253="NO APLICA"),"",ROUND($F253/$Q256,2))</f>
        <v/>
      </c>
      <c r="Z253" s="544"/>
      <c r="AA253" s="543"/>
      <c r="AB253" s="540" t="str">
        <f>IF(COUNTIF(Z253:AA253,"SI APLICA")=2,"SI APLICA","")</f>
        <v/>
      </c>
      <c r="AC253" s="28"/>
    </row>
    <row r="254" spans="1:29" s="30" customFormat="1" ht="15.75" customHeight="1">
      <c r="A254" s="112" t="str">
        <f>"Q"&amp;E230</f>
        <v>Q8</v>
      </c>
      <c r="B254" s="791"/>
      <c r="C254" s="54">
        <v>4</v>
      </c>
      <c r="D254" s="100" t="str">
        <f>IF(AND(C254&lt;=F249,F249&lt;&gt;""),VLOOKUP(VALUE(E230&amp;","&amp;C254),INTEGRANTES!$D$19:$F$192,2,0),"")</f>
        <v/>
      </c>
      <c r="E254" s="107" t="str">
        <f>IF(D254&lt;&gt;"",VLOOKUP(VALUE(E230&amp;","&amp;C254),INTEGRANTES!$D$19:$F$192,3,0),"")</f>
        <v/>
      </c>
      <c r="F254" s="380" t="str">
        <f>IF(D254="","",IF(OR(SUMIF($J237:$J243,D254,$O237:$O243)=0,N254="NO"),"NO APORTA",SUMIF($J237:$J243,D254,$O237:$O243)))</f>
        <v/>
      </c>
      <c r="G254" s="380" t="str">
        <f>IF($D254="","",IF($F249&lt;=1,"",ROUND(POSMMLV*PORPO,2)))</f>
        <v/>
      </c>
      <c r="H254" s="765" t="str">
        <f t="shared" si="46"/>
        <v/>
      </c>
      <c r="I254" s="766"/>
      <c r="J254" s="108" t="str">
        <f>IF(D254="","",IF(OR(AND(SUMIF($J234:$J243,D254,$O234:$O243)&gt;=5%*POSMMLV,N254="SI"),AND(SUMIF($J234:$J243,D254,$O234:$O243)=0,E254&lt;=5%,N254="SI")),"CUMPLE","NO CUMPLE"))</f>
        <v/>
      </c>
      <c r="K254" s="105" t="str">
        <f>IF(OR(D254="",J254=""),"",IF(AND(J254="NO CUMPLE",F254="NO APORTA",E254&gt;5%),"EXP = 0 y PART &gt; 5%",IF(F254&lt;5%*Q256,"EXP &lt; 5%*PO","")))</f>
        <v/>
      </c>
      <c r="L254" s="389" t="str">
        <f>IF(OR(D254="",E254=""),"",IF(AND(E254&gt;=0.25,F254&lt;&gt;"NO APORTA",F254&gt;=$R256*0.25),"SI","NO"))</f>
        <v/>
      </c>
      <c r="M254" s="389"/>
      <c r="N254" s="468"/>
      <c r="O254" s="788" t="s">
        <v>414</v>
      </c>
      <c r="P254" s="769" t="s">
        <v>415</v>
      </c>
      <c r="Q254" s="770"/>
      <c r="R254" s="770"/>
      <c r="S254" s="771"/>
      <c r="T254" s="284"/>
      <c r="U254" s="284"/>
      <c r="V254" s="310"/>
      <c r="W254" s="284"/>
      <c r="X254" s="542" t="str">
        <f>IF($F249=1,"NO APLICA",$D254)</f>
        <v>NO APLICA</v>
      </c>
      <c r="Y254" s="543" t="str">
        <f>IF(OR($F254="",$F254="NO APORTA",$R256=0,$X254="NO APLICA"),"",ROUND($F254/$Q256,2))</f>
        <v/>
      </c>
      <c r="Z254" s="544"/>
      <c r="AA254" s="543"/>
      <c r="AB254" s="540" t="str">
        <f t="shared" ref="AB254:AB255" si="48">IF(COUNTIF(Z254:AA254,"SI APLICA")=2,"SI APLICA","")</f>
        <v/>
      </c>
      <c r="AC254" s="28"/>
    </row>
    <row r="255" spans="1:29" s="30" customFormat="1" ht="17.25" customHeight="1">
      <c r="A255" s="112" t="str">
        <f>"R"&amp;E230</f>
        <v>R8</v>
      </c>
      <c r="B255" s="791"/>
      <c r="C255" s="54">
        <v>5</v>
      </c>
      <c r="D255" s="100" t="str">
        <f>IF(AND(C255&lt;=F249,F249&lt;&gt;""),VLOOKUP(VALUE(E230&amp;","&amp;C255),INTEGRANTES!$D$19:$F$192,2,0),"")</f>
        <v/>
      </c>
      <c r="E255" s="107" t="str">
        <f>IF(D255&lt;&gt;"",VLOOKUP(VALUE(E230&amp;","&amp;C255),INTEGRANTES!$D$19:$F$192,3,0),"")</f>
        <v/>
      </c>
      <c r="F255" s="380" t="str">
        <f>IF(D255="","",IF(OR(SUMIF($J237:$J243,D255,$O237:$O243)=0,N255="NO"),"NO APORTA",SUMIF($J237:$J243,D255,$O237:$O243)))</f>
        <v/>
      </c>
      <c r="G255" s="380" t="str">
        <f>IF($D255="","",IF($F249&lt;=1,"",ROUND(POSMMLV*PORPO,2)))</f>
        <v/>
      </c>
      <c r="H255" s="765" t="str">
        <f t="shared" si="46"/>
        <v/>
      </c>
      <c r="I255" s="766"/>
      <c r="J255" s="108" t="str">
        <f>IF(D255="","",IF(OR(AND(SUMIF($J234:$J243,D255,$O234:$O243)&gt;=5%*POSMMLV,N255="SI"),AND(SUMIF($J234:$J243,D255,$O234:$O243)=0,E255&lt;=5%,N255="SI")),"CUMPLE","NO CUMPLE"))</f>
        <v/>
      </c>
      <c r="K255" s="105" t="str">
        <f>IF(OR(D255="",J255=""),"",IF(AND(J255="NO CUMPLE",F255="NO APORTA",E255&gt;5%),"EXP = 0 y PART &gt; 5%",IF(F255&lt;5%*Q256,"EXP &lt; 5%*PO","")))</f>
        <v/>
      </c>
      <c r="L255" s="389" t="str">
        <f>IF(OR(D255="",E255=""),"",IF(AND(E255&gt;=0.25,F255&lt;&gt;"NO APORTA",F255&gt;=$R256*0.25),"SI","NO"))</f>
        <v/>
      </c>
      <c r="M255" s="389"/>
      <c r="N255" s="468"/>
      <c r="O255" s="789"/>
      <c r="P255" s="504" t="s">
        <v>416</v>
      </c>
      <c r="Q255" s="504" t="s">
        <v>417</v>
      </c>
      <c r="R255" s="793" t="s">
        <v>418</v>
      </c>
      <c r="S255" s="793"/>
      <c r="T255" s="284"/>
      <c r="U255" s="284"/>
      <c r="V255" s="310"/>
      <c r="W255" s="284"/>
      <c r="X255" s="542" t="str">
        <f>IF($F249=1,"NO APLICA",$D255)</f>
        <v>NO APLICA</v>
      </c>
      <c r="Y255" s="543" t="str">
        <f>IF(OR($F255="",$F255="NO APORTA",$R256=0,$X255="NO APLICA"),"",ROUND($F255/$Q256,2))</f>
        <v/>
      </c>
      <c r="Z255" s="544"/>
      <c r="AA255" s="543"/>
      <c r="AB255" s="540" t="str">
        <f t="shared" si="48"/>
        <v/>
      </c>
      <c r="AC255" s="28"/>
    </row>
    <row r="256" spans="1:29" s="30" customFormat="1" ht="16.5" customHeight="1" thickBot="1">
      <c r="A256" s="112" t="str">
        <f>"S"&amp;E230</f>
        <v>S8</v>
      </c>
      <c r="B256" s="791"/>
      <c r="C256" s="109">
        <v>6</v>
      </c>
      <c r="D256" s="110" t="str">
        <f>IF(AND(C256&lt;=F249,F249&lt;&gt;""),VLOOKUP(VALUE(E230&amp;","&amp;C256),INTEGRANTES!$D$19:$F$192,2,0),"")</f>
        <v/>
      </c>
      <c r="E256" s="111" t="str">
        <f>IF(D256&lt;&gt;"",VLOOKUP(VALUE(E230&amp;","&amp;C256),INTEGRANTES!$D$19:$F$192,3,0),"")</f>
        <v/>
      </c>
      <c r="F256" s="380" t="str">
        <f>IF(D256="","",IF(OR(SUMIF($J237:$J243,D256,$O237:$O243)=0,N256="NO"),"NO APORTA",SUMIF($J237:$J243,D256,$O237:$O243)))</f>
        <v/>
      </c>
      <c r="G256" s="380" t="str">
        <f>IF($D256="","",IF($F249&lt;=1,"",ROUND(POSMMLV*PORPO,2)))</f>
        <v/>
      </c>
      <c r="H256" s="765" t="str">
        <f>IF($D256="","",IF(OR(F256="NO APORTA",G256&gt;F256),"NO CUMPLE","CUMPLE"))</f>
        <v/>
      </c>
      <c r="I256" s="766"/>
      <c r="J256" s="108" t="str">
        <f>IF(D256="","",IF(OR(AND(SUMIF($J234:$J243,D256,$O234:$O243)&gt;=5%*POSMMLV,N256="SI"),AND(SUMIF($J234:$J243,D256,$O234:$O243)=0,E256&lt;=5%,N256="SI")),"CUMPLE","NO CUMPLE"))</f>
        <v/>
      </c>
      <c r="K256" s="105" t="str">
        <f>IF(OR(D256="",J256=""),"",IF(AND(J256="NO CUMPLE",F256="NO APORTA",E256&gt;5%),"EXP = 0 y PART &gt; 5%",IF(F256&lt;5%*Q256,"EXP &lt; 5%*PO","")))</f>
        <v/>
      </c>
      <c r="L256" s="389" t="str">
        <f>IF(OR(D256="",E256=""),"",IF(AND(E256&gt;=0.25,F256&lt;&gt;"NO APORTA",F256&gt;=$R256*0.25),"SI","NO"))</f>
        <v/>
      </c>
      <c r="M256" s="389"/>
      <c r="N256" s="468"/>
      <c r="O256" s="403" t="str">
        <f ca="1">IF(R256&gt;=Q256,"CUMPLE","NO CUMPLE")</f>
        <v>CUMPLE</v>
      </c>
      <c r="P256" s="312">
        <f>NUMMOD</f>
        <v>1</v>
      </c>
      <c r="Q256" s="313">
        <f ca="1">IF(P256="","",ROUND(VLOOKUP(P256,PRESUPUESTOS!$B$16:$L$16,9,FALSE),7))</f>
        <v>300</v>
      </c>
      <c r="R256" s="834">
        <f>IF(OR(COUNTIF(O234:O243,"")&gt;9,S250&lt;NUMMINCONT),0,SUM(O234:O243))</f>
        <v>1050.7379999999998</v>
      </c>
      <c r="S256" s="834"/>
      <c r="T256" s="284"/>
      <c r="U256" s="284"/>
      <c r="V256" s="310"/>
      <c r="W256" s="284"/>
      <c r="X256" s="545" t="str">
        <f>IF($F249=1,"NO APLICA",$D256)</f>
        <v>NO APLICA</v>
      </c>
      <c r="Y256" s="543" t="str">
        <f>IF(OR($F256="",$F256="NO APORTA",$R256=0,$X256="NO APLICA"),"",ROUND($F256/$Q256,2))</f>
        <v/>
      </c>
      <c r="Z256" s="544"/>
      <c r="AA256" s="546"/>
      <c r="AB256" s="540" t="str">
        <f>IF(COUNTIF(Z256:AA256,"SI APLICA")=2,"SI APLICA","")</f>
        <v/>
      </c>
      <c r="AC256" s="28"/>
    </row>
    <row r="257" spans="1:29" s="30" customFormat="1" ht="16.5" customHeight="1" thickBot="1">
      <c r="A257" s="112" t="str">
        <f>"T"&amp;E230</f>
        <v>T8</v>
      </c>
      <c r="B257" s="792"/>
      <c r="C257" s="821" t="s">
        <v>419</v>
      </c>
      <c r="D257" s="822"/>
      <c r="E257" s="822"/>
      <c r="F257" s="518"/>
      <c r="G257" s="519"/>
      <c r="H257" s="794" t="str">
        <f>IF(OR($F249="",SUM(E251:E256)=0),"",IF(COUNTIF(H251:H256,"CUMPLE")&gt;=1,"CUMPLE","NO CUMPLE"))</f>
        <v/>
      </c>
      <c r="I257" s="795"/>
      <c r="J257" s="314" t="str">
        <f>IF(COUNTIF(J251:J256,"")&gt;5,"",IF(COUNTIF(J251:J256,"NO CUMPLE")&gt;0,"NO CUMPLE","CUMPLE"))</f>
        <v/>
      </c>
      <c r="K257" s="314" t="str">
        <f>IF(OR(AND(F249=1,N251="SI"),AND(COUNTIF(H257:J257,"CUMPLE")=2)),"CUMPLE","NO CUMPLE")</f>
        <v>CUMPLE</v>
      </c>
      <c r="L257" s="519"/>
      <c r="M257" s="519"/>
      <c r="N257" s="519"/>
      <c r="O257" s="833" t="str">
        <f ca="1">IF(ISNUMBER(F230),"",IF(AND(O256="NO CUMPLE",SUM(N237:N243)&lt;Q256),"EL PROPONENTE SE DEBE REQUERIR POR EXPERIENCIA MINIMA EXIGIDA",""))</f>
        <v/>
      </c>
      <c r="P257" s="833"/>
      <c r="Q257" s="833"/>
      <c r="R257" s="833"/>
      <c r="S257" s="833"/>
      <c r="T257" s="522"/>
      <c r="U257" s="523"/>
      <c r="V257" s="524"/>
      <c r="W257" s="284"/>
      <c r="X257" s="364" t="str">
        <f>IF(Y257=1,"PROPONENTE INDIVIDUAL","PROPONENTE PLURAL")</f>
        <v>PROPONENTE INDIVIDUAL</v>
      </c>
      <c r="Y257" s="276">
        <f>F249</f>
        <v>1</v>
      </c>
      <c r="Z257" s="277" t="str">
        <f>IF(OR(AND(Z251="SI APLICA",AA251="SI APLICA"),AND(Z252="SI APLICA",AA252="SI APLICA"),AND(Z253="SI APLICA",AA253="SI APLICA"),AND(Z254="SI APLICA",AA254="SI APLICA"),AND(Z255="SI APLICA",AA255="SI APLICA"),AND(Z256="SI APLICA",AA256="SI APLICA")),"SI APLICA","NO APLICA")</f>
        <v>SI APLICA</v>
      </c>
      <c r="AA257" s="278" t="str">
        <f>IF(OR(AND(AA251="SI APLICA",AB251="SI APLICA"),AND(AA252="SI APLICA",AB252="SI APLICA"),AND(AA253="SI APLICA",AB253="SI APLICA"),AND(AA254="SI APLICA",AB254="SI APLICA"),AND(AA255="SI APLICA",AB255="SI APLICA"),AND(AA256="SI APLICA",AB256="SI APLICA")),"SI APLICA","NO APLICA")</f>
        <v>SI APLICA</v>
      </c>
      <c r="AB257" s="278" t="str">
        <f>IF(COUNTIF(AB251:AB256,"SI APLICA")&gt;0,"SI APLICA","NO APLICA")</f>
        <v>SI APLICA</v>
      </c>
      <c r="AC257" s="28"/>
    </row>
    <row r="258" spans="1:29" ht="24.95" customHeight="1"/>
    <row r="259" spans="1:29" ht="24.95" customHeight="1"/>
    <row r="260" spans="1:29" s="41" customFormat="1" ht="24" thickBot="1">
      <c r="A260" s="34">
        <v>9</v>
      </c>
      <c r="B260" s="828" t="s">
        <v>355</v>
      </c>
      <c r="C260" s="828"/>
      <c r="D260" s="828"/>
      <c r="E260" s="35">
        <f>VLOOKUP(A260,PROPONENTES!$B$19:$E$108,2,FALSE)</f>
        <v>9</v>
      </c>
      <c r="F260" s="36" t="str">
        <f>VLOOKUP(A260,PROPONENTES!$B$19:$E$108,3,FALSE)</f>
        <v>CONSORCIO GMC</v>
      </c>
      <c r="G260" s="37"/>
      <c r="H260" s="37"/>
      <c r="I260" s="36"/>
      <c r="J260" s="36"/>
      <c r="K260" s="36"/>
      <c r="L260" s="36"/>
      <c r="M260" s="38"/>
      <c r="N260" s="38"/>
      <c r="O260" s="37"/>
      <c r="P260" s="37"/>
      <c r="Q260" s="39"/>
      <c r="R260" s="39"/>
      <c r="S260" s="39"/>
      <c r="T260" s="39"/>
      <c r="U260" s="40"/>
      <c r="Y260" s="52"/>
      <c r="Z260" s="52"/>
      <c r="AA260" s="52"/>
      <c r="AB260" s="28"/>
      <c r="AC260" s="28"/>
    </row>
    <row r="261" spans="1:29" s="27" customFormat="1" ht="24.75" customHeight="1">
      <c r="A261" s="22"/>
      <c r="B261" s="829" t="s">
        <v>356</v>
      </c>
      <c r="C261" s="501" t="s">
        <v>357</v>
      </c>
      <c r="D261" s="502" t="s">
        <v>358</v>
      </c>
      <c r="E261" s="502"/>
      <c r="F261" s="502" t="s">
        <v>359</v>
      </c>
      <c r="G261" s="503"/>
      <c r="H261" s="803" t="s">
        <v>360</v>
      </c>
      <c r="I261" s="831" t="s">
        <v>361</v>
      </c>
      <c r="J261" s="803" t="s">
        <v>362</v>
      </c>
      <c r="K261" s="803" t="s">
        <v>363</v>
      </c>
      <c r="L261" s="803" t="s">
        <v>364</v>
      </c>
      <c r="M261" s="803" t="s">
        <v>365</v>
      </c>
      <c r="N261" s="804" t="s">
        <v>366</v>
      </c>
      <c r="O261" s="805"/>
      <c r="P261" s="806" t="s">
        <v>367</v>
      </c>
      <c r="Q261" s="807"/>
      <c r="R261" s="784" t="s">
        <v>368</v>
      </c>
      <c r="S261" s="774"/>
      <c r="T261" s="798" t="s">
        <v>369</v>
      </c>
      <c r="U261" s="799"/>
      <c r="V261" s="800"/>
      <c r="X261" s="520"/>
      <c r="Y261" s="520"/>
    </row>
    <row r="262" spans="1:29" s="27" customFormat="1" ht="94.5" customHeight="1">
      <c r="A262" s="22"/>
      <c r="B262" s="830"/>
      <c r="C262" s="504" t="s">
        <v>370</v>
      </c>
      <c r="D262" s="505" t="s">
        <v>41</v>
      </c>
      <c r="E262" s="505" t="s">
        <v>371</v>
      </c>
      <c r="F262" s="505" t="s">
        <v>372</v>
      </c>
      <c r="G262" s="506" t="s">
        <v>373</v>
      </c>
      <c r="H262" s="793"/>
      <c r="I262" s="832"/>
      <c r="J262" s="793"/>
      <c r="K262" s="793"/>
      <c r="L262" s="793"/>
      <c r="M262" s="793"/>
      <c r="N262" s="504" t="s">
        <v>374</v>
      </c>
      <c r="O262" s="505" t="s">
        <v>375</v>
      </c>
      <c r="P262" s="801"/>
      <c r="Q262" s="802"/>
      <c r="R262" s="796"/>
      <c r="S262" s="797"/>
      <c r="T262" s="507" t="s">
        <v>376</v>
      </c>
      <c r="U262" s="508" t="s">
        <v>377</v>
      </c>
      <c r="V262" s="509" t="s">
        <v>378</v>
      </c>
      <c r="X262" s="521" t="s">
        <v>379</v>
      </c>
      <c r="Y262" s="521" t="s">
        <v>380</v>
      </c>
    </row>
    <row r="263" spans="1:29" s="27" customFormat="1" ht="15" customHeight="1">
      <c r="A263" s="22"/>
      <c r="B263" s="594"/>
      <c r="C263" s="595">
        <v>3</v>
      </c>
      <c r="D263" s="595">
        <v>4</v>
      </c>
      <c r="E263" s="595">
        <v>5</v>
      </c>
      <c r="F263" s="595">
        <v>6</v>
      </c>
      <c r="G263" s="595">
        <v>7</v>
      </c>
      <c r="H263" s="595">
        <v>8</v>
      </c>
      <c r="I263" s="595">
        <v>9</v>
      </c>
      <c r="J263" s="595">
        <v>10</v>
      </c>
      <c r="K263" s="595">
        <v>11</v>
      </c>
      <c r="L263" s="595">
        <v>12</v>
      </c>
      <c r="M263" s="595">
        <v>13</v>
      </c>
      <c r="N263" s="595">
        <v>14</v>
      </c>
      <c r="O263" s="595">
        <v>15</v>
      </c>
      <c r="P263" s="596">
        <v>16</v>
      </c>
      <c r="Q263" s="597">
        <v>17</v>
      </c>
      <c r="R263" s="596">
        <v>18</v>
      </c>
      <c r="S263" s="597">
        <v>19</v>
      </c>
      <c r="T263" s="598">
        <v>20</v>
      </c>
      <c r="U263" s="255">
        <v>21</v>
      </c>
      <c r="V263" s="599">
        <v>22</v>
      </c>
      <c r="X263" s="589"/>
      <c r="Y263" s="590"/>
    </row>
    <row r="264" spans="1:29" s="44" customFormat="1" ht="39" customHeight="1">
      <c r="A264" s="42" t="str">
        <f>"A"&amp;E260</f>
        <v>A9</v>
      </c>
      <c r="B264" s="605">
        <f>IF(C264&lt;&gt;"",B263+1,"")</f>
        <v>1</v>
      </c>
      <c r="C264" s="581" t="s">
        <v>481</v>
      </c>
      <c r="D264" s="581" t="s">
        <v>482</v>
      </c>
      <c r="E264" s="581" t="s">
        <v>483</v>
      </c>
      <c r="F264" s="581" t="s">
        <v>384</v>
      </c>
      <c r="G264" s="534">
        <v>1</v>
      </c>
      <c r="H264" s="534" t="s">
        <v>385</v>
      </c>
      <c r="I264" s="579">
        <v>1</v>
      </c>
      <c r="J264" s="580" t="str">
        <f>IF(I264="","",IF(I264="I",$F260,VLOOKUP(I264,$C281:$D286,2,0)))</f>
        <v>GRUPO METRO COLOMBIA S.A.S</v>
      </c>
      <c r="K264" s="535">
        <v>37125</v>
      </c>
      <c r="L264" s="535">
        <v>37246</v>
      </c>
      <c r="M264" s="536">
        <v>417.83</v>
      </c>
      <c r="N264" s="232">
        <f t="shared" ref="N264:N273" si="49">IF(OR(G264="",M264=""),"",M264*G264)</f>
        <v>417.83</v>
      </c>
      <c r="O264" s="260">
        <f t="shared" ref="O264:O273" si="50">IF(OR(H264="",H264="NO",K264&lt;$Q$17,K264&gt;$R$17,K264="",M264="",N264=""),"",ROUND(N264,7))</f>
        <v>417.83</v>
      </c>
      <c r="P264" s="781"/>
      <c r="Q264" s="782"/>
      <c r="R264" s="767"/>
      <c r="S264" s="768"/>
      <c r="T264" s="538" t="s">
        <v>385</v>
      </c>
      <c r="U264" s="539">
        <v>49</v>
      </c>
      <c r="V264" s="540" t="s">
        <v>385</v>
      </c>
      <c r="X264" s="541" t="s">
        <v>449</v>
      </c>
      <c r="Y264" s="541" t="s">
        <v>387</v>
      </c>
    </row>
    <row r="265" spans="1:29" s="44" customFormat="1" ht="45.75" customHeight="1">
      <c r="A265" s="42" t="str">
        <f>"B"&amp;E260</f>
        <v>B9</v>
      </c>
      <c r="B265" s="605">
        <f t="shared" ref="B265:B273" si="51">IF(C265&lt;&gt;"",B264+1,"")</f>
        <v>2</v>
      </c>
      <c r="C265" s="581" t="s">
        <v>481</v>
      </c>
      <c r="D265" s="581" t="s">
        <v>484</v>
      </c>
      <c r="E265" s="581" t="s">
        <v>485</v>
      </c>
      <c r="F265" s="581" t="s">
        <v>384</v>
      </c>
      <c r="G265" s="534">
        <v>1</v>
      </c>
      <c r="H265" s="534" t="s">
        <v>385</v>
      </c>
      <c r="I265" s="579">
        <v>1</v>
      </c>
      <c r="J265" s="580" t="str">
        <f>IF(I265="","",IF(I265="I",$F260,VLOOKUP(I265,$C281:$D286,2,0)))</f>
        <v>GRUPO METRO COLOMBIA S.A.S</v>
      </c>
      <c r="K265" s="535">
        <v>37459</v>
      </c>
      <c r="L265" s="535">
        <v>37521</v>
      </c>
      <c r="M265" s="536">
        <v>103.11</v>
      </c>
      <c r="N265" s="232">
        <f t="shared" si="49"/>
        <v>103.11</v>
      </c>
      <c r="O265" s="260">
        <f t="shared" si="50"/>
        <v>103.11</v>
      </c>
      <c r="P265" s="781"/>
      <c r="Q265" s="782"/>
      <c r="R265" s="767"/>
      <c r="S265" s="768"/>
      <c r="T265" s="538" t="s">
        <v>385</v>
      </c>
      <c r="U265" s="539">
        <v>51</v>
      </c>
      <c r="V265" s="540" t="s">
        <v>385</v>
      </c>
      <c r="X265" s="541" t="s">
        <v>449</v>
      </c>
      <c r="Y265" s="541" t="s">
        <v>387</v>
      </c>
    </row>
    <row r="266" spans="1:29" s="44" customFormat="1" ht="76.5" customHeight="1">
      <c r="A266" s="42" t="str">
        <f>"C"&amp;E260</f>
        <v>C9</v>
      </c>
      <c r="B266" s="605">
        <f t="shared" si="51"/>
        <v>3</v>
      </c>
      <c r="C266" s="581" t="s">
        <v>481</v>
      </c>
      <c r="D266" s="581" t="s">
        <v>486</v>
      </c>
      <c r="E266" s="581" t="s">
        <v>487</v>
      </c>
      <c r="F266" s="581" t="s">
        <v>431</v>
      </c>
      <c r="G266" s="534">
        <v>0.6</v>
      </c>
      <c r="H266" s="534" t="s">
        <v>385</v>
      </c>
      <c r="I266" s="579">
        <v>1</v>
      </c>
      <c r="J266" s="580" t="str">
        <f>IF(I266="","",IF(I266="I",$F260,VLOOKUP(I266,$C281:$D286,2,0)))</f>
        <v>GRUPO METRO COLOMBIA S.A.S</v>
      </c>
      <c r="K266" s="535">
        <v>41514</v>
      </c>
      <c r="L266" s="535">
        <v>41757</v>
      </c>
      <c r="M266" s="536">
        <v>1175.82</v>
      </c>
      <c r="N266" s="232">
        <f t="shared" si="49"/>
        <v>705.49199999999996</v>
      </c>
      <c r="O266" s="260">
        <f t="shared" si="50"/>
        <v>705.49199999999996</v>
      </c>
      <c r="P266" s="781"/>
      <c r="Q266" s="782"/>
      <c r="R266" s="767"/>
      <c r="S266" s="768"/>
      <c r="T266" s="538" t="s">
        <v>385</v>
      </c>
      <c r="U266" s="539">
        <v>65</v>
      </c>
      <c r="V266" s="540" t="s">
        <v>385</v>
      </c>
      <c r="X266" s="541" t="s">
        <v>423</v>
      </c>
      <c r="Y266" s="541" t="s">
        <v>439</v>
      </c>
    </row>
    <row r="267" spans="1:29" s="44" customFormat="1" ht="88.5" customHeight="1">
      <c r="A267" s="42" t="str">
        <f>"D"&amp;E260</f>
        <v>D9</v>
      </c>
      <c r="B267" s="605">
        <f t="shared" si="51"/>
        <v>4</v>
      </c>
      <c r="C267" s="581" t="s">
        <v>481</v>
      </c>
      <c r="D267" s="581" t="s">
        <v>488</v>
      </c>
      <c r="E267" s="581" t="s">
        <v>489</v>
      </c>
      <c r="F267" s="581" t="s">
        <v>431</v>
      </c>
      <c r="G267" s="534">
        <v>0.6</v>
      </c>
      <c r="H267" s="534" t="s">
        <v>385</v>
      </c>
      <c r="I267" s="579">
        <v>1</v>
      </c>
      <c r="J267" s="580" t="str">
        <f>IF(I267="","",IF(I267="I",$F260,VLOOKUP(I267,$C281:$D286,2,0)))</f>
        <v>GRUPO METRO COLOMBIA S.A.S</v>
      </c>
      <c r="K267" s="535">
        <v>41516</v>
      </c>
      <c r="L267" s="535">
        <v>41789</v>
      </c>
      <c r="M267" s="536">
        <v>1119.72</v>
      </c>
      <c r="N267" s="232">
        <f t="shared" si="49"/>
        <v>671.83199999999999</v>
      </c>
      <c r="O267" s="260">
        <f t="shared" si="50"/>
        <v>671.83199999999999</v>
      </c>
      <c r="P267" s="781"/>
      <c r="Q267" s="782"/>
      <c r="R267" s="767"/>
      <c r="S267" s="768"/>
      <c r="T267" s="538" t="s">
        <v>385</v>
      </c>
      <c r="U267" s="539">
        <v>67</v>
      </c>
      <c r="V267" s="540" t="s">
        <v>385</v>
      </c>
      <c r="X267" s="541" t="s">
        <v>423</v>
      </c>
      <c r="Y267" s="541" t="s">
        <v>439</v>
      </c>
    </row>
    <row r="268" spans="1:29" s="44" customFormat="1" ht="75" customHeight="1">
      <c r="A268" s="42" t="str">
        <f>"E"&amp;E260</f>
        <v>E9</v>
      </c>
      <c r="B268" s="605">
        <f t="shared" si="51"/>
        <v>5</v>
      </c>
      <c r="C268" s="581" t="s">
        <v>481</v>
      </c>
      <c r="D268" s="581" t="s">
        <v>490</v>
      </c>
      <c r="E268" s="581" t="s">
        <v>491</v>
      </c>
      <c r="F268" s="581" t="s">
        <v>384</v>
      </c>
      <c r="G268" s="534">
        <v>1</v>
      </c>
      <c r="H268" s="534" t="s">
        <v>385</v>
      </c>
      <c r="I268" s="579">
        <v>1</v>
      </c>
      <c r="J268" s="580" t="str">
        <f>IF(I268="","",IF(I268="I",$F260,VLOOKUP(I268,$C281:$D286,2,0)))</f>
        <v>GRUPO METRO COLOMBIA S.A.S</v>
      </c>
      <c r="K268" s="535">
        <v>41246</v>
      </c>
      <c r="L268" s="535">
        <v>41382</v>
      </c>
      <c r="M268" s="536">
        <v>328.65</v>
      </c>
      <c r="N268" s="232">
        <f t="shared" si="49"/>
        <v>328.65</v>
      </c>
      <c r="O268" s="260">
        <f t="shared" si="50"/>
        <v>328.65</v>
      </c>
      <c r="P268" s="781"/>
      <c r="Q268" s="782"/>
      <c r="R268" s="767"/>
      <c r="S268" s="768"/>
      <c r="T268" s="538" t="s">
        <v>385</v>
      </c>
      <c r="U268" s="539">
        <v>72</v>
      </c>
      <c r="V268" s="540" t="s">
        <v>385</v>
      </c>
      <c r="X268" s="541" t="s">
        <v>449</v>
      </c>
      <c r="Y268" s="541" t="s">
        <v>387</v>
      </c>
    </row>
    <row r="269" spans="1:29" s="44" customFormat="1" ht="24.95" customHeight="1">
      <c r="A269" s="42" t="str">
        <f>"F"&amp;E260</f>
        <v>F9</v>
      </c>
      <c r="B269" s="605" t="str">
        <f t="shared" si="51"/>
        <v/>
      </c>
      <c r="C269" s="581"/>
      <c r="D269" s="581"/>
      <c r="E269" s="581"/>
      <c r="F269" s="581"/>
      <c r="G269" s="534"/>
      <c r="H269" s="534"/>
      <c r="I269" s="579"/>
      <c r="J269" s="580" t="str">
        <f>IF(I269="","",IF(I269="I",$F260,VLOOKUP(I269,$C281:$D286,2,0)))</f>
        <v/>
      </c>
      <c r="K269" s="535"/>
      <c r="L269" s="535"/>
      <c r="M269" s="536"/>
      <c r="N269" s="232" t="str">
        <f t="shared" si="49"/>
        <v/>
      </c>
      <c r="O269" s="260" t="str">
        <f t="shared" si="50"/>
        <v/>
      </c>
      <c r="P269" s="781"/>
      <c r="Q269" s="782"/>
      <c r="R269" s="767"/>
      <c r="S269" s="768"/>
      <c r="T269" s="538"/>
      <c r="U269" s="539"/>
      <c r="V269" s="540"/>
      <c r="X269" s="541"/>
      <c r="Y269" s="541"/>
    </row>
    <row r="270" spans="1:29" s="44" customFormat="1" ht="24.95" customHeight="1">
      <c r="A270" s="42" t="str">
        <f>"G"&amp;E260</f>
        <v>G9</v>
      </c>
      <c r="B270" s="605" t="str">
        <f t="shared" si="51"/>
        <v/>
      </c>
      <c r="C270" s="581"/>
      <c r="D270" s="581"/>
      <c r="E270" s="581"/>
      <c r="F270" s="581"/>
      <c r="G270" s="534"/>
      <c r="H270" s="534"/>
      <c r="I270" s="579"/>
      <c r="J270" s="580" t="str">
        <f>IF(I270="","",IF(I270="I",$F260,VLOOKUP(I270,$C281:$D286,2,0)))</f>
        <v/>
      </c>
      <c r="K270" s="535"/>
      <c r="L270" s="535"/>
      <c r="M270" s="536"/>
      <c r="N270" s="43" t="str">
        <f t="shared" si="49"/>
        <v/>
      </c>
      <c r="O270" s="260" t="str">
        <f t="shared" si="50"/>
        <v/>
      </c>
      <c r="P270" s="781"/>
      <c r="Q270" s="782"/>
      <c r="R270" s="767"/>
      <c r="S270" s="768"/>
      <c r="T270" s="538"/>
      <c r="U270" s="539"/>
      <c r="V270" s="540"/>
      <c r="X270" s="541"/>
      <c r="Y270" s="541"/>
    </row>
    <row r="271" spans="1:29" s="44" customFormat="1" ht="24.95" customHeight="1">
      <c r="A271" s="42" t="str">
        <f>"H"&amp;E260</f>
        <v>H9</v>
      </c>
      <c r="B271" s="605" t="str">
        <f t="shared" si="51"/>
        <v/>
      </c>
      <c r="C271" s="581"/>
      <c r="D271" s="581"/>
      <c r="E271" s="581"/>
      <c r="F271" s="581"/>
      <c r="G271" s="534"/>
      <c r="H271" s="534"/>
      <c r="I271" s="579"/>
      <c r="J271" s="580" t="str">
        <f>IF(I271="","",IF(I271="I",$F260,VLOOKUP(I271,$C281:$D286,2,0)))</f>
        <v/>
      </c>
      <c r="K271" s="535"/>
      <c r="L271" s="535"/>
      <c r="M271" s="537"/>
      <c r="N271" s="43" t="str">
        <f t="shared" si="49"/>
        <v/>
      </c>
      <c r="O271" s="260" t="str">
        <f t="shared" si="50"/>
        <v/>
      </c>
      <c r="P271" s="781"/>
      <c r="Q271" s="782"/>
      <c r="R271" s="767"/>
      <c r="S271" s="768"/>
      <c r="T271" s="538"/>
      <c r="U271" s="539"/>
      <c r="V271" s="540"/>
      <c r="X271" s="541"/>
      <c r="Y271" s="541"/>
    </row>
    <row r="272" spans="1:29" s="44" customFormat="1" ht="24.95" customHeight="1">
      <c r="A272" s="42" t="str">
        <f>"I"&amp;E260</f>
        <v>I9</v>
      </c>
      <c r="B272" s="605" t="str">
        <f t="shared" si="51"/>
        <v/>
      </c>
      <c r="C272" s="581"/>
      <c r="D272" s="581"/>
      <c r="E272" s="581"/>
      <c r="F272" s="581"/>
      <c r="G272" s="534"/>
      <c r="H272" s="534"/>
      <c r="I272" s="579"/>
      <c r="J272" s="580" t="str">
        <f>IF(I272="","",IF(I272="I",$F260,VLOOKUP(I272,$C281:$D286,2,0)))</f>
        <v/>
      </c>
      <c r="K272" s="535"/>
      <c r="L272" s="535"/>
      <c r="M272" s="537"/>
      <c r="N272" s="43" t="str">
        <f t="shared" si="49"/>
        <v/>
      </c>
      <c r="O272" s="260" t="str">
        <f t="shared" si="50"/>
        <v/>
      </c>
      <c r="P272" s="781"/>
      <c r="Q272" s="782"/>
      <c r="R272" s="767"/>
      <c r="S272" s="768"/>
      <c r="T272" s="538"/>
      <c r="U272" s="539"/>
      <c r="V272" s="540"/>
      <c r="X272" s="541"/>
      <c r="Y272" s="541"/>
    </row>
    <row r="273" spans="1:29" s="44" customFormat="1" ht="24.95" customHeight="1" thickBot="1">
      <c r="A273" s="42" t="str">
        <f>"J"&amp;E260</f>
        <v>J9</v>
      </c>
      <c r="B273" s="612" t="str">
        <f t="shared" si="51"/>
        <v/>
      </c>
      <c r="C273" s="582"/>
      <c r="D273" s="582"/>
      <c r="E273" s="582"/>
      <c r="F273" s="582"/>
      <c r="G273" s="583"/>
      <c r="H273" s="583"/>
      <c r="I273" s="584"/>
      <c r="J273" s="585" t="str">
        <f>IF(I273="","",IF(I273="I",$F260,VLOOKUP(I273,$C281:$D286,2,0)))</f>
        <v/>
      </c>
      <c r="K273" s="586"/>
      <c r="L273" s="586"/>
      <c r="M273" s="587"/>
      <c r="N273" s="43" t="str">
        <f t="shared" si="49"/>
        <v/>
      </c>
      <c r="O273" s="260" t="str">
        <f t="shared" si="50"/>
        <v/>
      </c>
      <c r="P273" s="781"/>
      <c r="Q273" s="782"/>
      <c r="R273" s="767"/>
      <c r="S273" s="768"/>
      <c r="T273" s="538"/>
      <c r="U273" s="539"/>
      <c r="V273" s="540"/>
      <c r="X273" s="541"/>
      <c r="Y273" s="541"/>
    </row>
    <row r="274" spans="1:29" s="27" customFormat="1" ht="12" customHeight="1" thickBot="1">
      <c r="A274" s="42"/>
      <c r="B274" s="45"/>
      <c r="C274" s="46"/>
      <c r="D274" s="46"/>
      <c r="E274" s="46"/>
      <c r="F274" s="46"/>
      <c r="G274" s="46"/>
      <c r="H274" s="606"/>
      <c r="I274" s="46"/>
      <c r="J274" s="46"/>
      <c r="K274" s="46"/>
      <c r="L274" s="46"/>
      <c r="M274" s="46"/>
      <c r="N274" s="46"/>
      <c r="O274" s="259"/>
      <c r="P274" s="46"/>
      <c r="Q274" s="46"/>
      <c r="R274" s="259"/>
      <c r="S274" s="46"/>
      <c r="T274" s="46"/>
      <c r="U274" s="47"/>
      <c r="V274" s="48"/>
      <c r="X274" s="592"/>
      <c r="Y274" s="593"/>
      <c r="AB274" s="378"/>
    </row>
    <row r="275" spans="1:29" s="27" customFormat="1" ht="17.25" customHeight="1" thickBot="1">
      <c r="A275" s="42" t="str">
        <f>"Z"&amp;E260</f>
        <v>Z9</v>
      </c>
      <c r="B275" s="510"/>
      <c r="C275" s="511"/>
      <c r="D275" s="511"/>
      <c r="E275" s="511"/>
      <c r="F275" s="511"/>
      <c r="G275" s="511"/>
      <c r="H275" s="511"/>
      <c r="I275" s="511"/>
      <c r="J275" s="511"/>
      <c r="K275" s="511"/>
      <c r="L275" s="511"/>
      <c r="M275" s="511"/>
      <c r="N275" s="437" t="s">
        <v>388</v>
      </c>
      <c r="O275" s="438">
        <f>IF(COUNTIF(O264:O273,"")&gt;9,0,SUM(O264:O273)/(COUNTIF(H264:H273,"SI")))</f>
        <v>445.38279999999997</v>
      </c>
      <c r="P275" s="511"/>
      <c r="Q275" s="511"/>
      <c r="R275" s="530"/>
      <c r="S275" s="530"/>
      <c r="T275" s="531"/>
      <c r="U275" s="532"/>
      <c r="V275" s="533"/>
      <c r="W275" s="285"/>
      <c r="X275" s="613" t="e">
        <f>COUNTIF(#REF!,"")-COUNTIF(#REF!,"CUMPLE")-1</f>
        <v>#REF!</v>
      </c>
      <c r="Y275" s="591"/>
      <c r="AB275" s="28"/>
    </row>
    <row r="276" spans="1:29" ht="17.25" customHeight="1">
      <c r="B276" s="50"/>
      <c r="C276" s="50"/>
      <c r="D276" s="50"/>
      <c r="E276" s="50"/>
      <c r="F276" s="50"/>
      <c r="G276" s="51"/>
      <c r="H276" s="51"/>
      <c r="I276" s="51"/>
      <c r="J276" s="51"/>
      <c r="K276" s="51"/>
      <c r="L276" s="51"/>
      <c r="M276" s="51"/>
      <c r="N276" s="51"/>
      <c r="O276" s="51"/>
      <c r="P276" s="51"/>
      <c r="Q276" s="51"/>
      <c r="R276" s="51"/>
      <c r="S276" s="51"/>
      <c r="T276" s="51"/>
      <c r="U276" s="51"/>
      <c r="V276" s="51"/>
      <c r="W276" s="51"/>
      <c r="X276" s="608"/>
      <c r="Y276" s="51"/>
      <c r="Z276" s="51"/>
      <c r="AA276" s="51"/>
      <c r="AB276" s="51"/>
      <c r="AC276" s="50"/>
    </row>
    <row r="277" spans="1:29" s="27" customFormat="1" ht="16.5" customHeight="1" thickBot="1">
      <c r="A277" s="22"/>
      <c r="B277" s="783" t="s">
        <v>389</v>
      </c>
      <c r="C277" s="783"/>
      <c r="D277" s="783"/>
      <c r="E277" s="783"/>
      <c r="F277" s="783"/>
      <c r="G277" s="783"/>
      <c r="H277" s="783"/>
      <c r="I277" s="783"/>
      <c r="J277" s="783"/>
      <c r="K277" s="783"/>
      <c r="L277" s="783"/>
      <c r="M277" s="783"/>
      <c r="N277" s="783"/>
      <c r="O277" s="783"/>
      <c r="P277" s="783"/>
      <c r="Q277" s="783"/>
      <c r="R277" s="783"/>
      <c r="S277" s="783"/>
      <c r="T277" s="783"/>
      <c r="U277" s="783"/>
      <c r="V277" s="783"/>
      <c r="W277" s="286"/>
      <c r="X277" s="607"/>
      <c r="Y277" s="52"/>
      <c r="Z277" s="52"/>
      <c r="AA277" s="52"/>
      <c r="AB277" s="28"/>
      <c r="AC277" s="28"/>
    </row>
    <row r="278" spans="1:29" s="30" customFormat="1" ht="22.5" customHeight="1">
      <c r="A278" s="112" t="str">
        <f>"K"&amp;E260</f>
        <v>K9</v>
      </c>
      <c r="B278" s="790" t="s">
        <v>390</v>
      </c>
      <c r="C278" s="772" t="s">
        <v>391</v>
      </c>
      <c r="D278" s="773"/>
      <c r="E278" s="773"/>
      <c r="F278" s="773"/>
      <c r="G278" s="773"/>
      <c r="H278" s="773"/>
      <c r="I278" s="773"/>
      <c r="J278" s="773"/>
      <c r="K278" s="773"/>
      <c r="L278" s="773"/>
      <c r="M278" s="774"/>
      <c r="N278" s="525"/>
      <c r="O278" s="588"/>
      <c r="P278" s="772" t="s">
        <v>392</v>
      </c>
      <c r="Q278" s="773"/>
      <c r="R278" s="773"/>
      <c r="S278" s="774"/>
      <c r="T278" s="784" t="s">
        <v>393</v>
      </c>
      <c r="U278" s="774"/>
      <c r="V278" s="811"/>
      <c r="W278" s="284"/>
      <c r="X278" s="778" t="s">
        <v>394</v>
      </c>
      <c r="Y278" s="779"/>
      <c r="Z278" s="779"/>
      <c r="AA278" s="779" t="s">
        <v>395</v>
      </c>
      <c r="AB278" s="808" t="s">
        <v>396</v>
      </c>
      <c r="AC278" s="28"/>
    </row>
    <row r="279" spans="1:29" s="30" customFormat="1" ht="22.5" customHeight="1">
      <c r="A279" s="112" t="str">
        <f>"L"&amp;E260</f>
        <v>L9</v>
      </c>
      <c r="B279" s="791"/>
      <c r="C279" s="769" t="s">
        <v>397</v>
      </c>
      <c r="D279" s="770"/>
      <c r="E279" s="771"/>
      <c r="F279" s="512">
        <f>IF(VLOOKUP(E260,PROPONENTES!$C$19:$E$108,3,0)="","",VLOOKUP(E260,PROPONENTES!$C$19:$E$108,3,0))</f>
        <v>2</v>
      </c>
      <c r="G279" s="824" t="s">
        <v>398</v>
      </c>
      <c r="H279" s="793" t="s">
        <v>399</v>
      </c>
      <c r="I279" s="793"/>
      <c r="J279" s="769" t="s">
        <v>400</v>
      </c>
      <c r="K279" s="823"/>
      <c r="L279" s="513" t="s">
        <v>401</v>
      </c>
      <c r="M279" s="513"/>
      <c r="N279" s="526"/>
      <c r="O279" s="527"/>
      <c r="P279" s="775"/>
      <c r="Q279" s="776"/>
      <c r="R279" s="776"/>
      <c r="S279" s="777"/>
      <c r="T279" s="796"/>
      <c r="U279" s="797"/>
      <c r="V279" s="812"/>
      <c r="W279" s="284"/>
      <c r="X279" s="780" t="s">
        <v>402</v>
      </c>
      <c r="Y279" s="810" t="s">
        <v>403</v>
      </c>
      <c r="Z279" s="810"/>
      <c r="AA279" s="810"/>
      <c r="AB279" s="809"/>
      <c r="AC279" s="28"/>
    </row>
    <row r="280" spans="1:29" s="30" customFormat="1" ht="51.75" customHeight="1" thickBot="1">
      <c r="A280" s="112" t="str">
        <f>"M"&amp;E260</f>
        <v>M9</v>
      </c>
      <c r="B280" s="791"/>
      <c r="C280" s="770" t="s">
        <v>404</v>
      </c>
      <c r="D280" s="771"/>
      <c r="E280" s="514" t="s">
        <v>405</v>
      </c>
      <c r="F280" s="515" t="s">
        <v>406</v>
      </c>
      <c r="G280" s="824"/>
      <c r="H280" s="793"/>
      <c r="I280" s="793"/>
      <c r="J280" s="504" t="s">
        <v>407</v>
      </c>
      <c r="K280" s="516" t="s">
        <v>408</v>
      </c>
      <c r="L280" s="517" t="s">
        <v>409</v>
      </c>
      <c r="M280" s="517"/>
      <c r="N280" s="528" t="s">
        <v>410</v>
      </c>
      <c r="O280" s="529"/>
      <c r="P280" s="386"/>
      <c r="Q280" s="387" t="s">
        <v>411</v>
      </c>
      <c r="R280" s="388"/>
      <c r="S280" s="113">
        <f>COUNTIFS(H264:H273,"SI",O264:O273,"&gt;0")</f>
        <v>5</v>
      </c>
      <c r="T280" s="785"/>
      <c r="U280" s="787"/>
      <c r="V280" s="813"/>
      <c r="W280" s="284"/>
      <c r="X280" s="780"/>
      <c r="Y280" s="810"/>
      <c r="Z280" s="810"/>
      <c r="AA280" s="810"/>
      <c r="AB280" s="809"/>
      <c r="AC280" s="28"/>
    </row>
    <row r="281" spans="1:29" s="30" customFormat="1" ht="25.5">
      <c r="A281" s="112" t="str">
        <f>"N"&amp;E260</f>
        <v>N9</v>
      </c>
      <c r="B281" s="791"/>
      <c r="C281" s="54">
        <v>1</v>
      </c>
      <c r="D281" s="100" t="str">
        <f>IF(AND(C281&lt;=F279,F279&gt;1,F279&lt;&gt;""),VLOOKUP(VALUE(E260&amp;","&amp;C281),INTEGRANTES!$D$19:$F$192,2,0),"")</f>
        <v>GRUPO METRO COLOMBIA S.A.S</v>
      </c>
      <c r="E281" s="107">
        <f>IF(D281&lt;&gt;"",VLOOKUP(VALUE(E260&amp;","&amp;C281),INTEGRANTES!$D$19:$F$192,3,0),"")</f>
        <v>0.95</v>
      </c>
      <c r="F281" s="380">
        <f>IF(D281="","",IF(OR(SUMIF($J267:$J273,D281,$O267:$O273)=0,N281="NO"),"NO APORTA",SUMIF($J267:$J273,D281,$O267:$O273)))</f>
        <v>1000.482</v>
      </c>
      <c r="G281" s="380">
        <f ca="1">IF($D281="","",IF($F279&lt;=1,"",ROUND(POSMMLV*PORPO,2)))</f>
        <v>150</v>
      </c>
      <c r="H281" s="765" t="str">
        <f ca="1">IF($D281="","",IF(OR(F281="NO APORTA",G281&gt;F281),"NO CUMPLE","CUMPLE"))</f>
        <v>CUMPLE</v>
      </c>
      <c r="I281" s="766"/>
      <c r="J281" s="108" t="str">
        <f ca="1">IF(D281="","",IF(OR(AND(SUMIF($J264:$J273,D281,$O264:$O273)&gt;=5%*POSMMLV,N281="SI"),AND(SUMIF($J264:$J273,D281,$O264:$O273)=0,E281&lt;=5%,N281="SI")),"CUMPLE","NO CUMPLE"))</f>
        <v>CUMPLE</v>
      </c>
      <c r="K281" s="105" t="str">
        <f ca="1">IF(OR(D281="",J281=""),"",IF(AND(J281="NO CUMPLE",F281="NO APORTA",E281&gt;5%),"EXP = 0 y PART &gt; 5%",IF(F281&lt;5%*Q286,"EXP &lt; 5%*PO","")))</f>
        <v/>
      </c>
      <c r="L281" s="389" t="str">
        <f>IF(OR(D281="",E281=""),"",IF(AND(E281&gt;=0.25,F281&lt;&gt;"NO APORTA",F281&gt;=$R286*0.25),"SI","NO"))</f>
        <v>SI</v>
      </c>
      <c r="M281" s="389"/>
      <c r="N281" s="468" t="s">
        <v>385</v>
      </c>
      <c r="O281" s="396">
        <f>COUNTIFS(O264:O273,"&gt;0",H264:H273,"SI")</f>
        <v>5</v>
      </c>
      <c r="P281" s="814" t="s">
        <v>139</v>
      </c>
      <c r="Q281" s="814"/>
      <c r="R281" s="817">
        <f>E260</f>
        <v>9</v>
      </c>
      <c r="S281" s="818"/>
      <c r="T281" s="784" t="s">
        <v>412</v>
      </c>
      <c r="U281" s="773"/>
      <c r="V281" s="774"/>
      <c r="W281" s="283"/>
      <c r="X281" s="542" t="str">
        <f>IF($F279=1,"NO APLICA",$D281)</f>
        <v>GRUPO METRO COLOMBIA S.A.S</v>
      </c>
      <c r="Y281" s="543">
        <f ca="1">IF(OR($F281="",$F281="NO APORTA",$R286=0,$X281="NO APLICA"),"",ROUND($F281/$Q286,2))</f>
        <v>3.33</v>
      </c>
      <c r="Z281" s="544" t="str">
        <f ca="1">IF(Y287=1,"SI APLICA",IF(OR($X281="",$X281="NO APLICA",$F281="",$F281="NO APORTA"),"",IF(ROUND($F281/Q286,7)&gt;=0.4,"SI APLICA","NO APLICA")))</f>
        <v>SI APLICA</v>
      </c>
      <c r="AA281" s="543" t="s">
        <v>413</v>
      </c>
      <c r="AB281" s="540" t="str">
        <f ca="1">IF(COUNTIF(Z281:AA281,"SI APLICA")=2,"SI APLICA","")</f>
        <v>SI APLICA</v>
      </c>
      <c r="AC281" s="28"/>
    </row>
    <row r="282" spans="1:29" s="30" customFormat="1" ht="26.25" thickBot="1">
      <c r="A282" s="112" t="str">
        <f>"O"&amp;E260</f>
        <v>O9</v>
      </c>
      <c r="B282" s="791"/>
      <c r="C282" s="54">
        <v>2</v>
      </c>
      <c r="D282" s="100" t="str">
        <f>IF(AND(C282&lt;=F279,F279&lt;&gt;""),VLOOKUP(VALUE(E260&amp;","&amp;C282),INTEGRANTES!$D$19:$F$192,2,0),"")</f>
        <v>OSCAR ALFREDO MONTOYA CASTRO</v>
      </c>
      <c r="E282" s="107">
        <f>IF(D282&lt;&gt;"",VLOOKUP(VALUE(E260&amp;","&amp;C282),INTEGRANTES!$D$19:$F$192,3,0),"")</f>
        <v>0.05</v>
      </c>
      <c r="F282" s="380" t="str">
        <f>IF(D282="","",IF(OR(SUMIF($J267:$J273,D282,$O267:$O273)=0,N282="NO"),"NO APORTA",SUMIF($J267:$J273,D282,$O267:$O273)))</f>
        <v>NO APORTA</v>
      </c>
      <c r="G282" s="380">
        <f ca="1">IF($D282="","",IF($F279&lt;=1,"",ROUND(POSMMLV*PORPO,2)))</f>
        <v>150</v>
      </c>
      <c r="H282" s="765" t="str">
        <f t="shared" ref="H282:H285" ca="1" si="52">IF($D282="","",IF(OR(F282="NO APORTA",G282&gt;F282),"NO CUMPLE","CUMPLE"))</f>
        <v>NO CUMPLE</v>
      </c>
      <c r="I282" s="766"/>
      <c r="J282" s="108" t="str">
        <f ca="1">IF(D282="","",IF(OR(AND(SUMIF($J264:$J273,D282,$O264:$O273)&gt;=5%*POSMMLV,N282="SI"),AND(SUMIF($J264:$J273,D282,$O264:$O273)=0,E282&lt;=5%,N282="SI")),"CUMPLE","NO CUMPLE"))</f>
        <v>CUMPLE</v>
      </c>
      <c r="K282" s="105" t="str">
        <f ca="1">IF(OR(D282="",J282=""),"",IF(AND(J282="NO CUMPLE",F282="NO APORTA",E282&gt;5%),"EXP = 0 y PART &gt; 5%",IF(F282&lt;5%*Q286,"EXP &lt; 5%*PO","")))</f>
        <v/>
      </c>
      <c r="L282" s="389" t="str">
        <f>IF(OR(D282="",E282=""),"",IF(AND(E282&gt;=0.25,F282&lt;&gt;"NO APORTA",F282&gt;=$R286*0.25),"SI","NO"))</f>
        <v>NO</v>
      </c>
      <c r="M282" s="389"/>
      <c r="N282" s="468" t="s">
        <v>385</v>
      </c>
      <c r="O282" s="396"/>
      <c r="P282" s="815"/>
      <c r="Q282" s="815"/>
      <c r="R282" s="815"/>
      <c r="S282" s="819"/>
      <c r="T282" s="785"/>
      <c r="U282" s="786"/>
      <c r="V282" s="787"/>
      <c r="W282" s="283"/>
      <c r="X282" s="542" t="str">
        <f>IF($F279=1,"NO APLICA",$D282)</f>
        <v>OSCAR ALFREDO MONTOYA CASTRO</v>
      </c>
      <c r="Y282" s="543" t="str">
        <f>IF(OR($F282="",$F282="NO APORTA",$R286=0,$X282="NO APLICA"),"",ROUND($F282/$Q286,2))</f>
        <v/>
      </c>
      <c r="Z282" s="544" t="str">
        <f>IF(Y287=1,"SI APLICA",IF(OR($X282="",$X282="NO APLICA",$F282="",$F282="NO APORTA"),"",IF(ROUND($F282/Q286,7)&gt;=0.4,"SI APLICA","NO APLICA")))</f>
        <v/>
      </c>
      <c r="AA282" s="543"/>
      <c r="AB282" s="540" t="str">
        <f t="shared" ref="AB282" si="53">IF(COUNTIF(Z282:AA282,"SI APLICA")=2,"SI APLICA","")</f>
        <v/>
      </c>
      <c r="AC282" s="28"/>
    </row>
    <row r="283" spans="1:29" s="30" customFormat="1" ht="15.75" customHeight="1">
      <c r="A283" s="112" t="str">
        <f>"P"&amp;E260</f>
        <v>P9</v>
      </c>
      <c r="B283" s="791"/>
      <c r="C283" s="54">
        <v>3</v>
      </c>
      <c r="D283" s="100" t="str">
        <f>IF(AND(C283&lt;=F279,F279&lt;&gt;""),VLOOKUP(VALUE(E260&amp;","&amp;C283),INTEGRANTES!$D$19:$F$192,2,0),"")</f>
        <v/>
      </c>
      <c r="E283" s="107" t="str">
        <f>IF(D283&lt;&gt;"",VLOOKUP(VALUE(E260&amp;","&amp;C283),INTEGRANTES!$D$19:$F$192,3,0),"")</f>
        <v/>
      </c>
      <c r="F283" s="380" t="str">
        <f>IF(D283="","",IF(OR(SUMIF($J267:$J273,D283,$O267:$O273)=0,N283="NO"),"NO APORTA",SUMIF($J267:$J273,D283,$O267:$O273)))</f>
        <v/>
      </c>
      <c r="G283" s="380" t="str">
        <f>IF($D283="","",IF($F279&lt;=1,"",ROUND(POSMMLV*PORPO,2)))</f>
        <v/>
      </c>
      <c r="H283" s="765" t="str">
        <f t="shared" si="52"/>
        <v/>
      </c>
      <c r="I283" s="766"/>
      <c r="J283" s="108" t="str">
        <f>IF(D283="","",IF(OR(AND(SUMIF($J264:$J273,D283,$O264:$O273)&gt;=5%*POSMMLV,N283="SI"),AND(SUMIF($J264:$J273,D283,$O264:$O273)=0,E283&lt;=5%,N283="SI")),"CUMPLE","NO CUMPLE"))</f>
        <v/>
      </c>
      <c r="K283" s="105" t="str">
        <f>IF(OR(D283="",J283=""),"",IF(AND(J283="NO CUMPLE",F283="NO APORTA",E283&gt;5%),"EXP = 0 y PART &gt; 5%",IF(F283&lt;5%*Q286,"EXP &lt; 5%*PO","")))</f>
        <v/>
      </c>
      <c r="L283" s="389" t="str">
        <f>IF(OR(D283="",E283=""),"",IF(AND(E283&gt;=0.25,F283&lt;&gt;"NO APORTA",F283&gt;=$R286*0.25),"SI","NO"))</f>
        <v/>
      </c>
      <c r="M283" s="389"/>
      <c r="N283" s="468"/>
      <c r="O283" s="397"/>
      <c r="P283" s="816"/>
      <c r="Q283" s="816"/>
      <c r="R283" s="816"/>
      <c r="S283" s="820"/>
      <c r="T283" s="308"/>
      <c r="U283" s="308"/>
      <c r="V283" s="309"/>
      <c r="W283" s="284"/>
      <c r="X283" s="542" t="str">
        <f>IF($F279=1,"NO APLICA",$D283)</f>
        <v/>
      </c>
      <c r="Y283" s="543" t="str">
        <f>IF(OR($F283="",$F283="NO APORTA",$R286=0,$X283="NO APLICA"),"",ROUND($F283/$Q286,2))</f>
        <v/>
      </c>
      <c r="Z283" s="544" t="str">
        <f>IF(Y287=1,"SI APLICA",IF(OR($X283="",$X283="NO APLICA",$F283="",$F283="NO APORTA"),"",IF(ROUND($F283/Q286,7)&gt;=0.4,"SI APLICA","NO APLICA")))</f>
        <v/>
      </c>
      <c r="AA283" s="543"/>
      <c r="AB283" s="540" t="str">
        <f>IF(COUNTIF(Z283:AA283,"SI APLICA")=2,"SI APLICA","")</f>
        <v/>
      </c>
      <c r="AC283" s="28"/>
    </row>
    <row r="284" spans="1:29" s="30" customFormat="1" ht="15.75" customHeight="1">
      <c r="A284" s="112" t="str">
        <f>"Q"&amp;E260</f>
        <v>Q9</v>
      </c>
      <c r="B284" s="791"/>
      <c r="C284" s="54">
        <v>4</v>
      </c>
      <c r="D284" s="100" t="str">
        <f>IF(AND(C284&lt;=F279,F279&lt;&gt;""),VLOOKUP(VALUE(E260&amp;","&amp;C284),INTEGRANTES!$D$19:$F$192,2,0),"")</f>
        <v/>
      </c>
      <c r="E284" s="107" t="str">
        <f>IF(D284&lt;&gt;"",VLOOKUP(VALUE(E260&amp;","&amp;C284),INTEGRANTES!$D$19:$F$192,3,0),"")</f>
        <v/>
      </c>
      <c r="F284" s="380" t="str">
        <f>IF(D284="","",IF(OR(SUMIF($J267:$J273,D284,$O267:$O273)=0,N284="NO"),"NO APORTA",SUMIF($J267:$J273,D284,$O267:$O273)))</f>
        <v/>
      </c>
      <c r="G284" s="380" t="str">
        <f>IF($D284="","",IF($F279&lt;=1,"",ROUND(POSMMLV*PORPO,2)))</f>
        <v/>
      </c>
      <c r="H284" s="765" t="str">
        <f t="shared" si="52"/>
        <v/>
      </c>
      <c r="I284" s="766"/>
      <c r="J284" s="108" t="str">
        <f>IF(D284="","",IF(OR(AND(SUMIF($J264:$J273,D284,$O264:$O273)&gt;=5%*POSMMLV,N284="SI"),AND(SUMIF($J264:$J273,D284,$O264:$O273)=0,E284&lt;=5%,N284="SI")),"CUMPLE","NO CUMPLE"))</f>
        <v/>
      </c>
      <c r="K284" s="105" t="str">
        <f>IF(OR(D284="",J284=""),"",IF(AND(J284="NO CUMPLE",F284="NO APORTA",E284&gt;5%),"EXP = 0 y PART &gt; 5%",IF(F284&lt;5%*Q286,"EXP &lt; 5%*PO","")))</f>
        <v/>
      </c>
      <c r="L284" s="389" t="str">
        <f>IF(OR(D284="",E284=""),"",IF(AND(E284&gt;=0.25,F284&lt;&gt;"NO APORTA",F284&gt;=$R286*0.25),"SI","NO"))</f>
        <v/>
      </c>
      <c r="M284" s="389"/>
      <c r="N284" s="468"/>
      <c r="O284" s="788" t="s">
        <v>414</v>
      </c>
      <c r="P284" s="769" t="s">
        <v>415</v>
      </c>
      <c r="Q284" s="770"/>
      <c r="R284" s="770"/>
      <c r="S284" s="771"/>
      <c r="T284" s="284"/>
      <c r="U284" s="284"/>
      <c r="V284" s="310"/>
      <c r="W284" s="284"/>
      <c r="X284" s="542" t="str">
        <f>IF($F279=1,"NO APLICA",$D284)</f>
        <v/>
      </c>
      <c r="Y284" s="543" t="str">
        <f>IF(OR($F284="",$F284="NO APORTA",$R286=0,$X284="NO APLICA"),"",ROUND($F284/$Q286,2))</f>
        <v/>
      </c>
      <c r="Z284" s="544" t="str">
        <f>IF(Y287=1,"SI APLICA",IF(OR($X284="",$X284="NO APLICA",$F284="",$F284="NO APORTA"),"",IF(ROUND($F284/Q286,7)&gt;=0.4,"SI APLICA","NO APLICA")))</f>
        <v/>
      </c>
      <c r="AA284" s="543"/>
      <c r="AB284" s="540" t="str">
        <f t="shared" ref="AB284:AB285" si="54">IF(COUNTIF(Z284:AA284,"SI APLICA")=2,"SI APLICA","")</f>
        <v/>
      </c>
      <c r="AC284" s="28"/>
    </row>
    <row r="285" spans="1:29" s="30" customFormat="1" ht="17.25" customHeight="1">
      <c r="A285" s="112" t="str">
        <f>"R"&amp;E260</f>
        <v>R9</v>
      </c>
      <c r="B285" s="791"/>
      <c r="C285" s="54">
        <v>5</v>
      </c>
      <c r="D285" s="100" t="str">
        <f>IF(AND(C285&lt;=F279,F279&lt;&gt;""),VLOOKUP(VALUE(E260&amp;","&amp;C285),INTEGRANTES!$D$19:$F$192,2,0),"")</f>
        <v/>
      </c>
      <c r="E285" s="107" t="str">
        <f>IF(D285&lt;&gt;"",VLOOKUP(VALUE(E260&amp;","&amp;C285),INTEGRANTES!$D$19:$F$192,3,0),"")</f>
        <v/>
      </c>
      <c r="F285" s="380" t="str">
        <f>IF(D285="","",IF(OR(SUMIF($J267:$J273,D285,$O267:$O273)=0,N285="NO"),"NO APORTA",SUMIF($J267:$J273,D285,$O267:$O273)))</f>
        <v/>
      </c>
      <c r="G285" s="380" t="str">
        <f>IF($D285="","",IF($F279&lt;=1,"",ROUND(POSMMLV*PORPO,2)))</f>
        <v/>
      </c>
      <c r="H285" s="765" t="str">
        <f t="shared" si="52"/>
        <v/>
      </c>
      <c r="I285" s="766"/>
      <c r="J285" s="108" t="str">
        <f>IF(D285="","",IF(OR(AND(SUMIF($J264:$J273,D285,$O264:$O273)&gt;=5%*POSMMLV,N285="SI"),AND(SUMIF($J264:$J273,D285,$O264:$O273)=0,E285&lt;=5%,N285="SI")),"CUMPLE","NO CUMPLE"))</f>
        <v/>
      </c>
      <c r="K285" s="105" t="str">
        <f>IF(OR(D285="",J285=""),"",IF(AND(J285="NO CUMPLE",F285="NO APORTA",E285&gt;5%),"EXP = 0 y PART &gt; 5%",IF(F285&lt;5%*Q286,"EXP &lt; 5%*PO","")))</f>
        <v/>
      </c>
      <c r="L285" s="389" t="str">
        <f>IF(OR(D285="",E285=""),"",IF(AND(E285&gt;=0.25,F285&lt;&gt;"NO APORTA",F285&gt;=$R286*0.25),"SI","NO"))</f>
        <v/>
      </c>
      <c r="M285" s="389"/>
      <c r="N285" s="468"/>
      <c r="O285" s="789"/>
      <c r="P285" s="504" t="s">
        <v>416</v>
      </c>
      <c r="Q285" s="504" t="s">
        <v>417</v>
      </c>
      <c r="R285" s="793" t="s">
        <v>418</v>
      </c>
      <c r="S285" s="793"/>
      <c r="T285" s="284"/>
      <c r="U285" s="284"/>
      <c r="V285" s="310"/>
      <c r="W285" s="284"/>
      <c r="X285" s="542" t="str">
        <f>IF($F279=1,"NO APLICA",$D285)</f>
        <v/>
      </c>
      <c r="Y285" s="543" t="str">
        <f>IF(OR($F285="",$F285="NO APORTA",$R286=0,$X285="NO APLICA"),"",ROUND($F285/$Q286,2))</f>
        <v/>
      </c>
      <c r="Z285" s="544" t="str">
        <f>IF(Y287=1,"SI APLICA",IF(OR($X285="",$X285="NO APLICA",$F285="",$F285="NO APORTA"),"",IF(ROUND($F285/Q286,7)&gt;=0.4,"SI APLICA","NO APLICA")))</f>
        <v/>
      </c>
      <c r="AA285" s="543"/>
      <c r="AB285" s="540" t="str">
        <f t="shared" si="54"/>
        <v/>
      </c>
      <c r="AC285" s="28"/>
    </row>
    <row r="286" spans="1:29" s="30" customFormat="1" ht="16.5" customHeight="1" thickBot="1">
      <c r="A286" s="112" t="str">
        <f>"S"&amp;E260</f>
        <v>S9</v>
      </c>
      <c r="B286" s="791"/>
      <c r="C286" s="109">
        <v>6</v>
      </c>
      <c r="D286" s="110" t="str">
        <f>IF(AND(C286&lt;=F279,F279&lt;&gt;""),VLOOKUP(VALUE(E260&amp;","&amp;C286),INTEGRANTES!$D$19:$F$192,2,0),"")</f>
        <v/>
      </c>
      <c r="E286" s="111" t="str">
        <f>IF(D286&lt;&gt;"",VLOOKUP(VALUE(E260&amp;","&amp;C286),INTEGRANTES!$D$19:$F$192,3,0),"")</f>
        <v/>
      </c>
      <c r="F286" s="380" t="str">
        <f>IF(D286="","",IF(OR(SUMIF($J267:$J273,D286,$O267:$O273)=0,N286="NO"),"NO APORTA",SUMIF($J267:$J273,D286,$O267:$O273)))</f>
        <v/>
      </c>
      <c r="G286" s="380" t="str">
        <f>IF($D286="","",IF($F279&lt;=1,"",ROUND(POSMMLV*PORPO,2)))</f>
        <v/>
      </c>
      <c r="H286" s="765" t="str">
        <f>IF($D286="","",IF(OR(F286="NO APORTA",G286&gt;F286),"NO CUMPLE","CUMPLE"))</f>
        <v/>
      </c>
      <c r="I286" s="766"/>
      <c r="J286" s="108" t="str">
        <f>IF(D286="","",IF(OR(AND(SUMIF($J264:$J273,D286,$O264:$O273)&gt;=5%*POSMMLV,N286="SI"),AND(SUMIF($J264:$J273,D286,$O264:$O273)=0,E286&lt;=5%,N286="SI")),"CUMPLE","NO CUMPLE"))</f>
        <v/>
      </c>
      <c r="K286" s="105" t="str">
        <f>IF(OR(D286="",J286=""),"",IF(AND(J286="NO CUMPLE",F286="NO APORTA",E286&gt;5%),"EXP = 0 y PART &gt; 5%",IF(F286&lt;5%*Q286,"EXP &lt; 5%*PO","")))</f>
        <v/>
      </c>
      <c r="L286" s="389" t="str">
        <f>IF(OR(D286="",E286=""),"",IF(AND(E286&gt;=0.25,F286&lt;&gt;"NO APORTA",F286&gt;=$R286*0.25),"SI","NO"))</f>
        <v/>
      </c>
      <c r="M286" s="389"/>
      <c r="N286" s="468"/>
      <c r="O286" s="403" t="str">
        <f ca="1">IF(R286&gt;=Q286,"CUMPLE","NO CUMPLE")</f>
        <v>CUMPLE</v>
      </c>
      <c r="P286" s="312">
        <f>NUMMOD</f>
        <v>1</v>
      </c>
      <c r="Q286" s="313">
        <f ca="1">IF(P286="","",ROUND(VLOOKUP(P286,PRESUPUESTOS!$B$16:$L$16,9,FALSE),7))</f>
        <v>300</v>
      </c>
      <c r="R286" s="834">
        <f>IF(OR(COUNTIF(O264:O273,"")&gt;9,S280&lt;NUMMINCONT),0,SUM(O264:O273))</f>
        <v>2226.9139999999998</v>
      </c>
      <c r="S286" s="834"/>
      <c r="T286" s="284"/>
      <c r="U286" s="284"/>
      <c r="V286" s="310"/>
      <c r="W286" s="284"/>
      <c r="X286" s="545" t="str">
        <f>IF($F279=1,"NO APLICA",$D286)</f>
        <v/>
      </c>
      <c r="Y286" s="543" t="str">
        <f>IF(OR($F286="",$F286="NO APORTA",$R286=0,$X286="NO APLICA"),"",ROUND($F286/$Q286,2))</f>
        <v/>
      </c>
      <c r="Z286" s="544" t="str">
        <f>IF(Y287=1,"SI APLICA",IF(OR($X286="",$X286="NO APLICA",$F286="",$F286="NO APORTA"),"",IF(ROUND($F286/Q286,7)&gt;=0.4,"SI APLICA","NO APLICA")))</f>
        <v/>
      </c>
      <c r="AA286" s="546"/>
      <c r="AB286" s="540" t="str">
        <f>IF(COUNTIF(Z286:AA286,"SI APLICA")=2,"SI APLICA","")</f>
        <v/>
      </c>
      <c r="AC286" s="28"/>
    </row>
    <row r="287" spans="1:29" s="30" customFormat="1" ht="16.5" customHeight="1" thickBot="1">
      <c r="A287" s="112" t="str">
        <f>"T"&amp;E260</f>
        <v>T9</v>
      </c>
      <c r="B287" s="792"/>
      <c r="C287" s="821" t="s">
        <v>419</v>
      </c>
      <c r="D287" s="822"/>
      <c r="E287" s="822"/>
      <c r="F287" s="518"/>
      <c r="G287" s="519"/>
      <c r="H287" s="794" t="str">
        <f ca="1">IF(OR($F279="",SUM(E281:E286)=0),"",IF(COUNTIF(H281:H286,"CUMPLE")&gt;=1,"CUMPLE","NO CUMPLE"))</f>
        <v>CUMPLE</v>
      </c>
      <c r="I287" s="795"/>
      <c r="J287" s="314" t="str">
        <f ca="1">IF(COUNTIF(J281:J286,"")&gt;5,"",IF(COUNTIF(J281:J286,"NO CUMPLE")&gt;0,"NO CUMPLE","CUMPLE"))</f>
        <v>CUMPLE</v>
      </c>
      <c r="K287" s="314" t="str">
        <f ca="1">IF(OR(AND(F279=1,N281="SI"),AND(COUNTIF(H287:J287,"CUMPLE")=2)),"CUMPLE","NO CUMPLE")</f>
        <v>CUMPLE</v>
      </c>
      <c r="L287" s="519"/>
      <c r="M287" s="519"/>
      <c r="N287" s="519"/>
      <c r="O287" s="833" t="str">
        <f ca="1">IF(ISNUMBER(F260),"",IF(AND(O286="NO CUMPLE",SUM(N267:N273)&lt;Q286),"EL PROPONENTE SE DEBE REQUERIR POR EXPERIENCIA MINIMA EXIGIDA",""))</f>
        <v/>
      </c>
      <c r="P287" s="833"/>
      <c r="Q287" s="833"/>
      <c r="R287" s="833"/>
      <c r="S287" s="833"/>
      <c r="T287" s="522"/>
      <c r="U287" s="523"/>
      <c r="V287" s="524"/>
      <c r="W287" s="284"/>
      <c r="X287" s="364" t="str">
        <f>IF(Y287=1,"PROPONENTE INDIVIDUAL","PROPONENTE PLURAL")</f>
        <v>PROPONENTE PLURAL</v>
      </c>
      <c r="Y287" s="276">
        <f>F279</f>
        <v>2</v>
      </c>
      <c r="Z287" s="277" t="str">
        <f ca="1">IF(OR(AND(Z281="SI APLICA",AA281="SI APLICA"),AND(Z282="SI APLICA",AA282="SI APLICA"),AND(Z283="SI APLICA",AA283="SI APLICA"),AND(Z284="SI APLICA",AA284="SI APLICA"),AND(Z285="SI APLICA",AA285="SI APLICA"),AND(Z286="SI APLICA",AA286="SI APLICA")),"SI APLICA","NO APLICA")</f>
        <v>SI APLICA</v>
      </c>
      <c r="AA287" s="278" t="str">
        <f ca="1">IF(OR(AND(AA281="SI APLICA",AB281="SI APLICA"),AND(AA282="SI APLICA",AB282="SI APLICA"),AND(AA283="SI APLICA",AB283="SI APLICA"),AND(AA284="SI APLICA",AB284="SI APLICA"),AND(AA285="SI APLICA",AB285="SI APLICA"),AND(AA286="SI APLICA",AB286="SI APLICA")),"SI APLICA","NO APLICA")</f>
        <v>SI APLICA</v>
      </c>
      <c r="AB287" s="278" t="str">
        <f ca="1">IF(COUNTIF(AB281:AB286,"SI APLICA")&gt;0,"SI APLICA","NO APLICA")</f>
        <v>SI APLICA</v>
      </c>
      <c r="AC287" s="28"/>
    </row>
    <row r="288" spans="1:29" ht="24.95" customHeight="1"/>
    <row r="289" spans="1:29" ht="24.95" customHeight="1"/>
    <row r="290" spans="1:29" s="41" customFormat="1" ht="24" thickBot="1">
      <c r="A290" s="34">
        <v>10</v>
      </c>
      <c r="B290" s="828" t="s">
        <v>355</v>
      </c>
      <c r="C290" s="828"/>
      <c r="D290" s="828"/>
      <c r="E290" s="35">
        <f>VLOOKUP(A290,PROPONENTES!$B$19:$E$108,2,FALSE)</f>
        <v>10</v>
      </c>
      <c r="F290" s="36" t="str">
        <f>VLOOKUP(A290,PROPONENTES!$B$19:$E$108,3,FALSE)</f>
        <v>R&amp;M CONSTRUCCIONES E INTERVENTORIAS S.A.S</v>
      </c>
      <c r="G290" s="37"/>
      <c r="H290" s="37"/>
      <c r="I290" s="36"/>
      <c r="J290" s="36"/>
      <c r="K290" s="36"/>
      <c r="L290" s="36"/>
      <c r="M290" s="38"/>
      <c r="N290" s="38"/>
      <c r="O290" s="37"/>
      <c r="P290" s="37"/>
      <c r="Q290" s="39"/>
      <c r="R290" s="39"/>
      <c r="S290" s="39"/>
      <c r="T290" s="39"/>
      <c r="U290" s="40"/>
      <c r="Y290" s="52"/>
      <c r="Z290" s="52"/>
      <c r="AA290" s="52"/>
      <c r="AB290" s="28"/>
      <c r="AC290" s="28"/>
    </row>
    <row r="291" spans="1:29" s="27" customFormat="1" ht="24.75" customHeight="1">
      <c r="A291" s="22"/>
      <c r="B291" s="829" t="s">
        <v>356</v>
      </c>
      <c r="C291" s="501" t="s">
        <v>357</v>
      </c>
      <c r="D291" s="502" t="s">
        <v>358</v>
      </c>
      <c r="E291" s="502"/>
      <c r="F291" s="502" t="s">
        <v>359</v>
      </c>
      <c r="G291" s="503"/>
      <c r="H291" s="803" t="s">
        <v>360</v>
      </c>
      <c r="I291" s="831" t="s">
        <v>361</v>
      </c>
      <c r="J291" s="803" t="s">
        <v>362</v>
      </c>
      <c r="K291" s="803" t="s">
        <v>363</v>
      </c>
      <c r="L291" s="803" t="s">
        <v>364</v>
      </c>
      <c r="M291" s="803" t="s">
        <v>365</v>
      </c>
      <c r="N291" s="804" t="s">
        <v>366</v>
      </c>
      <c r="O291" s="805"/>
      <c r="P291" s="806" t="s">
        <v>367</v>
      </c>
      <c r="Q291" s="807"/>
      <c r="R291" s="784" t="s">
        <v>368</v>
      </c>
      <c r="S291" s="774"/>
      <c r="T291" s="798" t="s">
        <v>369</v>
      </c>
      <c r="U291" s="799"/>
      <c r="V291" s="800"/>
      <c r="X291" s="520"/>
      <c r="Y291" s="520"/>
    </row>
    <row r="292" spans="1:29" s="27" customFormat="1" ht="94.5" customHeight="1">
      <c r="A292" s="22"/>
      <c r="B292" s="830"/>
      <c r="C292" s="504" t="s">
        <v>370</v>
      </c>
      <c r="D292" s="505" t="s">
        <v>41</v>
      </c>
      <c r="E292" s="505" t="s">
        <v>371</v>
      </c>
      <c r="F292" s="505" t="s">
        <v>372</v>
      </c>
      <c r="G292" s="506" t="s">
        <v>373</v>
      </c>
      <c r="H292" s="793"/>
      <c r="I292" s="832"/>
      <c r="J292" s="793"/>
      <c r="K292" s="793"/>
      <c r="L292" s="793"/>
      <c r="M292" s="793"/>
      <c r="N292" s="504" t="s">
        <v>374</v>
      </c>
      <c r="O292" s="505" t="s">
        <v>375</v>
      </c>
      <c r="P292" s="801"/>
      <c r="Q292" s="802"/>
      <c r="R292" s="796"/>
      <c r="S292" s="797"/>
      <c r="T292" s="507" t="s">
        <v>376</v>
      </c>
      <c r="U292" s="508" t="s">
        <v>377</v>
      </c>
      <c r="V292" s="509" t="s">
        <v>378</v>
      </c>
      <c r="X292" s="521" t="s">
        <v>379</v>
      </c>
      <c r="Y292" s="521" t="s">
        <v>380</v>
      </c>
    </row>
    <row r="293" spans="1:29" s="27" customFormat="1" ht="15" customHeight="1">
      <c r="A293" s="22"/>
      <c r="B293" s="594"/>
      <c r="C293" s="595">
        <v>3</v>
      </c>
      <c r="D293" s="595">
        <v>4</v>
      </c>
      <c r="E293" s="595">
        <v>5</v>
      </c>
      <c r="F293" s="595">
        <v>6</v>
      </c>
      <c r="G293" s="595">
        <v>7</v>
      </c>
      <c r="H293" s="595">
        <v>8</v>
      </c>
      <c r="I293" s="595">
        <v>9</v>
      </c>
      <c r="J293" s="595">
        <v>10</v>
      </c>
      <c r="K293" s="595">
        <v>11</v>
      </c>
      <c r="L293" s="595">
        <v>12</v>
      </c>
      <c r="M293" s="595">
        <v>13</v>
      </c>
      <c r="N293" s="595">
        <v>14</v>
      </c>
      <c r="O293" s="595">
        <v>15</v>
      </c>
      <c r="P293" s="596">
        <v>16</v>
      </c>
      <c r="Q293" s="597">
        <v>17</v>
      </c>
      <c r="R293" s="596">
        <v>18</v>
      </c>
      <c r="S293" s="597">
        <v>19</v>
      </c>
      <c r="T293" s="598">
        <v>20</v>
      </c>
      <c r="U293" s="255">
        <v>21</v>
      </c>
      <c r="V293" s="599">
        <v>22</v>
      </c>
      <c r="X293" s="589"/>
      <c r="Y293" s="590"/>
    </row>
    <row r="294" spans="1:29" s="44" customFormat="1" ht="108" customHeight="1">
      <c r="A294" s="42" t="str">
        <f>"A"&amp;E290</f>
        <v>A10</v>
      </c>
      <c r="B294" s="605">
        <f>IF(C294&lt;&gt;"",B293+1,"")</f>
        <v>1</v>
      </c>
      <c r="C294" s="581" t="s">
        <v>492</v>
      </c>
      <c r="D294" s="581" t="s">
        <v>493</v>
      </c>
      <c r="E294" s="581" t="s">
        <v>494</v>
      </c>
      <c r="F294" s="581" t="s">
        <v>431</v>
      </c>
      <c r="G294" s="534">
        <v>0.5</v>
      </c>
      <c r="H294" s="534" t="s">
        <v>385</v>
      </c>
      <c r="I294" s="579" t="s">
        <v>384</v>
      </c>
      <c r="J294" s="580" t="str">
        <f>IF(I294="","",IF(I294="I",$F290,VLOOKUP(I294,$C311:$D316,2,0)))</f>
        <v>R&amp;M CONSTRUCCIONES E INTERVENTORIAS S.A.S</v>
      </c>
      <c r="K294" s="535">
        <v>41821</v>
      </c>
      <c r="L294" s="535">
        <v>42140</v>
      </c>
      <c r="M294" s="536">
        <v>1294.1199999999999</v>
      </c>
      <c r="N294" s="232">
        <f t="shared" ref="N294:N303" si="55">IF(OR(G294="",M294=""),"",M294*G294)</f>
        <v>647.05999999999995</v>
      </c>
      <c r="O294" s="260">
        <f t="shared" ref="O294:O303" si="56">IF(OR(H294="",H294="NO",K294&lt;$Q$17,K294&gt;$R$17,K294="",M294="",N294=""),"",ROUND(N294,7))</f>
        <v>647.05999999999995</v>
      </c>
      <c r="P294" s="781"/>
      <c r="Q294" s="782"/>
      <c r="R294" s="767"/>
      <c r="S294" s="768"/>
      <c r="T294" s="538" t="s">
        <v>385</v>
      </c>
      <c r="U294" s="539">
        <v>95</v>
      </c>
      <c r="V294" s="540" t="s">
        <v>385</v>
      </c>
      <c r="X294" s="541" t="s">
        <v>386</v>
      </c>
      <c r="Y294" s="541" t="s">
        <v>387</v>
      </c>
    </row>
    <row r="295" spans="1:29" s="44" customFormat="1" ht="24.95" customHeight="1">
      <c r="A295" s="42" t="str">
        <f>"B"&amp;E290</f>
        <v>B10</v>
      </c>
      <c r="B295" s="605" t="str">
        <f t="shared" ref="B295:B303" si="57">IF(C295&lt;&gt;"",B294+1,"")</f>
        <v/>
      </c>
      <c r="C295" s="581"/>
      <c r="D295" s="581"/>
      <c r="E295" s="581"/>
      <c r="F295" s="581"/>
      <c r="G295" s="534"/>
      <c r="H295" s="534"/>
      <c r="I295" s="579"/>
      <c r="J295" s="580" t="str">
        <f>IF(I295="","",IF(I295="I",$F290,VLOOKUP(I295,$C311:$D316,2,0)))</f>
        <v/>
      </c>
      <c r="K295" s="535"/>
      <c r="L295" s="535"/>
      <c r="M295" s="536"/>
      <c r="N295" s="232" t="str">
        <f t="shared" si="55"/>
        <v/>
      </c>
      <c r="O295" s="260" t="str">
        <f t="shared" si="56"/>
        <v/>
      </c>
      <c r="P295" s="781"/>
      <c r="Q295" s="782"/>
      <c r="R295" s="767"/>
      <c r="S295" s="768"/>
      <c r="T295" s="538"/>
      <c r="U295" s="539"/>
      <c r="V295" s="540"/>
      <c r="X295" s="541"/>
      <c r="Y295" s="541"/>
    </row>
    <row r="296" spans="1:29" s="44" customFormat="1" ht="24.95" customHeight="1">
      <c r="A296" s="42" t="str">
        <f>"C"&amp;E290</f>
        <v>C10</v>
      </c>
      <c r="B296" s="605" t="str">
        <f t="shared" si="57"/>
        <v/>
      </c>
      <c r="C296" s="581"/>
      <c r="D296" s="581"/>
      <c r="E296" s="581"/>
      <c r="F296" s="581"/>
      <c r="G296" s="534"/>
      <c r="H296" s="534"/>
      <c r="I296" s="579"/>
      <c r="J296" s="580" t="str">
        <f>IF(I296="","",IF(I296="I",$F290,VLOOKUP(I296,$C311:$D316,2,0)))</f>
        <v/>
      </c>
      <c r="K296" s="535"/>
      <c r="L296" s="535"/>
      <c r="M296" s="536"/>
      <c r="N296" s="232" t="str">
        <f t="shared" si="55"/>
        <v/>
      </c>
      <c r="O296" s="260" t="str">
        <f t="shared" si="56"/>
        <v/>
      </c>
      <c r="P296" s="781"/>
      <c r="Q296" s="782"/>
      <c r="R296" s="767"/>
      <c r="S296" s="768"/>
      <c r="T296" s="538"/>
      <c r="U296" s="539"/>
      <c r="V296" s="540"/>
      <c r="X296" s="541"/>
      <c r="Y296" s="541"/>
    </row>
    <row r="297" spans="1:29" s="44" customFormat="1" ht="24.95" customHeight="1">
      <c r="A297" s="42" t="str">
        <f>"D"&amp;E290</f>
        <v>D10</v>
      </c>
      <c r="B297" s="605" t="str">
        <f t="shared" si="57"/>
        <v/>
      </c>
      <c r="C297" s="581"/>
      <c r="D297" s="581"/>
      <c r="E297" s="581"/>
      <c r="F297" s="581"/>
      <c r="G297" s="534"/>
      <c r="H297" s="534"/>
      <c r="I297" s="579"/>
      <c r="J297" s="580" t="str">
        <f>IF(I297="","",IF(I297="I",$F290,VLOOKUP(I297,$C311:$D316,2,0)))</f>
        <v/>
      </c>
      <c r="K297" s="535"/>
      <c r="L297" s="535"/>
      <c r="M297" s="536"/>
      <c r="N297" s="232" t="str">
        <f t="shared" si="55"/>
        <v/>
      </c>
      <c r="O297" s="260" t="str">
        <f t="shared" si="56"/>
        <v/>
      </c>
      <c r="P297" s="781"/>
      <c r="Q297" s="782"/>
      <c r="R297" s="767"/>
      <c r="S297" s="768"/>
      <c r="T297" s="538"/>
      <c r="U297" s="539"/>
      <c r="V297" s="540"/>
      <c r="X297" s="541"/>
      <c r="Y297" s="541"/>
    </row>
    <row r="298" spans="1:29" s="44" customFormat="1" ht="24.95" customHeight="1">
      <c r="A298" s="42" t="str">
        <f>"E"&amp;E290</f>
        <v>E10</v>
      </c>
      <c r="B298" s="605" t="str">
        <f t="shared" si="57"/>
        <v/>
      </c>
      <c r="C298" s="581"/>
      <c r="D298" s="581"/>
      <c r="E298" s="581"/>
      <c r="F298" s="581"/>
      <c r="G298" s="534"/>
      <c r="H298" s="534"/>
      <c r="I298" s="579"/>
      <c r="J298" s="580" t="str">
        <f>IF(I298="","",IF(I298="I",$F290,VLOOKUP(I298,$C311:$D316,2,0)))</f>
        <v/>
      </c>
      <c r="K298" s="535"/>
      <c r="L298" s="535"/>
      <c r="M298" s="536"/>
      <c r="N298" s="232" t="str">
        <f t="shared" si="55"/>
        <v/>
      </c>
      <c r="O298" s="260" t="str">
        <f t="shared" si="56"/>
        <v/>
      </c>
      <c r="P298" s="781"/>
      <c r="Q298" s="782"/>
      <c r="R298" s="767"/>
      <c r="S298" s="768"/>
      <c r="T298" s="538"/>
      <c r="U298" s="539"/>
      <c r="V298" s="540"/>
      <c r="X298" s="541"/>
      <c r="Y298" s="541"/>
    </row>
    <row r="299" spans="1:29" s="44" customFormat="1" ht="24.95" customHeight="1">
      <c r="A299" s="42" t="str">
        <f>"F"&amp;E290</f>
        <v>F10</v>
      </c>
      <c r="B299" s="605" t="str">
        <f t="shared" si="57"/>
        <v/>
      </c>
      <c r="C299" s="581"/>
      <c r="D299" s="581"/>
      <c r="E299" s="581"/>
      <c r="F299" s="581"/>
      <c r="G299" s="534"/>
      <c r="H299" s="534"/>
      <c r="I299" s="579"/>
      <c r="J299" s="580" t="str">
        <f>IF(I299="","",IF(I299="I",$F290,VLOOKUP(I299,$C311:$D316,2,0)))</f>
        <v/>
      </c>
      <c r="K299" s="535"/>
      <c r="L299" s="535"/>
      <c r="M299" s="536"/>
      <c r="N299" s="232" t="str">
        <f t="shared" si="55"/>
        <v/>
      </c>
      <c r="O299" s="260" t="str">
        <f t="shared" si="56"/>
        <v/>
      </c>
      <c r="P299" s="781"/>
      <c r="Q299" s="782"/>
      <c r="R299" s="767"/>
      <c r="S299" s="768"/>
      <c r="T299" s="538"/>
      <c r="U299" s="539"/>
      <c r="V299" s="540"/>
      <c r="X299" s="541"/>
      <c r="Y299" s="541"/>
    </row>
    <row r="300" spans="1:29" s="44" customFormat="1" ht="24.95" customHeight="1">
      <c r="A300" s="42" t="str">
        <f>"G"&amp;E290</f>
        <v>G10</v>
      </c>
      <c r="B300" s="605" t="str">
        <f t="shared" si="57"/>
        <v/>
      </c>
      <c r="C300" s="581"/>
      <c r="D300" s="581"/>
      <c r="E300" s="581"/>
      <c r="F300" s="581"/>
      <c r="G300" s="534"/>
      <c r="H300" s="534"/>
      <c r="I300" s="579"/>
      <c r="J300" s="580" t="str">
        <f>IF(I300="","",IF(I300="I",$F290,VLOOKUP(I300,$C311:$D316,2,0)))</f>
        <v/>
      </c>
      <c r="K300" s="535"/>
      <c r="L300" s="535"/>
      <c r="M300" s="536"/>
      <c r="N300" s="43" t="str">
        <f t="shared" si="55"/>
        <v/>
      </c>
      <c r="O300" s="260" t="str">
        <f t="shared" si="56"/>
        <v/>
      </c>
      <c r="P300" s="781"/>
      <c r="Q300" s="782"/>
      <c r="R300" s="767"/>
      <c r="S300" s="768"/>
      <c r="T300" s="538"/>
      <c r="U300" s="539"/>
      <c r="V300" s="540"/>
      <c r="X300" s="541"/>
      <c r="Y300" s="541"/>
    </row>
    <row r="301" spans="1:29" s="44" customFormat="1" ht="24.95" customHeight="1">
      <c r="A301" s="42" t="str">
        <f>"H"&amp;E290</f>
        <v>H10</v>
      </c>
      <c r="B301" s="605" t="str">
        <f t="shared" si="57"/>
        <v/>
      </c>
      <c r="C301" s="581"/>
      <c r="D301" s="581"/>
      <c r="E301" s="581"/>
      <c r="F301" s="581"/>
      <c r="G301" s="534"/>
      <c r="H301" s="534"/>
      <c r="I301" s="579"/>
      <c r="J301" s="580" t="str">
        <f>IF(I301="","",IF(I301="I",$F290,VLOOKUP(I301,$C311:$D316,2,0)))</f>
        <v/>
      </c>
      <c r="K301" s="535"/>
      <c r="L301" s="535"/>
      <c r="M301" s="537"/>
      <c r="N301" s="43" t="str">
        <f t="shared" si="55"/>
        <v/>
      </c>
      <c r="O301" s="260" t="str">
        <f t="shared" si="56"/>
        <v/>
      </c>
      <c r="P301" s="781"/>
      <c r="Q301" s="782"/>
      <c r="R301" s="767"/>
      <c r="S301" s="768"/>
      <c r="T301" s="538"/>
      <c r="U301" s="539"/>
      <c r="V301" s="540"/>
      <c r="X301" s="541"/>
      <c r="Y301" s="541"/>
    </row>
    <row r="302" spans="1:29" s="44" customFormat="1" ht="24.95" customHeight="1">
      <c r="A302" s="42" t="str">
        <f>"I"&amp;E290</f>
        <v>I10</v>
      </c>
      <c r="B302" s="605" t="str">
        <f t="shared" si="57"/>
        <v/>
      </c>
      <c r="C302" s="581"/>
      <c r="D302" s="581"/>
      <c r="E302" s="581"/>
      <c r="F302" s="581"/>
      <c r="G302" s="534"/>
      <c r="H302" s="534"/>
      <c r="I302" s="579"/>
      <c r="J302" s="580" t="str">
        <f>IF(I302="","",IF(I302="I",$F290,VLOOKUP(I302,$C311:$D316,2,0)))</f>
        <v/>
      </c>
      <c r="K302" s="535"/>
      <c r="L302" s="535"/>
      <c r="M302" s="537"/>
      <c r="N302" s="43" t="str">
        <f t="shared" si="55"/>
        <v/>
      </c>
      <c r="O302" s="260" t="str">
        <f t="shared" si="56"/>
        <v/>
      </c>
      <c r="P302" s="781"/>
      <c r="Q302" s="782"/>
      <c r="R302" s="767"/>
      <c r="S302" s="768"/>
      <c r="T302" s="538"/>
      <c r="U302" s="539"/>
      <c r="V302" s="540"/>
      <c r="X302" s="541"/>
      <c r="Y302" s="541"/>
    </row>
    <row r="303" spans="1:29" s="44" customFormat="1" ht="24.95" customHeight="1" thickBot="1">
      <c r="A303" s="42" t="str">
        <f>"J"&amp;E290</f>
        <v>J10</v>
      </c>
      <c r="B303" s="612" t="str">
        <f t="shared" si="57"/>
        <v/>
      </c>
      <c r="C303" s="582"/>
      <c r="D303" s="582"/>
      <c r="E303" s="582"/>
      <c r="F303" s="582"/>
      <c r="G303" s="583"/>
      <c r="H303" s="583"/>
      <c r="I303" s="584"/>
      <c r="J303" s="585" t="str">
        <f>IF(I303="","",IF(I303="I",$F290,VLOOKUP(I303,$C311:$D316,2,0)))</f>
        <v/>
      </c>
      <c r="K303" s="586"/>
      <c r="L303" s="586"/>
      <c r="M303" s="587"/>
      <c r="N303" s="43" t="str">
        <f t="shared" si="55"/>
        <v/>
      </c>
      <c r="O303" s="260" t="str">
        <f t="shared" si="56"/>
        <v/>
      </c>
      <c r="P303" s="781"/>
      <c r="Q303" s="782"/>
      <c r="R303" s="767"/>
      <c r="S303" s="768"/>
      <c r="T303" s="538"/>
      <c r="U303" s="539"/>
      <c r="V303" s="540"/>
      <c r="X303" s="541"/>
      <c r="Y303" s="541"/>
    </row>
    <row r="304" spans="1:29" s="27" customFormat="1" ht="12" customHeight="1" thickBot="1">
      <c r="A304" s="42"/>
      <c r="B304" s="45"/>
      <c r="C304" s="46"/>
      <c r="D304" s="46"/>
      <c r="E304" s="46"/>
      <c r="F304" s="46"/>
      <c r="G304" s="46"/>
      <c r="H304" s="606"/>
      <c r="I304" s="46"/>
      <c r="J304" s="46"/>
      <c r="K304" s="46"/>
      <c r="L304" s="46"/>
      <c r="M304" s="46"/>
      <c r="N304" s="46"/>
      <c r="O304" s="259"/>
      <c r="P304" s="46"/>
      <c r="Q304" s="46"/>
      <c r="R304" s="259"/>
      <c r="S304" s="46"/>
      <c r="T304" s="46"/>
      <c r="U304" s="47"/>
      <c r="V304" s="48"/>
      <c r="X304" s="592"/>
      <c r="Y304" s="593"/>
      <c r="AB304" s="378"/>
    </row>
    <row r="305" spans="1:29" s="27" customFormat="1" ht="17.25" customHeight="1" thickBot="1">
      <c r="A305" s="42" t="str">
        <f>"Z"&amp;E290</f>
        <v>Z10</v>
      </c>
      <c r="B305" s="510"/>
      <c r="C305" s="511"/>
      <c r="D305" s="511"/>
      <c r="E305" s="511"/>
      <c r="F305" s="511"/>
      <c r="G305" s="511"/>
      <c r="H305" s="511"/>
      <c r="I305" s="511"/>
      <c r="J305" s="511"/>
      <c r="K305" s="511"/>
      <c r="L305" s="511"/>
      <c r="M305" s="511"/>
      <c r="N305" s="437" t="s">
        <v>388</v>
      </c>
      <c r="O305" s="438">
        <f>IF(COUNTIF(O294:O303,"")&gt;9,0,SUM(O294:O303)/(COUNTIF(H294:H303,"SI")))</f>
        <v>647.05999999999995</v>
      </c>
      <c r="P305" s="511"/>
      <c r="Q305" s="511"/>
      <c r="R305" s="530"/>
      <c r="S305" s="530"/>
      <c r="T305" s="531"/>
      <c r="U305" s="532"/>
      <c r="V305" s="533"/>
      <c r="W305" s="285"/>
      <c r="X305" s="613" t="e">
        <f>COUNTIF(#REF!,"")-COUNTIF(#REF!,"CUMPLE")-1</f>
        <v>#REF!</v>
      </c>
      <c r="Y305" s="591"/>
      <c r="AB305" s="28"/>
    </row>
    <row r="306" spans="1:29" ht="17.25" customHeight="1">
      <c r="B306" s="50"/>
      <c r="C306" s="50"/>
      <c r="D306" s="50"/>
      <c r="E306" s="50"/>
      <c r="F306" s="50"/>
      <c r="G306" s="51"/>
      <c r="H306" s="51"/>
      <c r="I306" s="51"/>
      <c r="J306" s="51"/>
      <c r="K306" s="51"/>
      <c r="L306" s="51"/>
      <c r="M306" s="51"/>
      <c r="N306" s="51"/>
      <c r="O306" s="51"/>
      <c r="P306" s="51"/>
      <c r="Q306" s="51"/>
      <c r="R306" s="51"/>
      <c r="S306" s="51"/>
      <c r="T306" s="51"/>
      <c r="U306" s="51"/>
      <c r="V306" s="51"/>
      <c r="W306" s="51"/>
      <c r="X306" s="608"/>
      <c r="Y306" s="51"/>
      <c r="Z306" s="51"/>
      <c r="AA306" s="51"/>
      <c r="AB306" s="51"/>
      <c r="AC306" s="50"/>
    </row>
    <row r="307" spans="1:29" s="27" customFormat="1" ht="16.5" customHeight="1" thickBot="1">
      <c r="A307" s="22"/>
      <c r="B307" s="783" t="s">
        <v>389</v>
      </c>
      <c r="C307" s="783"/>
      <c r="D307" s="783"/>
      <c r="E307" s="783"/>
      <c r="F307" s="783"/>
      <c r="G307" s="783"/>
      <c r="H307" s="783"/>
      <c r="I307" s="783"/>
      <c r="J307" s="783"/>
      <c r="K307" s="783"/>
      <c r="L307" s="783"/>
      <c r="M307" s="783"/>
      <c r="N307" s="783"/>
      <c r="O307" s="783"/>
      <c r="P307" s="783"/>
      <c r="Q307" s="783"/>
      <c r="R307" s="783"/>
      <c r="S307" s="783"/>
      <c r="T307" s="783"/>
      <c r="U307" s="783"/>
      <c r="V307" s="783"/>
      <c r="W307" s="286"/>
      <c r="X307" s="607"/>
      <c r="Y307" s="52"/>
      <c r="Z307" s="52"/>
      <c r="AA307" s="52"/>
      <c r="AB307" s="28"/>
      <c r="AC307" s="28"/>
    </row>
    <row r="308" spans="1:29" s="30" customFormat="1" ht="22.5" customHeight="1">
      <c r="A308" s="112" t="str">
        <f>"K"&amp;E290</f>
        <v>K10</v>
      </c>
      <c r="B308" s="790" t="s">
        <v>390</v>
      </c>
      <c r="C308" s="772" t="s">
        <v>391</v>
      </c>
      <c r="D308" s="773"/>
      <c r="E308" s="773"/>
      <c r="F308" s="773"/>
      <c r="G308" s="773"/>
      <c r="H308" s="773"/>
      <c r="I308" s="773"/>
      <c r="J308" s="773"/>
      <c r="K308" s="773"/>
      <c r="L308" s="773"/>
      <c r="M308" s="774"/>
      <c r="N308" s="525"/>
      <c r="O308" s="588"/>
      <c r="P308" s="772" t="s">
        <v>392</v>
      </c>
      <c r="Q308" s="773"/>
      <c r="R308" s="773"/>
      <c r="S308" s="774"/>
      <c r="T308" s="784" t="s">
        <v>393</v>
      </c>
      <c r="U308" s="774"/>
      <c r="V308" s="811"/>
      <c r="W308" s="284"/>
      <c r="X308" s="778" t="s">
        <v>394</v>
      </c>
      <c r="Y308" s="779"/>
      <c r="Z308" s="779"/>
      <c r="AA308" s="779" t="s">
        <v>395</v>
      </c>
      <c r="AB308" s="808" t="s">
        <v>396</v>
      </c>
      <c r="AC308" s="28"/>
    </row>
    <row r="309" spans="1:29" s="30" customFormat="1" ht="22.5" customHeight="1">
      <c r="A309" s="112" t="str">
        <f>"L"&amp;E290</f>
        <v>L10</v>
      </c>
      <c r="B309" s="791"/>
      <c r="C309" s="769" t="s">
        <v>397</v>
      </c>
      <c r="D309" s="770"/>
      <c r="E309" s="771"/>
      <c r="F309" s="512">
        <f>IF(VLOOKUP(E290,PROPONENTES!$C$19:$E$108,3,0)="","",VLOOKUP(E290,PROPONENTES!$C$19:$E$108,3,0))</f>
        <v>1</v>
      </c>
      <c r="G309" s="824" t="s">
        <v>398</v>
      </c>
      <c r="H309" s="793" t="s">
        <v>399</v>
      </c>
      <c r="I309" s="793"/>
      <c r="J309" s="769" t="s">
        <v>400</v>
      </c>
      <c r="K309" s="823"/>
      <c r="L309" s="513" t="s">
        <v>401</v>
      </c>
      <c r="M309" s="513"/>
      <c r="N309" s="526"/>
      <c r="O309" s="527"/>
      <c r="P309" s="775"/>
      <c r="Q309" s="776"/>
      <c r="R309" s="776"/>
      <c r="S309" s="777"/>
      <c r="T309" s="796"/>
      <c r="U309" s="797"/>
      <c r="V309" s="812"/>
      <c r="W309" s="284"/>
      <c r="X309" s="780" t="s">
        <v>402</v>
      </c>
      <c r="Y309" s="810" t="s">
        <v>403</v>
      </c>
      <c r="Z309" s="810"/>
      <c r="AA309" s="810"/>
      <c r="AB309" s="809"/>
      <c r="AC309" s="28"/>
    </row>
    <row r="310" spans="1:29" s="30" customFormat="1" ht="51.75" customHeight="1" thickBot="1">
      <c r="A310" s="112" t="str">
        <f>"M"&amp;E290</f>
        <v>M10</v>
      </c>
      <c r="B310" s="791"/>
      <c r="C310" s="770" t="s">
        <v>404</v>
      </c>
      <c r="D310" s="771"/>
      <c r="E310" s="514" t="s">
        <v>405</v>
      </c>
      <c r="F310" s="515" t="s">
        <v>406</v>
      </c>
      <c r="G310" s="824"/>
      <c r="H310" s="793"/>
      <c r="I310" s="793"/>
      <c r="J310" s="504" t="s">
        <v>407</v>
      </c>
      <c r="K310" s="516" t="s">
        <v>408</v>
      </c>
      <c r="L310" s="517" t="s">
        <v>409</v>
      </c>
      <c r="M310" s="517"/>
      <c r="N310" s="528" t="s">
        <v>410</v>
      </c>
      <c r="O310" s="529"/>
      <c r="P310" s="386"/>
      <c r="Q310" s="387" t="s">
        <v>411</v>
      </c>
      <c r="R310" s="388"/>
      <c r="S310" s="113">
        <f>COUNTIFS(H294:H303,"SI",O294:O303,"&gt;0")</f>
        <v>1</v>
      </c>
      <c r="T310" s="785"/>
      <c r="U310" s="787"/>
      <c r="V310" s="813"/>
      <c r="W310" s="284"/>
      <c r="X310" s="780"/>
      <c r="Y310" s="810"/>
      <c r="Z310" s="810"/>
      <c r="AA310" s="810"/>
      <c r="AB310" s="809"/>
      <c r="AC310" s="28"/>
    </row>
    <row r="311" spans="1:29" s="30" customFormat="1" ht="15.75" customHeight="1">
      <c r="A311" s="112" t="str">
        <f>"N"&amp;E290</f>
        <v>N10</v>
      </c>
      <c r="B311" s="791"/>
      <c r="C311" s="54">
        <v>1</v>
      </c>
      <c r="D311" s="100" t="str">
        <f>IF(AND(C311&lt;=F309,F309&gt;1,F309&lt;&gt;""),VLOOKUP(VALUE(E290&amp;","&amp;C311),INTEGRANTES!$D$19:$F$192,2,0),"")</f>
        <v/>
      </c>
      <c r="E311" s="107" t="str">
        <f>IF(D311&lt;&gt;"",VLOOKUP(VALUE(E290&amp;","&amp;C311),INTEGRANTES!$D$19:$F$192,3,0),"")</f>
        <v/>
      </c>
      <c r="F311" s="380" t="str">
        <f>IF(D311="","",IF(OR(SUMIF($J297:$J303,D311,$O297:$O303)=0,N311="NO"),"NO APORTA",SUMIF($J297:$J303,D311,$O297:$O303)))</f>
        <v/>
      </c>
      <c r="G311" s="380" t="str">
        <f>IF($D311="","",IF($F309&lt;=1,"",ROUND(POSMMLV*PORPO,2)))</f>
        <v/>
      </c>
      <c r="H311" s="765" t="str">
        <f>IF($D311="","",IF(OR(F311="NO APORTA",G311&gt;F311),"NO CUMPLE","CUMPLE"))</f>
        <v/>
      </c>
      <c r="I311" s="766"/>
      <c r="J311" s="108" t="str">
        <f>IF(D311="","",IF(OR(AND(SUMIF($J294:$J303,D311,$O294:$O303)&gt;=5%*POSMMLV,N311="SI"),AND(SUMIF($J294:$J303,D311,$O294:$O303)=0,E311&lt;=5%,N311="SI")),"CUMPLE","NO CUMPLE"))</f>
        <v/>
      </c>
      <c r="K311" s="105" t="str">
        <f>IF(OR(D311="",J311=""),"",IF(AND(J311="NO CUMPLE",F311="NO APORTA",E311&gt;5%),"EXP = 0 y PART &gt; 5%",IF(F311&lt;5%*Q316,"EXP &lt; 5%*PO","")))</f>
        <v/>
      </c>
      <c r="L311" s="389" t="str">
        <f>IF(OR(D311="",E311=""),"",IF(AND(E311&gt;=0.25,F311&lt;&gt;"NO APORTA",F311&gt;=$R316*0.25),"SI","NO"))</f>
        <v/>
      </c>
      <c r="M311" s="389"/>
      <c r="N311" s="468" t="s">
        <v>385</v>
      </c>
      <c r="O311" s="396">
        <f>COUNTIFS(O294:O303,"&gt;0",H294:H303,"SI")</f>
        <v>1</v>
      </c>
      <c r="P311" s="814" t="s">
        <v>139</v>
      </c>
      <c r="Q311" s="814"/>
      <c r="R311" s="817">
        <f>E290</f>
        <v>10</v>
      </c>
      <c r="S311" s="818"/>
      <c r="T311" s="784" t="s">
        <v>412</v>
      </c>
      <c r="U311" s="773"/>
      <c r="V311" s="774"/>
      <c r="W311" s="283"/>
      <c r="X311" s="542" t="str">
        <f>IF($F309=1,"NO APLICA",$D311)</f>
        <v>NO APLICA</v>
      </c>
      <c r="Y311" s="543" t="str">
        <f>IF(OR($F311="",$F311="NO APORTA",$R316=0,$X311="NO APLICA"),"",ROUND($F311/$Q316,2))</f>
        <v/>
      </c>
      <c r="Z311" s="544" t="str">
        <f>IF(Y317=1,"SI APLICA",IF(OR($X311="",$X311="NO APLICA",$F311="",$F311="NO APORTA"),"",IF(ROUND($F311/Q316,7)&gt;=0.4,"SI APLICA","NO APLICA")))</f>
        <v>SI APLICA</v>
      </c>
      <c r="AA311" s="543" t="s">
        <v>413</v>
      </c>
      <c r="AB311" s="540" t="str">
        <f>IF(COUNTIF(Z311:AA311,"SI APLICA")=2,"SI APLICA","")</f>
        <v>SI APLICA</v>
      </c>
      <c r="AC311" s="28"/>
    </row>
    <row r="312" spans="1:29" s="30" customFormat="1" ht="15.75" customHeight="1" thickBot="1">
      <c r="A312" s="112" t="str">
        <f>"O"&amp;E290</f>
        <v>O10</v>
      </c>
      <c r="B312" s="791"/>
      <c r="C312" s="54">
        <v>2</v>
      </c>
      <c r="D312" s="100" t="str">
        <f>IF(AND(C312&lt;=F309,F309&lt;&gt;""),VLOOKUP(VALUE(E290&amp;","&amp;C312),INTEGRANTES!$D$19:$F$192,2,0),"")</f>
        <v/>
      </c>
      <c r="E312" s="107" t="str">
        <f>IF(D312&lt;&gt;"",VLOOKUP(VALUE(E290&amp;","&amp;C312),INTEGRANTES!$D$19:$F$192,3,0),"")</f>
        <v/>
      </c>
      <c r="F312" s="380" t="str">
        <f>IF(D312="","",IF(OR(SUMIF($J297:$J303,D312,$O297:$O303)=0,N312="NO"),"NO APORTA",SUMIF($J297:$J303,D312,$O297:$O303)))</f>
        <v/>
      </c>
      <c r="G312" s="380" t="str">
        <f>IF($D312="","",IF($F309&lt;=1,"",ROUND(POSMMLV*PORPO,2)))</f>
        <v/>
      </c>
      <c r="H312" s="765" t="str">
        <f t="shared" ref="H312:H315" si="58">IF($D312="","",IF(OR(F312="NO APORTA",G312&gt;F312),"NO CUMPLE","CUMPLE"))</f>
        <v/>
      </c>
      <c r="I312" s="766"/>
      <c r="J312" s="108" t="str">
        <f>IF(D312="","",IF(OR(AND(SUMIF($J294:$J303,D312,$O294:$O303)&gt;=5%*POSMMLV,N312="SI"),AND(SUMIF($J294:$J303,D312,$O294:$O303)=0,E312&lt;=5%,N312="SI")),"CUMPLE","NO CUMPLE"))</f>
        <v/>
      </c>
      <c r="K312" s="105" t="str">
        <f>IF(OR(D312="",J312=""),"",IF(AND(J312="NO CUMPLE",F312="NO APORTA",E312&gt;5%),"EXP = 0 y PART &gt; 5%",IF(F312&lt;5%*Q316,"EXP &lt; 5%*PO","")))</f>
        <v/>
      </c>
      <c r="L312" s="389" t="str">
        <f>IF(OR(D312="",E312=""),"",IF(AND(E312&gt;=0.25,F312&lt;&gt;"NO APORTA",F312&gt;=$R316*0.25),"SI","NO"))</f>
        <v/>
      </c>
      <c r="M312" s="389"/>
      <c r="N312" s="468" t="s">
        <v>385</v>
      </c>
      <c r="O312" s="396"/>
      <c r="P312" s="815"/>
      <c r="Q312" s="815"/>
      <c r="R312" s="815"/>
      <c r="S312" s="819"/>
      <c r="T312" s="785"/>
      <c r="U312" s="786"/>
      <c r="V312" s="787"/>
      <c r="W312" s="283"/>
      <c r="X312" s="542" t="str">
        <f>IF($F309=1,"NO APLICA",$D312)</f>
        <v>NO APLICA</v>
      </c>
      <c r="Y312" s="543" t="str">
        <f>IF(OR($F312="",$F312="NO APORTA",$R316=0,$X312="NO APLICA"),"",ROUND($F312/$Q316,2))</f>
        <v/>
      </c>
      <c r="Z312" s="544"/>
      <c r="AA312" s="543"/>
      <c r="AB312" s="540" t="str">
        <f t="shared" ref="AB312" si="59">IF(COUNTIF(Z312:AA312,"SI APLICA")=2,"SI APLICA","")</f>
        <v/>
      </c>
      <c r="AC312" s="28"/>
    </row>
    <row r="313" spans="1:29" s="30" customFormat="1" ht="15.75" customHeight="1">
      <c r="A313" s="112" t="str">
        <f>"P"&amp;E290</f>
        <v>P10</v>
      </c>
      <c r="B313" s="791"/>
      <c r="C313" s="54">
        <v>3</v>
      </c>
      <c r="D313" s="100" t="str">
        <f>IF(AND(C313&lt;=F309,F309&lt;&gt;""),VLOOKUP(VALUE(E290&amp;","&amp;C313),INTEGRANTES!$D$19:$F$192,2,0),"")</f>
        <v/>
      </c>
      <c r="E313" s="107" t="str">
        <f>IF(D313&lt;&gt;"",VLOOKUP(VALUE(E290&amp;","&amp;C313),INTEGRANTES!$D$19:$F$192,3,0),"")</f>
        <v/>
      </c>
      <c r="F313" s="380" t="str">
        <f>IF(D313="","",IF(OR(SUMIF($J297:$J303,D313,$O297:$O303)=0,N313="NO"),"NO APORTA",SUMIF($J297:$J303,D313,$O297:$O303)))</f>
        <v/>
      </c>
      <c r="G313" s="380" t="str">
        <f>IF($D313="","",IF($F309&lt;=1,"",ROUND(POSMMLV*PORPO,2)))</f>
        <v/>
      </c>
      <c r="H313" s="765" t="str">
        <f t="shared" si="58"/>
        <v/>
      </c>
      <c r="I313" s="766"/>
      <c r="J313" s="108" t="str">
        <f>IF(D313="","",IF(OR(AND(SUMIF($J294:$J303,D313,$O294:$O303)&gt;=5%*POSMMLV,N313="SI"),AND(SUMIF($J294:$J303,D313,$O294:$O303)=0,E313&lt;=5%,N313="SI")),"CUMPLE","NO CUMPLE"))</f>
        <v/>
      </c>
      <c r="K313" s="105" t="str">
        <f>IF(OR(D313="",J313=""),"",IF(AND(J313="NO CUMPLE",F313="NO APORTA",E313&gt;5%),"EXP = 0 y PART &gt; 5%",IF(F313&lt;5%*Q316,"EXP &lt; 5%*PO","")))</f>
        <v/>
      </c>
      <c r="L313" s="389" t="str">
        <f>IF(OR(D313="",E313=""),"",IF(AND(E313&gt;=0.25,F313&lt;&gt;"NO APORTA",F313&gt;=$R316*0.25),"SI","NO"))</f>
        <v/>
      </c>
      <c r="M313" s="389"/>
      <c r="N313" s="468"/>
      <c r="O313" s="397"/>
      <c r="P313" s="816"/>
      <c r="Q313" s="816"/>
      <c r="R313" s="816"/>
      <c r="S313" s="820"/>
      <c r="T313" s="308"/>
      <c r="U313" s="308"/>
      <c r="V313" s="309"/>
      <c r="W313" s="284"/>
      <c r="X313" s="542" t="str">
        <f>IF($F309=1,"NO APLICA",$D313)</f>
        <v>NO APLICA</v>
      </c>
      <c r="Y313" s="543" t="str">
        <f>IF(OR($F313="",$F313="NO APORTA",$R316=0,$X313="NO APLICA"),"",ROUND($F313/$Q316,2))</f>
        <v/>
      </c>
      <c r="Z313" s="544"/>
      <c r="AA313" s="543"/>
      <c r="AB313" s="540" t="str">
        <f>IF(COUNTIF(Z313:AA313,"SI APLICA")=2,"SI APLICA","")</f>
        <v/>
      </c>
      <c r="AC313" s="28"/>
    </row>
    <row r="314" spans="1:29" s="30" customFormat="1" ht="15.75" customHeight="1">
      <c r="A314" s="112" t="str">
        <f>"Q"&amp;E290</f>
        <v>Q10</v>
      </c>
      <c r="B314" s="791"/>
      <c r="C314" s="54">
        <v>4</v>
      </c>
      <c r="D314" s="100" t="str">
        <f>IF(AND(C314&lt;=F309,F309&lt;&gt;""),VLOOKUP(VALUE(E290&amp;","&amp;C314),INTEGRANTES!$D$19:$F$192,2,0),"")</f>
        <v/>
      </c>
      <c r="E314" s="107" t="str">
        <f>IF(D314&lt;&gt;"",VLOOKUP(VALUE(E290&amp;","&amp;C314),INTEGRANTES!$D$19:$F$192,3,0),"")</f>
        <v/>
      </c>
      <c r="F314" s="380" t="str">
        <f>IF(D314="","",IF(OR(SUMIF($J297:$J303,D314,$O297:$O303)=0,N314="NO"),"NO APORTA",SUMIF($J297:$J303,D314,$O297:$O303)))</f>
        <v/>
      </c>
      <c r="G314" s="380" t="str">
        <f>IF($D314="","",IF($F309&lt;=1,"",ROUND(POSMMLV*PORPO,2)))</f>
        <v/>
      </c>
      <c r="H314" s="765" t="str">
        <f t="shared" si="58"/>
        <v/>
      </c>
      <c r="I314" s="766"/>
      <c r="J314" s="108" t="str">
        <f>IF(D314="","",IF(OR(AND(SUMIF($J294:$J303,D314,$O294:$O303)&gt;=5%*POSMMLV,N314="SI"),AND(SUMIF($J294:$J303,D314,$O294:$O303)=0,E314&lt;=5%,N314="SI")),"CUMPLE","NO CUMPLE"))</f>
        <v/>
      </c>
      <c r="K314" s="105" t="str">
        <f>IF(OR(D314="",J314=""),"",IF(AND(J314="NO CUMPLE",F314="NO APORTA",E314&gt;5%),"EXP = 0 y PART &gt; 5%",IF(F314&lt;5%*Q316,"EXP &lt; 5%*PO","")))</f>
        <v/>
      </c>
      <c r="L314" s="389" t="str">
        <f>IF(OR(D314="",E314=""),"",IF(AND(E314&gt;=0.25,F314&lt;&gt;"NO APORTA",F314&gt;=$R316*0.25),"SI","NO"))</f>
        <v/>
      </c>
      <c r="M314" s="389"/>
      <c r="N314" s="468"/>
      <c r="O314" s="788" t="s">
        <v>414</v>
      </c>
      <c r="P314" s="769" t="s">
        <v>415</v>
      </c>
      <c r="Q314" s="770"/>
      <c r="R314" s="770"/>
      <c r="S314" s="771"/>
      <c r="T314" s="284"/>
      <c r="U314" s="284"/>
      <c r="V314" s="310"/>
      <c r="W314" s="284"/>
      <c r="X314" s="542" t="str">
        <f>IF($F309=1,"NO APLICA",$D314)</f>
        <v>NO APLICA</v>
      </c>
      <c r="Y314" s="543" t="str">
        <f>IF(OR($F314="",$F314="NO APORTA",$R316=0,$X314="NO APLICA"),"",ROUND($F314/$Q316,2))</f>
        <v/>
      </c>
      <c r="Z314" s="544"/>
      <c r="AA314" s="543"/>
      <c r="AB314" s="540" t="str">
        <f t="shared" ref="AB314:AB315" si="60">IF(COUNTIF(Z314:AA314,"SI APLICA")=2,"SI APLICA","")</f>
        <v/>
      </c>
      <c r="AC314" s="28"/>
    </row>
    <row r="315" spans="1:29" s="30" customFormat="1" ht="17.25" customHeight="1">
      <c r="A315" s="112" t="str">
        <f>"R"&amp;E290</f>
        <v>R10</v>
      </c>
      <c r="B315" s="791"/>
      <c r="C315" s="54">
        <v>5</v>
      </c>
      <c r="D315" s="100" t="str">
        <f>IF(AND(C315&lt;=F309,F309&lt;&gt;""),VLOOKUP(VALUE(E290&amp;","&amp;C315),INTEGRANTES!$D$19:$F$192,2,0),"")</f>
        <v/>
      </c>
      <c r="E315" s="107" t="str">
        <f>IF(D315&lt;&gt;"",VLOOKUP(VALUE(E290&amp;","&amp;C315),INTEGRANTES!$D$19:$F$192,3,0),"")</f>
        <v/>
      </c>
      <c r="F315" s="380" t="str">
        <f>IF(D315="","",IF(OR(SUMIF($J297:$J303,D315,$O297:$O303)=0,N315="NO"),"NO APORTA",SUMIF($J297:$J303,D315,$O297:$O303)))</f>
        <v/>
      </c>
      <c r="G315" s="380" t="str">
        <f>IF($D315="","",IF($F309&lt;=1,"",ROUND(POSMMLV*PORPO,2)))</f>
        <v/>
      </c>
      <c r="H315" s="765" t="str">
        <f t="shared" si="58"/>
        <v/>
      </c>
      <c r="I315" s="766"/>
      <c r="J315" s="108" t="str">
        <f>IF(D315="","",IF(OR(AND(SUMIF($J294:$J303,D315,$O294:$O303)&gt;=5%*POSMMLV,N315="SI"),AND(SUMIF($J294:$J303,D315,$O294:$O303)=0,E315&lt;=5%,N315="SI")),"CUMPLE","NO CUMPLE"))</f>
        <v/>
      </c>
      <c r="K315" s="105" t="str">
        <f>IF(OR(D315="",J315=""),"",IF(AND(J315="NO CUMPLE",F315="NO APORTA",E315&gt;5%),"EXP = 0 y PART &gt; 5%",IF(F315&lt;5%*Q316,"EXP &lt; 5%*PO","")))</f>
        <v/>
      </c>
      <c r="L315" s="389" t="str">
        <f>IF(OR(D315="",E315=""),"",IF(AND(E315&gt;=0.25,F315&lt;&gt;"NO APORTA",F315&gt;=$R316*0.25),"SI","NO"))</f>
        <v/>
      </c>
      <c r="M315" s="389"/>
      <c r="N315" s="468"/>
      <c r="O315" s="789"/>
      <c r="P315" s="504" t="s">
        <v>416</v>
      </c>
      <c r="Q315" s="504" t="s">
        <v>417</v>
      </c>
      <c r="R315" s="793" t="s">
        <v>418</v>
      </c>
      <c r="S315" s="793"/>
      <c r="T315" s="284"/>
      <c r="U315" s="284"/>
      <c r="V315" s="310"/>
      <c r="W315" s="284"/>
      <c r="X315" s="542" t="str">
        <f>IF($F309=1,"NO APLICA",$D315)</f>
        <v>NO APLICA</v>
      </c>
      <c r="Y315" s="543" t="str">
        <f>IF(OR($F315="",$F315="NO APORTA",$R316=0,$X315="NO APLICA"),"",ROUND($F315/$Q316,2))</f>
        <v/>
      </c>
      <c r="Z315" s="544"/>
      <c r="AA315" s="543"/>
      <c r="AB315" s="540" t="str">
        <f t="shared" si="60"/>
        <v/>
      </c>
      <c r="AC315" s="28"/>
    </row>
    <row r="316" spans="1:29" s="30" customFormat="1" ht="16.5" customHeight="1" thickBot="1">
      <c r="A316" s="112" t="str">
        <f>"S"&amp;E290</f>
        <v>S10</v>
      </c>
      <c r="B316" s="791"/>
      <c r="C316" s="109">
        <v>6</v>
      </c>
      <c r="D316" s="110" t="str">
        <f>IF(AND(C316&lt;=F309,F309&lt;&gt;""),VLOOKUP(VALUE(E290&amp;","&amp;C316),INTEGRANTES!$D$19:$F$192,2,0),"")</f>
        <v/>
      </c>
      <c r="E316" s="111" t="str">
        <f>IF(D316&lt;&gt;"",VLOOKUP(VALUE(E290&amp;","&amp;C316),INTEGRANTES!$D$19:$F$192,3,0),"")</f>
        <v/>
      </c>
      <c r="F316" s="380" t="str">
        <f>IF(D316="","",IF(OR(SUMIF($J297:$J303,D316,$O297:$O303)=0,N316="NO"),"NO APORTA",SUMIF($J297:$J303,D316,$O297:$O303)))</f>
        <v/>
      </c>
      <c r="G316" s="380" t="str">
        <f>IF($D316="","",IF($F309&lt;=1,"",ROUND(POSMMLV*PORPO,2)))</f>
        <v/>
      </c>
      <c r="H316" s="765" t="str">
        <f>IF($D316="","",IF(OR(F316="NO APORTA",G316&gt;F316),"NO CUMPLE","CUMPLE"))</f>
        <v/>
      </c>
      <c r="I316" s="766"/>
      <c r="J316" s="108" t="str">
        <f>IF(D316="","",IF(OR(AND(SUMIF($J294:$J303,D316,$O294:$O303)&gt;=5%*POSMMLV,N316="SI"),AND(SUMIF($J294:$J303,D316,$O294:$O303)=0,E316&lt;=5%,N316="SI")),"CUMPLE","NO CUMPLE"))</f>
        <v/>
      </c>
      <c r="K316" s="105" t="str">
        <f>IF(OR(D316="",J316=""),"",IF(AND(J316="NO CUMPLE",F316="NO APORTA",E316&gt;5%),"EXP = 0 y PART &gt; 5%",IF(F316&lt;5%*Q316,"EXP &lt; 5%*PO","")))</f>
        <v/>
      </c>
      <c r="L316" s="389" t="str">
        <f>IF(OR(D316="",E316=""),"",IF(AND(E316&gt;=0.25,F316&lt;&gt;"NO APORTA",F316&gt;=$R316*0.25),"SI","NO"))</f>
        <v/>
      </c>
      <c r="M316" s="389"/>
      <c r="N316" s="468"/>
      <c r="O316" s="403" t="str">
        <f ca="1">IF(R316&gt;=Q316,"CUMPLE","NO CUMPLE")</f>
        <v>CUMPLE</v>
      </c>
      <c r="P316" s="312">
        <f>NUMMOD</f>
        <v>1</v>
      </c>
      <c r="Q316" s="313">
        <f ca="1">IF(P316="","",ROUND(VLOOKUP(P316,PRESUPUESTOS!$B$16:$L$16,9,FALSE),7))</f>
        <v>300</v>
      </c>
      <c r="R316" s="834">
        <f>IF(OR(COUNTIF(O294:O303,"")&gt;9,S310&lt;NUMMINCONT),0,SUM(O294:O303))</f>
        <v>647.05999999999995</v>
      </c>
      <c r="S316" s="834"/>
      <c r="T316" s="284"/>
      <c r="U316" s="284"/>
      <c r="V316" s="310"/>
      <c r="W316" s="284"/>
      <c r="X316" s="545" t="str">
        <f>IF($F309=1,"NO APLICA",$D316)</f>
        <v>NO APLICA</v>
      </c>
      <c r="Y316" s="543" t="str">
        <f>IF(OR($F316="",$F316="NO APORTA",$R316=0,$X316="NO APLICA"),"",ROUND($F316/$Q316,2))</f>
        <v/>
      </c>
      <c r="Z316" s="544"/>
      <c r="AA316" s="546"/>
      <c r="AB316" s="540" t="str">
        <f>IF(COUNTIF(Z316:AA316,"SI APLICA")=2,"SI APLICA","")</f>
        <v/>
      </c>
      <c r="AC316" s="28"/>
    </row>
    <row r="317" spans="1:29" s="30" customFormat="1" ht="16.5" customHeight="1" thickBot="1">
      <c r="A317" s="112" t="str">
        <f>"T"&amp;E290</f>
        <v>T10</v>
      </c>
      <c r="B317" s="792"/>
      <c r="C317" s="821" t="s">
        <v>419</v>
      </c>
      <c r="D317" s="822"/>
      <c r="E317" s="822"/>
      <c r="F317" s="518"/>
      <c r="G317" s="519"/>
      <c r="H317" s="794" t="str">
        <f>IF(OR($F309="",SUM(E311:E316)=0),"",IF(COUNTIF(H311:H316,"CUMPLE")&gt;=1,"CUMPLE","NO CUMPLE"))</f>
        <v/>
      </c>
      <c r="I317" s="795"/>
      <c r="J317" s="314" t="str">
        <f>IF(COUNTIF(J311:J316,"")&gt;5,"",IF(COUNTIF(J311:J316,"NO CUMPLE")&gt;0,"NO CUMPLE","CUMPLE"))</f>
        <v/>
      </c>
      <c r="K317" s="314" t="str">
        <f>IF(OR(AND(F309=1,N311="SI"),AND(COUNTIF(H317:J317,"CUMPLE")=2)),"CUMPLE","NO CUMPLE")</f>
        <v>CUMPLE</v>
      </c>
      <c r="L317" s="519"/>
      <c r="M317" s="519"/>
      <c r="N317" s="519"/>
      <c r="O317" s="833" t="str">
        <f ca="1">IF(ISNUMBER(F290),"",IF(AND(O316="NO CUMPLE",SUM(N297:N303)&lt;Q316),"EL PROPONENTE SE DEBE REQUERIR POR EXPERIENCIA MINIMA EXIGIDA",""))</f>
        <v/>
      </c>
      <c r="P317" s="833"/>
      <c r="Q317" s="833"/>
      <c r="R317" s="833"/>
      <c r="S317" s="833"/>
      <c r="T317" s="522"/>
      <c r="U317" s="523"/>
      <c r="V317" s="524"/>
      <c r="W317" s="284"/>
      <c r="X317" s="364" t="str">
        <f>IF(Y317=1,"PROPONENTE INDIVIDUAL","PROPONENTE PLURAL")</f>
        <v>PROPONENTE INDIVIDUAL</v>
      </c>
      <c r="Y317" s="276">
        <f>F309</f>
        <v>1</v>
      </c>
      <c r="Z317" s="277" t="str">
        <f>IF(OR(AND(Z311="SI APLICA",AA311="SI APLICA"),AND(Z312="SI APLICA",AA312="SI APLICA"),AND(Z313="SI APLICA",AA313="SI APLICA"),AND(Z314="SI APLICA",AA314="SI APLICA"),AND(Z315="SI APLICA",AA315="SI APLICA"),AND(Z316="SI APLICA",AA316="SI APLICA")),"SI APLICA","NO APLICA")</f>
        <v>SI APLICA</v>
      </c>
      <c r="AA317" s="278" t="str">
        <f>IF(OR(AND(AA311="SI APLICA",AB311="SI APLICA"),AND(AA312="SI APLICA",AB312="SI APLICA"),AND(AA313="SI APLICA",AB313="SI APLICA"),AND(AA314="SI APLICA",AB314="SI APLICA"),AND(AA315="SI APLICA",AB315="SI APLICA"),AND(AA316="SI APLICA",AB316="SI APLICA")),"SI APLICA","NO APLICA")</f>
        <v>SI APLICA</v>
      </c>
      <c r="AB317" s="278" t="str">
        <f>IF(COUNTIF(AB311:AB316,"SI APLICA")&gt;0,"SI APLICA","NO APLICA")</f>
        <v>SI APLICA</v>
      </c>
      <c r="AC317" s="28"/>
    </row>
    <row r="318" spans="1:29" ht="24.95" customHeight="1"/>
    <row r="319" spans="1:29" ht="24.95" customHeight="1"/>
    <row r="320" spans="1:29" s="41" customFormat="1" ht="24" thickBot="1">
      <c r="A320" s="34">
        <v>11</v>
      </c>
      <c r="B320" s="828" t="s">
        <v>355</v>
      </c>
      <c r="C320" s="828"/>
      <c r="D320" s="828"/>
      <c r="E320" s="35">
        <f>VLOOKUP(A320,PROPONENTES!$B$19:$E$108,2,FALSE)</f>
        <v>11</v>
      </c>
      <c r="F320" s="36" t="str">
        <f>VLOOKUP(A320,PROPONENTES!$B$19:$E$108,3,FALSE)</f>
        <v>CUBIKO OBRAS Y CONSULTORÍAS SAS</v>
      </c>
      <c r="G320" s="37"/>
      <c r="H320" s="37"/>
      <c r="I320" s="36"/>
      <c r="J320" s="36"/>
      <c r="K320" s="36"/>
      <c r="L320" s="36"/>
      <c r="M320" s="38"/>
      <c r="N320" s="38"/>
      <c r="O320" s="37"/>
      <c r="P320" s="37"/>
      <c r="Q320" s="39"/>
      <c r="R320" s="39"/>
      <c r="S320" s="39"/>
      <c r="T320" s="39"/>
      <c r="U320" s="40"/>
      <c r="Y320" s="52"/>
      <c r="Z320" s="52"/>
      <c r="AA320" s="52"/>
      <c r="AB320" s="28"/>
      <c r="AC320" s="28"/>
    </row>
    <row r="321" spans="1:29" s="27" customFormat="1" ht="24.75" customHeight="1">
      <c r="A321" s="22"/>
      <c r="B321" s="829" t="s">
        <v>356</v>
      </c>
      <c r="C321" s="501" t="s">
        <v>357</v>
      </c>
      <c r="D321" s="502" t="s">
        <v>358</v>
      </c>
      <c r="E321" s="502"/>
      <c r="F321" s="502" t="s">
        <v>359</v>
      </c>
      <c r="G321" s="503"/>
      <c r="H321" s="803" t="s">
        <v>360</v>
      </c>
      <c r="I321" s="831" t="s">
        <v>361</v>
      </c>
      <c r="J321" s="803" t="s">
        <v>362</v>
      </c>
      <c r="K321" s="803" t="s">
        <v>363</v>
      </c>
      <c r="L321" s="803" t="s">
        <v>364</v>
      </c>
      <c r="M321" s="803" t="s">
        <v>365</v>
      </c>
      <c r="N321" s="804" t="s">
        <v>366</v>
      </c>
      <c r="O321" s="805"/>
      <c r="P321" s="806" t="s">
        <v>367</v>
      </c>
      <c r="Q321" s="807"/>
      <c r="R321" s="784" t="s">
        <v>368</v>
      </c>
      <c r="S321" s="774"/>
      <c r="T321" s="798" t="s">
        <v>369</v>
      </c>
      <c r="U321" s="799"/>
      <c r="V321" s="800"/>
      <c r="X321" s="520"/>
      <c r="Y321" s="520"/>
    </row>
    <row r="322" spans="1:29" s="27" customFormat="1" ht="94.5" customHeight="1">
      <c r="A322" s="22"/>
      <c r="B322" s="830"/>
      <c r="C322" s="504" t="s">
        <v>370</v>
      </c>
      <c r="D322" s="505" t="s">
        <v>41</v>
      </c>
      <c r="E322" s="505" t="s">
        <v>371</v>
      </c>
      <c r="F322" s="505" t="s">
        <v>372</v>
      </c>
      <c r="G322" s="506" t="s">
        <v>373</v>
      </c>
      <c r="H322" s="793"/>
      <c r="I322" s="832"/>
      <c r="J322" s="793"/>
      <c r="K322" s="793"/>
      <c r="L322" s="793"/>
      <c r="M322" s="793"/>
      <c r="N322" s="504" t="s">
        <v>374</v>
      </c>
      <c r="O322" s="505" t="s">
        <v>375</v>
      </c>
      <c r="P322" s="801"/>
      <c r="Q322" s="802"/>
      <c r="R322" s="796"/>
      <c r="S322" s="797"/>
      <c r="T322" s="507" t="s">
        <v>376</v>
      </c>
      <c r="U322" s="508" t="s">
        <v>377</v>
      </c>
      <c r="V322" s="509" t="s">
        <v>378</v>
      </c>
      <c r="X322" s="521" t="s">
        <v>379</v>
      </c>
      <c r="Y322" s="521" t="s">
        <v>380</v>
      </c>
    </row>
    <row r="323" spans="1:29" s="27" customFormat="1" ht="15" customHeight="1">
      <c r="A323" s="22"/>
      <c r="B323" s="594"/>
      <c r="C323" s="595">
        <v>3</v>
      </c>
      <c r="D323" s="595">
        <v>4</v>
      </c>
      <c r="E323" s="595">
        <v>5</v>
      </c>
      <c r="F323" s="595">
        <v>6</v>
      </c>
      <c r="G323" s="595">
        <v>7</v>
      </c>
      <c r="H323" s="595">
        <v>8</v>
      </c>
      <c r="I323" s="595">
        <v>9</v>
      </c>
      <c r="J323" s="595">
        <v>10</v>
      </c>
      <c r="K323" s="595">
        <v>11</v>
      </c>
      <c r="L323" s="595">
        <v>12</v>
      </c>
      <c r="M323" s="595">
        <v>13</v>
      </c>
      <c r="N323" s="595">
        <v>14</v>
      </c>
      <c r="O323" s="595">
        <v>15</v>
      </c>
      <c r="P323" s="596">
        <v>16</v>
      </c>
      <c r="Q323" s="597">
        <v>17</v>
      </c>
      <c r="R323" s="596">
        <v>18</v>
      </c>
      <c r="S323" s="597">
        <v>19</v>
      </c>
      <c r="T323" s="598">
        <v>20</v>
      </c>
      <c r="U323" s="255">
        <v>21</v>
      </c>
      <c r="V323" s="599">
        <v>22</v>
      </c>
      <c r="X323" s="589"/>
      <c r="Y323" s="590"/>
    </row>
    <row r="324" spans="1:29" s="44" customFormat="1" ht="115.5" customHeight="1">
      <c r="A324" s="42" t="str">
        <f>"A"&amp;E320</f>
        <v>A11</v>
      </c>
      <c r="B324" s="605">
        <f>IF(C324&lt;&gt;"",B323+1,"")</f>
        <v>1</v>
      </c>
      <c r="C324" s="638" t="s">
        <v>495</v>
      </c>
      <c r="D324" s="581" t="s">
        <v>496</v>
      </c>
      <c r="E324" s="581" t="s">
        <v>497</v>
      </c>
      <c r="F324" s="581" t="s">
        <v>431</v>
      </c>
      <c r="G324" s="534">
        <v>0.5</v>
      </c>
      <c r="H324" s="534" t="s">
        <v>385</v>
      </c>
      <c r="I324" s="579" t="s">
        <v>384</v>
      </c>
      <c r="J324" s="580" t="str">
        <f>IF(I324="","",IF(I324="I",$F320,VLOOKUP(I324,$C341:$D346,2,0)))</f>
        <v>CUBIKO OBRAS Y CONSULTORÍAS SAS</v>
      </c>
      <c r="K324" s="535">
        <v>43292</v>
      </c>
      <c r="L324" s="535">
        <v>43809</v>
      </c>
      <c r="M324" s="536">
        <v>752.36</v>
      </c>
      <c r="N324" s="232">
        <f t="shared" ref="N324:N333" si="61">IF(OR(G324="",M324=""),"",M324*G324)</f>
        <v>376.18</v>
      </c>
      <c r="O324" s="260">
        <f t="shared" ref="O324:O333" si="62">IF(OR(H324="",H324="NO",K324&lt;$Q$17,K324&gt;$R$17,K324="",M324="",N324=""),"",ROUND(N324,7))</f>
        <v>376.18</v>
      </c>
      <c r="P324" s="781"/>
      <c r="Q324" s="782"/>
      <c r="R324" s="767"/>
      <c r="S324" s="768"/>
      <c r="T324" s="538" t="s">
        <v>385</v>
      </c>
      <c r="U324" s="539">
        <v>64</v>
      </c>
      <c r="V324" s="540" t="s">
        <v>385</v>
      </c>
      <c r="X324" s="541" t="s">
        <v>386</v>
      </c>
      <c r="Y324" s="541" t="s">
        <v>387</v>
      </c>
    </row>
    <row r="325" spans="1:29" s="44" customFormat="1" ht="24.95" customHeight="1">
      <c r="A325" s="42" t="str">
        <f>"B"&amp;E320</f>
        <v>B11</v>
      </c>
      <c r="B325" s="605" t="str">
        <f t="shared" ref="B325:B333" si="63">IF(C325&lt;&gt;"",B324+1,"")</f>
        <v/>
      </c>
      <c r="C325" s="581"/>
      <c r="D325" s="581"/>
      <c r="E325" s="581"/>
      <c r="F325" s="581"/>
      <c r="G325" s="534"/>
      <c r="H325" s="534"/>
      <c r="I325" s="579"/>
      <c r="J325" s="580" t="str">
        <f>IF(I325="","",IF(I325="I",$F320,VLOOKUP(I325,$C341:$D346,2,0)))</f>
        <v/>
      </c>
      <c r="K325" s="535"/>
      <c r="L325" s="535"/>
      <c r="M325" s="536"/>
      <c r="N325" s="232" t="str">
        <f t="shared" si="61"/>
        <v/>
      </c>
      <c r="O325" s="260" t="str">
        <f t="shared" si="62"/>
        <v/>
      </c>
      <c r="P325" s="781"/>
      <c r="Q325" s="782"/>
      <c r="R325" s="767"/>
      <c r="S325" s="768"/>
      <c r="T325" s="538"/>
      <c r="U325" s="539"/>
      <c r="V325" s="540"/>
      <c r="X325" s="541"/>
      <c r="Y325" s="541"/>
    </row>
    <row r="326" spans="1:29" s="44" customFormat="1" ht="24.95" customHeight="1">
      <c r="A326" s="42" t="str">
        <f>"C"&amp;E320</f>
        <v>C11</v>
      </c>
      <c r="B326" s="605" t="str">
        <f t="shared" si="63"/>
        <v/>
      </c>
      <c r="C326" s="581"/>
      <c r="D326" s="581"/>
      <c r="E326" s="581"/>
      <c r="F326" s="581"/>
      <c r="G326" s="534"/>
      <c r="H326" s="534"/>
      <c r="I326" s="579"/>
      <c r="J326" s="580" t="str">
        <f>IF(I326="","",IF(I326="I",$F320,VLOOKUP(I326,$C341:$D346,2,0)))</f>
        <v/>
      </c>
      <c r="K326" s="535"/>
      <c r="L326" s="535"/>
      <c r="M326" s="536"/>
      <c r="N326" s="232" t="str">
        <f t="shared" si="61"/>
        <v/>
      </c>
      <c r="O326" s="260" t="str">
        <f t="shared" si="62"/>
        <v/>
      </c>
      <c r="P326" s="781"/>
      <c r="Q326" s="782"/>
      <c r="R326" s="767"/>
      <c r="S326" s="768"/>
      <c r="T326" s="538"/>
      <c r="U326" s="539"/>
      <c r="V326" s="540"/>
      <c r="X326" s="541"/>
      <c r="Y326" s="541"/>
    </row>
    <row r="327" spans="1:29" s="44" customFormat="1" ht="24.95" customHeight="1">
      <c r="A327" s="42" t="str">
        <f>"D"&amp;E320</f>
        <v>D11</v>
      </c>
      <c r="B327" s="605" t="str">
        <f t="shared" si="63"/>
        <v/>
      </c>
      <c r="C327" s="581"/>
      <c r="D327" s="581"/>
      <c r="E327" s="581"/>
      <c r="F327" s="581"/>
      <c r="G327" s="534"/>
      <c r="H327" s="534"/>
      <c r="I327" s="579"/>
      <c r="J327" s="580" t="str">
        <f>IF(I327="","",IF(I327="I",$F320,VLOOKUP(I327,$C341:$D346,2,0)))</f>
        <v/>
      </c>
      <c r="K327" s="535"/>
      <c r="L327" s="535"/>
      <c r="M327" s="536"/>
      <c r="N327" s="232" t="str">
        <f t="shared" si="61"/>
        <v/>
      </c>
      <c r="O327" s="260" t="str">
        <f t="shared" si="62"/>
        <v/>
      </c>
      <c r="P327" s="781"/>
      <c r="Q327" s="782"/>
      <c r="R327" s="767"/>
      <c r="S327" s="768"/>
      <c r="T327" s="538"/>
      <c r="U327" s="539"/>
      <c r="V327" s="540"/>
      <c r="X327" s="541"/>
      <c r="Y327" s="541"/>
    </row>
    <row r="328" spans="1:29" s="44" customFormat="1" ht="24.95" customHeight="1">
      <c r="A328" s="42" t="str">
        <f>"E"&amp;E320</f>
        <v>E11</v>
      </c>
      <c r="B328" s="605" t="str">
        <f t="shared" si="63"/>
        <v/>
      </c>
      <c r="C328" s="581"/>
      <c r="D328" s="581"/>
      <c r="E328" s="581"/>
      <c r="F328" s="581"/>
      <c r="G328" s="534"/>
      <c r="H328" s="534"/>
      <c r="I328" s="579"/>
      <c r="J328" s="580" t="str">
        <f>IF(I328="","",IF(I328="I",$F320,VLOOKUP(I328,$C341:$D346,2,0)))</f>
        <v/>
      </c>
      <c r="K328" s="535"/>
      <c r="L328" s="535"/>
      <c r="M328" s="536"/>
      <c r="N328" s="232" t="str">
        <f t="shared" si="61"/>
        <v/>
      </c>
      <c r="O328" s="260" t="str">
        <f t="shared" si="62"/>
        <v/>
      </c>
      <c r="P328" s="781"/>
      <c r="Q328" s="782"/>
      <c r="R328" s="767"/>
      <c r="S328" s="768"/>
      <c r="T328" s="538"/>
      <c r="U328" s="539"/>
      <c r="V328" s="540"/>
      <c r="X328" s="541"/>
      <c r="Y328" s="541"/>
    </row>
    <row r="329" spans="1:29" s="44" customFormat="1" ht="24.95" customHeight="1">
      <c r="A329" s="42" t="str">
        <f>"F"&amp;E320</f>
        <v>F11</v>
      </c>
      <c r="B329" s="605" t="str">
        <f t="shared" si="63"/>
        <v/>
      </c>
      <c r="C329" s="581"/>
      <c r="D329" s="581"/>
      <c r="E329" s="581"/>
      <c r="F329" s="581"/>
      <c r="G329" s="534"/>
      <c r="H329" s="534"/>
      <c r="I329" s="579"/>
      <c r="J329" s="580" t="str">
        <f>IF(I329="","",IF(I329="I",$F320,VLOOKUP(I329,$C341:$D346,2,0)))</f>
        <v/>
      </c>
      <c r="K329" s="535"/>
      <c r="L329" s="535"/>
      <c r="M329" s="536"/>
      <c r="N329" s="232" t="str">
        <f t="shared" si="61"/>
        <v/>
      </c>
      <c r="O329" s="260" t="str">
        <f t="shared" si="62"/>
        <v/>
      </c>
      <c r="P329" s="781"/>
      <c r="Q329" s="782"/>
      <c r="R329" s="767"/>
      <c r="S329" s="768"/>
      <c r="T329" s="538"/>
      <c r="U329" s="539"/>
      <c r="V329" s="540"/>
      <c r="X329" s="541"/>
      <c r="Y329" s="541"/>
    </row>
    <row r="330" spans="1:29" s="44" customFormat="1" ht="24.95" customHeight="1">
      <c r="A330" s="42" t="str">
        <f>"G"&amp;E320</f>
        <v>G11</v>
      </c>
      <c r="B330" s="605" t="str">
        <f t="shared" si="63"/>
        <v/>
      </c>
      <c r="C330" s="581"/>
      <c r="D330" s="581"/>
      <c r="E330" s="581"/>
      <c r="F330" s="581"/>
      <c r="G330" s="534"/>
      <c r="H330" s="534"/>
      <c r="I330" s="579"/>
      <c r="J330" s="580" t="str">
        <f>IF(I330="","",IF(I330="I",$F320,VLOOKUP(I330,$C341:$D346,2,0)))</f>
        <v/>
      </c>
      <c r="K330" s="535"/>
      <c r="L330" s="535"/>
      <c r="M330" s="536"/>
      <c r="N330" s="43" t="str">
        <f t="shared" si="61"/>
        <v/>
      </c>
      <c r="O330" s="260" t="str">
        <f t="shared" si="62"/>
        <v/>
      </c>
      <c r="P330" s="781"/>
      <c r="Q330" s="782"/>
      <c r="R330" s="767"/>
      <c r="S330" s="768"/>
      <c r="T330" s="538"/>
      <c r="U330" s="539"/>
      <c r="V330" s="540"/>
      <c r="X330" s="541"/>
      <c r="Y330" s="541"/>
    </row>
    <row r="331" spans="1:29" s="44" customFormat="1" ht="24.95" customHeight="1">
      <c r="A331" s="42" t="str">
        <f>"H"&amp;E320</f>
        <v>H11</v>
      </c>
      <c r="B331" s="605" t="str">
        <f t="shared" si="63"/>
        <v/>
      </c>
      <c r="C331" s="581"/>
      <c r="D331" s="581"/>
      <c r="E331" s="581"/>
      <c r="F331" s="581"/>
      <c r="G331" s="534"/>
      <c r="H331" s="534"/>
      <c r="I331" s="579"/>
      <c r="J331" s="580" t="str">
        <f>IF(I331="","",IF(I331="I",$F320,VLOOKUP(I331,$C341:$D346,2,0)))</f>
        <v/>
      </c>
      <c r="K331" s="535"/>
      <c r="L331" s="535"/>
      <c r="M331" s="537"/>
      <c r="N331" s="43" t="str">
        <f t="shared" si="61"/>
        <v/>
      </c>
      <c r="O331" s="260" t="str">
        <f t="shared" si="62"/>
        <v/>
      </c>
      <c r="P331" s="781"/>
      <c r="Q331" s="782"/>
      <c r="R331" s="767"/>
      <c r="S331" s="768"/>
      <c r="T331" s="538"/>
      <c r="U331" s="539"/>
      <c r="V331" s="540"/>
      <c r="X331" s="541"/>
      <c r="Y331" s="541"/>
    </row>
    <row r="332" spans="1:29" s="44" customFormat="1" ht="24.95" customHeight="1">
      <c r="A332" s="42" t="str">
        <f>"I"&amp;E320</f>
        <v>I11</v>
      </c>
      <c r="B332" s="605" t="str">
        <f t="shared" si="63"/>
        <v/>
      </c>
      <c r="C332" s="581"/>
      <c r="D332" s="581"/>
      <c r="E332" s="581"/>
      <c r="F332" s="581"/>
      <c r="G332" s="534"/>
      <c r="H332" s="534"/>
      <c r="I332" s="579"/>
      <c r="J332" s="580" t="str">
        <f>IF(I332="","",IF(I332="I",$F320,VLOOKUP(I332,$C341:$D346,2,0)))</f>
        <v/>
      </c>
      <c r="K332" s="535"/>
      <c r="L332" s="535"/>
      <c r="M332" s="537"/>
      <c r="N332" s="43" t="str">
        <f t="shared" si="61"/>
        <v/>
      </c>
      <c r="O332" s="260" t="str">
        <f t="shared" si="62"/>
        <v/>
      </c>
      <c r="P332" s="781"/>
      <c r="Q332" s="782"/>
      <c r="R332" s="767"/>
      <c r="S332" s="768"/>
      <c r="T332" s="538"/>
      <c r="U332" s="539"/>
      <c r="V332" s="540"/>
      <c r="X332" s="541"/>
      <c r="Y332" s="541"/>
    </row>
    <row r="333" spans="1:29" s="44" customFormat="1" ht="24.95" customHeight="1" thickBot="1">
      <c r="A333" s="42" t="str">
        <f>"J"&amp;E320</f>
        <v>J11</v>
      </c>
      <c r="B333" s="612" t="str">
        <f t="shared" si="63"/>
        <v/>
      </c>
      <c r="C333" s="582"/>
      <c r="D333" s="582"/>
      <c r="E333" s="582"/>
      <c r="F333" s="582"/>
      <c r="G333" s="583"/>
      <c r="H333" s="583"/>
      <c r="I333" s="584"/>
      <c r="J333" s="585" t="str">
        <f>IF(I333="","",IF(I333="I",$F320,VLOOKUP(I333,$C341:$D346,2,0)))</f>
        <v/>
      </c>
      <c r="K333" s="586"/>
      <c r="L333" s="586"/>
      <c r="M333" s="587"/>
      <c r="N333" s="43" t="str">
        <f t="shared" si="61"/>
        <v/>
      </c>
      <c r="O333" s="260" t="str">
        <f t="shared" si="62"/>
        <v/>
      </c>
      <c r="P333" s="781"/>
      <c r="Q333" s="782"/>
      <c r="R333" s="767"/>
      <c r="S333" s="768"/>
      <c r="T333" s="538"/>
      <c r="U333" s="539"/>
      <c r="V333" s="540"/>
      <c r="X333" s="541"/>
      <c r="Y333" s="541"/>
    </row>
    <row r="334" spans="1:29" s="27" customFormat="1" ht="12" customHeight="1" thickBot="1">
      <c r="A334" s="42"/>
      <c r="B334" s="45"/>
      <c r="C334" s="46"/>
      <c r="D334" s="46"/>
      <c r="E334" s="46"/>
      <c r="F334" s="46"/>
      <c r="G334" s="46"/>
      <c r="H334" s="606"/>
      <c r="I334" s="46"/>
      <c r="J334" s="46"/>
      <c r="K334" s="46"/>
      <c r="L334" s="46"/>
      <c r="M334" s="46"/>
      <c r="N334" s="46"/>
      <c r="O334" s="259"/>
      <c r="P334" s="46"/>
      <c r="Q334" s="46"/>
      <c r="R334" s="259"/>
      <c r="S334" s="46"/>
      <c r="T334" s="46"/>
      <c r="U334" s="47"/>
      <c r="V334" s="48"/>
      <c r="X334" s="592"/>
      <c r="Y334" s="593"/>
      <c r="AB334" s="378"/>
    </row>
    <row r="335" spans="1:29" s="27" customFormat="1" ht="17.25" customHeight="1" thickBot="1">
      <c r="A335" s="42" t="str">
        <f>"Z"&amp;E320</f>
        <v>Z11</v>
      </c>
      <c r="B335" s="510"/>
      <c r="C335" s="511"/>
      <c r="D335" s="511"/>
      <c r="E335" s="511"/>
      <c r="F335" s="511"/>
      <c r="G335" s="511"/>
      <c r="H335" s="511"/>
      <c r="I335" s="511"/>
      <c r="J335" s="511"/>
      <c r="K335" s="511"/>
      <c r="L335" s="511"/>
      <c r="M335" s="511"/>
      <c r="N335" s="437" t="s">
        <v>388</v>
      </c>
      <c r="O335" s="438">
        <f>IF(COUNTIF(O324:O333,"")&gt;9,0,SUM(O324:O333)/(COUNTIF(H324:H333,"SI")))</f>
        <v>376.18</v>
      </c>
      <c r="P335" s="511"/>
      <c r="Q335" s="511"/>
      <c r="R335" s="530"/>
      <c r="S335" s="530"/>
      <c r="T335" s="531"/>
      <c r="U335" s="532"/>
      <c r="V335" s="533"/>
      <c r="W335" s="285"/>
      <c r="X335" s="613" t="e">
        <f>COUNTIF(#REF!,"")-COUNTIF(#REF!,"CUMPLE")-1</f>
        <v>#REF!</v>
      </c>
      <c r="Y335" s="591"/>
      <c r="AB335" s="28"/>
    </row>
    <row r="336" spans="1:29" ht="17.25" customHeight="1">
      <c r="B336" s="50"/>
      <c r="C336" s="50"/>
      <c r="D336" s="50"/>
      <c r="E336" s="50"/>
      <c r="F336" s="50"/>
      <c r="G336" s="51"/>
      <c r="H336" s="51"/>
      <c r="I336" s="51"/>
      <c r="J336" s="51"/>
      <c r="K336" s="51"/>
      <c r="L336" s="51"/>
      <c r="M336" s="51"/>
      <c r="N336" s="51"/>
      <c r="O336" s="51"/>
      <c r="P336" s="51"/>
      <c r="Q336" s="51"/>
      <c r="R336" s="51"/>
      <c r="S336" s="51"/>
      <c r="T336" s="51"/>
      <c r="U336" s="51"/>
      <c r="V336" s="51"/>
      <c r="W336" s="51"/>
      <c r="X336" s="608"/>
      <c r="Y336" s="51"/>
      <c r="Z336" s="51"/>
      <c r="AA336" s="51"/>
      <c r="AB336" s="51"/>
      <c r="AC336" s="50"/>
    </row>
    <row r="337" spans="1:29" s="27" customFormat="1" ht="16.5" customHeight="1" thickBot="1">
      <c r="A337" s="22"/>
      <c r="B337" s="783" t="s">
        <v>389</v>
      </c>
      <c r="C337" s="783"/>
      <c r="D337" s="783"/>
      <c r="E337" s="783"/>
      <c r="F337" s="783"/>
      <c r="G337" s="783"/>
      <c r="H337" s="783"/>
      <c r="I337" s="783"/>
      <c r="J337" s="783"/>
      <c r="K337" s="783"/>
      <c r="L337" s="783"/>
      <c r="M337" s="783"/>
      <c r="N337" s="783"/>
      <c r="O337" s="783"/>
      <c r="P337" s="783"/>
      <c r="Q337" s="783"/>
      <c r="R337" s="783"/>
      <c r="S337" s="783"/>
      <c r="T337" s="783"/>
      <c r="U337" s="783"/>
      <c r="V337" s="783"/>
      <c r="W337" s="286"/>
      <c r="X337" s="607"/>
      <c r="Y337" s="52"/>
      <c r="Z337" s="52"/>
      <c r="AA337" s="52"/>
      <c r="AB337" s="28"/>
      <c r="AC337" s="28"/>
    </row>
    <row r="338" spans="1:29" s="30" customFormat="1" ht="22.5" customHeight="1">
      <c r="A338" s="112" t="str">
        <f>"K"&amp;E320</f>
        <v>K11</v>
      </c>
      <c r="B338" s="790" t="s">
        <v>390</v>
      </c>
      <c r="C338" s="772" t="s">
        <v>391</v>
      </c>
      <c r="D338" s="773"/>
      <c r="E338" s="773"/>
      <c r="F338" s="773"/>
      <c r="G338" s="773"/>
      <c r="H338" s="773"/>
      <c r="I338" s="773"/>
      <c r="J338" s="773"/>
      <c r="K338" s="773"/>
      <c r="L338" s="773"/>
      <c r="M338" s="774"/>
      <c r="N338" s="525"/>
      <c r="O338" s="588"/>
      <c r="P338" s="772" t="s">
        <v>392</v>
      </c>
      <c r="Q338" s="773"/>
      <c r="R338" s="773"/>
      <c r="S338" s="774"/>
      <c r="T338" s="784" t="s">
        <v>393</v>
      </c>
      <c r="U338" s="774"/>
      <c r="V338" s="811"/>
      <c r="W338" s="284"/>
      <c r="X338" s="778" t="s">
        <v>394</v>
      </c>
      <c r="Y338" s="779"/>
      <c r="Z338" s="779"/>
      <c r="AA338" s="779" t="s">
        <v>395</v>
      </c>
      <c r="AB338" s="808" t="s">
        <v>396</v>
      </c>
      <c r="AC338" s="28"/>
    </row>
    <row r="339" spans="1:29" s="30" customFormat="1" ht="22.5" customHeight="1">
      <c r="A339" s="112" t="str">
        <f>"L"&amp;E320</f>
        <v>L11</v>
      </c>
      <c r="B339" s="791"/>
      <c r="C339" s="769" t="s">
        <v>397</v>
      </c>
      <c r="D339" s="770"/>
      <c r="E339" s="771"/>
      <c r="F339" s="512">
        <f>IF(VLOOKUP(E320,PROPONENTES!$C$19:$E$108,3,0)="","",VLOOKUP(E320,PROPONENTES!$C$19:$E$108,3,0))</f>
        <v>1</v>
      </c>
      <c r="G339" s="824" t="s">
        <v>398</v>
      </c>
      <c r="H339" s="793" t="s">
        <v>399</v>
      </c>
      <c r="I339" s="793"/>
      <c r="J339" s="769" t="s">
        <v>400</v>
      </c>
      <c r="K339" s="823"/>
      <c r="L339" s="513" t="s">
        <v>401</v>
      </c>
      <c r="M339" s="513"/>
      <c r="N339" s="526"/>
      <c r="O339" s="527"/>
      <c r="P339" s="775"/>
      <c r="Q339" s="776"/>
      <c r="R339" s="776"/>
      <c r="S339" s="777"/>
      <c r="T339" s="796"/>
      <c r="U339" s="797"/>
      <c r="V339" s="812"/>
      <c r="W339" s="284"/>
      <c r="X339" s="780" t="s">
        <v>402</v>
      </c>
      <c r="Y339" s="810" t="s">
        <v>403</v>
      </c>
      <c r="Z339" s="810"/>
      <c r="AA339" s="810"/>
      <c r="AB339" s="809"/>
      <c r="AC339" s="28"/>
    </row>
    <row r="340" spans="1:29" s="30" customFormat="1" ht="51.75" customHeight="1" thickBot="1">
      <c r="A340" s="112" t="str">
        <f>"M"&amp;E320</f>
        <v>M11</v>
      </c>
      <c r="B340" s="791"/>
      <c r="C340" s="770" t="s">
        <v>404</v>
      </c>
      <c r="D340" s="771"/>
      <c r="E340" s="514" t="s">
        <v>405</v>
      </c>
      <c r="F340" s="515" t="s">
        <v>406</v>
      </c>
      <c r="G340" s="824"/>
      <c r="H340" s="793"/>
      <c r="I340" s="793"/>
      <c r="J340" s="504" t="s">
        <v>407</v>
      </c>
      <c r="K340" s="516" t="s">
        <v>408</v>
      </c>
      <c r="L340" s="517" t="s">
        <v>409</v>
      </c>
      <c r="M340" s="517"/>
      <c r="N340" s="528" t="s">
        <v>410</v>
      </c>
      <c r="O340" s="529"/>
      <c r="P340" s="386"/>
      <c r="Q340" s="387" t="s">
        <v>411</v>
      </c>
      <c r="R340" s="388"/>
      <c r="S340" s="113">
        <f>COUNTIFS(H324:H333,"SI",O324:O333,"&gt;0")</f>
        <v>1</v>
      </c>
      <c r="T340" s="785"/>
      <c r="U340" s="787"/>
      <c r="V340" s="813"/>
      <c r="W340" s="284"/>
      <c r="X340" s="780"/>
      <c r="Y340" s="810"/>
      <c r="Z340" s="810"/>
      <c r="AA340" s="810"/>
      <c r="AB340" s="809"/>
      <c r="AC340" s="28"/>
    </row>
    <row r="341" spans="1:29" s="30" customFormat="1" ht="15.75" customHeight="1">
      <c r="A341" s="112" t="str">
        <f>"N"&amp;E320</f>
        <v>N11</v>
      </c>
      <c r="B341" s="791"/>
      <c r="C341" s="54">
        <v>1</v>
      </c>
      <c r="D341" s="100" t="str">
        <f>IF(AND(C341&lt;=F339,F339&gt;1,F339&lt;&gt;""),VLOOKUP(VALUE(E320&amp;","&amp;C341),INTEGRANTES!$D$19:$F$192,2,0),"")</f>
        <v/>
      </c>
      <c r="E341" s="107" t="str">
        <f>IF(D341&lt;&gt;"",VLOOKUP(VALUE(E320&amp;","&amp;C341),INTEGRANTES!$D$19:$F$192,3,0),"")</f>
        <v/>
      </c>
      <c r="F341" s="380" t="str">
        <f>IF(D341="","",IF(OR(SUMIF($J327:$J333,D341,$O327:$O333)=0,N341="NO"),"NO APORTA",SUMIF($J327:$J333,D341,$O327:$O333)))</f>
        <v/>
      </c>
      <c r="G341" s="380" t="str">
        <f>IF($D341="","",IF($F339&lt;=1,"",ROUND(POSMMLV*PORPO,2)))</f>
        <v/>
      </c>
      <c r="H341" s="765" t="str">
        <f>IF($D341="","",IF(OR(F341="NO APORTA",G341&gt;F341),"NO CUMPLE","CUMPLE"))</f>
        <v/>
      </c>
      <c r="I341" s="766"/>
      <c r="J341" s="108" t="str">
        <f>IF(D341="","",IF(OR(AND(SUMIF($J324:$J333,D341,$O324:$O333)&gt;=5%*POSMMLV,N341="SI"),AND(SUMIF($J324:$J333,D341,$O324:$O333)=0,E341&lt;=5%,N341="SI")),"CUMPLE","NO CUMPLE"))</f>
        <v/>
      </c>
      <c r="K341" s="105" t="str">
        <f>IF(OR(D341="",J341=""),"",IF(AND(J341="NO CUMPLE",F341="NO APORTA",E341&gt;5%),"EXP = 0 y PART &gt; 5%",IF(F341&lt;5%*Q346,"EXP &lt; 5%*PO","")))</f>
        <v/>
      </c>
      <c r="L341" s="389" t="str">
        <f>IF(OR(D341="",E341=""),"",IF(AND(E341&gt;=0.25,F341&lt;&gt;"NO APORTA",F341&gt;=$R346*0.25),"SI","NO"))</f>
        <v/>
      </c>
      <c r="M341" s="389"/>
      <c r="N341" s="468" t="s">
        <v>385</v>
      </c>
      <c r="O341" s="396">
        <f>COUNTIFS(O324:O333,"&gt;0",H324:H333,"SI")</f>
        <v>1</v>
      </c>
      <c r="P341" s="814" t="s">
        <v>139</v>
      </c>
      <c r="Q341" s="814"/>
      <c r="R341" s="817">
        <f>E320</f>
        <v>11</v>
      </c>
      <c r="S341" s="818"/>
      <c r="T341" s="784" t="s">
        <v>412</v>
      </c>
      <c r="U341" s="773"/>
      <c r="V341" s="774"/>
      <c r="W341" s="283"/>
      <c r="X341" s="542" t="str">
        <f>IF($F339=1,"NO APLICA",$D341)</f>
        <v>NO APLICA</v>
      </c>
      <c r="Y341" s="543" t="str">
        <f>IF(OR($F341="",$F341="NO APORTA",$R346=0,$X341="NO APLICA"),"",ROUND($F341/$Q346,2))</f>
        <v/>
      </c>
      <c r="Z341" s="544" t="str">
        <f>IF(Y347=1,"SI APLICA",IF(OR($X341="",$X341="NO APLICA",$F341="",$F341="NO APORTA"),"",IF(ROUND($F341/Q346,7)&gt;=0.4,"SI APLICA","NO APLICA")))</f>
        <v>SI APLICA</v>
      </c>
      <c r="AA341" s="543" t="s">
        <v>413</v>
      </c>
      <c r="AB341" s="540" t="str">
        <f>IF(COUNTIF(Z341:AA341,"SI APLICA")=2,"SI APLICA","")</f>
        <v>SI APLICA</v>
      </c>
      <c r="AC341" s="28"/>
    </row>
    <row r="342" spans="1:29" s="30" customFormat="1" ht="15.75" customHeight="1" thickBot="1">
      <c r="A342" s="112" t="str">
        <f>"O"&amp;E320</f>
        <v>O11</v>
      </c>
      <c r="B342" s="791"/>
      <c r="C342" s="54">
        <v>2</v>
      </c>
      <c r="D342" s="100" t="str">
        <f>IF(AND(C342&lt;=F339,F339&lt;&gt;""),VLOOKUP(VALUE(E320&amp;","&amp;C342),INTEGRANTES!$D$19:$F$192,2,0),"")</f>
        <v/>
      </c>
      <c r="E342" s="107" t="str">
        <f>IF(D342&lt;&gt;"",VLOOKUP(VALUE(E320&amp;","&amp;C342),INTEGRANTES!$D$19:$F$192,3,0),"")</f>
        <v/>
      </c>
      <c r="F342" s="380" t="str">
        <f>IF(D342="","",IF(OR(SUMIF($J327:$J333,D342,$O327:$O333)=0,N342="NO"),"NO APORTA",SUMIF($J327:$J333,D342,$O327:$O333)))</f>
        <v/>
      </c>
      <c r="G342" s="380" t="str">
        <f>IF($D342="","",IF($F339&lt;=1,"",ROUND(POSMMLV*PORPO,2)))</f>
        <v/>
      </c>
      <c r="H342" s="765" t="str">
        <f t="shared" ref="H342:H345" si="64">IF($D342="","",IF(OR(F342="NO APORTA",G342&gt;F342),"NO CUMPLE","CUMPLE"))</f>
        <v/>
      </c>
      <c r="I342" s="766"/>
      <c r="J342" s="108" t="str">
        <f>IF(D342="","",IF(OR(AND(SUMIF($J324:$J333,D342,$O324:$O333)&gt;=5%*POSMMLV,N342="SI"),AND(SUMIF($J324:$J333,D342,$O324:$O333)=0,E342&lt;=5%,N342="SI")),"CUMPLE","NO CUMPLE"))</f>
        <v/>
      </c>
      <c r="K342" s="105" t="str">
        <f>IF(OR(D342="",J342=""),"",IF(AND(J342="NO CUMPLE",F342="NO APORTA",E342&gt;5%),"EXP = 0 y PART &gt; 5%",IF(F342&lt;5%*Q346,"EXP &lt; 5%*PO","")))</f>
        <v/>
      </c>
      <c r="L342" s="389" t="str">
        <f>IF(OR(D342="",E342=""),"",IF(AND(E342&gt;=0.25,F342&lt;&gt;"NO APORTA",F342&gt;=$R346*0.25),"SI","NO"))</f>
        <v/>
      </c>
      <c r="M342" s="389"/>
      <c r="N342" s="468" t="s">
        <v>385</v>
      </c>
      <c r="O342" s="396"/>
      <c r="P342" s="815"/>
      <c r="Q342" s="815"/>
      <c r="R342" s="815"/>
      <c r="S342" s="819"/>
      <c r="T342" s="785"/>
      <c r="U342" s="786"/>
      <c r="V342" s="787"/>
      <c r="W342" s="283"/>
      <c r="X342" s="542" t="str">
        <f>IF($F339=1,"NO APLICA",$D342)</f>
        <v>NO APLICA</v>
      </c>
      <c r="Y342" s="543" t="str">
        <f>IF(OR($F342="",$F342="NO APORTA",$R346=0,$X342="NO APLICA"),"",ROUND($F342/$Q346,2))</f>
        <v/>
      </c>
      <c r="Z342" s="544"/>
      <c r="AA342" s="543"/>
      <c r="AB342" s="540" t="str">
        <f t="shared" ref="AB342" si="65">IF(COUNTIF(Z342:AA342,"SI APLICA")=2,"SI APLICA","")</f>
        <v/>
      </c>
      <c r="AC342" s="28"/>
    </row>
    <row r="343" spans="1:29" s="30" customFormat="1" ht="15.75" customHeight="1">
      <c r="A343" s="112" t="str">
        <f>"P"&amp;E320</f>
        <v>P11</v>
      </c>
      <c r="B343" s="791"/>
      <c r="C343" s="54">
        <v>3</v>
      </c>
      <c r="D343" s="100" t="str">
        <f>IF(AND(C343&lt;=F339,F339&lt;&gt;""),VLOOKUP(VALUE(E320&amp;","&amp;C343),INTEGRANTES!$D$19:$F$192,2,0),"")</f>
        <v/>
      </c>
      <c r="E343" s="107" t="str">
        <f>IF(D343&lt;&gt;"",VLOOKUP(VALUE(E320&amp;","&amp;C343),INTEGRANTES!$D$19:$F$192,3,0),"")</f>
        <v/>
      </c>
      <c r="F343" s="380" t="str">
        <f>IF(D343="","",IF(OR(SUMIF($J327:$J333,D343,$O327:$O333)=0,N343="NO"),"NO APORTA",SUMIF($J327:$J333,D343,$O327:$O333)))</f>
        <v/>
      </c>
      <c r="G343" s="380" t="str">
        <f>IF($D343="","",IF($F339&lt;=1,"",ROUND(POSMMLV*PORPO,2)))</f>
        <v/>
      </c>
      <c r="H343" s="765" t="str">
        <f t="shared" si="64"/>
        <v/>
      </c>
      <c r="I343" s="766"/>
      <c r="J343" s="108" t="str">
        <f>IF(D343="","",IF(OR(AND(SUMIF($J324:$J333,D343,$O324:$O333)&gt;=5%*POSMMLV,N343="SI"),AND(SUMIF($J324:$J333,D343,$O324:$O333)=0,E343&lt;=5%,N343="SI")),"CUMPLE","NO CUMPLE"))</f>
        <v/>
      </c>
      <c r="K343" s="105" t="str">
        <f>IF(OR(D343="",J343=""),"",IF(AND(J343="NO CUMPLE",F343="NO APORTA",E343&gt;5%),"EXP = 0 y PART &gt; 5%",IF(F343&lt;5%*Q346,"EXP &lt; 5%*PO","")))</f>
        <v/>
      </c>
      <c r="L343" s="389" t="str">
        <f>IF(OR(D343="",E343=""),"",IF(AND(E343&gt;=0.25,F343&lt;&gt;"NO APORTA",F343&gt;=$R346*0.25),"SI","NO"))</f>
        <v/>
      </c>
      <c r="M343" s="389"/>
      <c r="N343" s="468"/>
      <c r="O343" s="397"/>
      <c r="P343" s="816"/>
      <c r="Q343" s="816"/>
      <c r="R343" s="816"/>
      <c r="S343" s="820"/>
      <c r="T343" s="308"/>
      <c r="U343" s="308"/>
      <c r="V343" s="309"/>
      <c r="W343" s="284"/>
      <c r="X343" s="542" t="str">
        <f>IF($F339=1,"NO APLICA",$D343)</f>
        <v>NO APLICA</v>
      </c>
      <c r="Y343" s="543" t="str">
        <f>IF(OR($F343="",$F343="NO APORTA",$R346=0,$X343="NO APLICA"),"",ROUND($F343/$Q346,2))</f>
        <v/>
      </c>
      <c r="Z343" s="544"/>
      <c r="AA343" s="543"/>
      <c r="AB343" s="540" t="str">
        <f>IF(COUNTIF(Z343:AA343,"SI APLICA")=2,"SI APLICA","")</f>
        <v/>
      </c>
      <c r="AC343" s="28"/>
    </row>
    <row r="344" spans="1:29" s="30" customFormat="1" ht="15.75" customHeight="1">
      <c r="A344" s="112" t="str">
        <f>"Q"&amp;E320</f>
        <v>Q11</v>
      </c>
      <c r="B344" s="791"/>
      <c r="C344" s="54">
        <v>4</v>
      </c>
      <c r="D344" s="100" t="str">
        <f>IF(AND(C344&lt;=F339,F339&lt;&gt;""),VLOOKUP(VALUE(E320&amp;","&amp;C344),INTEGRANTES!$D$19:$F$192,2,0),"")</f>
        <v/>
      </c>
      <c r="E344" s="107" t="str">
        <f>IF(D344&lt;&gt;"",VLOOKUP(VALUE(E320&amp;","&amp;C344),INTEGRANTES!$D$19:$F$192,3,0),"")</f>
        <v/>
      </c>
      <c r="F344" s="380" t="str">
        <f>IF(D344="","",IF(OR(SUMIF($J327:$J333,D344,$O327:$O333)=0,N344="NO"),"NO APORTA",SUMIF($J327:$J333,D344,$O327:$O333)))</f>
        <v/>
      </c>
      <c r="G344" s="380" t="str">
        <f>IF($D344="","",IF($F339&lt;=1,"",ROUND(POSMMLV*PORPO,2)))</f>
        <v/>
      </c>
      <c r="H344" s="765" t="str">
        <f t="shared" si="64"/>
        <v/>
      </c>
      <c r="I344" s="766"/>
      <c r="J344" s="108" t="str">
        <f>IF(D344="","",IF(OR(AND(SUMIF($J324:$J333,D344,$O324:$O333)&gt;=5%*POSMMLV,N344="SI"),AND(SUMIF($J324:$J333,D344,$O324:$O333)=0,E344&lt;=5%,N344="SI")),"CUMPLE","NO CUMPLE"))</f>
        <v/>
      </c>
      <c r="K344" s="105" t="str">
        <f>IF(OR(D344="",J344=""),"",IF(AND(J344="NO CUMPLE",F344="NO APORTA",E344&gt;5%),"EXP = 0 y PART &gt; 5%",IF(F344&lt;5%*Q346,"EXP &lt; 5%*PO","")))</f>
        <v/>
      </c>
      <c r="L344" s="389" t="str">
        <f>IF(OR(D344="",E344=""),"",IF(AND(E344&gt;=0.25,F344&lt;&gt;"NO APORTA",F344&gt;=$R346*0.25),"SI","NO"))</f>
        <v/>
      </c>
      <c r="M344" s="389"/>
      <c r="N344" s="468"/>
      <c r="O344" s="788" t="s">
        <v>414</v>
      </c>
      <c r="P344" s="769" t="s">
        <v>415</v>
      </c>
      <c r="Q344" s="770"/>
      <c r="R344" s="770"/>
      <c r="S344" s="771"/>
      <c r="T344" s="284"/>
      <c r="U344" s="284"/>
      <c r="V344" s="310"/>
      <c r="W344" s="284"/>
      <c r="X344" s="542" t="str">
        <f>IF($F339=1,"NO APLICA",$D344)</f>
        <v>NO APLICA</v>
      </c>
      <c r="Y344" s="543" t="str">
        <f>IF(OR($F344="",$F344="NO APORTA",$R346=0,$X344="NO APLICA"),"",ROUND($F344/$Q346,2))</f>
        <v/>
      </c>
      <c r="Z344" s="544"/>
      <c r="AA344" s="543"/>
      <c r="AB344" s="540" t="str">
        <f t="shared" ref="AB344:AB345" si="66">IF(COUNTIF(Z344:AA344,"SI APLICA")=2,"SI APLICA","")</f>
        <v/>
      </c>
      <c r="AC344" s="28"/>
    </row>
    <row r="345" spans="1:29" s="30" customFormat="1" ht="17.25" customHeight="1">
      <c r="A345" s="112" t="str">
        <f>"R"&amp;E320</f>
        <v>R11</v>
      </c>
      <c r="B345" s="791"/>
      <c r="C345" s="54">
        <v>5</v>
      </c>
      <c r="D345" s="100" t="str">
        <f>IF(AND(C345&lt;=F339,F339&lt;&gt;""),VLOOKUP(VALUE(E320&amp;","&amp;C345),INTEGRANTES!$D$19:$F$192,2,0),"")</f>
        <v/>
      </c>
      <c r="E345" s="107" t="str">
        <f>IF(D345&lt;&gt;"",VLOOKUP(VALUE(E320&amp;","&amp;C345),INTEGRANTES!$D$19:$F$192,3,0),"")</f>
        <v/>
      </c>
      <c r="F345" s="380" t="str">
        <f>IF(D345="","",IF(OR(SUMIF($J327:$J333,D345,$O327:$O333)=0,N345="NO"),"NO APORTA",SUMIF($J327:$J333,D345,$O327:$O333)))</f>
        <v/>
      </c>
      <c r="G345" s="380" t="str">
        <f>IF($D345="","",IF($F339&lt;=1,"",ROUND(POSMMLV*PORPO,2)))</f>
        <v/>
      </c>
      <c r="H345" s="765" t="str">
        <f t="shared" si="64"/>
        <v/>
      </c>
      <c r="I345" s="766"/>
      <c r="J345" s="108" t="str">
        <f>IF(D345="","",IF(OR(AND(SUMIF($J324:$J333,D345,$O324:$O333)&gt;=5%*POSMMLV,N345="SI"),AND(SUMIF($J324:$J333,D345,$O324:$O333)=0,E345&lt;=5%,N345="SI")),"CUMPLE","NO CUMPLE"))</f>
        <v/>
      </c>
      <c r="K345" s="105" t="str">
        <f>IF(OR(D345="",J345=""),"",IF(AND(J345="NO CUMPLE",F345="NO APORTA",E345&gt;5%),"EXP = 0 y PART &gt; 5%",IF(F345&lt;5%*Q346,"EXP &lt; 5%*PO","")))</f>
        <v/>
      </c>
      <c r="L345" s="389" t="str">
        <f>IF(OR(D345="",E345=""),"",IF(AND(E345&gt;=0.25,F345&lt;&gt;"NO APORTA",F345&gt;=$R346*0.25),"SI","NO"))</f>
        <v/>
      </c>
      <c r="M345" s="389"/>
      <c r="N345" s="468"/>
      <c r="O345" s="789"/>
      <c r="P345" s="504" t="s">
        <v>416</v>
      </c>
      <c r="Q345" s="504" t="s">
        <v>417</v>
      </c>
      <c r="R345" s="793" t="s">
        <v>418</v>
      </c>
      <c r="S345" s="793"/>
      <c r="T345" s="284"/>
      <c r="U345" s="284"/>
      <c r="V345" s="310"/>
      <c r="W345" s="284"/>
      <c r="X345" s="542" t="str">
        <f>IF($F339=1,"NO APLICA",$D345)</f>
        <v>NO APLICA</v>
      </c>
      <c r="Y345" s="543" t="str">
        <f>IF(OR($F345="",$F345="NO APORTA",$R346=0,$X345="NO APLICA"),"",ROUND($F345/$Q346,2))</f>
        <v/>
      </c>
      <c r="Z345" s="544"/>
      <c r="AA345" s="543"/>
      <c r="AB345" s="540" t="str">
        <f t="shared" si="66"/>
        <v/>
      </c>
      <c r="AC345" s="28"/>
    </row>
    <row r="346" spans="1:29" s="30" customFormat="1" ht="16.5" customHeight="1" thickBot="1">
      <c r="A346" s="112" t="str">
        <f>"S"&amp;E320</f>
        <v>S11</v>
      </c>
      <c r="B346" s="791"/>
      <c r="C346" s="109">
        <v>6</v>
      </c>
      <c r="D346" s="110" t="str">
        <f>IF(AND(C346&lt;=F339,F339&lt;&gt;""),VLOOKUP(VALUE(E320&amp;","&amp;C346),INTEGRANTES!$D$19:$F$192,2,0),"")</f>
        <v/>
      </c>
      <c r="E346" s="111" t="str">
        <f>IF(D346&lt;&gt;"",VLOOKUP(VALUE(E320&amp;","&amp;C346),INTEGRANTES!$D$19:$F$192,3,0),"")</f>
        <v/>
      </c>
      <c r="F346" s="380" t="str">
        <f>IF(D346="","",IF(OR(SUMIF($J327:$J333,D346,$O327:$O333)=0,N346="NO"),"NO APORTA",SUMIF($J327:$J333,D346,$O327:$O333)))</f>
        <v/>
      </c>
      <c r="G346" s="380" t="str">
        <f>IF($D346="","",IF($F339&lt;=1,"",ROUND(POSMMLV*PORPO,2)))</f>
        <v/>
      </c>
      <c r="H346" s="765" t="str">
        <f>IF($D346="","",IF(OR(F346="NO APORTA",G346&gt;F346),"NO CUMPLE","CUMPLE"))</f>
        <v/>
      </c>
      <c r="I346" s="766"/>
      <c r="J346" s="108" t="str">
        <f>IF(D346="","",IF(OR(AND(SUMIF($J324:$J333,D346,$O324:$O333)&gt;=5%*POSMMLV,N346="SI"),AND(SUMIF($J324:$J333,D346,$O324:$O333)=0,E346&lt;=5%,N346="SI")),"CUMPLE","NO CUMPLE"))</f>
        <v/>
      </c>
      <c r="K346" s="105" t="str">
        <f>IF(OR(D346="",J346=""),"",IF(AND(J346="NO CUMPLE",F346="NO APORTA",E346&gt;5%),"EXP = 0 y PART &gt; 5%",IF(F346&lt;5%*Q346,"EXP &lt; 5%*PO","")))</f>
        <v/>
      </c>
      <c r="L346" s="389" t="str">
        <f>IF(OR(D346="",E346=""),"",IF(AND(E346&gt;=0.25,F346&lt;&gt;"NO APORTA",F346&gt;=$R346*0.25),"SI","NO"))</f>
        <v/>
      </c>
      <c r="M346" s="389"/>
      <c r="N346" s="468"/>
      <c r="O346" s="403" t="str">
        <f ca="1">IF(R346&gt;=Q346,"CUMPLE","NO CUMPLE")</f>
        <v>CUMPLE</v>
      </c>
      <c r="P346" s="312">
        <f>NUMMOD</f>
        <v>1</v>
      </c>
      <c r="Q346" s="313">
        <f ca="1">IF(P346="","",ROUND(VLOOKUP(P346,PRESUPUESTOS!$B$16:$L$16,9,FALSE),7))</f>
        <v>300</v>
      </c>
      <c r="R346" s="834">
        <f>IF(OR(COUNTIF(O324:O333,"")&gt;9,S340&lt;NUMMINCONT),0,SUM(O324:O333))</f>
        <v>376.18</v>
      </c>
      <c r="S346" s="834"/>
      <c r="T346" s="284"/>
      <c r="U346" s="284"/>
      <c r="V346" s="310"/>
      <c r="W346" s="284"/>
      <c r="X346" s="545" t="str">
        <f>IF($F339=1,"NO APLICA",$D346)</f>
        <v>NO APLICA</v>
      </c>
      <c r="Y346" s="543" t="str">
        <f>IF(OR($F346="",$F346="NO APORTA",$R346=0,$X346="NO APLICA"),"",ROUND($F346/$Q346,2))</f>
        <v/>
      </c>
      <c r="Z346" s="544"/>
      <c r="AA346" s="546"/>
      <c r="AB346" s="540" t="str">
        <f>IF(COUNTIF(Z346:AA346,"SI APLICA")=2,"SI APLICA","")</f>
        <v/>
      </c>
      <c r="AC346" s="28"/>
    </row>
    <row r="347" spans="1:29" s="30" customFormat="1" ht="16.5" customHeight="1" thickBot="1">
      <c r="A347" s="112" t="str">
        <f>"T"&amp;E320</f>
        <v>T11</v>
      </c>
      <c r="B347" s="792"/>
      <c r="C347" s="821" t="s">
        <v>419</v>
      </c>
      <c r="D347" s="822"/>
      <c r="E347" s="822"/>
      <c r="F347" s="518"/>
      <c r="G347" s="519"/>
      <c r="H347" s="794" t="str">
        <f>IF(OR($F339="",SUM(E341:E346)=0),"",IF(COUNTIF(H341:H346,"CUMPLE")&gt;=1,"CUMPLE","NO CUMPLE"))</f>
        <v/>
      </c>
      <c r="I347" s="795"/>
      <c r="J347" s="314" t="str">
        <f>IF(COUNTIF(J341:J346,"")&gt;5,"",IF(COUNTIF(J341:J346,"NO CUMPLE")&gt;0,"NO CUMPLE","CUMPLE"))</f>
        <v/>
      </c>
      <c r="K347" s="314" t="str">
        <f>IF(OR(AND(F339=1,N341="SI"),AND(COUNTIF(H347:J347,"CUMPLE")=2)),"CUMPLE","NO CUMPLE")</f>
        <v>CUMPLE</v>
      </c>
      <c r="L347" s="519"/>
      <c r="M347" s="519"/>
      <c r="N347" s="519"/>
      <c r="O347" s="833" t="str">
        <f ca="1">IF(ISNUMBER(F320),"",IF(AND(O346="NO CUMPLE",SUM(N327:N333)&lt;Q346),"EL PROPONENTE SE DEBE REQUERIR POR EXPERIENCIA MINIMA EXIGIDA",""))</f>
        <v/>
      </c>
      <c r="P347" s="833"/>
      <c r="Q347" s="833"/>
      <c r="R347" s="833"/>
      <c r="S347" s="833"/>
      <c r="T347" s="522"/>
      <c r="U347" s="523"/>
      <c r="V347" s="524"/>
      <c r="W347" s="284"/>
      <c r="X347" s="364" t="str">
        <f>IF(Y347=1,"PROPONENTE INDIVIDUAL","PROPONENTE PLURAL")</f>
        <v>PROPONENTE INDIVIDUAL</v>
      </c>
      <c r="Y347" s="276">
        <f>F339</f>
        <v>1</v>
      </c>
      <c r="Z347" s="277" t="str">
        <f>IF(OR(AND(Z341="SI APLICA",AA341="SI APLICA"),AND(Z342="SI APLICA",AA342="SI APLICA"),AND(Z343="SI APLICA",AA343="SI APLICA"),AND(Z344="SI APLICA",AA344="SI APLICA"),AND(Z345="SI APLICA",AA345="SI APLICA"),AND(Z346="SI APLICA",AA346="SI APLICA")),"SI APLICA","NO APLICA")</f>
        <v>SI APLICA</v>
      </c>
      <c r="AA347" s="278" t="str">
        <f>IF(OR(AND(AA341="SI APLICA",AB341="SI APLICA"),AND(AA342="SI APLICA",AB342="SI APLICA"),AND(AA343="SI APLICA",AB343="SI APLICA"),AND(AA344="SI APLICA",AB344="SI APLICA"),AND(AA345="SI APLICA",AB345="SI APLICA"),AND(AA346="SI APLICA",AB346="SI APLICA")),"SI APLICA","NO APLICA")</f>
        <v>SI APLICA</v>
      </c>
      <c r="AB347" s="278" t="str">
        <f>IF(COUNTIF(AB341:AB346,"SI APLICA")&gt;0,"SI APLICA","NO APLICA")</f>
        <v>SI APLICA</v>
      </c>
      <c r="AC347" s="28"/>
    </row>
    <row r="348" spans="1:29" ht="24.95" customHeight="1"/>
    <row r="349" spans="1:29" ht="24.95" customHeight="1"/>
    <row r="350" spans="1:29" s="41" customFormat="1" ht="24" thickBot="1">
      <c r="A350" s="34">
        <v>12</v>
      </c>
      <c r="B350" s="828" t="s">
        <v>355</v>
      </c>
      <c r="C350" s="828"/>
      <c r="D350" s="828"/>
      <c r="E350" s="35">
        <f>VLOOKUP(A350,PROPONENTES!$B$19:$E$108,2,FALSE)</f>
        <v>12</v>
      </c>
      <c r="F350" s="36" t="str">
        <f>VLOOKUP(A350,PROPONENTES!$B$19:$E$108,3,FALSE)</f>
        <v>CONSTRUCTORES DEL DESARROLLO TERRITORIAL CONSTRUDET Y COMPAÑÍA LTDA</v>
      </c>
      <c r="G350" s="37"/>
      <c r="H350" s="37"/>
      <c r="I350" s="36"/>
      <c r="J350" s="36"/>
      <c r="K350" s="36"/>
      <c r="L350" s="36"/>
      <c r="M350" s="38"/>
      <c r="N350" s="38"/>
      <c r="O350" s="37"/>
      <c r="P350" s="37"/>
      <c r="Q350" s="39"/>
      <c r="R350" s="39"/>
      <c r="S350" s="39"/>
      <c r="T350" s="39"/>
      <c r="U350" s="40"/>
      <c r="Y350" s="52"/>
      <c r="Z350" s="52"/>
      <c r="AA350" s="52"/>
      <c r="AB350" s="28"/>
      <c r="AC350" s="28"/>
    </row>
    <row r="351" spans="1:29" s="27" customFormat="1" ht="24.75" customHeight="1">
      <c r="A351" s="22"/>
      <c r="B351" s="829" t="s">
        <v>356</v>
      </c>
      <c r="C351" s="501" t="s">
        <v>357</v>
      </c>
      <c r="D351" s="502" t="s">
        <v>358</v>
      </c>
      <c r="E351" s="502"/>
      <c r="F351" s="502" t="s">
        <v>359</v>
      </c>
      <c r="G351" s="503"/>
      <c r="H351" s="803" t="s">
        <v>360</v>
      </c>
      <c r="I351" s="831" t="s">
        <v>361</v>
      </c>
      <c r="J351" s="803" t="s">
        <v>362</v>
      </c>
      <c r="K351" s="803" t="s">
        <v>363</v>
      </c>
      <c r="L351" s="803" t="s">
        <v>364</v>
      </c>
      <c r="M351" s="803" t="s">
        <v>365</v>
      </c>
      <c r="N351" s="804" t="s">
        <v>366</v>
      </c>
      <c r="O351" s="805"/>
      <c r="P351" s="806" t="s">
        <v>367</v>
      </c>
      <c r="Q351" s="807"/>
      <c r="R351" s="784" t="s">
        <v>368</v>
      </c>
      <c r="S351" s="774"/>
      <c r="T351" s="798" t="s">
        <v>369</v>
      </c>
      <c r="U351" s="799"/>
      <c r="V351" s="800"/>
      <c r="X351" s="520"/>
      <c r="Y351" s="520"/>
    </row>
    <row r="352" spans="1:29" s="27" customFormat="1" ht="94.5" customHeight="1">
      <c r="A352" s="22"/>
      <c r="B352" s="830"/>
      <c r="C352" s="504" t="s">
        <v>370</v>
      </c>
      <c r="D352" s="505" t="s">
        <v>41</v>
      </c>
      <c r="E352" s="505" t="s">
        <v>371</v>
      </c>
      <c r="F352" s="505" t="s">
        <v>372</v>
      </c>
      <c r="G352" s="506" t="s">
        <v>373</v>
      </c>
      <c r="H352" s="793"/>
      <c r="I352" s="832"/>
      <c r="J352" s="793"/>
      <c r="K352" s="793"/>
      <c r="L352" s="793"/>
      <c r="M352" s="793"/>
      <c r="N352" s="504" t="s">
        <v>374</v>
      </c>
      <c r="O352" s="505" t="s">
        <v>375</v>
      </c>
      <c r="P352" s="801"/>
      <c r="Q352" s="802"/>
      <c r="R352" s="796"/>
      <c r="S352" s="797"/>
      <c r="T352" s="507" t="s">
        <v>376</v>
      </c>
      <c r="U352" s="508" t="s">
        <v>377</v>
      </c>
      <c r="V352" s="509" t="s">
        <v>378</v>
      </c>
      <c r="X352" s="521" t="s">
        <v>379</v>
      </c>
      <c r="Y352" s="521" t="s">
        <v>380</v>
      </c>
    </row>
    <row r="353" spans="1:29" s="27" customFormat="1" ht="15" customHeight="1">
      <c r="A353" s="22"/>
      <c r="B353" s="594"/>
      <c r="C353" s="595">
        <v>3</v>
      </c>
      <c r="D353" s="595">
        <v>4</v>
      </c>
      <c r="E353" s="595">
        <v>5</v>
      </c>
      <c r="F353" s="595">
        <v>6</v>
      </c>
      <c r="G353" s="595">
        <v>7</v>
      </c>
      <c r="H353" s="595">
        <v>8</v>
      </c>
      <c r="I353" s="595">
        <v>9</v>
      </c>
      <c r="J353" s="595">
        <v>10</v>
      </c>
      <c r="K353" s="595">
        <v>11</v>
      </c>
      <c r="L353" s="595">
        <v>12</v>
      </c>
      <c r="M353" s="595">
        <v>13</v>
      </c>
      <c r="N353" s="595">
        <v>14</v>
      </c>
      <c r="O353" s="595">
        <v>15</v>
      </c>
      <c r="P353" s="596">
        <v>16</v>
      </c>
      <c r="Q353" s="597">
        <v>17</v>
      </c>
      <c r="R353" s="596">
        <v>18</v>
      </c>
      <c r="S353" s="597">
        <v>19</v>
      </c>
      <c r="T353" s="598">
        <v>20</v>
      </c>
      <c r="U353" s="255">
        <v>21</v>
      </c>
      <c r="V353" s="599">
        <v>22</v>
      </c>
      <c r="X353" s="589"/>
      <c r="Y353" s="590"/>
    </row>
    <row r="354" spans="1:29" s="44" customFormat="1" ht="52.5" customHeight="1">
      <c r="A354" s="42" t="str">
        <f>"A"&amp;E350</f>
        <v>A12</v>
      </c>
      <c r="B354" s="605">
        <f>IF(C354&lt;&gt;"",B353+1,"")</f>
        <v>1</v>
      </c>
      <c r="C354" s="581" t="s">
        <v>498</v>
      </c>
      <c r="D354" s="581" t="s">
        <v>499</v>
      </c>
      <c r="E354" s="581" t="s">
        <v>500</v>
      </c>
      <c r="F354" s="581" t="s">
        <v>431</v>
      </c>
      <c r="G354" s="534">
        <v>0.85</v>
      </c>
      <c r="H354" s="534" t="s">
        <v>385</v>
      </c>
      <c r="I354" s="579" t="s">
        <v>384</v>
      </c>
      <c r="J354" s="580" t="str">
        <f>IF(I354="","",IF(I354="I",$F350,VLOOKUP(I354,$C371:$D376,2,0)))</f>
        <v>CONSTRUCTORES DEL DESARROLLO TERRITORIAL CONSTRUDET Y COMPAÑÍA LTDA</v>
      </c>
      <c r="K354" s="535">
        <v>36535</v>
      </c>
      <c r="L354" s="535">
        <v>36840</v>
      </c>
      <c r="M354" s="536">
        <v>1145</v>
      </c>
      <c r="N354" s="232">
        <f t="shared" ref="N354:N363" si="67">IF(OR(G354="",M354=""),"",M354*G354)</f>
        <v>973.25</v>
      </c>
      <c r="O354" s="260">
        <f t="shared" ref="O354:O363" si="68">IF(OR(H354="",H354="NO",K354&lt;$Q$17,K354&gt;$R$17,K354="",M354="",N354=""),"",ROUND(N354,7))</f>
        <v>973.25</v>
      </c>
      <c r="P354" s="781"/>
      <c r="Q354" s="782"/>
      <c r="R354" s="767"/>
      <c r="S354" s="768"/>
      <c r="T354" s="538" t="s">
        <v>385</v>
      </c>
      <c r="U354" s="539">
        <v>18</v>
      </c>
      <c r="V354" s="540" t="s">
        <v>385</v>
      </c>
      <c r="X354" s="541" t="s">
        <v>386</v>
      </c>
      <c r="Y354" s="541" t="s">
        <v>439</v>
      </c>
    </row>
    <row r="355" spans="1:29" s="44" customFormat="1" ht="90.75" customHeight="1">
      <c r="A355" s="42" t="str">
        <f>"B"&amp;E350</f>
        <v>B12</v>
      </c>
      <c r="B355" s="605">
        <f t="shared" ref="B355:B363" si="69">IF(C355&lt;&gt;"",B354+1,"")</f>
        <v>2</v>
      </c>
      <c r="C355" s="581" t="s">
        <v>501</v>
      </c>
      <c r="D355" s="581" t="s">
        <v>502</v>
      </c>
      <c r="E355" s="581" t="s">
        <v>503</v>
      </c>
      <c r="F355" s="581" t="s">
        <v>431</v>
      </c>
      <c r="G355" s="534">
        <v>0.3</v>
      </c>
      <c r="H355" s="534" t="s">
        <v>385</v>
      </c>
      <c r="I355" s="579" t="s">
        <v>384</v>
      </c>
      <c r="J355" s="580" t="str">
        <f>IF(I355="","",IF(I355="I",$F350,VLOOKUP(I355,$C371:$D376,2,0)))</f>
        <v>CONSTRUCTORES DEL DESARROLLO TERRITORIAL CONSTRUDET Y COMPAÑÍA LTDA</v>
      </c>
      <c r="K355" s="535">
        <v>42044</v>
      </c>
      <c r="L355" s="535">
        <v>42572</v>
      </c>
      <c r="M355" s="536">
        <v>530.69000000000005</v>
      </c>
      <c r="N355" s="232">
        <f t="shared" si="67"/>
        <v>159.20700000000002</v>
      </c>
      <c r="O355" s="260">
        <f t="shared" si="68"/>
        <v>159.20699999999999</v>
      </c>
      <c r="P355" s="781"/>
      <c r="Q355" s="782"/>
      <c r="R355" s="767"/>
      <c r="S355" s="768"/>
      <c r="T355" s="538" t="s">
        <v>385</v>
      </c>
      <c r="U355" s="539">
        <v>29</v>
      </c>
      <c r="V355" s="540" t="s">
        <v>385</v>
      </c>
      <c r="X355" s="541" t="s">
        <v>386</v>
      </c>
      <c r="Y355" s="541" t="s">
        <v>439</v>
      </c>
    </row>
    <row r="356" spans="1:29" s="44" customFormat="1" ht="107.25" customHeight="1">
      <c r="A356" s="42" t="str">
        <f>"C"&amp;E350</f>
        <v>C12</v>
      </c>
      <c r="B356" s="605">
        <f t="shared" si="69"/>
        <v>3</v>
      </c>
      <c r="C356" s="581" t="s">
        <v>501</v>
      </c>
      <c r="D356" s="581" t="s">
        <v>504</v>
      </c>
      <c r="E356" s="581" t="s">
        <v>505</v>
      </c>
      <c r="F356" s="581" t="s">
        <v>431</v>
      </c>
      <c r="G356" s="534">
        <v>0.3</v>
      </c>
      <c r="H356" s="534" t="s">
        <v>385</v>
      </c>
      <c r="I356" s="579" t="s">
        <v>384</v>
      </c>
      <c r="J356" s="580" t="str">
        <f>IF(I356="","",IF(I356="I",$F350,VLOOKUP(I356,$C371:$D376,2,0)))</f>
        <v>CONSTRUCTORES DEL DESARROLLO TERRITORIAL CONSTRUDET Y COMPAÑÍA LTDA</v>
      </c>
      <c r="K356" s="535">
        <v>42088</v>
      </c>
      <c r="L356" s="535">
        <v>42668</v>
      </c>
      <c r="M356" s="536">
        <v>723.5</v>
      </c>
      <c r="N356" s="232">
        <f t="shared" si="67"/>
        <v>217.04999999999998</v>
      </c>
      <c r="O356" s="260">
        <f t="shared" si="68"/>
        <v>217.05</v>
      </c>
      <c r="P356" s="781"/>
      <c r="Q356" s="782"/>
      <c r="R356" s="767"/>
      <c r="S356" s="768"/>
      <c r="T356" s="538" t="s">
        <v>385</v>
      </c>
      <c r="U356" s="539">
        <v>28</v>
      </c>
      <c r="V356" s="540" t="s">
        <v>385</v>
      </c>
      <c r="X356" s="541" t="s">
        <v>386</v>
      </c>
      <c r="Y356" s="541" t="s">
        <v>439</v>
      </c>
    </row>
    <row r="357" spans="1:29" s="44" customFormat="1" ht="24.95" customHeight="1">
      <c r="A357" s="42" t="str">
        <f>"D"&amp;E350</f>
        <v>D12</v>
      </c>
      <c r="B357" s="605" t="str">
        <f t="shared" si="69"/>
        <v/>
      </c>
      <c r="C357" s="581"/>
      <c r="D357" s="581"/>
      <c r="E357" s="581"/>
      <c r="F357" s="581"/>
      <c r="G357" s="534"/>
      <c r="H357" s="534"/>
      <c r="I357" s="579"/>
      <c r="J357" s="580" t="str">
        <f>IF(I357="","",IF(I357="I",$F350,VLOOKUP(I357,$C371:$D376,2,0)))</f>
        <v/>
      </c>
      <c r="K357" s="535"/>
      <c r="L357" s="535"/>
      <c r="M357" s="536"/>
      <c r="N357" s="232" t="str">
        <f t="shared" si="67"/>
        <v/>
      </c>
      <c r="O357" s="260" t="str">
        <f t="shared" si="68"/>
        <v/>
      </c>
      <c r="P357" s="781"/>
      <c r="Q357" s="782"/>
      <c r="R357" s="767"/>
      <c r="S357" s="768"/>
      <c r="T357" s="538"/>
      <c r="U357" s="539"/>
      <c r="V357" s="540"/>
      <c r="X357" s="541"/>
      <c r="Y357" s="541"/>
    </row>
    <row r="358" spans="1:29" s="44" customFormat="1" ht="24.95" customHeight="1">
      <c r="A358" s="42" t="str">
        <f>"E"&amp;E350</f>
        <v>E12</v>
      </c>
      <c r="B358" s="605" t="str">
        <f t="shared" si="69"/>
        <v/>
      </c>
      <c r="C358" s="581"/>
      <c r="D358" s="581"/>
      <c r="E358" s="581"/>
      <c r="F358" s="581"/>
      <c r="G358" s="534"/>
      <c r="H358" s="534"/>
      <c r="I358" s="579"/>
      <c r="J358" s="580" t="str">
        <f>IF(I358="","",IF(I358="I",$F350,VLOOKUP(I358,$C371:$D376,2,0)))</f>
        <v/>
      </c>
      <c r="K358" s="535"/>
      <c r="L358" s="535"/>
      <c r="M358" s="536"/>
      <c r="N358" s="232" t="str">
        <f t="shared" si="67"/>
        <v/>
      </c>
      <c r="O358" s="260" t="str">
        <f t="shared" si="68"/>
        <v/>
      </c>
      <c r="P358" s="781"/>
      <c r="Q358" s="782"/>
      <c r="R358" s="767"/>
      <c r="S358" s="768"/>
      <c r="T358" s="538"/>
      <c r="U358" s="539"/>
      <c r="V358" s="540"/>
      <c r="X358" s="541"/>
      <c r="Y358" s="541"/>
    </row>
    <row r="359" spans="1:29" s="44" customFormat="1" ht="24.95" customHeight="1">
      <c r="A359" s="42" t="str">
        <f>"F"&amp;E350</f>
        <v>F12</v>
      </c>
      <c r="B359" s="605" t="str">
        <f t="shared" si="69"/>
        <v/>
      </c>
      <c r="C359" s="581"/>
      <c r="D359" s="581"/>
      <c r="E359" s="581"/>
      <c r="F359" s="581"/>
      <c r="G359" s="534"/>
      <c r="H359" s="534"/>
      <c r="I359" s="579"/>
      <c r="J359" s="580" t="str">
        <f>IF(I359="","",IF(I359="I",$F350,VLOOKUP(I359,$C371:$D376,2,0)))</f>
        <v/>
      </c>
      <c r="K359" s="535"/>
      <c r="L359" s="535"/>
      <c r="M359" s="536"/>
      <c r="N359" s="232" t="str">
        <f t="shared" si="67"/>
        <v/>
      </c>
      <c r="O359" s="260" t="str">
        <f t="shared" si="68"/>
        <v/>
      </c>
      <c r="P359" s="781"/>
      <c r="Q359" s="782"/>
      <c r="R359" s="767"/>
      <c r="S359" s="768"/>
      <c r="T359" s="538"/>
      <c r="U359" s="539"/>
      <c r="V359" s="540"/>
      <c r="X359" s="541"/>
      <c r="Y359" s="541"/>
    </row>
    <row r="360" spans="1:29" s="44" customFormat="1" ht="24.95" customHeight="1">
      <c r="A360" s="42" t="str">
        <f>"G"&amp;E350</f>
        <v>G12</v>
      </c>
      <c r="B360" s="605" t="str">
        <f t="shared" si="69"/>
        <v/>
      </c>
      <c r="C360" s="581"/>
      <c r="D360" s="581"/>
      <c r="E360" s="581"/>
      <c r="F360" s="581"/>
      <c r="G360" s="534"/>
      <c r="H360" s="534"/>
      <c r="I360" s="579"/>
      <c r="J360" s="580" t="str">
        <f>IF(I360="","",IF(I360="I",$F350,VLOOKUP(I360,$C371:$D376,2,0)))</f>
        <v/>
      </c>
      <c r="K360" s="535"/>
      <c r="L360" s="535"/>
      <c r="M360" s="536"/>
      <c r="N360" s="43" t="str">
        <f t="shared" si="67"/>
        <v/>
      </c>
      <c r="O360" s="260" t="str">
        <f t="shared" si="68"/>
        <v/>
      </c>
      <c r="P360" s="781"/>
      <c r="Q360" s="782"/>
      <c r="R360" s="767"/>
      <c r="S360" s="768"/>
      <c r="T360" s="538"/>
      <c r="U360" s="539"/>
      <c r="V360" s="540"/>
      <c r="X360" s="541"/>
      <c r="Y360" s="541"/>
    </row>
    <row r="361" spans="1:29" s="44" customFormat="1" ht="24.95" customHeight="1">
      <c r="A361" s="42" t="str">
        <f>"H"&amp;E350</f>
        <v>H12</v>
      </c>
      <c r="B361" s="605" t="str">
        <f t="shared" si="69"/>
        <v/>
      </c>
      <c r="C361" s="581"/>
      <c r="D361" s="581"/>
      <c r="E361" s="581"/>
      <c r="F361" s="581"/>
      <c r="G361" s="534"/>
      <c r="H361" s="534"/>
      <c r="I361" s="579"/>
      <c r="J361" s="580" t="str">
        <f>IF(I361="","",IF(I361="I",$F350,VLOOKUP(I361,$C371:$D376,2,0)))</f>
        <v/>
      </c>
      <c r="K361" s="535"/>
      <c r="L361" s="535"/>
      <c r="M361" s="537"/>
      <c r="N361" s="43" t="str">
        <f t="shared" si="67"/>
        <v/>
      </c>
      <c r="O361" s="260" t="str">
        <f t="shared" si="68"/>
        <v/>
      </c>
      <c r="P361" s="781"/>
      <c r="Q361" s="782"/>
      <c r="R361" s="767"/>
      <c r="S361" s="768"/>
      <c r="T361" s="538"/>
      <c r="U361" s="539"/>
      <c r="V361" s="540"/>
      <c r="X361" s="541"/>
      <c r="Y361" s="541"/>
    </row>
    <row r="362" spans="1:29" s="44" customFormat="1" ht="24.95" customHeight="1">
      <c r="A362" s="42" t="str">
        <f>"I"&amp;E350</f>
        <v>I12</v>
      </c>
      <c r="B362" s="605" t="str">
        <f t="shared" si="69"/>
        <v/>
      </c>
      <c r="C362" s="581"/>
      <c r="D362" s="581"/>
      <c r="E362" s="581"/>
      <c r="F362" s="581"/>
      <c r="G362" s="534"/>
      <c r="H362" s="534"/>
      <c r="I362" s="579"/>
      <c r="J362" s="580" t="str">
        <f>IF(I362="","",IF(I362="I",$F350,VLOOKUP(I362,$C371:$D376,2,0)))</f>
        <v/>
      </c>
      <c r="K362" s="535"/>
      <c r="L362" s="535"/>
      <c r="M362" s="537"/>
      <c r="N362" s="43" t="str">
        <f t="shared" si="67"/>
        <v/>
      </c>
      <c r="O362" s="260" t="str">
        <f t="shared" si="68"/>
        <v/>
      </c>
      <c r="P362" s="781"/>
      <c r="Q362" s="782"/>
      <c r="R362" s="767"/>
      <c r="S362" s="768"/>
      <c r="T362" s="538"/>
      <c r="U362" s="539"/>
      <c r="V362" s="540"/>
      <c r="X362" s="541"/>
      <c r="Y362" s="541"/>
    </row>
    <row r="363" spans="1:29" s="44" customFormat="1" ht="24.95" customHeight="1" thickBot="1">
      <c r="A363" s="42" t="str">
        <f>"J"&amp;E350</f>
        <v>J12</v>
      </c>
      <c r="B363" s="612" t="str">
        <f t="shared" si="69"/>
        <v/>
      </c>
      <c r="C363" s="582"/>
      <c r="D363" s="582"/>
      <c r="E363" s="582"/>
      <c r="F363" s="582"/>
      <c r="G363" s="583"/>
      <c r="H363" s="583"/>
      <c r="I363" s="584"/>
      <c r="J363" s="585" t="str">
        <f>IF(I363="","",IF(I363="I",$F350,VLOOKUP(I363,$C371:$D376,2,0)))</f>
        <v/>
      </c>
      <c r="K363" s="586"/>
      <c r="L363" s="586"/>
      <c r="M363" s="587"/>
      <c r="N363" s="43" t="str">
        <f t="shared" si="67"/>
        <v/>
      </c>
      <c r="O363" s="260" t="str">
        <f t="shared" si="68"/>
        <v/>
      </c>
      <c r="P363" s="781"/>
      <c r="Q363" s="782"/>
      <c r="R363" s="767"/>
      <c r="S363" s="768"/>
      <c r="T363" s="538"/>
      <c r="U363" s="539"/>
      <c r="V363" s="540"/>
      <c r="X363" s="541"/>
      <c r="Y363" s="541"/>
    </row>
    <row r="364" spans="1:29" s="27" customFormat="1" ht="12" customHeight="1" thickBot="1">
      <c r="A364" s="42"/>
      <c r="B364" s="45"/>
      <c r="C364" s="46"/>
      <c r="D364" s="46"/>
      <c r="E364" s="46"/>
      <c r="F364" s="46"/>
      <c r="G364" s="46"/>
      <c r="H364" s="606"/>
      <c r="I364" s="46"/>
      <c r="J364" s="46"/>
      <c r="K364" s="46"/>
      <c r="L364" s="46"/>
      <c r="M364" s="46"/>
      <c r="N364" s="46"/>
      <c r="O364" s="259"/>
      <c r="P364" s="46"/>
      <c r="Q364" s="46"/>
      <c r="R364" s="259"/>
      <c r="S364" s="46"/>
      <c r="T364" s="46"/>
      <c r="U364" s="47"/>
      <c r="V364" s="48"/>
      <c r="X364" s="592"/>
      <c r="Y364" s="593"/>
      <c r="AB364" s="378"/>
    </row>
    <row r="365" spans="1:29" s="27" customFormat="1" ht="17.25" customHeight="1" thickBot="1">
      <c r="A365" s="42" t="str">
        <f>"Z"&amp;E350</f>
        <v>Z12</v>
      </c>
      <c r="B365" s="510"/>
      <c r="C365" s="511"/>
      <c r="D365" s="511"/>
      <c r="E365" s="511"/>
      <c r="F365" s="511"/>
      <c r="G365" s="511"/>
      <c r="H365" s="511"/>
      <c r="I365" s="511"/>
      <c r="J365" s="511"/>
      <c r="K365" s="511"/>
      <c r="L365" s="511"/>
      <c r="M365" s="511"/>
      <c r="N365" s="437" t="s">
        <v>388</v>
      </c>
      <c r="O365" s="438">
        <f>IF(COUNTIF(O354:O363,"")&gt;9,0,SUM(O354:O363)/(COUNTIF(H354:H363,"SI")))</f>
        <v>449.83566666666661</v>
      </c>
      <c r="P365" s="511"/>
      <c r="Q365" s="511"/>
      <c r="R365" s="530"/>
      <c r="S365" s="530"/>
      <c r="T365" s="531"/>
      <c r="U365" s="532"/>
      <c r="V365" s="533"/>
      <c r="W365" s="285"/>
      <c r="X365" s="613" t="e">
        <f>COUNTIF(#REF!,"")-COUNTIF(#REF!,"CUMPLE")-1</f>
        <v>#REF!</v>
      </c>
      <c r="Y365" s="591"/>
      <c r="AB365" s="28"/>
    </row>
    <row r="366" spans="1:29" ht="17.25" customHeight="1">
      <c r="B366" s="50"/>
      <c r="C366" s="50"/>
      <c r="D366" s="50"/>
      <c r="E366" s="50"/>
      <c r="F366" s="50"/>
      <c r="G366" s="51"/>
      <c r="H366" s="51"/>
      <c r="I366" s="51"/>
      <c r="J366" s="51"/>
      <c r="K366" s="51"/>
      <c r="L366" s="51"/>
      <c r="M366" s="51"/>
      <c r="N366" s="51"/>
      <c r="O366" s="51"/>
      <c r="P366" s="51"/>
      <c r="Q366" s="51"/>
      <c r="R366" s="51"/>
      <c r="S366" s="51"/>
      <c r="T366" s="51"/>
      <c r="U366" s="51"/>
      <c r="V366" s="51"/>
      <c r="W366" s="51"/>
      <c r="X366" s="608"/>
      <c r="Y366" s="51"/>
      <c r="Z366" s="51"/>
      <c r="AA366" s="51"/>
      <c r="AB366" s="51"/>
      <c r="AC366" s="50"/>
    </row>
    <row r="367" spans="1:29" s="27" customFormat="1" ht="16.5" customHeight="1" thickBot="1">
      <c r="A367" s="22"/>
      <c r="B367" s="783" t="s">
        <v>389</v>
      </c>
      <c r="C367" s="783"/>
      <c r="D367" s="783"/>
      <c r="E367" s="783"/>
      <c r="F367" s="783"/>
      <c r="G367" s="783"/>
      <c r="H367" s="783"/>
      <c r="I367" s="783"/>
      <c r="J367" s="783"/>
      <c r="K367" s="783"/>
      <c r="L367" s="783"/>
      <c r="M367" s="783"/>
      <c r="N367" s="783"/>
      <c r="O367" s="783"/>
      <c r="P367" s="783"/>
      <c r="Q367" s="783"/>
      <c r="R367" s="783"/>
      <c r="S367" s="783"/>
      <c r="T367" s="783"/>
      <c r="U367" s="783"/>
      <c r="V367" s="783"/>
      <c r="W367" s="286"/>
      <c r="X367" s="607"/>
      <c r="Y367" s="52"/>
      <c r="Z367" s="52"/>
      <c r="AA367" s="52"/>
      <c r="AB367" s="28"/>
      <c r="AC367" s="28"/>
    </row>
    <row r="368" spans="1:29" s="30" customFormat="1" ht="22.5" customHeight="1">
      <c r="A368" s="112" t="str">
        <f>"K"&amp;E350</f>
        <v>K12</v>
      </c>
      <c r="B368" s="790" t="s">
        <v>390</v>
      </c>
      <c r="C368" s="772" t="s">
        <v>391</v>
      </c>
      <c r="D368" s="773"/>
      <c r="E368" s="773"/>
      <c r="F368" s="773"/>
      <c r="G368" s="773"/>
      <c r="H368" s="773"/>
      <c r="I368" s="773"/>
      <c r="J368" s="773"/>
      <c r="K368" s="773"/>
      <c r="L368" s="773"/>
      <c r="M368" s="774"/>
      <c r="N368" s="525"/>
      <c r="O368" s="588"/>
      <c r="P368" s="772" t="s">
        <v>392</v>
      </c>
      <c r="Q368" s="773"/>
      <c r="R368" s="773"/>
      <c r="S368" s="774"/>
      <c r="T368" s="784" t="s">
        <v>393</v>
      </c>
      <c r="U368" s="774"/>
      <c r="V368" s="811"/>
      <c r="W368" s="284"/>
      <c r="X368" s="778" t="s">
        <v>394</v>
      </c>
      <c r="Y368" s="779"/>
      <c r="Z368" s="779"/>
      <c r="AA368" s="779" t="s">
        <v>395</v>
      </c>
      <c r="AB368" s="808" t="s">
        <v>396</v>
      </c>
      <c r="AC368" s="28"/>
    </row>
    <row r="369" spans="1:29" s="30" customFormat="1" ht="22.5" customHeight="1">
      <c r="A369" s="112" t="str">
        <f>"L"&amp;E350</f>
        <v>L12</v>
      </c>
      <c r="B369" s="791"/>
      <c r="C369" s="769" t="s">
        <v>397</v>
      </c>
      <c r="D369" s="770"/>
      <c r="E369" s="771"/>
      <c r="F369" s="512">
        <f>IF(VLOOKUP(E350,PROPONENTES!$C$19:$E$108,3,0)="","",VLOOKUP(E350,PROPONENTES!$C$19:$E$108,3,0))</f>
        <v>1</v>
      </c>
      <c r="G369" s="824" t="s">
        <v>398</v>
      </c>
      <c r="H369" s="793" t="s">
        <v>399</v>
      </c>
      <c r="I369" s="793"/>
      <c r="J369" s="769" t="s">
        <v>400</v>
      </c>
      <c r="K369" s="823"/>
      <c r="L369" s="513" t="s">
        <v>401</v>
      </c>
      <c r="M369" s="513"/>
      <c r="N369" s="526"/>
      <c r="O369" s="527"/>
      <c r="P369" s="775"/>
      <c r="Q369" s="776"/>
      <c r="R369" s="776"/>
      <c r="S369" s="777"/>
      <c r="T369" s="796"/>
      <c r="U369" s="797"/>
      <c r="V369" s="812"/>
      <c r="W369" s="284"/>
      <c r="X369" s="780" t="s">
        <v>402</v>
      </c>
      <c r="Y369" s="810" t="s">
        <v>403</v>
      </c>
      <c r="Z369" s="810"/>
      <c r="AA369" s="810"/>
      <c r="AB369" s="809"/>
      <c r="AC369" s="28"/>
    </row>
    <row r="370" spans="1:29" s="30" customFormat="1" ht="51.75" customHeight="1" thickBot="1">
      <c r="A370" s="112" t="str">
        <f>"M"&amp;E350</f>
        <v>M12</v>
      </c>
      <c r="B370" s="791"/>
      <c r="C370" s="770" t="s">
        <v>404</v>
      </c>
      <c r="D370" s="771"/>
      <c r="E370" s="514" t="s">
        <v>405</v>
      </c>
      <c r="F370" s="515" t="s">
        <v>406</v>
      </c>
      <c r="G370" s="824"/>
      <c r="H370" s="793"/>
      <c r="I370" s="793"/>
      <c r="J370" s="504" t="s">
        <v>407</v>
      </c>
      <c r="K370" s="516" t="s">
        <v>408</v>
      </c>
      <c r="L370" s="517" t="s">
        <v>409</v>
      </c>
      <c r="M370" s="517"/>
      <c r="N370" s="528" t="s">
        <v>410</v>
      </c>
      <c r="O370" s="529"/>
      <c r="P370" s="386"/>
      <c r="Q370" s="387" t="s">
        <v>411</v>
      </c>
      <c r="R370" s="388"/>
      <c r="S370" s="113">
        <f>COUNTIFS(H354:H363,"SI",O354:O363,"&gt;0")</f>
        <v>3</v>
      </c>
      <c r="T370" s="785"/>
      <c r="U370" s="787"/>
      <c r="V370" s="813"/>
      <c r="W370" s="284"/>
      <c r="X370" s="780"/>
      <c r="Y370" s="810"/>
      <c r="Z370" s="810"/>
      <c r="AA370" s="810"/>
      <c r="AB370" s="809"/>
      <c r="AC370" s="28"/>
    </row>
    <row r="371" spans="1:29" s="30" customFormat="1" ht="15.75" customHeight="1">
      <c r="A371" s="112" t="str">
        <f>"N"&amp;E350</f>
        <v>N12</v>
      </c>
      <c r="B371" s="791"/>
      <c r="C371" s="54">
        <v>1</v>
      </c>
      <c r="D371" s="100" t="str">
        <f>IF(AND(C371&lt;=F369,F369&gt;1,F369&lt;&gt;""),VLOOKUP(VALUE(E350&amp;","&amp;C371),INTEGRANTES!$D$19:$F$192,2,0),"")</f>
        <v/>
      </c>
      <c r="E371" s="107" t="str">
        <f>IF(D371&lt;&gt;"",VLOOKUP(VALUE(E350&amp;","&amp;C371),INTEGRANTES!$D$19:$F$192,3,0),"")</f>
        <v/>
      </c>
      <c r="F371" s="380" t="str">
        <f>IF(D371="","",IF(OR(SUMIF($J357:$J363,D371,$O357:$O363)=0,N371="NO"),"NO APORTA",SUMIF($J357:$J363,D371,$O357:$O363)))</f>
        <v/>
      </c>
      <c r="G371" s="380" t="str">
        <f>IF($D371="","",IF($F369&lt;=1,"",ROUND(POSMMLV*PORPO,2)))</f>
        <v/>
      </c>
      <c r="H371" s="765" t="str">
        <f>IF($D371="","",IF(OR(F371="NO APORTA",G371&gt;F371),"NO CUMPLE","CUMPLE"))</f>
        <v/>
      </c>
      <c r="I371" s="766"/>
      <c r="J371" s="108" t="str">
        <f>IF(D371="","",IF(OR(AND(SUMIF($J354:$J363,D371,$O354:$O363)&gt;=5%*POSMMLV,N371="SI"),AND(SUMIF($J354:$J363,D371,$O354:$O363)=0,E371&lt;=5%,N371="SI")),"CUMPLE","NO CUMPLE"))</f>
        <v/>
      </c>
      <c r="K371" s="105" t="str">
        <f>IF(OR(D371="",J371=""),"",IF(AND(J371="NO CUMPLE",F371="NO APORTA",E371&gt;5%),"EXP = 0 y PART &gt; 5%",IF(F371&lt;5%*Q376,"EXP &lt; 5%*PO","")))</f>
        <v/>
      </c>
      <c r="L371" s="389" t="str">
        <f>IF(OR(D371="",E371=""),"",IF(AND(E371&gt;=0.25,F371&lt;&gt;"NO APORTA",F371&gt;=$R376*0.25),"SI","NO"))</f>
        <v/>
      </c>
      <c r="M371" s="389"/>
      <c r="N371" s="468" t="s">
        <v>385</v>
      </c>
      <c r="O371" s="396">
        <f>COUNTIFS(O354:O363,"&gt;0",H354:H363,"SI")</f>
        <v>3</v>
      </c>
      <c r="P371" s="814" t="s">
        <v>139</v>
      </c>
      <c r="Q371" s="814"/>
      <c r="R371" s="817">
        <f>E350</f>
        <v>12</v>
      </c>
      <c r="S371" s="818"/>
      <c r="T371" s="784" t="s">
        <v>412</v>
      </c>
      <c r="U371" s="773"/>
      <c r="V371" s="774"/>
      <c r="W371" s="283"/>
      <c r="X371" s="542" t="str">
        <f>IF($F369=1,"NO APLICA",$D371)</f>
        <v>NO APLICA</v>
      </c>
      <c r="Y371" s="543" t="str">
        <f>IF(OR($F371="",$F371="NO APORTA",$R376=0,$X371="NO APLICA"),"",ROUND($F371/$Q376,2))</f>
        <v/>
      </c>
      <c r="Z371" s="544" t="str">
        <f>IF(Y377=1,"SI APLICA",IF(OR($X371="",$X371="NO APLICA",$F371="",$F371="NO APORTA"),"",IF(ROUND($F371/Q376,7)&gt;=0.4,"SI APLICA","NO APLICA")))</f>
        <v>SI APLICA</v>
      </c>
      <c r="AA371" s="543" t="s">
        <v>413</v>
      </c>
      <c r="AB371" s="540" t="str">
        <f>IF(COUNTIF(Z371:AA371,"SI APLICA")=2,"SI APLICA","")</f>
        <v>SI APLICA</v>
      </c>
      <c r="AC371" s="28"/>
    </row>
    <row r="372" spans="1:29" s="30" customFormat="1" ht="15.75" customHeight="1" thickBot="1">
      <c r="A372" s="112" t="str">
        <f>"O"&amp;E350</f>
        <v>O12</v>
      </c>
      <c r="B372" s="791"/>
      <c r="C372" s="54">
        <v>2</v>
      </c>
      <c r="D372" s="100" t="str">
        <f>IF(AND(C372&lt;=F369,F369&lt;&gt;""),VLOOKUP(VALUE(E350&amp;","&amp;C372),INTEGRANTES!$D$19:$F$192,2,0),"")</f>
        <v/>
      </c>
      <c r="E372" s="107" t="str">
        <f>IF(D372&lt;&gt;"",VLOOKUP(VALUE(E350&amp;","&amp;C372),INTEGRANTES!$D$19:$F$192,3,0),"")</f>
        <v/>
      </c>
      <c r="F372" s="380" t="str">
        <f>IF(D372="","",IF(OR(SUMIF($J357:$J363,D372,$O357:$O363)=0,N372="NO"),"NO APORTA",SUMIF($J357:$J363,D372,$O357:$O363)))</f>
        <v/>
      </c>
      <c r="G372" s="380" t="str">
        <f>IF($D372="","",IF($F369&lt;=1,"",ROUND(POSMMLV*PORPO,2)))</f>
        <v/>
      </c>
      <c r="H372" s="765" t="str">
        <f t="shared" ref="H372:H375" si="70">IF($D372="","",IF(OR(F372="NO APORTA",G372&gt;F372),"NO CUMPLE","CUMPLE"))</f>
        <v/>
      </c>
      <c r="I372" s="766"/>
      <c r="J372" s="108" t="str">
        <f>IF(D372="","",IF(OR(AND(SUMIF($J354:$J363,D372,$O354:$O363)&gt;=5%*POSMMLV,N372="SI"),AND(SUMIF($J354:$J363,D372,$O354:$O363)=0,E372&lt;=5%,N372="SI")),"CUMPLE","NO CUMPLE"))</f>
        <v/>
      </c>
      <c r="K372" s="105" t="str">
        <f>IF(OR(D372="",J372=""),"",IF(AND(J372="NO CUMPLE",F372="NO APORTA",E372&gt;5%),"EXP = 0 y PART &gt; 5%",IF(F372&lt;5%*Q376,"EXP &lt; 5%*PO","")))</f>
        <v/>
      </c>
      <c r="L372" s="389" t="str">
        <f>IF(OR(D372="",E372=""),"",IF(AND(E372&gt;=0.25,F372&lt;&gt;"NO APORTA",F372&gt;=$R376*0.25),"SI","NO"))</f>
        <v/>
      </c>
      <c r="M372" s="389"/>
      <c r="N372" s="468" t="s">
        <v>385</v>
      </c>
      <c r="O372" s="396"/>
      <c r="P372" s="815"/>
      <c r="Q372" s="815"/>
      <c r="R372" s="815"/>
      <c r="S372" s="819"/>
      <c r="T372" s="785"/>
      <c r="U372" s="786"/>
      <c r="V372" s="787"/>
      <c r="W372" s="283"/>
      <c r="X372" s="542" t="str">
        <f>IF($F369=1,"NO APLICA",$D372)</f>
        <v>NO APLICA</v>
      </c>
      <c r="Y372" s="543" t="str">
        <f>IF(OR($F372="",$F372="NO APORTA",$R376=0,$X372="NO APLICA"),"",ROUND($F372/$Q376,2))</f>
        <v/>
      </c>
      <c r="Z372" s="544"/>
      <c r="AA372" s="543"/>
      <c r="AB372" s="540" t="str">
        <f t="shared" ref="AB372" si="71">IF(COUNTIF(Z372:AA372,"SI APLICA")=2,"SI APLICA","")</f>
        <v/>
      </c>
      <c r="AC372" s="28"/>
    </row>
    <row r="373" spans="1:29" s="30" customFormat="1" ht="15.75" customHeight="1">
      <c r="A373" s="112" t="str">
        <f>"P"&amp;E350</f>
        <v>P12</v>
      </c>
      <c r="B373" s="791"/>
      <c r="C373" s="54">
        <v>3</v>
      </c>
      <c r="D373" s="100" t="str">
        <f>IF(AND(C373&lt;=F369,F369&lt;&gt;""),VLOOKUP(VALUE(E350&amp;","&amp;C373),INTEGRANTES!$D$19:$F$192,2,0),"")</f>
        <v/>
      </c>
      <c r="E373" s="107" t="str">
        <f>IF(D373&lt;&gt;"",VLOOKUP(VALUE(E350&amp;","&amp;C373),INTEGRANTES!$D$19:$F$192,3,0),"")</f>
        <v/>
      </c>
      <c r="F373" s="380" t="str">
        <f>IF(D373="","",IF(OR(SUMIF($J357:$J363,D373,$O357:$O363)=0,N373="NO"),"NO APORTA",SUMIF($J357:$J363,D373,$O357:$O363)))</f>
        <v/>
      </c>
      <c r="G373" s="380" t="str">
        <f>IF($D373="","",IF($F369&lt;=1,"",ROUND(POSMMLV*PORPO,2)))</f>
        <v/>
      </c>
      <c r="H373" s="765" t="str">
        <f t="shared" si="70"/>
        <v/>
      </c>
      <c r="I373" s="766"/>
      <c r="J373" s="108" t="str">
        <f>IF(D373="","",IF(OR(AND(SUMIF($J354:$J363,D373,$O354:$O363)&gt;=5%*POSMMLV,N373="SI"),AND(SUMIF($J354:$J363,D373,$O354:$O363)=0,E373&lt;=5%,N373="SI")),"CUMPLE","NO CUMPLE"))</f>
        <v/>
      </c>
      <c r="K373" s="105" t="str">
        <f>IF(OR(D373="",J373=""),"",IF(AND(J373="NO CUMPLE",F373="NO APORTA",E373&gt;5%),"EXP = 0 y PART &gt; 5%",IF(F373&lt;5%*Q376,"EXP &lt; 5%*PO","")))</f>
        <v/>
      </c>
      <c r="L373" s="389" t="str">
        <f>IF(OR(D373="",E373=""),"",IF(AND(E373&gt;=0.25,F373&lt;&gt;"NO APORTA",F373&gt;=$R376*0.25),"SI","NO"))</f>
        <v/>
      </c>
      <c r="M373" s="389"/>
      <c r="N373" s="468"/>
      <c r="O373" s="397"/>
      <c r="P373" s="816"/>
      <c r="Q373" s="816"/>
      <c r="R373" s="816"/>
      <c r="S373" s="820"/>
      <c r="T373" s="308"/>
      <c r="U373" s="308"/>
      <c r="V373" s="309"/>
      <c r="W373" s="284"/>
      <c r="X373" s="542" t="str">
        <f>IF($F369=1,"NO APLICA",$D373)</f>
        <v>NO APLICA</v>
      </c>
      <c r="Y373" s="543" t="str">
        <f>IF(OR($F373="",$F373="NO APORTA",$R376=0,$X373="NO APLICA"),"",ROUND($F373/$Q376,2))</f>
        <v/>
      </c>
      <c r="Z373" s="544"/>
      <c r="AA373" s="543"/>
      <c r="AB373" s="540" t="str">
        <f>IF(COUNTIF(Z373:AA373,"SI APLICA")=2,"SI APLICA","")</f>
        <v/>
      </c>
      <c r="AC373" s="28"/>
    </row>
    <row r="374" spans="1:29" s="30" customFormat="1" ht="15.75" customHeight="1">
      <c r="A374" s="112" t="str">
        <f>"Q"&amp;E350</f>
        <v>Q12</v>
      </c>
      <c r="B374" s="791"/>
      <c r="C374" s="54">
        <v>4</v>
      </c>
      <c r="D374" s="100" t="str">
        <f>IF(AND(C374&lt;=F369,F369&lt;&gt;""),VLOOKUP(VALUE(E350&amp;","&amp;C374),INTEGRANTES!$D$19:$F$192,2,0),"")</f>
        <v/>
      </c>
      <c r="E374" s="107" t="str">
        <f>IF(D374&lt;&gt;"",VLOOKUP(VALUE(E350&amp;","&amp;C374),INTEGRANTES!$D$19:$F$192,3,0),"")</f>
        <v/>
      </c>
      <c r="F374" s="380" t="str">
        <f>IF(D374="","",IF(OR(SUMIF($J357:$J363,D374,$O357:$O363)=0,N374="NO"),"NO APORTA",SUMIF($J357:$J363,D374,$O357:$O363)))</f>
        <v/>
      </c>
      <c r="G374" s="380" t="str">
        <f>IF($D374="","",IF($F369&lt;=1,"",ROUND(POSMMLV*PORPO,2)))</f>
        <v/>
      </c>
      <c r="H374" s="765" t="str">
        <f t="shared" si="70"/>
        <v/>
      </c>
      <c r="I374" s="766"/>
      <c r="J374" s="108" t="str">
        <f>IF(D374="","",IF(OR(AND(SUMIF($J354:$J363,D374,$O354:$O363)&gt;=5%*POSMMLV,N374="SI"),AND(SUMIF($J354:$J363,D374,$O354:$O363)=0,E374&lt;=5%,N374="SI")),"CUMPLE","NO CUMPLE"))</f>
        <v/>
      </c>
      <c r="K374" s="105" t="str">
        <f>IF(OR(D374="",J374=""),"",IF(AND(J374="NO CUMPLE",F374="NO APORTA",E374&gt;5%),"EXP = 0 y PART &gt; 5%",IF(F374&lt;5%*Q376,"EXP &lt; 5%*PO","")))</f>
        <v/>
      </c>
      <c r="L374" s="389" t="str">
        <f>IF(OR(D374="",E374=""),"",IF(AND(E374&gt;=0.25,F374&lt;&gt;"NO APORTA",F374&gt;=$R376*0.25),"SI","NO"))</f>
        <v/>
      </c>
      <c r="M374" s="389"/>
      <c r="N374" s="468"/>
      <c r="O374" s="788" t="s">
        <v>414</v>
      </c>
      <c r="P374" s="769" t="s">
        <v>415</v>
      </c>
      <c r="Q374" s="770"/>
      <c r="R374" s="770"/>
      <c r="S374" s="771"/>
      <c r="T374" s="284"/>
      <c r="U374" s="284"/>
      <c r="V374" s="310"/>
      <c r="W374" s="284"/>
      <c r="X374" s="542" t="str">
        <f>IF($F369=1,"NO APLICA",$D374)</f>
        <v>NO APLICA</v>
      </c>
      <c r="Y374" s="543" t="str">
        <f>IF(OR($F374="",$F374="NO APORTA",$R376=0,$X374="NO APLICA"),"",ROUND($F374/$Q376,2))</f>
        <v/>
      </c>
      <c r="Z374" s="544"/>
      <c r="AA374" s="543"/>
      <c r="AB374" s="540" t="str">
        <f t="shared" ref="AB374:AB375" si="72">IF(COUNTIF(Z374:AA374,"SI APLICA")=2,"SI APLICA","")</f>
        <v/>
      </c>
      <c r="AC374" s="28"/>
    </row>
    <row r="375" spans="1:29" s="30" customFormat="1" ht="17.25" customHeight="1">
      <c r="A375" s="112" t="str">
        <f>"R"&amp;E350</f>
        <v>R12</v>
      </c>
      <c r="B375" s="791"/>
      <c r="C375" s="54">
        <v>5</v>
      </c>
      <c r="D375" s="100" t="str">
        <f>IF(AND(C375&lt;=F369,F369&lt;&gt;""),VLOOKUP(VALUE(E350&amp;","&amp;C375),INTEGRANTES!$D$19:$F$192,2,0),"")</f>
        <v/>
      </c>
      <c r="E375" s="107" t="str">
        <f>IF(D375&lt;&gt;"",VLOOKUP(VALUE(E350&amp;","&amp;C375),INTEGRANTES!$D$19:$F$192,3,0),"")</f>
        <v/>
      </c>
      <c r="F375" s="380" t="str">
        <f>IF(D375="","",IF(OR(SUMIF($J357:$J363,D375,$O357:$O363)=0,N375="NO"),"NO APORTA",SUMIF($J357:$J363,D375,$O357:$O363)))</f>
        <v/>
      </c>
      <c r="G375" s="380" t="str">
        <f>IF($D375="","",IF($F369&lt;=1,"",ROUND(POSMMLV*PORPO,2)))</f>
        <v/>
      </c>
      <c r="H375" s="765" t="str">
        <f t="shared" si="70"/>
        <v/>
      </c>
      <c r="I375" s="766"/>
      <c r="J375" s="108" t="str">
        <f>IF(D375="","",IF(OR(AND(SUMIF($J354:$J363,D375,$O354:$O363)&gt;=5%*POSMMLV,N375="SI"),AND(SUMIF($J354:$J363,D375,$O354:$O363)=0,E375&lt;=5%,N375="SI")),"CUMPLE","NO CUMPLE"))</f>
        <v/>
      </c>
      <c r="K375" s="105" t="str">
        <f>IF(OR(D375="",J375=""),"",IF(AND(J375="NO CUMPLE",F375="NO APORTA",E375&gt;5%),"EXP = 0 y PART &gt; 5%",IF(F375&lt;5%*Q376,"EXP &lt; 5%*PO","")))</f>
        <v/>
      </c>
      <c r="L375" s="389" t="str">
        <f>IF(OR(D375="",E375=""),"",IF(AND(E375&gt;=0.25,F375&lt;&gt;"NO APORTA",F375&gt;=$R376*0.25),"SI","NO"))</f>
        <v/>
      </c>
      <c r="M375" s="389"/>
      <c r="N375" s="468"/>
      <c r="O375" s="789"/>
      <c r="P375" s="504" t="s">
        <v>416</v>
      </c>
      <c r="Q375" s="504" t="s">
        <v>417</v>
      </c>
      <c r="R375" s="793" t="s">
        <v>418</v>
      </c>
      <c r="S375" s="793"/>
      <c r="T375" s="284"/>
      <c r="U375" s="284"/>
      <c r="V375" s="310"/>
      <c r="W375" s="284"/>
      <c r="X375" s="542" t="str">
        <f>IF($F369=1,"NO APLICA",$D375)</f>
        <v>NO APLICA</v>
      </c>
      <c r="Y375" s="543" t="str">
        <f>IF(OR($F375="",$F375="NO APORTA",$R376=0,$X375="NO APLICA"),"",ROUND($F375/$Q376,2))</f>
        <v/>
      </c>
      <c r="Z375" s="544"/>
      <c r="AA375" s="543"/>
      <c r="AB375" s="540" t="str">
        <f t="shared" si="72"/>
        <v/>
      </c>
      <c r="AC375" s="28"/>
    </row>
    <row r="376" spans="1:29" s="30" customFormat="1" ht="16.5" customHeight="1" thickBot="1">
      <c r="A376" s="112" t="str">
        <f>"S"&amp;E350</f>
        <v>S12</v>
      </c>
      <c r="B376" s="791"/>
      <c r="C376" s="109">
        <v>6</v>
      </c>
      <c r="D376" s="110" t="str">
        <f>IF(AND(C376&lt;=F369,F369&lt;&gt;""),VLOOKUP(VALUE(E350&amp;","&amp;C376),INTEGRANTES!$D$19:$F$192,2,0),"")</f>
        <v/>
      </c>
      <c r="E376" s="111" t="str">
        <f>IF(D376&lt;&gt;"",VLOOKUP(VALUE(E350&amp;","&amp;C376),INTEGRANTES!$D$19:$F$192,3,0),"")</f>
        <v/>
      </c>
      <c r="F376" s="380" t="str">
        <f>IF(D376="","",IF(OR(SUMIF($J357:$J363,D376,$O357:$O363)=0,N376="NO"),"NO APORTA",SUMIF($J357:$J363,D376,$O357:$O363)))</f>
        <v/>
      </c>
      <c r="G376" s="380" t="str">
        <f>IF($D376="","",IF($F369&lt;=1,"",ROUND(POSMMLV*PORPO,2)))</f>
        <v/>
      </c>
      <c r="H376" s="765" t="str">
        <f>IF($D376="","",IF(OR(F376="NO APORTA",G376&gt;F376),"NO CUMPLE","CUMPLE"))</f>
        <v/>
      </c>
      <c r="I376" s="766"/>
      <c r="J376" s="108" t="str">
        <f>IF(D376="","",IF(OR(AND(SUMIF($J354:$J363,D376,$O354:$O363)&gt;=5%*POSMMLV,N376="SI"),AND(SUMIF($J354:$J363,D376,$O354:$O363)=0,E376&lt;=5%,N376="SI")),"CUMPLE","NO CUMPLE"))</f>
        <v/>
      </c>
      <c r="K376" s="105" t="str">
        <f>IF(OR(D376="",J376=""),"",IF(AND(J376="NO CUMPLE",F376="NO APORTA",E376&gt;5%),"EXP = 0 y PART &gt; 5%",IF(F376&lt;5%*Q376,"EXP &lt; 5%*PO","")))</f>
        <v/>
      </c>
      <c r="L376" s="389" t="str">
        <f>IF(OR(D376="",E376=""),"",IF(AND(E376&gt;=0.25,F376&lt;&gt;"NO APORTA",F376&gt;=$R376*0.25),"SI","NO"))</f>
        <v/>
      </c>
      <c r="M376" s="389"/>
      <c r="N376" s="468"/>
      <c r="O376" s="403" t="str">
        <f ca="1">IF(R376&gt;=Q376,"CUMPLE","NO CUMPLE")</f>
        <v>CUMPLE</v>
      </c>
      <c r="P376" s="312">
        <f>NUMMOD</f>
        <v>1</v>
      </c>
      <c r="Q376" s="313">
        <f ca="1">IF(P376="","",ROUND(VLOOKUP(P376,PRESUPUESTOS!$B$16:$L$16,9,FALSE),7))</f>
        <v>300</v>
      </c>
      <c r="R376" s="834">
        <f>IF(OR(COUNTIF(O354:O363,"")&gt;9,S370&lt;NUMMINCONT),0,SUM(O354:O363))</f>
        <v>1349.5069999999998</v>
      </c>
      <c r="S376" s="834"/>
      <c r="T376" s="284"/>
      <c r="U376" s="284"/>
      <c r="V376" s="310"/>
      <c r="W376" s="284"/>
      <c r="X376" s="545" t="str">
        <f>IF($F369=1,"NO APLICA",$D376)</f>
        <v>NO APLICA</v>
      </c>
      <c r="Y376" s="543" t="str">
        <f>IF(OR($F376="",$F376="NO APORTA",$R376=0,$X376="NO APLICA"),"",ROUND($F376/$Q376,2))</f>
        <v/>
      </c>
      <c r="Z376" s="544"/>
      <c r="AA376" s="546"/>
      <c r="AB376" s="540" t="str">
        <f>IF(COUNTIF(Z376:AA376,"SI APLICA")=2,"SI APLICA","")</f>
        <v/>
      </c>
      <c r="AC376" s="28"/>
    </row>
    <row r="377" spans="1:29" s="30" customFormat="1" ht="16.5" customHeight="1" thickBot="1">
      <c r="A377" s="112" t="str">
        <f>"T"&amp;E350</f>
        <v>T12</v>
      </c>
      <c r="B377" s="792"/>
      <c r="C377" s="821" t="s">
        <v>419</v>
      </c>
      <c r="D377" s="822"/>
      <c r="E377" s="822"/>
      <c r="F377" s="518"/>
      <c r="G377" s="519"/>
      <c r="H377" s="794" t="str">
        <f>IF(OR($F369="",SUM(E371:E376)=0),"",IF(COUNTIF(H371:H376,"CUMPLE")&gt;=1,"CUMPLE","NO CUMPLE"))</f>
        <v/>
      </c>
      <c r="I377" s="795"/>
      <c r="J377" s="314" t="str">
        <f>IF(COUNTIF(J371:J376,"")&gt;5,"",IF(COUNTIF(J371:J376,"NO CUMPLE")&gt;0,"NO CUMPLE","CUMPLE"))</f>
        <v/>
      </c>
      <c r="K377" s="314" t="str">
        <f>IF(OR(AND(F369=1,N371="SI"),AND(COUNTIF(H377:J377,"CUMPLE")=2)),"CUMPLE","NO CUMPLE")</f>
        <v>CUMPLE</v>
      </c>
      <c r="L377" s="519"/>
      <c r="M377" s="519"/>
      <c r="N377" s="519"/>
      <c r="O377" s="833" t="str">
        <f ca="1">IF(ISNUMBER(F350),"",IF(AND(O376="NO CUMPLE",SUM(N357:N363)&lt;Q376),"EL PROPONENTE SE DEBE REQUERIR POR EXPERIENCIA MINIMA EXIGIDA",""))</f>
        <v/>
      </c>
      <c r="P377" s="833"/>
      <c r="Q377" s="833"/>
      <c r="R377" s="833"/>
      <c r="S377" s="833"/>
      <c r="T377" s="522"/>
      <c r="U377" s="523"/>
      <c r="V377" s="524"/>
      <c r="W377" s="284"/>
      <c r="X377" s="364" t="str">
        <f>IF(Y377=1,"PROPONENTE INDIVIDUAL","PROPONENTE PLURAL")</f>
        <v>PROPONENTE INDIVIDUAL</v>
      </c>
      <c r="Y377" s="276">
        <f>F369</f>
        <v>1</v>
      </c>
      <c r="Z377" s="277" t="str">
        <f>IF(OR(AND(Z371="SI APLICA",AA371="SI APLICA"),AND(Z372="SI APLICA",AA372="SI APLICA"),AND(Z373="SI APLICA",AA373="SI APLICA"),AND(Z374="SI APLICA",AA374="SI APLICA"),AND(Z375="SI APLICA",AA375="SI APLICA"),AND(Z376="SI APLICA",AA376="SI APLICA")),"SI APLICA","NO APLICA")</f>
        <v>SI APLICA</v>
      </c>
      <c r="AA377" s="278" t="str">
        <f>IF(OR(AND(AA371="SI APLICA",AB371="SI APLICA"),AND(AA372="SI APLICA",AB372="SI APLICA"),AND(AA373="SI APLICA",AB373="SI APLICA"),AND(AA374="SI APLICA",AB374="SI APLICA"),AND(AA375="SI APLICA",AB375="SI APLICA"),AND(AA376="SI APLICA",AB376="SI APLICA")),"SI APLICA","NO APLICA")</f>
        <v>SI APLICA</v>
      </c>
      <c r="AB377" s="278" t="str">
        <f>IF(COUNTIF(AB371:AB376,"SI APLICA")&gt;0,"SI APLICA","NO APLICA")</f>
        <v>SI APLICA</v>
      </c>
      <c r="AC377" s="28"/>
    </row>
    <row r="378" spans="1:29" ht="24.95" customHeight="1"/>
    <row r="379" spans="1:29" ht="24.95" customHeight="1"/>
    <row r="380" spans="1:29" s="41" customFormat="1" ht="24" thickBot="1">
      <c r="A380" s="34">
        <v>13</v>
      </c>
      <c r="B380" s="828" t="s">
        <v>355</v>
      </c>
      <c r="C380" s="828"/>
      <c r="D380" s="828"/>
      <c r="E380" s="35">
        <f>VLOOKUP(A380,PROPONENTES!$B$19:$E$108,2,FALSE)</f>
        <v>13</v>
      </c>
      <c r="F380" s="36" t="str">
        <f>VLOOKUP(A380,PROPONENTES!$B$19:$E$108,3,FALSE)</f>
        <v>NICOLAS REDONDO MOLINA</v>
      </c>
      <c r="G380" s="37"/>
      <c r="H380" s="37"/>
      <c r="I380" s="36"/>
      <c r="J380" s="36"/>
      <c r="K380" s="36"/>
      <c r="L380" s="36"/>
      <c r="M380" s="38"/>
      <c r="N380" s="38"/>
      <c r="O380" s="37"/>
      <c r="P380" s="37"/>
      <c r="Q380" s="39"/>
      <c r="R380" s="39"/>
      <c r="S380" s="39"/>
      <c r="T380" s="39"/>
      <c r="U380" s="40"/>
      <c r="Y380" s="52"/>
      <c r="Z380" s="52"/>
      <c r="AA380" s="52"/>
      <c r="AB380" s="28"/>
      <c r="AC380" s="28"/>
    </row>
    <row r="381" spans="1:29" s="27" customFormat="1" ht="24.75" customHeight="1">
      <c r="A381" s="22"/>
      <c r="B381" s="829" t="s">
        <v>356</v>
      </c>
      <c r="C381" s="501" t="s">
        <v>357</v>
      </c>
      <c r="D381" s="502" t="s">
        <v>358</v>
      </c>
      <c r="E381" s="502"/>
      <c r="F381" s="502" t="s">
        <v>359</v>
      </c>
      <c r="G381" s="503"/>
      <c r="H381" s="803" t="s">
        <v>360</v>
      </c>
      <c r="I381" s="831" t="s">
        <v>361</v>
      </c>
      <c r="J381" s="803" t="s">
        <v>362</v>
      </c>
      <c r="K381" s="803" t="s">
        <v>363</v>
      </c>
      <c r="L381" s="803" t="s">
        <v>364</v>
      </c>
      <c r="M381" s="803" t="s">
        <v>365</v>
      </c>
      <c r="N381" s="804" t="s">
        <v>366</v>
      </c>
      <c r="O381" s="805"/>
      <c r="P381" s="806" t="s">
        <v>367</v>
      </c>
      <c r="Q381" s="807"/>
      <c r="R381" s="784" t="s">
        <v>368</v>
      </c>
      <c r="S381" s="774"/>
      <c r="T381" s="798" t="s">
        <v>369</v>
      </c>
      <c r="U381" s="799"/>
      <c r="V381" s="800"/>
      <c r="X381" s="520"/>
      <c r="Y381" s="520"/>
    </row>
    <row r="382" spans="1:29" s="27" customFormat="1" ht="94.5" customHeight="1">
      <c r="A382" s="22"/>
      <c r="B382" s="830"/>
      <c r="C382" s="504" t="s">
        <v>370</v>
      </c>
      <c r="D382" s="505" t="s">
        <v>41</v>
      </c>
      <c r="E382" s="505" t="s">
        <v>371</v>
      </c>
      <c r="F382" s="505" t="s">
        <v>372</v>
      </c>
      <c r="G382" s="506" t="s">
        <v>373</v>
      </c>
      <c r="H382" s="793"/>
      <c r="I382" s="832"/>
      <c r="J382" s="793"/>
      <c r="K382" s="793"/>
      <c r="L382" s="793"/>
      <c r="M382" s="793"/>
      <c r="N382" s="504" t="s">
        <v>374</v>
      </c>
      <c r="O382" s="505" t="s">
        <v>375</v>
      </c>
      <c r="P382" s="801"/>
      <c r="Q382" s="802"/>
      <c r="R382" s="796"/>
      <c r="S382" s="797"/>
      <c r="T382" s="507" t="s">
        <v>376</v>
      </c>
      <c r="U382" s="508" t="s">
        <v>377</v>
      </c>
      <c r="V382" s="509" t="s">
        <v>378</v>
      </c>
      <c r="X382" s="521" t="s">
        <v>379</v>
      </c>
      <c r="Y382" s="521" t="s">
        <v>380</v>
      </c>
    </row>
    <row r="383" spans="1:29" s="27" customFormat="1" ht="15" customHeight="1">
      <c r="A383" s="22"/>
      <c r="B383" s="594"/>
      <c r="C383" s="595">
        <v>3</v>
      </c>
      <c r="D383" s="595">
        <v>4</v>
      </c>
      <c r="E383" s="595">
        <v>5</v>
      </c>
      <c r="F383" s="595">
        <v>6</v>
      </c>
      <c r="G383" s="595">
        <v>7</v>
      </c>
      <c r="H383" s="595">
        <v>8</v>
      </c>
      <c r="I383" s="595">
        <v>9</v>
      </c>
      <c r="J383" s="595">
        <v>10</v>
      </c>
      <c r="K383" s="595">
        <v>11</v>
      </c>
      <c r="L383" s="595">
        <v>12</v>
      </c>
      <c r="M383" s="595">
        <v>13</v>
      </c>
      <c r="N383" s="595">
        <v>14</v>
      </c>
      <c r="O383" s="595">
        <v>15</v>
      </c>
      <c r="P383" s="596">
        <v>16</v>
      </c>
      <c r="Q383" s="597">
        <v>17</v>
      </c>
      <c r="R383" s="596">
        <v>18</v>
      </c>
      <c r="S383" s="597">
        <v>19</v>
      </c>
      <c r="T383" s="598">
        <v>20</v>
      </c>
      <c r="U383" s="255">
        <v>21</v>
      </c>
      <c r="V383" s="599">
        <v>22</v>
      </c>
      <c r="X383" s="589"/>
      <c r="Y383" s="590"/>
    </row>
    <row r="384" spans="1:29" s="44" customFormat="1" ht="37.5" customHeight="1">
      <c r="A384" s="42" t="str">
        <f>"A"&amp;E380</f>
        <v>A13</v>
      </c>
      <c r="B384" s="605">
        <f>IF(C384&lt;&gt;"",B383+1,"")</f>
        <v>1</v>
      </c>
      <c r="C384" s="638" t="s">
        <v>443</v>
      </c>
      <c r="D384" s="581" t="s">
        <v>506</v>
      </c>
      <c r="E384" s="581" t="s">
        <v>507</v>
      </c>
      <c r="F384" s="581" t="s">
        <v>431</v>
      </c>
      <c r="G384" s="534">
        <v>0.3</v>
      </c>
      <c r="H384" s="534" t="s">
        <v>385</v>
      </c>
      <c r="I384" s="579" t="s">
        <v>384</v>
      </c>
      <c r="J384" s="580" t="str">
        <f>IF(I384="","",IF(I384="I",$F380,VLOOKUP(I384,$C401:$D406,2,0)))</f>
        <v>NICOLAS REDONDO MOLINA</v>
      </c>
      <c r="K384" s="535">
        <v>41516</v>
      </c>
      <c r="L384" s="535">
        <v>41757</v>
      </c>
      <c r="M384" s="536">
        <v>1440.67</v>
      </c>
      <c r="N384" s="232">
        <f t="shared" ref="N384:N393" si="73">IF(OR(G384="",M384=""),"",M384*G384)</f>
        <v>432.20100000000002</v>
      </c>
      <c r="O384" s="260">
        <f t="shared" ref="O384:O393" si="74">IF(OR(H384="",H384="NO",K384&lt;$Q$17,K384&gt;$R$17,K384="",M384="",N384=""),"",ROUND(N384,7))</f>
        <v>432.20100000000002</v>
      </c>
      <c r="P384" s="781"/>
      <c r="Q384" s="782"/>
      <c r="R384" s="767"/>
      <c r="S384" s="768"/>
      <c r="T384" s="538" t="s">
        <v>385</v>
      </c>
      <c r="U384" s="539">
        <v>7</v>
      </c>
      <c r="V384" s="540" t="s">
        <v>385</v>
      </c>
      <c r="X384" s="541" t="s">
        <v>423</v>
      </c>
      <c r="Y384" s="541" t="s">
        <v>435</v>
      </c>
    </row>
    <row r="385" spans="1:29" s="44" customFormat="1" ht="24.95" customHeight="1">
      <c r="A385" s="42" t="str">
        <f>"B"&amp;E380</f>
        <v>B13</v>
      </c>
      <c r="B385" s="605" t="str">
        <f t="shared" ref="B385:B393" si="75">IF(C385&lt;&gt;"",B384+1,"")</f>
        <v/>
      </c>
      <c r="C385" s="581"/>
      <c r="D385" s="581"/>
      <c r="E385" s="581"/>
      <c r="F385" s="581"/>
      <c r="G385" s="534"/>
      <c r="H385" s="534"/>
      <c r="I385" s="579"/>
      <c r="J385" s="580" t="str">
        <f>IF(I385="","",IF(I385="I",$F380,VLOOKUP(I385,$C401:$D406,2,0)))</f>
        <v/>
      </c>
      <c r="K385" s="535"/>
      <c r="L385" s="535"/>
      <c r="M385" s="536"/>
      <c r="N385" s="232" t="str">
        <f t="shared" si="73"/>
        <v/>
      </c>
      <c r="O385" s="260" t="str">
        <f t="shared" si="74"/>
        <v/>
      </c>
      <c r="P385" s="781"/>
      <c r="Q385" s="782"/>
      <c r="R385" s="767"/>
      <c r="S385" s="768"/>
      <c r="T385" s="538"/>
      <c r="U385" s="539"/>
      <c r="V385" s="540"/>
      <c r="X385" s="541"/>
      <c r="Y385" s="541"/>
    </row>
    <row r="386" spans="1:29" s="44" customFormat="1" ht="24.95" customHeight="1">
      <c r="A386" s="42" t="str">
        <f>"C"&amp;E380</f>
        <v>C13</v>
      </c>
      <c r="B386" s="605" t="str">
        <f t="shared" si="75"/>
        <v/>
      </c>
      <c r="C386" s="581"/>
      <c r="D386" s="581"/>
      <c r="E386" s="581"/>
      <c r="F386" s="581"/>
      <c r="G386" s="534"/>
      <c r="H386" s="534"/>
      <c r="I386" s="579"/>
      <c r="J386" s="580" t="str">
        <f>IF(I386="","",IF(I386="I",$F380,VLOOKUP(I386,$C401:$D406,2,0)))</f>
        <v/>
      </c>
      <c r="K386" s="535"/>
      <c r="L386" s="535"/>
      <c r="M386" s="536"/>
      <c r="N386" s="232" t="str">
        <f t="shared" si="73"/>
        <v/>
      </c>
      <c r="O386" s="260" t="str">
        <f t="shared" si="74"/>
        <v/>
      </c>
      <c r="P386" s="781"/>
      <c r="Q386" s="782"/>
      <c r="R386" s="767"/>
      <c r="S386" s="768"/>
      <c r="T386" s="538"/>
      <c r="U386" s="539"/>
      <c r="V386" s="540"/>
      <c r="X386" s="541"/>
      <c r="Y386" s="541"/>
    </row>
    <row r="387" spans="1:29" s="44" customFormat="1" ht="24.95" customHeight="1">
      <c r="A387" s="42" t="str">
        <f>"D"&amp;E380</f>
        <v>D13</v>
      </c>
      <c r="B387" s="605" t="str">
        <f t="shared" si="75"/>
        <v/>
      </c>
      <c r="C387" s="581"/>
      <c r="D387" s="581"/>
      <c r="E387" s="581"/>
      <c r="F387" s="581"/>
      <c r="G387" s="534"/>
      <c r="H387" s="534"/>
      <c r="I387" s="579"/>
      <c r="J387" s="580" t="str">
        <f>IF(I387="","",IF(I387="I",$F380,VLOOKUP(I387,$C401:$D406,2,0)))</f>
        <v/>
      </c>
      <c r="K387" s="535"/>
      <c r="L387" s="535"/>
      <c r="M387" s="536"/>
      <c r="N387" s="232" t="str">
        <f t="shared" si="73"/>
        <v/>
      </c>
      <c r="O387" s="260" t="str">
        <f t="shared" si="74"/>
        <v/>
      </c>
      <c r="P387" s="781"/>
      <c r="Q387" s="782"/>
      <c r="R387" s="767"/>
      <c r="S387" s="768"/>
      <c r="T387" s="538"/>
      <c r="U387" s="539"/>
      <c r="V387" s="540"/>
      <c r="X387" s="541"/>
      <c r="Y387" s="541"/>
    </row>
    <row r="388" spans="1:29" s="44" customFormat="1" ht="24.95" customHeight="1">
      <c r="A388" s="42" t="str">
        <f>"E"&amp;E380</f>
        <v>E13</v>
      </c>
      <c r="B388" s="605" t="str">
        <f t="shared" si="75"/>
        <v/>
      </c>
      <c r="C388" s="581"/>
      <c r="D388" s="581"/>
      <c r="E388" s="581"/>
      <c r="F388" s="581"/>
      <c r="G388" s="534"/>
      <c r="H388" s="534"/>
      <c r="I388" s="579"/>
      <c r="J388" s="580" t="str">
        <f>IF(I388="","",IF(I388="I",$F380,VLOOKUP(I388,$C401:$D406,2,0)))</f>
        <v/>
      </c>
      <c r="K388" s="535"/>
      <c r="L388" s="535"/>
      <c r="M388" s="536"/>
      <c r="N388" s="232" t="str">
        <f t="shared" si="73"/>
        <v/>
      </c>
      <c r="O388" s="260" t="str">
        <f t="shared" si="74"/>
        <v/>
      </c>
      <c r="P388" s="781"/>
      <c r="Q388" s="782"/>
      <c r="R388" s="767"/>
      <c r="S388" s="768"/>
      <c r="T388" s="538"/>
      <c r="U388" s="539"/>
      <c r="V388" s="540"/>
      <c r="X388" s="541"/>
      <c r="Y388" s="541"/>
    </row>
    <row r="389" spans="1:29" s="44" customFormat="1" ht="24.95" customHeight="1">
      <c r="A389" s="42" t="str">
        <f>"F"&amp;E380</f>
        <v>F13</v>
      </c>
      <c r="B389" s="605" t="str">
        <f t="shared" si="75"/>
        <v/>
      </c>
      <c r="C389" s="581"/>
      <c r="D389" s="581"/>
      <c r="E389" s="581"/>
      <c r="F389" s="581"/>
      <c r="G389" s="534"/>
      <c r="H389" s="534"/>
      <c r="I389" s="579"/>
      <c r="J389" s="580" t="str">
        <f>IF(I389="","",IF(I389="I",$F380,VLOOKUP(I389,$C401:$D406,2,0)))</f>
        <v/>
      </c>
      <c r="K389" s="535"/>
      <c r="L389" s="535"/>
      <c r="M389" s="536"/>
      <c r="N389" s="232" t="str">
        <f t="shared" si="73"/>
        <v/>
      </c>
      <c r="O389" s="260" t="str">
        <f t="shared" si="74"/>
        <v/>
      </c>
      <c r="P389" s="781"/>
      <c r="Q389" s="782"/>
      <c r="R389" s="767"/>
      <c r="S389" s="768"/>
      <c r="T389" s="538"/>
      <c r="U389" s="539"/>
      <c r="V389" s="540"/>
      <c r="X389" s="541"/>
      <c r="Y389" s="541"/>
    </row>
    <row r="390" spans="1:29" s="44" customFormat="1" ht="24.95" customHeight="1">
      <c r="A390" s="42" t="str">
        <f>"G"&amp;E380</f>
        <v>G13</v>
      </c>
      <c r="B390" s="605" t="str">
        <f t="shared" si="75"/>
        <v/>
      </c>
      <c r="C390" s="581"/>
      <c r="D390" s="581"/>
      <c r="E390" s="581"/>
      <c r="F390" s="581"/>
      <c r="G390" s="534"/>
      <c r="H390" s="534"/>
      <c r="I390" s="579"/>
      <c r="J390" s="580" t="str">
        <f>IF(I390="","",IF(I390="I",$F380,VLOOKUP(I390,$C401:$D406,2,0)))</f>
        <v/>
      </c>
      <c r="K390" s="535"/>
      <c r="L390" s="535"/>
      <c r="M390" s="536"/>
      <c r="N390" s="43" t="str">
        <f t="shared" si="73"/>
        <v/>
      </c>
      <c r="O390" s="260" t="str">
        <f t="shared" si="74"/>
        <v/>
      </c>
      <c r="P390" s="781"/>
      <c r="Q390" s="782"/>
      <c r="R390" s="767"/>
      <c r="S390" s="768"/>
      <c r="T390" s="538"/>
      <c r="U390" s="539"/>
      <c r="V390" s="540"/>
      <c r="X390" s="541"/>
      <c r="Y390" s="541"/>
    </row>
    <row r="391" spans="1:29" s="44" customFormat="1" ht="24.95" customHeight="1">
      <c r="A391" s="42" t="str">
        <f>"H"&amp;E380</f>
        <v>H13</v>
      </c>
      <c r="B391" s="605" t="str">
        <f t="shared" si="75"/>
        <v/>
      </c>
      <c r="C391" s="581"/>
      <c r="D391" s="581"/>
      <c r="E391" s="581"/>
      <c r="F391" s="581"/>
      <c r="G391" s="534"/>
      <c r="H391" s="534"/>
      <c r="I391" s="579"/>
      <c r="J391" s="580" t="str">
        <f>IF(I391="","",IF(I391="I",$F380,VLOOKUP(I391,$C401:$D406,2,0)))</f>
        <v/>
      </c>
      <c r="K391" s="535"/>
      <c r="L391" s="535"/>
      <c r="M391" s="537"/>
      <c r="N391" s="43" t="str">
        <f t="shared" si="73"/>
        <v/>
      </c>
      <c r="O391" s="260" t="str">
        <f t="shared" si="74"/>
        <v/>
      </c>
      <c r="P391" s="781"/>
      <c r="Q391" s="782"/>
      <c r="R391" s="767"/>
      <c r="S391" s="768"/>
      <c r="T391" s="538"/>
      <c r="U391" s="539"/>
      <c r="V391" s="540"/>
      <c r="X391" s="541"/>
      <c r="Y391" s="541"/>
    </row>
    <row r="392" spans="1:29" s="44" customFormat="1" ht="24.95" customHeight="1">
      <c r="A392" s="42" t="str">
        <f>"I"&amp;E380</f>
        <v>I13</v>
      </c>
      <c r="B392" s="605" t="str">
        <f t="shared" si="75"/>
        <v/>
      </c>
      <c r="C392" s="581"/>
      <c r="D392" s="581"/>
      <c r="E392" s="581"/>
      <c r="F392" s="581"/>
      <c r="G392" s="534"/>
      <c r="H392" s="534"/>
      <c r="I392" s="579"/>
      <c r="J392" s="580" t="str">
        <f>IF(I392="","",IF(I392="I",$F380,VLOOKUP(I392,$C401:$D406,2,0)))</f>
        <v/>
      </c>
      <c r="K392" s="535"/>
      <c r="L392" s="535"/>
      <c r="M392" s="537"/>
      <c r="N392" s="43" t="str">
        <f t="shared" si="73"/>
        <v/>
      </c>
      <c r="O392" s="260" t="str">
        <f t="shared" si="74"/>
        <v/>
      </c>
      <c r="P392" s="781"/>
      <c r="Q392" s="782"/>
      <c r="R392" s="767"/>
      <c r="S392" s="768"/>
      <c r="T392" s="538"/>
      <c r="U392" s="539"/>
      <c r="V392" s="540"/>
      <c r="X392" s="541"/>
      <c r="Y392" s="541"/>
    </row>
    <row r="393" spans="1:29" s="44" customFormat="1" ht="24.95" customHeight="1" thickBot="1">
      <c r="A393" s="42" t="str">
        <f>"J"&amp;E380</f>
        <v>J13</v>
      </c>
      <c r="B393" s="612" t="str">
        <f t="shared" si="75"/>
        <v/>
      </c>
      <c r="C393" s="582"/>
      <c r="D393" s="582"/>
      <c r="E393" s="582"/>
      <c r="F393" s="582"/>
      <c r="G393" s="583"/>
      <c r="H393" s="583"/>
      <c r="I393" s="584"/>
      <c r="J393" s="585" t="str">
        <f>IF(I393="","",IF(I393="I",$F380,VLOOKUP(I393,$C401:$D406,2,0)))</f>
        <v/>
      </c>
      <c r="K393" s="586"/>
      <c r="L393" s="586"/>
      <c r="M393" s="587"/>
      <c r="N393" s="43" t="str">
        <f t="shared" si="73"/>
        <v/>
      </c>
      <c r="O393" s="260" t="str">
        <f t="shared" si="74"/>
        <v/>
      </c>
      <c r="P393" s="781"/>
      <c r="Q393" s="782"/>
      <c r="R393" s="767"/>
      <c r="S393" s="768"/>
      <c r="T393" s="538"/>
      <c r="U393" s="539"/>
      <c r="V393" s="540"/>
      <c r="X393" s="541"/>
      <c r="Y393" s="541"/>
    </row>
    <row r="394" spans="1:29" s="27" customFormat="1" ht="12" customHeight="1" thickBot="1">
      <c r="A394" s="42"/>
      <c r="B394" s="45"/>
      <c r="C394" s="46"/>
      <c r="D394" s="46"/>
      <c r="E394" s="46"/>
      <c r="F394" s="46"/>
      <c r="G394" s="46"/>
      <c r="H394" s="606"/>
      <c r="I394" s="46"/>
      <c r="J394" s="46"/>
      <c r="K394" s="46"/>
      <c r="L394" s="46"/>
      <c r="M394" s="46"/>
      <c r="N394" s="46"/>
      <c r="O394" s="259"/>
      <c r="P394" s="46"/>
      <c r="Q394" s="46"/>
      <c r="R394" s="259"/>
      <c r="S394" s="46"/>
      <c r="T394" s="46"/>
      <c r="U394" s="47"/>
      <c r="V394" s="48"/>
      <c r="X394" s="592"/>
      <c r="Y394" s="593"/>
      <c r="AB394" s="378"/>
    </row>
    <row r="395" spans="1:29" s="27" customFormat="1" ht="17.25" customHeight="1" thickBot="1">
      <c r="A395" s="42" t="str">
        <f>"Z"&amp;E380</f>
        <v>Z13</v>
      </c>
      <c r="B395" s="510"/>
      <c r="C395" s="511"/>
      <c r="D395" s="511"/>
      <c r="E395" s="511"/>
      <c r="F395" s="511"/>
      <c r="G395" s="511"/>
      <c r="H395" s="511"/>
      <c r="I395" s="511"/>
      <c r="J395" s="511"/>
      <c r="K395" s="511"/>
      <c r="L395" s="511"/>
      <c r="M395" s="511"/>
      <c r="N395" s="437" t="s">
        <v>388</v>
      </c>
      <c r="O395" s="438">
        <f>IF(COUNTIF(O384:O393,"")&gt;9,0,SUM(O384:O393)/(COUNTIF(H384:H393,"SI")))</f>
        <v>432.20100000000002</v>
      </c>
      <c r="P395" s="511"/>
      <c r="Q395" s="511"/>
      <c r="R395" s="530"/>
      <c r="S395" s="530"/>
      <c r="T395" s="531"/>
      <c r="U395" s="532"/>
      <c r="V395" s="533"/>
      <c r="W395" s="285"/>
      <c r="X395" s="613" t="e">
        <f>COUNTIF(#REF!,"")-COUNTIF(#REF!,"CUMPLE")-1</f>
        <v>#REF!</v>
      </c>
      <c r="Y395" s="591"/>
      <c r="AB395" s="28"/>
    </row>
    <row r="396" spans="1:29" ht="17.25" customHeight="1">
      <c r="B396" s="50"/>
      <c r="C396" s="50"/>
      <c r="D396" s="50"/>
      <c r="E396" s="50"/>
      <c r="F396" s="50"/>
      <c r="G396" s="51"/>
      <c r="H396" s="51"/>
      <c r="I396" s="51"/>
      <c r="J396" s="51"/>
      <c r="K396" s="51"/>
      <c r="L396" s="51"/>
      <c r="M396" s="51"/>
      <c r="N396" s="51"/>
      <c r="O396" s="51"/>
      <c r="P396" s="51"/>
      <c r="Q396" s="51"/>
      <c r="R396" s="51"/>
      <c r="S396" s="51"/>
      <c r="T396" s="51"/>
      <c r="U396" s="51"/>
      <c r="V396" s="51"/>
      <c r="W396" s="51"/>
      <c r="X396" s="608"/>
      <c r="Y396" s="51"/>
      <c r="Z396" s="51"/>
      <c r="AA396" s="51"/>
      <c r="AB396" s="51"/>
      <c r="AC396" s="50"/>
    </row>
    <row r="397" spans="1:29" s="27" customFormat="1" ht="16.5" customHeight="1" thickBot="1">
      <c r="A397" s="22"/>
      <c r="B397" s="783" t="s">
        <v>389</v>
      </c>
      <c r="C397" s="783"/>
      <c r="D397" s="783"/>
      <c r="E397" s="783"/>
      <c r="F397" s="783"/>
      <c r="G397" s="783"/>
      <c r="H397" s="783"/>
      <c r="I397" s="783"/>
      <c r="J397" s="783"/>
      <c r="K397" s="783"/>
      <c r="L397" s="783"/>
      <c r="M397" s="783"/>
      <c r="N397" s="783"/>
      <c r="O397" s="783"/>
      <c r="P397" s="783"/>
      <c r="Q397" s="783"/>
      <c r="R397" s="783"/>
      <c r="S397" s="783"/>
      <c r="T397" s="783"/>
      <c r="U397" s="783"/>
      <c r="V397" s="783"/>
      <c r="W397" s="286"/>
      <c r="X397" s="607"/>
      <c r="Y397" s="52"/>
      <c r="Z397" s="52"/>
      <c r="AA397" s="52"/>
      <c r="AB397" s="28"/>
      <c r="AC397" s="28"/>
    </row>
    <row r="398" spans="1:29" s="30" customFormat="1" ht="22.5" customHeight="1">
      <c r="A398" s="112" t="str">
        <f>"K"&amp;E380</f>
        <v>K13</v>
      </c>
      <c r="B398" s="790" t="s">
        <v>390</v>
      </c>
      <c r="C398" s="772" t="s">
        <v>391</v>
      </c>
      <c r="D398" s="773"/>
      <c r="E398" s="773"/>
      <c r="F398" s="773"/>
      <c r="G398" s="773"/>
      <c r="H398" s="773"/>
      <c r="I398" s="773"/>
      <c r="J398" s="773"/>
      <c r="K398" s="773"/>
      <c r="L398" s="773"/>
      <c r="M398" s="774"/>
      <c r="N398" s="525"/>
      <c r="O398" s="588"/>
      <c r="P398" s="772" t="s">
        <v>392</v>
      </c>
      <c r="Q398" s="773"/>
      <c r="R398" s="773"/>
      <c r="S398" s="774"/>
      <c r="T398" s="784" t="s">
        <v>393</v>
      </c>
      <c r="U398" s="774"/>
      <c r="V398" s="811"/>
      <c r="W398" s="284"/>
      <c r="X398" s="778" t="s">
        <v>394</v>
      </c>
      <c r="Y398" s="779"/>
      <c r="Z398" s="779"/>
      <c r="AA398" s="779" t="s">
        <v>395</v>
      </c>
      <c r="AB398" s="808" t="s">
        <v>396</v>
      </c>
      <c r="AC398" s="28"/>
    </row>
    <row r="399" spans="1:29" s="30" customFormat="1" ht="22.5" customHeight="1">
      <c r="A399" s="112" t="str">
        <f>"L"&amp;E380</f>
        <v>L13</v>
      </c>
      <c r="B399" s="791"/>
      <c r="C399" s="769" t="s">
        <v>397</v>
      </c>
      <c r="D399" s="770"/>
      <c r="E399" s="771"/>
      <c r="F399" s="512">
        <f>IF(VLOOKUP(E380,PROPONENTES!$C$19:$E$108,3,0)="","",VLOOKUP(E380,PROPONENTES!$C$19:$E$108,3,0))</f>
        <v>1</v>
      </c>
      <c r="G399" s="824" t="s">
        <v>398</v>
      </c>
      <c r="H399" s="793" t="s">
        <v>399</v>
      </c>
      <c r="I399" s="793"/>
      <c r="J399" s="769" t="s">
        <v>400</v>
      </c>
      <c r="K399" s="823"/>
      <c r="L399" s="513" t="s">
        <v>401</v>
      </c>
      <c r="M399" s="513"/>
      <c r="N399" s="526"/>
      <c r="O399" s="527"/>
      <c r="P399" s="775"/>
      <c r="Q399" s="776"/>
      <c r="R399" s="776"/>
      <c r="S399" s="777"/>
      <c r="T399" s="796"/>
      <c r="U399" s="797"/>
      <c r="V399" s="812"/>
      <c r="W399" s="284"/>
      <c r="X399" s="780" t="s">
        <v>402</v>
      </c>
      <c r="Y399" s="810" t="s">
        <v>403</v>
      </c>
      <c r="Z399" s="810"/>
      <c r="AA399" s="810"/>
      <c r="AB399" s="809"/>
      <c r="AC399" s="28"/>
    </row>
    <row r="400" spans="1:29" s="30" customFormat="1" ht="51.75" customHeight="1" thickBot="1">
      <c r="A400" s="112" t="str">
        <f>"M"&amp;E380</f>
        <v>M13</v>
      </c>
      <c r="B400" s="791"/>
      <c r="C400" s="770" t="s">
        <v>404</v>
      </c>
      <c r="D400" s="771"/>
      <c r="E400" s="514" t="s">
        <v>405</v>
      </c>
      <c r="F400" s="515" t="s">
        <v>406</v>
      </c>
      <c r="G400" s="824"/>
      <c r="H400" s="793"/>
      <c r="I400" s="793"/>
      <c r="J400" s="504" t="s">
        <v>407</v>
      </c>
      <c r="K400" s="516" t="s">
        <v>408</v>
      </c>
      <c r="L400" s="517" t="s">
        <v>409</v>
      </c>
      <c r="M400" s="517"/>
      <c r="N400" s="528" t="s">
        <v>410</v>
      </c>
      <c r="O400" s="529"/>
      <c r="P400" s="386"/>
      <c r="Q400" s="387" t="s">
        <v>411</v>
      </c>
      <c r="R400" s="388"/>
      <c r="S400" s="113">
        <f>COUNTIFS(H384:H393,"SI",O384:O393,"&gt;0")</f>
        <v>1</v>
      </c>
      <c r="T400" s="785"/>
      <c r="U400" s="787"/>
      <c r="V400" s="813"/>
      <c r="W400" s="284"/>
      <c r="X400" s="780"/>
      <c r="Y400" s="810"/>
      <c r="Z400" s="810"/>
      <c r="AA400" s="810"/>
      <c r="AB400" s="809"/>
      <c r="AC400" s="28"/>
    </row>
    <row r="401" spans="1:29" s="30" customFormat="1" ht="15.75" customHeight="1">
      <c r="A401" s="112" t="str">
        <f>"N"&amp;E380</f>
        <v>N13</v>
      </c>
      <c r="B401" s="791"/>
      <c r="C401" s="54">
        <v>1</v>
      </c>
      <c r="D401" s="100" t="str">
        <f>IF(AND(C401&lt;=F399,F399&gt;1,F399&lt;&gt;""),VLOOKUP(VALUE(E380&amp;","&amp;C401),INTEGRANTES!$D$19:$F$192,2,0),"")</f>
        <v/>
      </c>
      <c r="E401" s="107" t="str">
        <f>IF(D401&lt;&gt;"",VLOOKUP(VALUE(E380&amp;","&amp;C401),INTEGRANTES!$D$19:$F$192,3,0),"")</f>
        <v/>
      </c>
      <c r="F401" s="380" t="str">
        <f>IF(D401="","",IF(OR(SUMIF($J387:$J393,D401,$O387:$O393)=0,N401="NO"),"NO APORTA",SUMIF($J387:$J393,D401,$O387:$O393)))</f>
        <v/>
      </c>
      <c r="G401" s="380" t="str">
        <f>IF($D401="","",IF($F399&lt;=1,"",ROUND(POSMMLV*PORPO,2)))</f>
        <v/>
      </c>
      <c r="H401" s="765" t="str">
        <f>IF($D401="","",IF(OR(F401="NO APORTA",G401&gt;F401),"NO CUMPLE","CUMPLE"))</f>
        <v/>
      </c>
      <c r="I401" s="766"/>
      <c r="J401" s="108" t="str">
        <f>IF(D401="","",IF(OR(AND(SUMIF($J384:$J393,D401,$O384:$O393)&gt;=5%*POSMMLV,N401="SI"),AND(SUMIF($J384:$J393,D401,$O384:$O393)=0,E401&lt;=5%,N401="SI")),"CUMPLE","NO CUMPLE"))</f>
        <v/>
      </c>
      <c r="K401" s="105" t="str">
        <f>IF(OR(D401="",J401=""),"",IF(AND(J401="NO CUMPLE",F401="NO APORTA",E401&gt;5%),"EXP = 0 y PART &gt; 5%",IF(F401&lt;5%*Q406,"EXP &lt; 5%*PO","")))</f>
        <v/>
      </c>
      <c r="L401" s="389" t="str">
        <f>IF(OR(D401="",E401=""),"",IF(AND(E401&gt;=0.25,F401&lt;&gt;"NO APORTA",F401&gt;=$R406*0.25),"SI","NO"))</f>
        <v/>
      </c>
      <c r="M401" s="389"/>
      <c r="N401" s="468" t="s">
        <v>385</v>
      </c>
      <c r="O401" s="396">
        <f>COUNTIFS(O384:O393,"&gt;0",H384:H393,"SI")</f>
        <v>1</v>
      </c>
      <c r="P401" s="814" t="s">
        <v>139</v>
      </c>
      <c r="Q401" s="814"/>
      <c r="R401" s="817">
        <f>E380</f>
        <v>13</v>
      </c>
      <c r="S401" s="818"/>
      <c r="T401" s="784" t="s">
        <v>412</v>
      </c>
      <c r="U401" s="773"/>
      <c r="V401" s="774"/>
      <c r="W401" s="283"/>
      <c r="X401" s="542" t="str">
        <f>IF($F399=1,"NO APLICA",$D401)</f>
        <v>NO APLICA</v>
      </c>
      <c r="Y401" s="543" t="str">
        <f>IF(OR($F401="",$F401="NO APORTA",$R406=0,$X401="NO APLICA"),"",ROUND($F401/$Q406,2))</f>
        <v/>
      </c>
      <c r="Z401" s="544" t="str">
        <f>IF(Y407=1,"SI APLICA",IF(OR($X401="",$X401="NO APLICA",$F401="",$F401="NO APORTA"),"",IF(ROUND($F401/Q406,7)&gt;=0.4,"SI APLICA","NO APLICA")))</f>
        <v>SI APLICA</v>
      </c>
      <c r="AA401" s="543" t="s">
        <v>413</v>
      </c>
      <c r="AB401" s="540" t="str">
        <f>IF(COUNTIF(Z401:AA401,"SI APLICA")=2,"SI APLICA","")</f>
        <v>SI APLICA</v>
      </c>
      <c r="AC401" s="28"/>
    </row>
    <row r="402" spans="1:29" s="30" customFormat="1" ht="15.75" customHeight="1" thickBot="1">
      <c r="A402" s="112" t="str">
        <f>"O"&amp;E380</f>
        <v>O13</v>
      </c>
      <c r="B402" s="791"/>
      <c r="C402" s="54">
        <v>2</v>
      </c>
      <c r="D402" s="100" t="str">
        <f>IF(AND(C402&lt;=F399,F399&lt;&gt;""),VLOOKUP(VALUE(E380&amp;","&amp;C402),INTEGRANTES!$D$19:$F$192,2,0),"")</f>
        <v/>
      </c>
      <c r="E402" s="107" t="str">
        <f>IF(D402&lt;&gt;"",VLOOKUP(VALUE(E380&amp;","&amp;C402),INTEGRANTES!$D$19:$F$192,3,0),"")</f>
        <v/>
      </c>
      <c r="F402" s="380" t="str">
        <f>IF(D402="","",IF(OR(SUMIF($J387:$J393,D402,$O387:$O393)=0,N402="NO"),"NO APORTA",SUMIF($J387:$J393,D402,$O387:$O393)))</f>
        <v/>
      </c>
      <c r="G402" s="380" t="str">
        <f>IF($D402="","",IF($F399&lt;=1,"",ROUND(POSMMLV*PORPO,2)))</f>
        <v/>
      </c>
      <c r="H402" s="765" t="str">
        <f t="shared" ref="H402:H405" si="76">IF($D402="","",IF(OR(F402="NO APORTA",G402&gt;F402),"NO CUMPLE","CUMPLE"))</f>
        <v/>
      </c>
      <c r="I402" s="766"/>
      <c r="J402" s="108" t="str">
        <f>IF(D402="","",IF(OR(AND(SUMIF($J384:$J393,D402,$O384:$O393)&gt;=5%*POSMMLV,N402="SI"),AND(SUMIF($J384:$J393,D402,$O384:$O393)=0,E402&lt;=5%,N402="SI")),"CUMPLE","NO CUMPLE"))</f>
        <v/>
      </c>
      <c r="K402" s="105" t="str">
        <f>IF(OR(D402="",J402=""),"",IF(AND(J402="NO CUMPLE",F402="NO APORTA",E402&gt;5%),"EXP = 0 y PART &gt; 5%",IF(F402&lt;5%*Q406,"EXP &lt; 5%*PO","")))</f>
        <v/>
      </c>
      <c r="L402" s="389" t="str">
        <f>IF(OR(D402="",E402=""),"",IF(AND(E402&gt;=0.25,F402&lt;&gt;"NO APORTA",F402&gt;=$R406*0.25),"SI","NO"))</f>
        <v/>
      </c>
      <c r="M402" s="389"/>
      <c r="N402" s="468" t="s">
        <v>385</v>
      </c>
      <c r="O402" s="396"/>
      <c r="P402" s="815"/>
      <c r="Q402" s="815"/>
      <c r="R402" s="815"/>
      <c r="S402" s="819"/>
      <c r="T402" s="785"/>
      <c r="U402" s="786"/>
      <c r="V402" s="787"/>
      <c r="W402" s="283"/>
      <c r="X402" s="542" t="str">
        <f>IF($F399=1,"NO APLICA",$D402)</f>
        <v>NO APLICA</v>
      </c>
      <c r="Y402" s="543" t="str">
        <f>IF(OR($F402="",$F402="NO APORTA",$R406=0,$X402="NO APLICA"),"",ROUND($F402/$Q406,2))</f>
        <v/>
      </c>
      <c r="Z402" s="544"/>
      <c r="AA402" s="543"/>
      <c r="AB402" s="540" t="str">
        <f t="shared" ref="AB402" si="77">IF(COUNTIF(Z402:AA402,"SI APLICA")=2,"SI APLICA","")</f>
        <v/>
      </c>
      <c r="AC402" s="28"/>
    </row>
    <row r="403" spans="1:29" s="30" customFormat="1" ht="15.75" customHeight="1">
      <c r="A403" s="112" t="str">
        <f>"P"&amp;E380</f>
        <v>P13</v>
      </c>
      <c r="B403" s="791"/>
      <c r="C403" s="54">
        <v>3</v>
      </c>
      <c r="D403" s="100" t="str">
        <f>IF(AND(C403&lt;=F399,F399&lt;&gt;""),VLOOKUP(VALUE(E380&amp;","&amp;C403),INTEGRANTES!$D$19:$F$192,2,0),"")</f>
        <v/>
      </c>
      <c r="E403" s="107" t="str">
        <f>IF(D403&lt;&gt;"",VLOOKUP(VALUE(E380&amp;","&amp;C403),INTEGRANTES!$D$19:$F$192,3,0),"")</f>
        <v/>
      </c>
      <c r="F403" s="380" t="str">
        <f>IF(D403="","",IF(OR(SUMIF($J387:$J393,D403,$O387:$O393)=0,N403="NO"),"NO APORTA",SUMIF($J387:$J393,D403,$O387:$O393)))</f>
        <v/>
      </c>
      <c r="G403" s="380" t="str">
        <f>IF($D403="","",IF($F399&lt;=1,"",ROUND(POSMMLV*PORPO,2)))</f>
        <v/>
      </c>
      <c r="H403" s="765" t="str">
        <f t="shared" si="76"/>
        <v/>
      </c>
      <c r="I403" s="766"/>
      <c r="J403" s="108" t="str">
        <f>IF(D403="","",IF(OR(AND(SUMIF($J384:$J393,D403,$O384:$O393)&gt;=5%*POSMMLV,N403="SI"),AND(SUMIF($J384:$J393,D403,$O384:$O393)=0,E403&lt;=5%,N403="SI")),"CUMPLE","NO CUMPLE"))</f>
        <v/>
      </c>
      <c r="K403" s="105" t="str">
        <f>IF(OR(D403="",J403=""),"",IF(AND(J403="NO CUMPLE",F403="NO APORTA",E403&gt;5%),"EXP = 0 y PART &gt; 5%",IF(F403&lt;5%*Q406,"EXP &lt; 5%*PO","")))</f>
        <v/>
      </c>
      <c r="L403" s="389" t="str">
        <f>IF(OR(D403="",E403=""),"",IF(AND(E403&gt;=0.25,F403&lt;&gt;"NO APORTA",F403&gt;=$R406*0.25),"SI","NO"))</f>
        <v/>
      </c>
      <c r="M403" s="389"/>
      <c r="N403" s="468"/>
      <c r="O403" s="397"/>
      <c r="P403" s="816"/>
      <c r="Q403" s="816"/>
      <c r="R403" s="816"/>
      <c r="S403" s="820"/>
      <c r="T403" s="308"/>
      <c r="U403" s="308"/>
      <c r="V403" s="309"/>
      <c r="W403" s="284"/>
      <c r="X403" s="542" t="str">
        <f>IF($F399=1,"NO APLICA",$D403)</f>
        <v>NO APLICA</v>
      </c>
      <c r="Y403" s="543" t="str">
        <f>IF(OR($F403="",$F403="NO APORTA",$R406=0,$X403="NO APLICA"),"",ROUND($F403/$Q406,2))</f>
        <v/>
      </c>
      <c r="Z403" s="544"/>
      <c r="AA403" s="543"/>
      <c r="AB403" s="540" t="str">
        <f>IF(COUNTIF(Z403:AA403,"SI APLICA")=2,"SI APLICA","")</f>
        <v/>
      </c>
      <c r="AC403" s="28"/>
    </row>
    <row r="404" spans="1:29" s="30" customFormat="1" ht="15.75" customHeight="1">
      <c r="A404" s="112" t="str">
        <f>"Q"&amp;E380</f>
        <v>Q13</v>
      </c>
      <c r="B404" s="791"/>
      <c r="C404" s="54">
        <v>4</v>
      </c>
      <c r="D404" s="100" t="str">
        <f>IF(AND(C404&lt;=F399,F399&lt;&gt;""),VLOOKUP(VALUE(E380&amp;","&amp;C404),INTEGRANTES!$D$19:$F$192,2,0),"")</f>
        <v/>
      </c>
      <c r="E404" s="107" t="str">
        <f>IF(D404&lt;&gt;"",VLOOKUP(VALUE(E380&amp;","&amp;C404),INTEGRANTES!$D$19:$F$192,3,0),"")</f>
        <v/>
      </c>
      <c r="F404" s="380" t="str">
        <f>IF(D404="","",IF(OR(SUMIF($J387:$J393,D404,$O387:$O393)=0,N404="NO"),"NO APORTA",SUMIF($J387:$J393,D404,$O387:$O393)))</f>
        <v/>
      </c>
      <c r="G404" s="380" t="str">
        <f>IF($D404="","",IF($F399&lt;=1,"",ROUND(POSMMLV*PORPO,2)))</f>
        <v/>
      </c>
      <c r="H404" s="765" t="str">
        <f t="shared" si="76"/>
        <v/>
      </c>
      <c r="I404" s="766"/>
      <c r="J404" s="108" t="str">
        <f>IF(D404="","",IF(OR(AND(SUMIF($J384:$J393,D404,$O384:$O393)&gt;=5%*POSMMLV,N404="SI"),AND(SUMIF($J384:$J393,D404,$O384:$O393)=0,E404&lt;=5%,N404="SI")),"CUMPLE","NO CUMPLE"))</f>
        <v/>
      </c>
      <c r="K404" s="105" t="str">
        <f>IF(OR(D404="",J404=""),"",IF(AND(J404="NO CUMPLE",F404="NO APORTA",E404&gt;5%),"EXP = 0 y PART &gt; 5%",IF(F404&lt;5%*Q406,"EXP &lt; 5%*PO","")))</f>
        <v/>
      </c>
      <c r="L404" s="389" t="str">
        <f>IF(OR(D404="",E404=""),"",IF(AND(E404&gt;=0.25,F404&lt;&gt;"NO APORTA",F404&gt;=$R406*0.25),"SI","NO"))</f>
        <v/>
      </c>
      <c r="M404" s="389"/>
      <c r="N404" s="468"/>
      <c r="O404" s="788" t="s">
        <v>414</v>
      </c>
      <c r="P404" s="769" t="s">
        <v>415</v>
      </c>
      <c r="Q404" s="770"/>
      <c r="R404" s="770"/>
      <c r="S404" s="771"/>
      <c r="T404" s="284"/>
      <c r="U404" s="284"/>
      <c r="V404" s="310"/>
      <c r="W404" s="284"/>
      <c r="X404" s="542" t="str">
        <f>IF($F399=1,"NO APLICA",$D404)</f>
        <v>NO APLICA</v>
      </c>
      <c r="Y404" s="543" t="str">
        <f>IF(OR($F404="",$F404="NO APORTA",$R406=0,$X404="NO APLICA"),"",ROUND($F404/$Q406,2))</f>
        <v/>
      </c>
      <c r="Z404" s="544"/>
      <c r="AA404" s="543"/>
      <c r="AB404" s="540" t="str">
        <f t="shared" ref="AB404:AB405" si="78">IF(COUNTIF(Z404:AA404,"SI APLICA")=2,"SI APLICA","")</f>
        <v/>
      </c>
      <c r="AC404" s="28"/>
    </row>
    <row r="405" spans="1:29" s="30" customFormat="1" ht="17.25" customHeight="1">
      <c r="A405" s="112" t="str">
        <f>"R"&amp;E380</f>
        <v>R13</v>
      </c>
      <c r="B405" s="791"/>
      <c r="C405" s="54">
        <v>5</v>
      </c>
      <c r="D405" s="100" t="str">
        <f>IF(AND(C405&lt;=F399,F399&lt;&gt;""),VLOOKUP(VALUE(E380&amp;","&amp;C405),INTEGRANTES!$D$19:$F$192,2,0),"")</f>
        <v/>
      </c>
      <c r="E405" s="107" t="str">
        <f>IF(D405&lt;&gt;"",VLOOKUP(VALUE(E380&amp;","&amp;C405),INTEGRANTES!$D$19:$F$192,3,0),"")</f>
        <v/>
      </c>
      <c r="F405" s="380" t="str">
        <f>IF(D405="","",IF(OR(SUMIF($J387:$J393,D405,$O387:$O393)=0,N405="NO"),"NO APORTA",SUMIF($J387:$J393,D405,$O387:$O393)))</f>
        <v/>
      </c>
      <c r="G405" s="380" t="str">
        <f>IF($D405="","",IF($F399&lt;=1,"",ROUND(POSMMLV*PORPO,2)))</f>
        <v/>
      </c>
      <c r="H405" s="765" t="str">
        <f t="shared" si="76"/>
        <v/>
      </c>
      <c r="I405" s="766"/>
      <c r="J405" s="108" t="str">
        <f>IF(D405="","",IF(OR(AND(SUMIF($J384:$J393,D405,$O384:$O393)&gt;=5%*POSMMLV,N405="SI"),AND(SUMIF($J384:$J393,D405,$O384:$O393)=0,E405&lt;=5%,N405="SI")),"CUMPLE","NO CUMPLE"))</f>
        <v/>
      </c>
      <c r="K405" s="105" t="str">
        <f>IF(OR(D405="",J405=""),"",IF(AND(J405="NO CUMPLE",F405="NO APORTA",E405&gt;5%),"EXP = 0 y PART &gt; 5%",IF(F405&lt;5%*Q406,"EXP &lt; 5%*PO","")))</f>
        <v/>
      </c>
      <c r="L405" s="389" t="str">
        <f>IF(OR(D405="",E405=""),"",IF(AND(E405&gt;=0.25,F405&lt;&gt;"NO APORTA",F405&gt;=$R406*0.25),"SI","NO"))</f>
        <v/>
      </c>
      <c r="M405" s="389"/>
      <c r="N405" s="468"/>
      <c r="O405" s="789"/>
      <c r="P405" s="504" t="s">
        <v>416</v>
      </c>
      <c r="Q405" s="504" t="s">
        <v>417</v>
      </c>
      <c r="R405" s="793" t="s">
        <v>418</v>
      </c>
      <c r="S405" s="793"/>
      <c r="T405" s="284"/>
      <c r="U405" s="284"/>
      <c r="V405" s="310"/>
      <c r="W405" s="284"/>
      <c r="X405" s="542" t="str">
        <f>IF($F399=1,"NO APLICA",$D405)</f>
        <v>NO APLICA</v>
      </c>
      <c r="Y405" s="543" t="str">
        <f>IF(OR($F405="",$F405="NO APORTA",$R406=0,$X405="NO APLICA"),"",ROUND($F405/$Q406,2))</f>
        <v/>
      </c>
      <c r="Z405" s="544"/>
      <c r="AA405" s="543"/>
      <c r="AB405" s="540" t="str">
        <f t="shared" si="78"/>
        <v/>
      </c>
      <c r="AC405" s="28"/>
    </row>
    <row r="406" spans="1:29" s="30" customFormat="1" ht="16.5" customHeight="1" thickBot="1">
      <c r="A406" s="112" t="str">
        <f>"S"&amp;E380</f>
        <v>S13</v>
      </c>
      <c r="B406" s="791"/>
      <c r="C406" s="109">
        <v>6</v>
      </c>
      <c r="D406" s="110" t="str">
        <f>IF(AND(C406&lt;=F399,F399&lt;&gt;""),VLOOKUP(VALUE(E380&amp;","&amp;C406),INTEGRANTES!$D$19:$F$192,2,0),"")</f>
        <v/>
      </c>
      <c r="E406" s="111" t="str">
        <f>IF(D406&lt;&gt;"",VLOOKUP(VALUE(E380&amp;","&amp;C406),INTEGRANTES!$D$19:$F$192,3,0),"")</f>
        <v/>
      </c>
      <c r="F406" s="380" t="str">
        <f>IF(D406="","",IF(OR(SUMIF($J387:$J393,D406,$O387:$O393)=0,N406="NO"),"NO APORTA",SUMIF($J387:$J393,D406,$O387:$O393)))</f>
        <v/>
      </c>
      <c r="G406" s="380" t="str">
        <f>IF($D406="","",IF($F399&lt;=1,"",ROUND(POSMMLV*PORPO,2)))</f>
        <v/>
      </c>
      <c r="H406" s="765" t="str">
        <f>IF($D406="","",IF(OR(F406="NO APORTA",G406&gt;F406),"NO CUMPLE","CUMPLE"))</f>
        <v/>
      </c>
      <c r="I406" s="766"/>
      <c r="J406" s="108" t="str">
        <f>IF(D406="","",IF(OR(AND(SUMIF($J384:$J393,D406,$O384:$O393)&gt;=5%*POSMMLV,N406="SI"),AND(SUMIF($J384:$J393,D406,$O384:$O393)=0,E406&lt;=5%,N406="SI")),"CUMPLE","NO CUMPLE"))</f>
        <v/>
      </c>
      <c r="K406" s="105" t="str">
        <f>IF(OR(D406="",J406=""),"",IF(AND(J406="NO CUMPLE",F406="NO APORTA",E406&gt;5%),"EXP = 0 y PART &gt; 5%",IF(F406&lt;5%*Q406,"EXP &lt; 5%*PO","")))</f>
        <v/>
      </c>
      <c r="L406" s="389" t="str">
        <f>IF(OR(D406="",E406=""),"",IF(AND(E406&gt;=0.25,F406&lt;&gt;"NO APORTA",F406&gt;=$R406*0.25),"SI","NO"))</f>
        <v/>
      </c>
      <c r="M406" s="389"/>
      <c r="N406" s="468"/>
      <c r="O406" s="403" t="str">
        <f ca="1">IF(R406&gt;=Q406,"CUMPLE","NO CUMPLE")</f>
        <v>CUMPLE</v>
      </c>
      <c r="P406" s="312">
        <f>NUMMOD</f>
        <v>1</v>
      </c>
      <c r="Q406" s="313">
        <f ca="1">IF(P406="","",ROUND(VLOOKUP(P406,PRESUPUESTOS!$B$16:$L$16,9,FALSE),7))</f>
        <v>300</v>
      </c>
      <c r="R406" s="834">
        <f>IF(OR(COUNTIF(O384:O393,"")&gt;9,S400&lt;NUMMINCONT),0,SUM(O384:O393))</f>
        <v>432.20100000000002</v>
      </c>
      <c r="S406" s="834"/>
      <c r="T406" s="284"/>
      <c r="U406" s="284"/>
      <c r="V406" s="310"/>
      <c r="W406" s="284"/>
      <c r="X406" s="545" t="str">
        <f>IF($F399=1,"NO APLICA",$D406)</f>
        <v>NO APLICA</v>
      </c>
      <c r="Y406" s="543" t="str">
        <f>IF(OR($F406="",$F406="NO APORTA",$R406=0,$X406="NO APLICA"),"",ROUND($F406/$Q406,2))</f>
        <v/>
      </c>
      <c r="Z406" s="544"/>
      <c r="AA406" s="546"/>
      <c r="AB406" s="540" t="str">
        <f>IF(COUNTIF(Z406:AA406,"SI APLICA")=2,"SI APLICA","")</f>
        <v/>
      </c>
      <c r="AC406" s="28"/>
    </row>
    <row r="407" spans="1:29" s="30" customFormat="1" ht="16.5" customHeight="1" thickBot="1">
      <c r="A407" s="112" t="str">
        <f>"T"&amp;E380</f>
        <v>T13</v>
      </c>
      <c r="B407" s="792"/>
      <c r="C407" s="821" t="s">
        <v>419</v>
      </c>
      <c r="D407" s="822"/>
      <c r="E407" s="822"/>
      <c r="F407" s="518"/>
      <c r="G407" s="519"/>
      <c r="H407" s="794" t="str">
        <f>IF(OR($F399="",SUM(E401:E406)=0),"",IF(COUNTIF(H401:H406,"CUMPLE")&gt;=1,"CUMPLE","NO CUMPLE"))</f>
        <v/>
      </c>
      <c r="I407" s="795"/>
      <c r="J407" s="314" t="str">
        <f>IF(COUNTIF(J401:J406,"")&gt;5,"",IF(COUNTIF(J401:J406,"NO CUMPLE")&gt;0,"NO CUMPLE","CUMPLE"))</f>
        <v/>
      </c>
      <c r="K407" s="314" t="str">
        <f>IF(OR(AND(F399=1,N401="SI"),AND(COUNTIF(H407:J407,"CUMPLE")=2)),"CUMPLE","NO CUMPLE")</f>
        <v>CUMPLE</v>
      </c>
      <c r="L407" s="519"/>
      <c r="M407" s="519"/>
      <c r="N407" s="519"/>
      <c r="O407" s="833" t="str">
        <f ca="1">IF(ISNUMBER(F380),"",IF(AND(O406="NO CUMPLE",SUM(N387:N393)&lt;Q406),"EL PROPONENTE SE DEBE REQUERIR POR EXPERIENCIA MINIMA EXIGIDA",""))</f>
        <v/>
      </c>
      <c r="P407" s="833"/>
      <c r="Q407" s="833"/>
      <c r="R407" s="833"/>
      <c r="S407" s="833"/>
      <c r="T407" s="522"/>
      <c r="U407" s="523"/>
      <c r="V407" s="524"/>
      <c r="W407" s="284"/>
      <c r="X407" s="364" t="str">
        <f>IF(Y407=1,"PROPONENTE INDIVIDUAL","PROPONENTE PLURAL")</f>
        <v>PROPONENTE INDIVIDUAL</v>
      </c>
      <c r="Y407" s="276">
        <f>F399</f>
        <v>1</v>
      </c>
      <c r="Z407" s="277" t="str">
        <f>IF(OR(AND(Z401="SI APLICA",AA401="SI APLICA"),AND(Z402="SI APLICA",AA402="SI APLICA"),AND(Z403="SI APLICA",AA403="SI APLICA"),AND(Z404="SI APLICA",AA404="SI APLICA"),AND(Z405="SI APLICA",AA405="SI APLICA"),AND(Z406="SI APLICA",AA406="SI APLICA")),"SI APLICA","NO APLICA")</f>
        <v>SI APLICA</v>
      </c>
      <c r="AA407" s="278" t="str">
        <f>IF(OR(AND(AA401="SI APLICA",AB401="SI APLICA"),AND(AA402="SI APLICA",AB402="SI APLICA"),AND(AA403="SI APLICA",AB403="SI APLICA"),AND(AA404="SI APLICA",AB404="SI APLICA"),AND(AA405="SI APLICA",AB405="SI APLICA"),AND(AA406="SI APLICA",AB406="SI APLICA")),"SI APLICA","NO APLICA")</f>
        <v>SI APLICA</v>
      </c>
      <c r="AB407" s="278" t="str">
        <f>IF(COUNTIF(AB401:AB406,"SI APLICA")&gt;0,"SI APLICA","NO APLICA")</f>
        <v>SI APLICA</v>
      </c>
      <c r="AC407" s="28"/>
    </row>
    <row r="408" spans="1:29" ht="24.95" customHeight="1"/>
    <row r="409" spans="1:29" ht="24.95" customHeight="1"/>
    <row r="410" spans="1:29" s="41" customFormat="1" ht="24" thickBot="1">
      <c r="A410" s="34">
        <v>14</v>
      </c>
      <c r="B410" s="828" t="s">
        <v>355</v>
      </c>
      <c r="C410" s="828"/>
      <c r="D410" s="828"/>
      <c r="E410" s="35">
        <f>VLOOKUP(A410,PROPONENTES!$B$19:$E$108,2,FALSE)</f>
        <v>14</v>
      </c>
      <c r="F410" s="36" t="str">
        <f>VLOOKUP(A410,PROPONENTES!$B$19:$E$108,3,FALSE)</f>
        <v>CONSORCIO INTER CB 2022</v>
      </c>
      <c r="G410" s="37"/>
      <c r="H410" s="37"/>
      <c r="I410" s="36"/>
      <c r="J410" s="36"/>
      <c r="K410" s="36"/>
      <c r="L410" s="36"/>
      <c r="M410" s="38"/>
      <c r="N410" s="38"/>
      <c r="O410" s="37"/>
      <c r="P410" s="37"/>
      <c r="Q410" s="39"/>
      <c r="R410" s="39"/>
      <c r="S410" s="39"/>
      <c r="T410" s="39"/>
      <c r="U410" s="40"/>
      <c r="Y410" s="52"/>
      <c r="Z410" s="52"/>
      <c r="AA410" s="52"/>
      <c r="AB410" s="28"/>
      <c r="AC410" s="28"/>
    </row>
    <row r="411" spans="1:29" s="27" customFormat="1" ht="24.75" customHeight="1">
      <c r="A411" s="22"/>
      <c r="B411" s="829" t="s">
        <v>356</v>
      </c>
      <c r="C411" s="501" t="s">
        <v>357</v>
      </c>
      <c r="D411" s="502" t="s">
        <v>358</v>
      </c>
      <c r="E411" s="502"/>
      <c r="F411" s="502" t="s">
        <v>359</v>
      </c>
      <c r="G411" s="503"/>
      <c r="H411" s="803" t="s">
        <v>360</v>
      </c>
      <c r="I411" s="831" t="s">
        <v>361</v>
      </c>
      <c r="J411" s="803" t="s">
        <v>362</v>
      </c>
      <c r="K411" s="803" t="s">
        <v>363</v>
      </c>
      <c r="L411" s="803" t="s">
        <v>364</v>
      </c>
      <c r="M411" s="803" t="s">
        <v>365</v>
      </c>
      <c r="N411" s="804" t="s">
        <v>366</v>
      </c>
      <c r="O411" s="805"/>
      <c r="P411" s="806" t="s">
        <v>367</v>
      </c>
      <c r="Q411" s="807"/>
      <c r="R411" s="784" t="s">
        <v>368</v>
      </c>
      <c r="S411" s="774"/>
      <c r="T411" s="798" t="s">
        <v>369</v>
      </c>
      <c r="U411" s="799"/>
      <c r="V411" s="800"/>
      <c r="X411" s="520"/>
      <c r="Y411" s="520"/>
    </row>
    <row r="412" spans="1:29" s="27" customFormat="1" ht="94.5" customHeight="1">
      <c r="A412" s="22"/>
      <c r="B412" s="830"/>
      <c r="C412" s="504" t="s">
        <v>370</v>
      </c>
      <c r="D412" s="505" t="s">
        <v>41</v>
      </c>
      <c r="E412" s="505" t="s">
        <v>371</v>
      </c>
      <c r="F412" s="505" t="s">
        <v>372</v>
      </c>
      <c r="G412" s="506" t="s">
        <v>373</v>
      </c>
      <c r="H412" s="793"/>
      <c r="I412" s="832"/>
      <c r="J412" s="793"/>
      <c r="K412" s="793"/>
      <c r="L412" s="793"/>
      <c r="M412" s="793"/>
      <c r="N412" s="504" t="s">
        <v>374</v>
      </c>
      <c r="O412" s="505" t="s">
        <v>375</v>
      </c>
      <c r="P412" s="801"/>
      <c r="Q412" s="802"/>
      <c r="R412" s="796"/>
      <c r="S412" s="797"/>
      <c r="T412" s="507" t="s">
        <v>376</v>
      </c>
      <c r="U412" s="508" t="s">
        <v>377</v>
      </c>
      <c r="V412" s="509" t="s">
        <v>378</v>
      </c>
      <c r="X412" s="521" t="s">
        <v>379</v>
      </c>
      <c r="Y412" s="521" t="s">
        <v>380</v>
      </c>
    </row>
    <row r="413" spans="1:29" s="27" customFormat="1" ht="15" customHeight="1">
      <c r="A413" s="22"/>
      <c r="B413" s="594"/>
      <c r="C413" s="595">
        <v>3</v>
      </c>
      <c r="D413" s="595">
        <v>4</v>
      </c>
      <c r="E413" s="595">
        <v>5</v>
      </c>
      <c r="F413" s="595">
        <v>6</v>
      </c>
      <c r="G413" s="595">
        <v>7</v>
      </c>
      <c r="H413" s="595">
        <v>8</v>
      </c>
      <c r="I413" s="595">
        <v>9</v>
      </c>
      <c r="J413" s="595">
        <v>10</v>
      </c>
      <c r="K413" s="595">
        <v>11</v>
      </c>
      <c r="L413" s="595">
        <v>12</v>
      </c>
      <c r="M413" s="595">
        <v>13</v>
      </c>
      <c r="N413" s="595">
        <v>14</v>
      </c>
      <c r="O413" s="595">
        <v>15</v>
      </c>
      <c r="P413" s="596">
        <v>16</v>
      </c>
      <c r="Q413" s="597">
        <v>17</v>
      </c>
      <c r="R413" s="596">
        <v>18</v>
      </c>
      <c r="S413" s="597">
        <v>19</v>
      </c>
      <c r="T413" s="598">
        <v>20</v>
      </c>
      <c r="U413" s="255">
        <v>21</v>
      </c>
      <c r="V413" s="599">
        <v>22</v>
      </c>
      <c r="X413" s="589"/>
      <c r="Y413" s="590"/>
    </row>
    <row r="414" spans="1:29" s="44" customFormat="1" ht="75.75" customHeight="1">
      <c r="A414" s="42" t="str">
        <f>"A"&amp;E410</f>
        <v>A14</v>
      </c>
      <c r="B414" s="605">
        <f>IF(C414&lt;&gt;"",B413+1,"")</f>
        <v>1</v>
      </c>
      <c r="C414" s="581" t="s">
        <v>443</v>
      </c>
      <c r="D414" s="581" t="s">
        <v>508</v>
      </c>
      <c r="E414" s="581" t="s">
        <v>509</v>
      </c>
      <c r="F414" s="581" t="s">
        <v>431</v>
      </c>
      <c r="G414" s="534">
        <v>0.5</v>
      </c>
      <c r="H414" s="534" t="s">
        <v>385</v>
      </c>
      <c r="I414" s="579">
        <v>2</v>
      </c>
      <c r="J414" s="580" t="str">
        <f>IF(I414="","",IF(I414="I",$F410,VLOOKUP(I414,$C431:$D436,2,0)))</f>
        <v>BSC CONSULTORIA E INGENIERIA S.A.S</v>
      </c>
      <c r="K414" s="535">
        <v>41778</v>
      </c>
      <c r="L414" s="535">
        <v>42075</v>
      </c>
      <c r="M414" s="536">
        <v>976.13</v>
      </c>
      <c r="N414" s="232">
        <f t="shared" ref="N414:N423" si="79">IF(OR(G414="",M414=""),"",M414*G414)</f>
        <v>488.065</v>
      </c>
      <c r="O414" s="260">
        <f t="shared" ref="O414:O423" si="80">IF(OR(H414="",H414="NO",K414&lt;$Q$17,K414&gt;$R$17,K414="",M414="",N414=""),"",ROUND(N414,7))</f>
        <v>488.065</v>
      </c>
      <c r="P414" s="781"/>
      <c r="Q414" s="782"/>
      <c r="R414" s="767"/>
      <c r="S414" s="768"/>
      <c r="T414" s="538" t="s">
        <v>385</v>
      </c>
      <c r="U414" s="539">
        <v>36</v>
      </c>
      <c r="V414" s="540" t="s">
        <v>385</v>
      </c>
      <c r="X414" s="541" t="s">
        <v>423</v>
      </c>
      <c r="Y414" s="541" t="s">
        <v>435</v>
      </c>
    </row>
    <row r="415" spans="1:29" s="44" customFormat="1" ht="96" customHeight="1">
      <c r="A415" s="42" t="str">
        <f>"B"&amp;E410</f>
        <v>B14</v>
      </c>
      <c r="B415" s="605">
        <f t="shared" ref="B415:B423" si="81">IF(C415&lt;&gt;"",B414+1,"")</f>
        <v>2</v>
      </c>
      <c r="C415" s="581" t="s">
        <v>510</v>
      </c>
      <c r="D415" s="581" t="s">
        <v>511</v>
      </c>
      <c r="E415" s="581" t="s">
        <v>512</v>
      </c>
      <c r="F415" s="581" t="s">
        <v>431</v>
      </c>
      <c r="G415" s="534">
        <v>0.5</v>
      </c>
      <c r="H415" s="534" t="s">
        <v>385</v>
      </c>
      <c r="I415" s="579">
        <v>1</v>
      </c>
      <c r="J415" s="580" t="str">
        <f>IF(I415="","",IF(I415="I",$F410,VLOOKUP(I415,$C431:$D436,2,0)))</f>
        <v>COVILCO LTDA</v>
      </c>
      <c r="K415" s="535">
        <v>44090</v>
      </c>
      <c r="L415" s="535">
        <v>44694</v>
      </c>
      <c r="M415" s="536">
        <v>1599.73</v>
      </c>
      <c r="N415" s="232">
        <f t="shared" si="79"/>
        <v>799.86500000000001</v>
      </c>
      <c r="O415" s="260">
        <f t="shared" si="80"/>
        <v>799.86500000000001</v>
      </c>
      <c r="P415" s="781"/>
      <c r="Q415" s="782"/>
      <c r="R415" s="767"/>
      <c r="S415" s="768"/>
      <c r="T415" s="538" t="s">
        <v>385</v>
      </c>
      <c r="U415" s="539">
        <v>39</v>
      </c>
      <c r="V415" s="540" t="s">
        <v>385</v>
      </c>
      <c r="X415" s="541" t="s">
        <v>423</v>
      </c>
      <c r="Y415" s="541" t="s">
        <v>435</v>
      </c>
    </row>
    <row r="416" spans="1:29" s="44" customFormat="1" ht="108.75" customHeight="1">
      <c r="A416" s="42" t="str">
        <f>"C"&amp;E410</f>
        <v>C14</v>
      </c>
      <c r="B416" s="605">
        <f t="shared" si="81"/>
        <v>3</v>
      </c>
      <c r="C416" s="581" t="s">
        <v>513</v>
      </c>
      <c r="D416" s="581" t="s">
        <v>514</v>
      </c>
      <c r="E416" s="581" t="s">
        <v>515</v>
      </c>
      <c r="F416" s="581" t="s">
        <v>431</v>
      </c>
      <c r="G416" s="534">
        <v>0.95</v>
      </c>
      <c r="H416" s="534" t="s">
        <v>385</v>
      </c>
      <c r="I416" s="579">
        <v>1</v>
      </c>
      <c r="J416" s="580" t="str">
        <f>IF(I416="","",IF(I416="I",$F410,VLOOKUP(I416,$C431:$D436,2,0)))</f>
        <v>COVILCO LTDA</v>
      </c>
      <c r="K416" s="535">
        <v>44431</v>
      </c>
      <c r="L416" s="535">
        <v>44550</v>
      </c>
      <c r="M416" s="536">
        <v>242.3</v>
      </c>
      <c r="N416" s="232">
        <f t="shared" si="79"/>
        <v>230.185</v>
      </c>
      <c r="O416" s="260">
        <f t="shared" si="80"/>
        <v>230.185</v>
      </c>
      <c r="P416" s="781"/>
      <c r="Q416" s="782"/>
      <c r="R416" s="767"/>
      <c r="S416" s="768"/>
      <c r="T416" s="538" t="s">
        <v>385</v>
      </c>
      <c r="U416" s="539">
        <v>40</v>
      </c>
      <c r="V416" s="540" t="s">
        <v>385</v>
      </c>
      <c r="X416" s="541" t="s">
        <v>386</v>
      </c>
      <c r="Y416" s="541" t="s">
        <v>387</v>
      </c>
    </row>
    <row r="417" spans="1:29" s="44" customFormat="1" ht="24.95" customHeight="1">
      <c r="A417" s="42" t="str">
        <f>"D"&amp;E410</f>
        <v>D14</v>
      </c>
      <c r="B417" s="605" t="str">
        <f t="shared" si="81"/>
        <v/>
      </c>
      <c r="C417" s="581"/>
      <c r="D417" s="581"/>
      <c r="E417" s="581"/>
      <c r="F417" s="581"/>
      <c r="G417" s="534"/>
      <c r="H417" s="534"/>
      <c r="I417" s="579"/>
      <c r="J417" s="580" t="str">
        <f>IF(I417="","",IF(I417="I",$F410,VLOOKUP(I417,$C431:$D436,2,0)))</f>
        <v/>
      </c>
      <c r="K417" s="535"/>
      <c r="L417" s="535"/>
      <c r="M417" s="536"/>
      <c r="N417" s="232" t="str">
        <f t="shared" si="79"/>
        <v/>
      </c>
      <c r="O417" s="260" t="str">
        <f t="shared" si="80"/>
        <v/>
      </c>
      <c r="P417" s="781"/>
      <c r="Q417" s="782"/>
      <c r="R417" s="767"/>
      <c r="S417" s="768"/>
      <c r="T417" s="538"/>
      <c r="U417" s="539"/>
      <c r="V417" s="540"/>
      <c r="X417" s="541"/>
      <c r="Y417" s="541"/>
    </row>
    <row r="418" spans="1:29" s="44" customFormat="1" ht="24.95" customHeight="1">
      <c r="A418" s="42" t="str">
        <f>"E"&amp;E410</f>
        <v>E14</v>
      </c>
      <c r="B418" s="605" t="str">
        <f t="shared" si="81"/>
        <v/>
      </c>
      <c r="C418" s="581"/>
      <c r="D418" s="581"/>
      <c r="E418" s="581"/>
      <c r="F418" s="581"/>
      <c r="G418" s="534"/>
      <c r="H418" s="534"/>
      <c r="I418" s="579"/>
      <c r="J418" s="580" t="str">
        <f>IF(I418="","",IF(I418="I",$F410,VLOOKUP(I418,$C431:$D436,2,0)))</f>
        <v/>
      </c>
      <c r="K418" s="535"/>
      <c r="L418" s="535"/>
      <c r="M418" s="536"/>
      <c r="N418" s="232" t="str">
        <f t="shared" si="79"/>
        <v/>
      </c>
      <c r="O418" s="260" t="str">
        <f t="shared" si="80"/>
        <v/>
      </c>
      <c r="P418" s="781"/>
      <c r="Q418" s="782"/>
      <c r="R418" s="767"/>
      <c r="S418" s="768"/>
      <c r="T418" s="538"/>
      <c r="U418" s="539"/>
      <c r="V418" s="540"/>
      <c r="X418" s="541"/>
      <c r="Y418" s="541"/>
    </row>
    <row r="419" spans="1:29" s="44" customFormat="1" ht="24.95" customHeight="1">
      <c r="A419" s="42" t="str">
        <f>"F"&amp;E410</f>
        <v>F14</v>
      </c>
      <c r="B419" s="605" t="str">
        <f t="shared" si="81"/>
        <v/>
      </c>
      <c r="C419" s="581"/>
      <c r="D419" s="581"/>
      <c r="E419" s="581"/>
      <c r="F419" s="581"/>
      <c r="G419" s="534"/>
      <c r="H419" s="534"/>
      <c r="I419" s="579"/>
      <c r="J419" s="580" t="str">
        <f>IF(I419="","",IF(I419="I",$F410,VLOOKUP(I419,$C431:$D436,2,0)))</f>
        <v/>
      </c>
      <c r="K419" s="535"/>
      <c r="L419" s="535"/>
      <c r="M419" s="536"/>
      <c r="N419" s="232" t="str">
        <f t="shared" si="79"/>
        <v/>
      </c>
      <c r="O419" s="260" t="str">
        <f t="shared" si="80"/>
        <v/>
      </c>
      <c r="P419" s="781"/>
      <c r="Q419" s="782"/>
      <c r="R419" s="767"/>
      <c r="S419" s="768"/>
      <c r="T419" s="538"/>
      <c r="U419" s="539"/>
      <c r="V419" s="540"/>
      <c r="X419" s="541"/>
      <c r="Y419" s="541"/>
    </row>
    <row r="420" spans="1:29" s="44" customFormat="1" ht="24.95" customHeight="1">
      <c r="A420" s="42" t="str">
        <f>"G"&amp;E410</f>
        <v>G14</v>
      </c>
      <c r="B420" s="605" t="str">
        <f t="shared" si="81"/>
        <v/>
      </c>
      <c r="C420" s="581"/>
      <c r="D420" s="581"/>
      <c r="E420" s="581"/>
      <c r="F420" s="581"/>
      <c r="G420" s="534"/>
      <c r="H420" s="534"/>
      <c r="I420" s="579"/>
      <c r="J420" s="580" t="str">
        <f>IF(I420="","",IF(I420="I",$F410,VLOOKUP(I420,$C431:$D436,2,0)))</f>
        <v/>
      </c>
      <c r="K420" s="535"/>
      <c r="L420" s="535"/>
      <c r="M420" s="536"/>
      <c r="N420" s="43" t="str">
        <f t="shared" si="79"/>
        <v/>
      </c>
      <c r="O420" s="260" t="str">
        <f t="shared" si="80"/>
        <v/>
      </c>
      <c r="P420" s="781"/>
      <c r="Q420" s="782"/>
      <c r="R420" s="767"/>
      <c r="S420" s="768"/>
      <c r="T420" s="538"/>
      <c r="U420" s="539"/>
      <c r="V420" s="540"/>
      <c r="X420" s="541"/>
      <c r="Y420" s="541"/>
    </row>
    <row r="421" spans="1:29" s="44" customFormat="1" ht="24.95" customHeight="1">
      <c r="A421" s="42" t="str">
        <f>"H"&amp;E410</f>
        <v>H14</v>
      </c>
      <c r="B421" s="605" t="str">
        <f t="shared" si="81"/>
        <v/>
      </c>
      <c r="C421" s="581"/>
      <c r="D421" s="581"/>
      <c r="E421" s="581"/>
      <c r="F421" s="581"/>
      <c r="G421" s="534"/>
      <c r="H421" s="534"/>
      <c r="I421" s="579"/>
      <c r="J421" s="580" t="str">
        <f>IF(I421="","",IF(I421="I",$F410,VLOOKUP(I421,$C431:$D436,2,0)))</f>
        <v/>
      </c>
      <c r="K421" s="535"/>
      <c r="L421" s="535"/>
      <c r="M421" s="537"/>
      <c r="N421" s="43" t="str">
        <f t="shared" si="79"/>
        <v/>
      </c>
      <c r="O421" s="260" t="str">
        <f t="shared" si="80"/>
        <v/>
      </c>
      <c r="P421" s="781"/>
      <c r="Q421" s="782"/>
      <c r="R421" s="767"/>
      <c r="S421" s="768"/>
      <c r="T421" s="538"/>
      <c r="U421" s="539"/>
      <c r="V421" s="540"/>
      <c r="X421" s="541"/>
      <c r="Y421" s="541"/>
    </row>
    <row r="422" spans="1:29" s="44" customFormat="1" ht="24.95" customHeight="1">
      <c r="A422" s="42" t="str">
        <f>"I"&amp;E410</f>
        <v>I14</v>
      </c>
      <c r="B422" s="605" t="str">
        <f t="shared" si="81"/>
        <v/>
      </c>
      <c r="C422" s="581"/>
      <c r="D422" s="581"/>
      <c r="E422" s="581"/>
      <c r="F422" s="581"/>
      <c r="G422" s="534"/>
      <c r="H422" s="534"/>
      <c r="I422" s="579"/>
      <c r="J422" s="580" t="str">
        <f>IF(I422="","",IF(I422="I",$F410,VLOOKUP(I422,$C431:$D436,2,0)))</f>
        <v/>
      </c>
      <c r="K422" s="535"/>
      <c r="L422" s="535"/>
      <c r="M422" s="537"/>
      <c r="N422" s="43" t="str">
        <f t="shared" si="79"/>
        <v/>
      </c>
      <c r="O422" s="260" t="str">
        <f t="shared" si="80"/>
        <v/>
      </c>
      <c r="P422" s="781"/>
      <c r="Q422" s="782"/>
      <c r="R422" s="767"/>
      <c r="S422" s="768"/>
      <c r="T422" s="538"/>
      <c r="U422" s="539"/>
      <c r="V422" s="540"/>
      <c r="X422" s="541"/>
      <c r="Y422" s="541"/>
    </row>
    <row r="423" spans="1:29" s="44" customFormat="1" ht="24.95" customHeight="1" thickBot="1">
      <c r="A423" s="42" t="str">
        <f>"J"&amp;E410</f>
        <v>J14</v>
      </c>
      <c r="B423" s="612" t="str">
        <f t="shared" si="81"/>
        <v/>
      </c>
      <c r="C423" s="582"/>
      <c r="D423" s="582"/>
      <c r="E423" s="582"/>
      <c r="F423" s="582"/>
      <c r="G423" s="583"/>
      <c r="H423" s="583"/>
      <c r="I423" s="584"/>
      <c r="J423" s="585" t="str">
        <f>IF(I423="","",IF(I423="I",$F410,VLOOKUP(I423,$C431:$D436,2,0)))</f>
        <v/>
      </c>
      <c r="K423" s="586"/>
      <c r="L423" s="586"/>
      <c r="M423" s="587"/>
      <c r="N423" s="43" t="str">
        <f t="shared" si="79"/>
        <v/>
      </c>
      <c r="O423" s="260" t="str">
        <f t="shared" si="80"/>
        <v/>
      </c>
      <c r="P423" s="781"/>
      <c r="Q423" s="782"/>
      <c r="R423" s="767"/>
      <c r="S423" s="768"/>
      <c r="T423" s="538"/>
      <c r="U423" s="539"/>
      <c r="V423" s="540"/>
      <c r="X423" s="541"/>
      <c r="Y423" s="541"/>
    </row>
    <row r="424" spans="1:29" s="27" customFormat="1" ht="12" customHeight="1" thickBot="1">
      <c r="A424" s="42"/>
      <c r="B424" s="45"/>
      <c r="C424" s="46"/>
      <c r="D424" s="46"/>
      <c r="E424" s="46"/>
      <c r="F424" s="46"/>
      <c r="G424" s="46"/>
      <c r="H424" s="606"/>
      <c r="I424" s="46"/>
      <c r="J424" s="46"/>
      <c r="K424" s="46"/>
      <c r="L424" s="46"/>
      <c r="M424" s="46"/>
      <c r="N424" s="46"/>
      <c r="O424" s="259"/>
      <c r="P424" s="46"/>
      <c r="Q424" s="46"/>
      <c r="R424" s="259"/>
      <c r="S424" s="46"/>
      <c r="T424" s="46"/>
      <c r="U424" s="47"/>
      <c r="V424" s="48"/>
      <c r="X424" s="592"/>
      <c r="Y424" s="593"/>
      <c r="AB424" s="378"/>
    </row>
    <row r="425" spans="1:29" s="27" customFormat="1" ht="17.25" customHeight="1" thickBot="1">
      <c r="A425" s="42" t="str">
        <f>"Z"&amp;E410</f>
        <v>Z14</v>
      </c>
      <c r="B425" s="510"/>
      <c r="C425" s="511"/>
      <c r="D425" s="511"/>
      <c r="E425" s="511"/>
      <c r="F425" s="511"/>
      <c r="G425" s="511"/>
      <c r="H425" s="511"/>
      <c r="I425" s="511"/>
      <c r="J425" s="511"/>
      <c r="K425" s="511"/>
      <c r="L425" s="511"/>
      <c r="M425" s="511"/>
      <c r="N425" s="437" t="s">
        <v>388</v>
      </c>
      <c r="O425" s="438">
        <f>IF(COUNTIF(O414:O423,"")&gt;9,0,SUM(O414:O423)/(COUNTIF(H414:H423,"SI")))</f>
        <v>506.03833333333336</v>
      </c>
      <c r="P425" s="511"/>
      <c r="Q425" s="511"/>
      <c r="R425" s="530"/>
      <c r="S425" s="530"/>
      <c r="T425" s="531"/>
      <c r="U425" s="532"/>
      <c r="V425" s="533"/>
      <c r="W425" s="285"/>
      <c r="X425" s="613" t="e">
        <f>COUNTIF(#REF!,"")-COUNTIF(#REF!,"CUMPLE")-1</f>
        <v>#REF!</v>
      </c>
      <c r="Y425" s="591"/>
      <c r="AB425" s="28"/>
    </row>
    <row r="426" spans="1:29" ht="17.25" customHeight="1">
      <c r="B426" s="50"/>
      <c r="C426" s="50"/>
      <c r="D426" s="50"/>
      <c r="E426" s="50"/>
      <c r="F426" s="50"/>
      <c r="G426" s="51"/>
      <c r="H426" s="51"/>
      <c r="I426" s="51"/>
      <c r="J426" s="51"/>
      <c r="K426" s="51"/>
      <c r="L426" s="51"/>
      <c r="M426" s="51"/>
      <c r="N426" s="51"/>
      <c r="O426" s="51"/>
      <c r="P426" s="51"/>
      <c r="Q426" s="51"/>
      <c r="R426" s="51"/>
      <c r="S426" s="51"/>
      <c r="T426" s="51"/>
      <c r="U426" s="51"/>
      <c r="V426" s="51"/>
      <c r="W426" s="51"/>
      <c r="X426" s="608"/>
      <c r="Y426" s="51"/>
      <c r="Z426" s="51"/>
      <c r="AA426" s="51"/>
      <c r="AB426" s="51"/>
      <c r="AC426" s="50"/>
    </row>
    <row r="427" spans="1:29" s="27" customFormat="1" ht="16.5" customHeight="1" thickBot="1">
      <c r="A427" s="22"/>
      <c r="B427" s="783" t="s">
        <v>389</v>
      </c>
      <c r="C427" s="783"/>
      <c r="D427" s="783"/>
      <c r="E427" s="783"/>
      <c r="F427" s="783"/>
      <c r="G427" s="783"/>
      <c r="H427" s="783"/>
      <c r="I427" s="783"/>
      <c r="J427" s="783"/>
      <c r="K427" s="783"/>
      <c r="L427" s="783"/>
      <c r="M427" s="783"/>
      <c r="N427" s="783"/>
      <c r="O427" s="783"/>
      <c r="P427" s="783"/>
      <c r="Q427" s="783"/>
      <c r="R427" s="783"/>
      <c r="S427" s="783"/>
      <c r="T427" s="783"/>
      <c r="U427" s="783"/>
      <c r="V427" s="783"/>
      <c r="W427" s="286"/>
      <c r="X427" s="607"/>
      <c r="Y427" s="52"/>
      <c r="Z427" s="52"/>
      <c r="AA427" s="52"/>
      <c r="AB427" s="28"/>
      <c r="AC427" s="28"/>
    </row>
    <row r="428" spans="1:29" s="30" customFormat="1" ht="22.5" customHeight="1">
      <c r="A428" s="112" t="str">
        <f>"K"&amp;E410</f>
        <v>K14</v>
      </c>
      <c r="B428" s="790" t="s">
        <v>390</v>
      </c>
      <c r="C428" s="772" t="s">
        <v>391</v>
      </c>
      <c r="D428" s="773"/>
      <c r="E428" s="773"/>
      <c r="F428" s="773"/>
      <c r="G428" s="773"/>
      <c r="H428" s="773"/>
      <c r="I428" s="773"/>
      <c r="J428" s="773"/>
      <c r="K428" s="773"/>
      <c r="L428" s="773"/>
      <c r="M428" s="774"/>
      <c r="N428" s="525"/>
      <c r="O428" s="588"/>
      <c r="P428" s="772" t="s">
        <v>392</v>
      </c>
      <c r="Q428" s="773"/>
      <c r="R428" s="773"/>
      <c r="S428" s="774"/>
      <c r="T428" s="784" t="s">
        <v>393</v>
      </c>
      <c r="U428" s="774"/>
      <c r="V428" s="811"/>
      <c r="W428" s="284"/>
      <c r="X428" s="778" t="s">
        <v>394</v>
      </c>
      <c r="Y428" s="779"/>
      <c r="Z428" s="779"/>
      <c r="AA428" s="779" t="s">
        <v>395</v>
      </c>
      <c r="AB428" s="808" t="s">
        <v>396</v>
      </c>
      <c r="AC428" s="28"/>
    </row>
    <row r="429" spans="1:29" s="30" customFormat="1" ht="22.5" customHeight="1">
      <c r="A429" s="112" t="str">
        <f>"L"&amp;E410</f>
        <v>L14</v>
      </c>
      <c r="B429" s="791"/>
      <c r="C429" s="769" t="s">
        <v>397</v>
      </c>
      <c r="D429" s="770"/>
      <c r="E429" s="771"/>
      <c r="F429" s="512">
        <f>IF(VLOOKUP(E410,PROPONENTES!$C$19:$E$108,3,0)="","",VLOOKUP(E410,PROPONENTES!$C$19:$E$108,3,0))</f>
        <v>2</v>
      </c>
      <c r="G429" s="824" t="s">
        <v>398</v>
      </c>
      <c r="H429" s="793" t="s">
        <v>399</v>
      </c>
      <c r="I429" s="793"/>
      <c r="J429" s="769" t="s">
        <v>400</v>
      </c>
      <c r="K429" s="823"/>
      <c r="L429" s="513" t="s">
        <v>401</v>
      </c>
      <c r="M429" s="513"/>
      <c r="N429" s="526"/>
      <c r="O429" s="527"/>
      <c r="P429" s="775"/>
      <c r="Q429" s="776"/>
      <c r="R429" s="776"/>
      <c r="S429" s="777"/>
      <c r="T429" s="796"/>
      <c r="U429" s="797"/>
      <c r="V429" s="812"/>
      <c r="W429" s="284"/>
      <c r="X429" s="780" t="s">
        <v>402</v>
      </c>
      <c r="Y429" s="810" t="s">
        <v>403</v>
      </c>
      <c r="Z429" s="810"/>
      <c r="AA429" s="810"/>
      <c r="AB429" s="809"/>
      <c r="AC429" s="28"/>
    </row>
    <row r="430" spans="1:29" s="30" customFormat="1" ht="63.75" customHeight="1" thickBot="1">
      <c r="A430" s="112" t="str">
        <f>"M"&amp;E410</f>
        <v>M14</v>
      </c>
      <c r="B430" s="791"/>
      <c r="C430" s="770" t="s">
        <v>404</v>
      </c>
      <c r="D430" s="771"/>
      <c r="E430" s="514" t="s">
        <v>405</v>
      </c>
      <c r="F430" s="515" t="s">
        <v>406</v>
      </c>
      <c r="G430" s="824"/>
      <c r="H430" s="793"/>
      <c r="I430" s="793"/>
      <c r="J430" s="504" t="s">
        <v>407</v>
      </c>
      <c r="K430" s="516" t="s">
        <v>408</v>
      </c>
      <c r="L430" s="517" t="s">
        <v>409</v>
      </c>
      <c r="M430" s="517"/>
      <c r="N430" s="528" t="s">
        <v>410</v>
      </c>
      <c r="O430" s="529"/>
      <c r="P430" s="386"/>
      <c r="Q430" s="387" t="s">
        <v>411</v>
      </c>
      <c r="R430" s="388"/>
      <c r="S430" s="113">
        <f>COUNTIFS(H414:H423,"SI",O414:O423,"&gt;0")</f>
        <v>3</v>
      </c>
      <c r="T430" s="785"/>
      <c r="U430" s="787"/>
      <c r="V430" s="813"/>
      <c r="W430" s="284"/>
      <c r="X430" s="780"/>
      <c r="Y430" s="810"/>
      <c r="Z430" s="810"/>
      <c r="AA430" s="810"/>
      <c r="AB430" s="809"/>
      <c r="AC430" s="28"/>
    </row>
    <row r="431" spans="1:29" s="30" customFormat="1" ht="15.75" customHeight="1">
      <c r="A431" s="112" t="str">
        <f>"N"&amp;E410</f>
        <v>N14</v>
      </c>
      <c r="B431" s="791"/>
      <c r="C431" s="54">
        <v>1</v>
      </c>
      <c r="D431" s="100" t="str">
        <f>IF(AND(C431&lt;=F429,F429&gt;1,F429&lt;&gt;""),VLOOKUP(VALUE(E410&amp;","&amp;C431),INTEGRANTES!$D$19:$F$192,2,0),"")</f>
        <v>COVILCO LTDA</v>
      </c>
      <c r="E431" s="107">
        <f>IF(D431&lt;&gt;"",VLOOKUP(VALUE(E410&amp;","&amp;C431),INTEGRANTES!$D$19:$F$192,3,0),"")</f>
        <v>0.5</v>
      </c>
      <c r="F431" s="380">
        <f>IF(D431="","",IF(OR(SUMIF($J414:$J423,D431,$O414:$O423)=0,N431="NO"),"NO APORTA",SUMIF($J414:$J423,D431,$O414:$O423)))</f>
        <v>1030.05</v>
      </c>
      <c r="G431" s="380">
        <f ca="1">IF($D431="","",IF($F429&lt;=1,"",ROUND(POSMMLV*PORPO,2)))</f>
        <v>150</v>
      </c>
      <c r="H431" s="765" t="str">
        <f ca="1">IF($D431="","",IF(OR(F431="NO APORTA",G431&gt;F431),"NO CUMPLE","CUMPLE"))</f>
        <v>CUMPLE</v>
      </c>
      <c r="I431" s="766"/>
      <c r="J431" s="108" t="str">
        <f ca="1">IF(D431="","",IF(OR(AND(SUMIF($J414:$J423,D431,$O414:$O423)&gt;=5%*POSMMLV,N431="SI"),AND(SUMIF($J414:$J423,D431,$O414:$O423)=0,E431&lt;=5%,N431="SI")),"CUMPLE","NO CUMPLE"))</f>
        <v>CUMPLE</v>
      </c>
      <c r="K431" s="105" t="str">
        <f ca="1">IF(OR(D431="",J431=""),"",IF(AND(J431="NO CUMPLE",F431="NO APORTA",E431&gt;5%),"EXP = 0 y PART &gt; 5%",IF(F431&lt;5%*Q436,"EXP &lt; 5%*PO","")))</f>
        <v/>
      </c>
      <c r="L431" s="389" t="str">
        <f>IF(OR(D431="",E431=""),"",IF(AND(E431&gt;=0.25,F431&lt;&gt;"NO APORTA",F431&gt;=$R436*0.25),"SI","NO"))</f>
        <v>SI</v>
      </c>
      <c r="M431" s="389"/>
      <c r="N431" s="468" t="s">
        <v>385</v>
      </c>
      <c r="O431" s="396">
        <f>COUNTIFS(O414:O423,"&gt;0",H414:H423,"SI")</f>
        <v>3</v>
      </c>
      <c r="P431" s="814" t="s">
        <v>139</v>
      </c>
      <c r="Q431" s="814"/>
      <c r="R431" s="817">
        <f>E410</f>
        <v>14</v>
      </c>
      <c r="S431" s="818"/>
      <c r="T431" s="784" t="s">
        <v>412</v>
      </c>
      <c r="U431" s="773"/>
      <c r="V431" s="774"/>
      <c r="W431" s="283"/>
      <c r="X431" s="542" t="str">
        <f>IF($F429=1,"NO APLICA",$D431)</f>
        <v>COVILCO LTDA</v>
      </c>
      <c r="Y431" s="543">
        <f ca="1">IF(OR($F431="",$F431="NO APORTA",$R436=0,$X431="NO APLICA"),"",ROUND($F431/$Q436,2))</f>
        <v>3.43</v>
      </c>
      <c r="Z431" s="544" t="str">
        <f ca="1">IF(Y437=1,"SI APLICA",IF(OR($X431="",$X431="NO APLICA",$F431="",$F431="NO APORTA"),"",IF(ROUND($F431/Q436,7)&gt;=0.4,"SI APLICA","NO APLICA")))</f>
        <v>SI APLICA</v>
      </c>
      <c r="AA431" s="543" t="s">
        <v>413</v>
      </c>
      <c r="AB431" s="540" t="str">
        <f ca="1">IF(COUNTIF(Z431:AA431,"SI APLICA")=2,"SI APLICA","")</f>
        <v>SI APLICA</v>
      </c>
      <c r="AC431" s="28"/>
    </row>
    <row r="432" spans="1:29" s="30" customFormat="1" ht="31.5" customHeight="1" thickBot="1">
      <c r="A432" s="112" t="str">
        <f>"O"&amp;E410</f>
        <v>O14</v>
      </c>
      <c r="B432" s="791"/>
      <c r="C432" s="54">
        <v>2</v>
      </c>
      <c r="D432" s="100" t="str">
        <f>IF(AND(C432&lt;=F429,F429&lt;&gt;""),VLOOKUP(VALUE(E410&amp;","&amp;C432),INTEGRANTES!$D$19:$F$192,2,0),"")</f>
        <v>BSC CONSULTORIA E INGENIERIA S.A.S</v>
      </c>
      <c r="E432" s="107">
        <f>IF(D432&lt;&gt;"",VLOOKUP(VALUE(E410&amp;","&amp;C432),INTEGRANTES!$D$19:$F$192,3,0),"")</f>
        <v>0.5</v>
      </c>
      <c r="F432" s="380">
        <f>IF(D432="","",IF(OR(SUMIF($J414:$J424,D432,$O414:$O424)=0,N432="NO"),"NO APORTA",SUMIF($J414:$J424,D432,$O414:$O424)))</f>
        <v>488.065</v>
      </c>
      <c r="G432" s="380">
        <f ca="1">IF($D432="","",IF($F429&lt;=1,"",ROUND(POSMMLV*PORPO,2)))</f>
        <v>150</v>
      </c>
      <c r="H432" s="765" t="str">
        <f t="shared" ref="H432:H435" ca="1" si="82">IF($D432="","",IF(OR(F432="NO APORTA",G432&gt;F432),"NO CUMPLE","CUMPLE"))</f>
        <v>CUMPLE</v>
      </c>
      <c r="I432" s="766"/>
      <c r="J432" s="108" t="str">
        <f ca="1">IF(D432="","",IF(OR(AND(SUMIF($J414:$J423,D432,$O414:$O423)&gt;=5%*POSMMLV,N432="SI"),AND(SUMIF($J414:$J423,D432,$O414:$O423)=0,E432&lt;=5%,N432="SI")),"CUMPLE","NO CUMPLE"))</f>
        <v>CUMPLE</v>
      </c>
      <c r="K432" s="105" t="str">
        <f ca="1">IF(OR(D432="",J432=""),"",IF(AND(J432="NO CUMPLE",F432="NO APORTA",E432&gt;5%),"EXP = 0 y PART &gt; 5%",IF(F432&lt;5%*Q436,"EXP &lt; 5%*PO","")))</f>
        <v/>
      </c>
      <c r="L432" s="389" t="str">
        <f>IF(OR(D432="",E432=""),"",IF(AND(E432&gt;=0.25,F432&lt;&gt;"NO APORTA",F432&gt;=$R436*0.25),"SI","NO"))</f>
        <v>SI</v>
      </c>
      <c r="M432" s="389"/>
      <c r="N432" s="468" t="s">
        <v>385</v>
      </c>
      <c r="O432" s="396"/>
      <c r="P432" s="815"/>
      <c r="Q432" s="815"/>
      <c r="R432" s="815"/>
      <c r="S432" s="819"/>
      <c r="T432" s="785"/>
      <c r="U432" s="786"/>
      <c r="V432" s="787"/>
      <c r="W432" s="283"/>
      <c r="X432" s="542" t="str">
        <f>IF($F429=1,"NO APLICA",$D432)</f>
        <v>BSC CONSULTORIA E INGENIERIA S.A.S</v>
      </c>
      <c r="Y432" s="543">
        <f ca="1">IF(OR($F432="",$F432="NO APORTA",$R436=0,$X432="NO APLICA"),"",ROUND($F432/$Q436,2))</f>
        <v>1.63</v>
      </c>
      <c r="Z432" s="544" t="str">
        <f ca="1">IF(Y437=1,"SI APLICA",IF(OR($X432="",$X432="NO APLICA",$F432="",$F432="NO APORTA"),"",IF(ROUND($F432/Q436,7)&gt;=0.4,"SI APLICA","NO APLICA")))</f>
        <v>SI APLICA</v>
      </c>
      <c r="AA432" s="543" t="s">
        <v>516</v>
      </c>
      <c r="AB432" s="540" t="str">
        <f t="shared" ref="AB432" ca="1" si="83">IF(COUNTIF(Z432:AA432,"SI APLICA")=2,"SI APLICA","")</f>
        <v/>
      </c>
      <c r="AC432" s="28"/>
    </row>
    <row r="433" spans="1:29" s="30" customFormat="1" ht="15.75" customHeight="1">
      <c r="A433" s="112" t="str">
        <f>"P"&amp;E410</f>
        <v>P14</v>
      </c>
      <c r="B433" s="791"/>
      <c r="C433" s="54">
        <v>3</v>
      </c>
      <c r="D433" s="100" t="str">
        <f>IF(AND(C433&lt;=F429,F429&lt;&gt;""),VLOOKUP(VALUE(E410&amp;","&amp;C433),INTEGRANTES!$D$19:$F$192,2,0),"")</f>
        <v/>
      </c>
      <c r="E433" s="107" t="str">
        <f>IF(D433&lt;&gt;"",VLOOKUP(VALUE(E410&amp;","&amp;C433),INTEGRANTES!$D$19:$F$192,3,0),"")</f>
        <v/>
      </c>
      <c r="F433" s="380" t="str">
        <f>IF(D433="","",IF(OR(SUMIF($J417:$J423,D433,$O417:$O423)=0,N433="NO"),"NO APORTA",SUMIF($J417:$J423,D433,$O417:$O423)))</f>
        <v/>
      </c>
      <c r="G433" s="380" t="str">
        <f>IF($D433="","",IF($F429&lt;=1,"",ROUND(POSMMLV*PORPO,2)))</f>
        <v/>
      </c>
      <c r="H433" s="765" t="str">
        <f t="shared" si="82"/>
        <v/>
      </c>
      <c r="I433" s="766"/>
      <c r="J433" s="108" t="str">
        <f>IF(D433="","",IF(OR(AND(SUMIF($J414:$J423,D433,$O414:$O423)&gt;=5%*POSMMLV,N433="SI"),AND(SUMIF($J414:$J423,D433,$O414:$O423)=0,E433&lt;=5%,N433="SI")),"CUMPLE","NO CUMPLE"))</f>
        <v/>
      </c>
      <c r="K433" s="105" t="str">
        <f>IF(OR(D433="",J433=""),"",IF(AND(J433="NO CUMPLE",F433="NO APORTA",E433&gt;5%),"EXP = 0 y PART &gt; 5%",IF(F433&lt;5%*Q436,"EXP &lt; 5%*PO","")))</f>
        <v/>
      </c>
      <c r="L433" s="389" t="str">
        <f>IF(OR(D433="",E433=""),"",IF(AND(E433&gt;=0.25,F433&lt;&gt;"NO APORTA",F433&gt;=$R436*0.25),"SI","NO"))</f>
        <v/>
      </c>
      <c r="M433" s="389"/>
      <c r="N433" s="468"/>
      <c r="O433" s="397"/>
      <c r="P433" s="816"/>
      <c r="Q433" s="816"/>
      <c r="R433" s="816"/>
      <c r="S433" s="820"/>
      <c r="T433" s="308"/>
      <c r="U433" s="308"/>
      <c r="V433" s="309"/>
      <c r="W433" s="284"/>
      <c r="X433" s="542" t="str">
        <f>IF($F429=1,"NO APLICA",$D433)</f>
        <v/>
      </c>
      <c r="Y433" s="543" t="str">
        <f>IF(OR($F433="",$F433="NO APORTA",$R436=0,$X433="NO APLICA"),"",ROUND($F433/$Q436,2))</f>
        <v/>
      </c>
      <c r="Z433" s="544" t="str">
        <f>IF(Y437=1,"SI APLICA",IF(OR($X433="",$X433="NO APLICA",$F433="",$F433="NO APORTA"),"",IF(ROUND($F433/Q436,7)&gt;=0.4,"SI APLICA","NO APLICA")))</f>
        <v/>
      </c>
      <c r="AA433" s="543"/>
      <c r="AB433" s="540" t="str">
        <f>IF(COUNTIF(Z433:AA433,"SI APLICA")=2,"SI APLICA","")</f>
        <v/>
      </c>
      <c r="AC433" s="28"/>
    </row>
    <row r="434" spans="1:29" s="30" customFormat="1" ht="15.75" customHeight="1">
      <c r="A434" s="112" t="str">
        <f>"Q"&amp;E410</f>
        <v>Q14</v>
      </c>
      <c r="B434" s="791"/>
      <c r="C434" s="54">
        <v>4</v>
      </c>
      <c r="D434" s="100" t="str">
        <f>IF(AND(C434&lt;=F429,F429&lt;&gt;""),VLOOKUP(VALUE(E410&amp;","&amp;C434),INTEGRANTES!$D$19:$F$192,2,0),"")</f>
        <v/>
      </c>
      <c r="E434" s="107" t="str">
        <f>IF(D434&lt;&gt;"",VLOOKUP(VALUE(E410&amp;","&amp;C434),INTEGRANTES!$D$19:$F$192,3,0),"")</f>
        <v/>
      </c>
      <c r="F434" s="380" t="str">
        <f>IF(D434="","",IF(OR(SUMIF($J417:$J423,D434,$O417:$O423)=0,N434="NO"),"NO APORTA",SUMIF($J417:$J423,D434,$O417:$O423)))</f>
        <v/>
      </c>
      <c r="G434" s="380" t="str">
        <f>IF($D434="","",IF($F429&lt;=1,"",ROUND(POSMMLV*PORPO,2)))</f>
        <v/>
      </c>
      <c r="H434" s="765" t="str">
        <f t="shared" si="82"/>
        <v/>
      </c>
      <c r="I434" s="766"/>
      <c r="J434" s="108" t="str">
        <f>IF(D434="","",IF(OR(AND(SUMIF($J414:$J423,D434,$O414:$O423)&gt;=5%*POSMMLV,N434="SI"),AND(SUMIF($J414:$J423,D434,$O414:$O423)=0,E434&lt;=5%,N434="SI")),"CUMPLE","NO CUMPLE"))</f>
        <v/>
      </c>
      <c r="K434" s="105" t="str">
        <f>IF(OR(D434="",J434=""),"",IF(AND(J434="NO CUMPLE",F434="NO APORTA",E434&gt;5%),"EXP = 0 y PART &gt; 5%",IF(F434&lt;5%*Q436,"EXP &lt; 5%*PO","")))</f>
        <v/>
      </c>
      <c r="L434" s="389" t="str">
        <f>IF(OR(D434="",E434=""),"",IF(AND(E434&gt;=0.25,F434&lt;&gt;"NO APORTA",F434&gt;=$R436*0.25),"SI","NO"))</f>
        <v/>
      </c>
      <c r="M434" s="389"/>
      <c r="N434" s="468"/>
      <c r="O434" s="788" t="s">
        <v>414</v>
      </c>
      <c r="P434" s="769" t="s">
        <v>415</v>
      </c>
      <c r="Q434" s="770"/>
      <c r="R434" s="770"/>
      <c r="S434" s="771"/>
      <c r="T434" s="284"/>
      <c r="U434" s="284"/>
      <c r="V434" s="310"/>
      <c r="W434" s="284"/>
      <c r="X434" s="542" t="str">
        <f>IF($F429=1,"NO APLICA",$D434)</f>
        <v/>
      </c>
      <c r="Y434" s="543" t="str">
        <f>IF(OR($F434="",$F434="NO APORTA",$R436=0,$X434="NO APLICA"),"",ROUND($F434/$Q436,2))</f>
        <v/>
      </c>
      <c r="Z434" s="544" t="str">
        <f>IF(Y437=1,"SI APLICA",IF(OR($X434="",$X434="NO APLICA",$F434="",$F434="NO APORTA"),"",IF(ROUND($F434/Q436,7)&gt;=0.4,"SI APLICA","NO APLICA")))</f>
        <v/>
      </c>
      <c r="AA434" s="543"/>
      <c r="AB434" s="540" t="str">
        <f t="shared" ref="AB434:AB435" si="84">IF(COUNTIF(Z434:AA434,"SI APLICA")=2,"SI APLICA","")</f>
        <v/>
      </c>
      <c r="AC434" s="28"/>
    </row>
    <row r="435" spans="1:29" s="30" customFormat="1" ht="39.75" customHeight="1">
      <c r="A435" s="112" t="str">
        <f>"R"&amp;E410</f>
        <v>R14</v>
      </c>
      <c r="B435" s="791"/>
      <c r="C435" s="54">
        <v>5</v>
      </c>
      <c r="D435" s="100" t="str">
        <f>IF(AND(C435&lt;=F429,F429&lt;&gt;""),VLOOKUP(VALUE(E410&amp;","&amp;C435),INTEGRANTES!$D$19:$F$192,2,0),"")</f>
        <v/>
      </c>
      <c r="E435" s="107" t="str">
        <f>IF(D435&lt;&gt;"",VLOOKUP(VALUE(E410&amp;","&amp;C435),INTEGRANTES!$D$19:$F$192,3,0),"")</f>
        <v/>
      </c>
      <c r="F435" s="380" t="str">
        <f>IF(D435="","",IF(OR(SUMIF($J417:$J423,D435,$O417:$O423)=0,N435="NO"),"NO APORTA",SUMIF($J417:$J423,D435,$O417:$O423)))</f>
        <v/>
      </c>
      <c r="G435" s="380" t="str">
        <f>IF($D435="","",IF($F429&lt;=1,"",ROUND(POSMMLV*PORPO,2)))</f>
        <v/>
      </c>
      <c r="H435" s="765" t="str">
        <f t="shared" si="82"/>
        <v/>
      </c>
      <c r="I435" s="766"/>
      <c r="J435" s="108" t="str">
        <f>IF(D435="","",IF(OR(AND(SUMIF($J414:$J423,D435,$O414:$O423)&gt;=5%*POSMMLV,N435="SI"),AND(SUMIF($J414:$J423,D435,$O414:$O423)=0,E435&lt;=5%,N435="SI")),"CUMPLE","NO CUMPLE"))</f>
        <v/>
      </c>
      <c r="K435" s="105" t="str">
        <f>IF(OR(D435="",J435=""),"",IF(AND(J435="NO CUMPLE",F435="NO APORTA",E435&gt;5%),"EXP = 0 y PART &gt; 5%",IF(F435&lt;5%*Q436,"EXP &lt; 5%*PO","")))</f>
        <v/>
      </c>
      <c r="L435" s="389" t="str">
        <f>IF(OR(D435="",E435=""),"",IF(AND(E435&gt;=0.25,F435&lt;&gt;"NO APORTA",F435&gt;=$R436*0.25),"SI","NO"))</f>
        <v/>
      </c>
      <c r="M435" s="389"/>
      <c r="N435" s="468"/>
      <c r="O435" s="789"/>
      <c r="P435" s="504" t="s">
        <v>416</v>
      </c>
      <c r="Q435" s="504" t="s">
        <v>417</v>
      </c>
      <c r="R435" s="793" t="s">
        <v>418</v>
      </c>
      <c r="S435" s="793"/>
      <c r="T435" s="284"/>
      <c r="U435" s="284"/>
      <c r="V435" s="310"/>
      <c r="W435" s="284"/>
      <c r="X435" s="542" t="str">
        <f>IF($F429=1,"NO APLICA",$D435)</f>
        <v/>
      </c>
      <c r="Y435" s="543" t="str">
        <f>IF(OR($F435="",$F435="NO APORTA",$R436=0,$X435="NO APLICA"),"",ROUND($F435/$Q436,2))</f>
        <v/>
      </c>
      <c r="Z435" s="544" t="str">
        <f>IF(Y437=1,"SI APLICA",IF(OR($X435="",$X435="NO APLICA",$F435="",$F435="NO APORTA"),"",IF(ROUND($F435/Q436,7)&gt;=0.4,"SI APLICA","NO APLICA")))</f>
        <v/>
      </c>
      <c r="AA435" s="543"/>
      <c r="AB435" s="540" t="str">
        <f t="shared" si="84"/>
        <v/>
      </c>
      <c r="AC435" s="28"/>
    </row>
    <row r="436" spans="1:29" s="30" customFormat="1" ht="43.5" customHeight="1" thickBot="1">
      <c r="A436" s="112" t="str">
        <f>"S"&amp;E410</f>
        <v>S14</v>
      </c>
      <c r="B436" s="791"/>
      <c r="C436" s="109">
        <v>6</v>
      </c>
      <c r="D436" s="110" t="str">
        <f>IF(AND(C436&lt;=F429,F429&lt;&gt;""),VLOOKUP(VALUE(E410&amp;","&amp;C436),INTEGRANTES!$D$19:$F$192,2,0),"")</f>
        <v/>
      </c>
      <c r="E436" s="111" t="str">
        <f>IF(D436&lt;&gt;"",VLOOKUP(VALUE(E410&amp;","&amp;C436),INTEGRANTES!$D$19:$F$192,3,0),"")</f>
        <v/>
      </c>
      <c r="F436" s="380" t="str">
        <f>IF(D436="","",IF(OR(SUMIF($J417:$J423,D436,$O417:$O423)=0,N436="NO"),"NO APORTA",SUMIF($J417:$J423,D436,$O417:$O423)))</f>
        <v/>
      </c>
      <c r="G436" s="380" t="str">
        <f>IF($D436="","",IF($F429&lt;=1,"",ROUND(POSMMLV*PORPO,2)))</f>
        <v/>
      </c>
      <c r="H436" s="765" t="str">
        <f>IF($D436="","",IF(OR(F436="NO APORTA",G436&gt;F436),"NO CUMPLE","CUMPLE"))</f>
        <v/>
      </c>
      <c r="I436" s="766"/>
      <c r="J436" s="108" t="str">
        <f>IF(D436="","",IF(OR(AND(SUMIF($J414:$J423,D436,$O414:$O423)&gt;=5%*POSMMLV,N436="SI"),AND(SUMIF($J414:$J423,D436,$O414:$O423)=0,E436&lt;=5%,N436="SI")),"CUMPLE","NO CUMPLE"))</f>
        <v/>
      </c>
      <c r="K436" s="105" t="str">
        <f>IF(OR(D436="",J436=""),"",IF(AND(J436="NO CUMPLE",F436="NO APORTA",E436&gt;5%),"EXP = 0 y PART &gt; 5%",IF(F436&lt;5%*Q436,"EXP &lt; 5%*PO","")))</f>
        <v/>
      </c>
      <c r="L436" s="389" t="str">
        <f>IF(OR(D436="",E436=""),"",IF(AND(E436&gt;=0.25,F436&lt;&gt;"NO APORTA",F436&gt;=$R436*0.25),"SI","NO"))</f>
        <v/>
      </c>
      <c r="M436" s="389"/>
      <c r="N436" s="468"/>
      <c r="O436" s="403" t="str">
        <f ca="1">IF(R436&gt;=Q436,"CUMPLE","NO CUMPLE")</f>
        <v>CUMPLE</v>
      </c>
      <c r="P436" s="312">
        <f>NUMMOD</f>
        <v>1</v>
      </c>
      <c r="Q436" s="313">
        <f ca="1">IF(P436="","",ROUND(VLOOKUP(P436,PRESUPUESTOS!$B$16:$L$16,9,FALSE),7))</f>
        <v>300</v>
      </c>
      <c r="R436" s="834">
        <f>IF(OR(COUNTIF(O414:O423,"")&gt;9,S430&lt;NUMMINCONT),0,SUM(O414:O423))</f>
        <v>1518.115</v>
      </c>
      <c r="S436" s="834"/>
      <c r="T436" s="284"/>
      <c r="U436" s="284"/>
      <c r="V436" s="310"/>
      <c r="W436" s="284"/>
      <c r="X436" s="545" t="str">
        <f>IF($F429=1,"NO APLICA",$D436)</f>
        <v/>
      </c>
      <c r="Y436" s="543" t="str">
        <f>IF(OR($F436="",$F436="NO APORTA",$R436=0,$X436="NO APLICA"),"",ROUND($F436/$Q436,2))</f>
        <v/>
      </c>
      <c r="Z436" s="544" t="str">
        <f>IF(Y437=1,"SI APLICA",IF(OR($X436="",$X436="NO APLICA",$F436="",$F436="NO APORTA"),"",IF(ROUND($F436/Q436,7)&gt;=0.4,"SI APLICA","NO APLICA")))</f>
        <v/>
      </c>
      <c r="AA436" s="546"/>
      <c r="AB436" s="540" t="str">
        <f>IF(COUNTIF(Z436:AA436,"SI APLICA")=2,"SI APLICA","")</f>
        <v/>
      </c>
      <c r="AC436" s="28"/>
    </row>
    <row r="437" spans="1:29" s="30" customFormat="1" ht="16.5" customHeight="1" thickBot="1">
      <c r="A437" s="112" t="str">
        <f>"T"&amp;E410</f>
        <v>T14</v>
      </c>
      <c r="B437" s="792"/>
      <c r="C437" s="821" t="s">
        <v>419</v>
      </c>
      <c r="D437" s="822"/>
      <c r="E437" s="822"/>
      <c r="F437" s="518"/>
      <c r="G437" s="519"/>
      <c r="H437" s="794" t="str">
        <f ca="1">IF(OR($F429="",SUM(E431:E436)=0),"",IF(COUNTIF(H431:H436,"CUMPLE")&gt;=1,"CUMPLE","NO CUMPLE"))</f>
        <v>CUMPLE</v>
      </c>
      <c r="I437" s="795"/>
      <c r="J437" s="314" t="str">
        <f ca="1">IF(COUNTIF(J431:J436,"")&gt;5,"",IF(COUNTIF(J431:J436,"NO CUMPLE")&gt;0,"NO CUMPLE","CUMPLE"))</f>
        <v>CUMPLE</v>
      </c>
      <c r="K437" s="314" t="str">
        <f ca="1">IF(OR(AND(F429=1,N431="SI"),AND(COUNTIF(H437:J437,"CUMPLE")=2)),"CUMPLE","NO CUMPLE")</f>
        <v>CUMPLE</v>
      </c>
      <c r="L437" s="519"/>
      <c r="M437" s="519"/>
      <c r="N437" s="519"/>
      <c r="O437" s="833" t="str">
        <f ca="1">IF(ISNUMBER(F410),"",IF(AND(O436="NO CUMPLE",SUM(N417:N423)&lt;Q436),"EL PROPONENTE SE DEBE REQUERIR POR EXPERIENCIA MINIMA EXIGIDA",""))</f>
        <v/>
      </c>
      <c r="P437" s="833"/>
      <c r="Q437" s="833"/>
      <c r="R437" s="833"/>
      <c r="S437" s="833"/>
      <c r="T437" s="522"/>
      <c r="U437" s="523"/>
      <c r="V437" s="524"/>
      <c r="W437" s="284"/>
      <c r="X437" s="364" t="str">
        <f>IF(Y437=1,"PROPONENTE INDIVIDUAL","PROPONENTE PLURAL")</f>
        <v>PROPONENTE PLURAL</v>
      </c>
      <c r="Y437" s="276">
        <f>F429</f>
        <v>2</v>
      </c>
      <c r="Z437" s="277" t="str">
        <f ca="1">IF(OR(AND(Z431="SI APLICA",AA431="SI APLICA"),AND(Z432="SI APLICA",AA432="SI APLICA"),AND(Z433="SI APLICA",AA433="SI APLICA"),AND(Z434="SI APLICA",AA434="SI APLICA"),AND(Z435="SI APLICA",AA435="SI APLICA"),AND(Z436="SI APLICA",AA436="SI APLICA")),"SI APLICA","NO APLICA")</f>
        <v>SI APLICA</v>
      </c>
      <c r="AA437" s="278" t="str">
        <f ca="1">IF(OR(AND(AA431="SI APLICA",AB431="SI APLICA"),AND(AA432="SI APLICA",AB432="SI APLICA"),AND(AA433="SI APLICA",AB433="SI APLICA"),AND(AA434="SI APLICA",AB434="SI APLICA"),AND(AA435="SI APLICA",AB435="SI APLICA"),AND(AA436="SI APLICA",AB436="SI APLICA")),"SI APLICA","NO APLICA")</f>
        <v>SI APLICA</v>
      </c>
      <c r="AB437" s="278" t="str">
        <f ca="1">IF(COUNTIF(AB431:AB436,"SI APLICA")&gt;0,"SI APLICA","NO APLICA")</f>
        <v>SI APLICA</v>
      </c>
      <c r="AC437" s="28"/>
    </row>
    <row r="438" spans="1:29" ht="24.95" customHeight="1"/>
    <row r="439" spans="1:29" ht="24.95" customHeight="1"/>
    <row r="440" spans="1:29" s="41" customFormat="1" ht="24" thickBot="1">
      <c r="A440" s="34">
        <v>15</v>
      </c>
      <c r="B440" s="828" t="s">
        <v>355</v>
      </c>
      <c r="C440" s="828"/>
      <c r="D440" s="828"/>
      <c r="E440" s="35">
        <f>VLOOKUP(A440,PROPONENTES!$B$19:$E$108,2,FALSE)</f>
        <v>15</v>
      </c>
      <c r="F440" s="36" t="str">
        <f>VLOOKUP(A440,PROPONENTES!$B$19:$E$108,3,FALSE)</f>
        <v>EMPROCIV SAS</v>
      </c>
      <c r="G440" s="37"/>
      <c r="H440" s="37"/>
      <c r="I440" s="36"/>
      <c r="J440" s="36"/>
      <c r="K440" s="36"/>
      <c r="L440" s="36"/>
      <c r="M440" s="38"/>
      <c r="N440" s="38"/>
      <c r="O440" s="37"/>
      <c r="P440" s="37"/>
      <c r="Q440" s="39"/>
      <c r="R440" s="39"/>
      <c r="S440" s="39"/>
      <c r="T440" s="39"/>
      <c r="U440" s="40"/>
      <c r="Y440" s="52"/>
      <c r="Z440" s="52"/>
      <c r="AA440" s="52"/>
      <c r="AB440" s="28"/>
      <c r="AC440" s="28"/>
    </row>
    <row r="441" spans="1:29" s="27" customFormat="1" ht="24.75" customHeight="1">
      <c r="A441" s="22"/>
      <c r="B441" s="829" t="s">
        <v>356</v>
      </c>
      <c r="C441" s="501" t="s">
        <v>357</v>
      </c>
      <c r="D441" s="502" t="s">
        <v>358</v>
      </c>
      <c r="E441" s="502"/>
      <c r="F441" s="502" t="s">
        <v>359</v>
      </c>
      <c r="G441" s="503"/>
      <c r="H441" s="803" t="s">
        <v>360</v>
      </c>
      <c r="I441" s="831" t="s">
        <v>361</v>
      </c>
      <c r="J441" s="803" t="s">
        <v>362</v>
      </c>
      <c r="K441" s="803" t="s">
        <v>363</v>
      </c>
      <c r="L441" s="803" t="s">
        <v>364</v>
      </c>
      <c r="M441" s="803" t="s">
        <v>365</v>
      </c>
      <c r="N441" s="804" t="s">
        <v>366</v>
      </c>
      <c r="O441" s="805"/>
      <c r="P441" s="806" t="s">
        <v>367</v>
      </c>
      <c r="Q441" s="807"/>
      <c r="R441" s="784" t="s">
        <v>368</v>
      </c>
      <c r="S441" s="774"/>
      <c r="T441" s="798" t="s">
        <v>369</v>
      </c>
      <c r="U441" s="799"/>
      <c r="V441" s="800"/>
      <c r="X441" s="520"/>
      <c r="Y441" s="520"/>
    </row>
    <row r="442" spans="1:29" s="27" customFormat="1" ht="94.5" customHeight="1">
      <c r="A442" s="22"/>
      <c r="B442" s="830"/>
      <c r="C442" s="504" t="s">
        <v>370</v>
      </c>
      <c r="D442" s="505" t="s">
        <v>41</v>
      </c>
      <c r="E442" s="505" t="s">
        <v>371</v>
      </c>
      <c r="F442" s="505" t="s">
        <v>372</v>
      </c>
      <c r="G442" s="506" t="s">
        <v>373</v>
      </c>
      <c r="H442" s="793"/>
      <c r="I442" s="832"/>
      <c r="J442" s="793"/>
      <c r="K442" s="793"/>
      <c r="L442" s="793"/>
      <c r="M442" s="793"/>
      <c r="N442" s="504" t="s">
        <v>374</v>
      </c>
      <c r="O442" s="505" t="s">
        <v>375</v>
      </c>
      <c r="P442" s="801"/>
      <c r="Q442" s="802"/>
      <c r="R442" s="796"/>
      <c r="S442" s="797"/>
      <c r="T442" s="507" t="s">
        <v>376</v>
      </c>
      <c r="U442" s="508" t="s">
        <v>377</v>
      </c>
      <c r="V442" s="509" t="s">
        <v>378</v>
      </c>
      <c r="X442" s="521" t="s">
        <v>379</v>
      </c>
      <c r="Y442" s="521" t="s">
        <v>380</v>
      </c>
    </row>
    <row r="443" spans="1:29" s="27" customFormat="1" ht="15" customHeight="1">
      <c r="A443" s="22"/>
      <c r="B443" s="594"/>
      <c r="C443" s="595">
        <v>3</v>
      </c>
      <c r="D443" s="595">
        <v>4</v>
      </c>
      <c r="E443" s="595">
        <v>5</v>
      </c>
      <c r="F443" s="595">
        <v>6</v>
      </c>
      <c r="G443" s="595">
        <v>7</v>
      </c>
      <c r="H443" s="595">
        <v>8</v>
      </c>
      <c r="I443" s="595">
        <v>9</v>
      </c>
      <c r="J443" s="595">
        <v>10</v>
      </c>
      <c r="K443" s="595">
        <v>11</v>
      </c>
      <c r="L443" s="595">
        <v>12</v>
      </c>
      <c r="M443" s="595">
        <v>13</v>
      </c>
      <c r="N443" s="595">
        <v>14</v>
      </c>
      <c r="O443" s="595">
        <v>15</v>
      </c>
      <c r="P443" s="596">
        <v>16</v>
      </c>
      <c r="Q443" s="597">
        <v>17</v>
      </c>
      <c r="R443" s="596">
        <v>18</v>
      </c>
      <c r="S443" s="597">
        <v>19</v>
      </c>
      <c r="T443" s="598">
        <v>20</v>
      </c>
      <c r="U443" s="255">
        <v>21</v>
      </c>
      <c r="V443" s="599">
        <v>22</v>
      </c>
      <c r="X443" s="589"/>
      <c r="Y443" s="590"/>
    </row>
    <row r="444" spans="1:29" s="44" customFormat="1" ht="51">
      <c r="A444" s="42" t="str">
        <f>"A"&amp;E440</f>
        <v>A15</v>
      </c>
      <c r="B444" s="605">
        <f>IF(C444&lt;&gt;"",B443+1,"")</f>
        <v>1</v>
      </c>
      <c r="C444" s="581" t="s">
        <v>517</v>
      </c>
      <c r="D444" s="581" t="s">
        <v>518</v>
      </c>
      <c r="E444" s="581" t="s">
        <v>519</v>
      </c>
      <c r="F444" s="581" t="s">
        <v>384</v>
      </c>
      <c r="G444" s="534">
        <v>1</v>
      </c>
      <c r="H444" s="534" t="s">
        <v>385</v>
      </c>
      <c r="I444" s="579" t="s">
        <v>384</v>
      </c>
      <c r="J444" s="580" t="str">
        <f>IF(I444="","",IF(I444="I",$F440,VLOOKUP(I444,$C461:$D466,2,0)))</f>
        <v>EMPROCIV SAS</v>
      </c>
      <c r="K444" s="535">
        <v>42415</v>
      </c>
      <c r="L444" s="535">
        <v>42699</v>
      </c>
      <c r="M444" s="536">
        <v>147.12</v>
      </c>
      <c r="N444" s="232">
        <f t="shared" ref="N444:N453" si="85">IF(OR(G444="",M444=""),"",M444*G444)</f>
        <v>147.12</v>
      </c>
      <c r="O444" s="260">
        <f t="shared" ref="O444:O453" si="86">IF(OR(H444="",H444="NO",K444&lt;$Q$17,K444&gt;$R$17,K444="",M444="",N444=""),"",ROUND(N444,7))</f>
        <v>147.12</v>
      </c>
      <c r="P444" s="781"/>
      <c r="Q444" s="782"/>
      <c r="R444" s="767"/>
      <c r="S444" s="768"/>
      <c r="T444" s="538" t="s">
        <v>385</v>
      </c>
      <c r="U444" s="539">
        <v>31</v>
      </c>
      <c r="V444" s="540" t="s">
        <v>385</v>
      </c>
      <c r="X444" s="541" t="s">
        <v>386</v>
      </c>
      <c r="Y444" s="541" t="s">
        <v>439</v>
      </c>
    </row>
    <row r="445" spans="1:29" s="44" customFormat="1" ht="76.5">
      <c r="A445" s="42" t="str">
        <f>"B"&amp;E440</f>
        <v>B15</v>
      </c>
      <c r="B445" s="605">
        <f t="shared" ref="B445:B453" si="87">IF(C445&lt;&gt;"",B444+1,"")</f>
        <v>2</v>
      </c>
      <c r="C445" s="581" t="s">
        <v>517</v>
      </c>
      <c r="D445" s="581" t="s">
        <v>520</v>
      </c>
      <c r="E445" s="581" t="s">
        <v>521</v>
      </c>
      <c r="F445" s="581" t="s">
        <v>384</v>
      </c>
      <c r="G445" s="534">
        <v>1</v>
      </c>
      <c r="H445" s="534" t="s">
        <v>385</v>
      </c>
      <c r="I445" s="579" t="s">
        <v>384</v>
      </c>
      <c r="J445" s="580" t="str">
        <f>IF(I445="","",IF(I445="I",$F440,VLOOKUP(I445,$C461:$D466,2,0)))</f>
        <v>EMPROCIV SAS</v>
      </c>
      <c r="K445" s="535">
        <v>41889</v>
      </c>
      <c r="L445" s="535">
        <v>42223</v>
      </c>
      <c r="M445" s="536">
        <v>994.26</v>
      </c>
      <c r="N445" s="232">
        <f t="shared" si="85"/>
        <v>994.26</v>
      </c>
      <c r="O445" s="260">
        <f t="shared" si="86"/>
        <v>994.26</v>
      </c>
      <c r="P445" s="781"/>
      <c r="Q445" s="782"/>
      <c r="R445" s="767"/>
      <c r="S445" s="768"/>
      <c r="T445" s="538" t="s">
        <v>385</v>
      </c>
      <c r="U445" s="539">
        <v>25</v>
      </c>
      <c r="V445" s="540" t="s">
        <v>385</v>
      </c>
      <c r="X445" s="541" t="s">
        <v>423</v>
      </c>
      <c r="Y445" s="541" t="s">
        <v>435</v>
      </c>
    </row>
    <row r="446" spans="1:29" s="44" customFormat="1" ht="24.95" customHeight="1">
      <c r="A446" s="42" t="str">
        <f>"C"&amp;E440</f>
        <v>C15</v>
      </c>
      <c r="B446" s="605" t="str">
        <f t="shared" si="87"/>
        <v/>
      </c>
      <c r="C446" s="581"/>
      <c r="D446" s="581"/>
      <c r="E446" s="581"/>
      <c r="F446" s="581"/>
      <c r="G446" s="534"/>
      <c r="H446" s="534"/>
      <c r="I446" s="579"/>
      <c r="J446" s="580" t="str">
        <f>IF(I446="","",IF(I446="I",$F440,VLOOKUP(I446,$C461:$D466,2,0)))</f>
        <v/>
      </c>
      <c r="K446" s="535"/>
      <c r="L446" s="535"/>
      <c r="M446" s="536"/>
      <c r="N446" s="232" t="str">
        <f t="shared" si="85"/>
        <v/>
      </c>
      <c r="O446" s="260" t="str">
        <f t="shared" si="86"/>
        <v/>
      </c>
      <c r="P446" s="781"/>
      <c r="Q446" s="782"/>
      <c r="R446" s="767"/>
      <c r="S446" s="768"/>
      <c r="T446" s="538"/>
      <c r="U446" s="539"/>
      <c r="V446" s="540"/>
      <c r="X446" s="541"/>
      <c r="Y446" s="541"/>
    </row>
    <row r="447" spans="1:29" s="44" customFormat="1" ht="24.95" customHeight="1">
      <c r="A447" s="42" t="str">
        <f>"D"&amp;E440</f>
        <v>D15</v>
      </c>
      <c r="B447" s="605" t="str">
        <f t="shared" si="87"/>
        <v/>
      </c>
      <c r="C447" s="581"/>
      <c r="D447" s="581"/>
      <c r="E447" s="581"/>
      <c r="F447" s="581"/>
      <c r="G447" s="534"/>
      <c r="H447" s="534"/>
      <c r="I447" s="579"/>
      <c r="J447" s="580" t="str">
        <f>IF(I447="","",IF(I447="I",$F440,VLOOKUP(I447,$C461:$D466,2,0)))</f>
        <v/>
      </c>
      <c r="K447" s="535"/>
      <c r="L447" s="535"/>
      <c r="M447" s="536"/>
      <c r="N447" s="232" t="str">
        <f t="shared" si="85"/>
        <v/>
      </c>
      <c r="O447" s="260" t="str">
        <f t="shared" si="86"/>
        <v/>
      </c>
      <c r="P447" s="781"/>
      <c r="Q447" s="782"/>
      <c r="R447" s="767"/>
      <c r="S447" s="768"/>
      <c r="T447" s="538"/>
      <c r="U447" s="539"/>
      <c r="V447" s="540"/>
      <c r="X447" s="541"/>
      <c r="Y447" s="541"/>
    </row>
    <row r="448" spans="1:29" s="44" customFormat="1" ht="24.95" customHeight="1">
      <c r="A448" s="42" t="str">
        <f>"E"&amp;E440</f>
        <v>E15</v>
      </c>
      <c r="B448" s="605" t="str">
        <f t="shared" si="87"/>
        <v/>
      </c>
      <c r="C448" s="581"/>
      <c r="D448" s="581"/>
      <c r="E448" s="581"/>
      <c r="F448" s="581"/>
      <c r="G448" s="534"/>
      <c r="H448" s="534"/>
      <c r="I448" s="579"/>
      <c r="J448" s="580" t="str">
        <f>IF(I448="","",IF(I448="I",$F440,VLOOKUP(I448,$C461:$D466,2,0)))</f>
        <v/>
      </c>
      <c r="K448" s="535"/>
      <c r="L448" s="535"/>
      <c r="M448" s="536"/>
      <c r="N448" s="232" t="str">
        <f t="shared" si="85"/>
        <v/>
      </c>
      <c r="O448" s="260" t="str">
        <f t="shared" si="86"/>
        <v/>
      </c>
      <c r="P448" s="781"/>
      <c r="Q448" s="782"/>
      <c r="R448" s="767"/>
      <c r="S448" s="768"/>
      <c r="T448" s="538"/>
      <c r="U448" s="539"/>
      <c r="V448" s="540"/>
      <c r="X448" s="541"/>
      <c r="Y448" s="541"/>
    </row>
    <row r="449" spans="1:29" s="44" customFormat="1" ht="24.95" customHeight="1">
      <c r="A449" s="42" t="str">
        <f>"F"&amp;E440</f>
        <v>F15</v>
      </c>
      <c r="B449" s="605" t="str">
        <f t="shared" si="87"/>
        <v/>
      </c>
      <c r="C449" s="581"/>
      <c r="D449" s="581"/>
      <c r="E449" s="581"/>
      <c r="F449" s="581"/>
      <c r="G449" s="534"/>
      <c r="H449" s="534"/>
      <c r="I449" s="579"/>
      <c r="J449" s="580" t="str">
        <f>IF(I449="","",IF(I449="I",$F440,VLOOKUP(I449,$C461:$D466,2,0)))</f>
        <v/>
      </c>
      <c r="K449" s="535"/>
      <c r="L449" s="535"/>
      <c r="M449" s="536"/>
      <c r="N449" s="232" t="str">
        <f t="shared" si="85"/>
        <v/>
      </c>
      <c r="O449" s="260" t="str">
        <f t="shared" si="86"/>
        <v/>
      </c>
      <c r="P449" s="781"/>
      <c r="Q449" s="782"/>
      <c r="R449" s="767"/>
      <c r="S449" s="768"/>
      <c r="T449" s="538"/>
      <c r="U449" s="539"/>
      <c r="V449" s="540"/>
      <c r="X449" s="541"/>
      <c r="Y449" s="541"/>
    </row>
    <row r="450" spans="1:29" s="44" customFormat="1" ht="24.95" customHeight="1">
      <c r="A450" s="42" t="str">
        <f>"G"&amp;E440</f>
        <v>G15</v>
      </c>
      <c r="B450" s="605" t="str">
        <f t="shared" si="87"/>
        <v/>
      </c>
      <c r="C450" s="581"/>
      <c r="D450" s="581"/>
      <c r="E450" s="581"/>
      <c r="F450" s="581"/>
      <c r="G450" s="534"/>
      <c r="H450" s="534"/>
      <c r="I450" s="579"/>
      <c r="J450" s="580" t="str">
        <f>IF(I450="","",IF(I450="I",$F440,VLOOKUP(I450,$C461:$D466,2,0)))</f>
        <v/>
      </c>
      <c r="K450" s="535"/>
      <c r="L450" s="535"/>
      <c r="M450" s="536"/>
      <c r="N450" s="43" t="str">
        <f t="shared" si="85"/>
        <v/>
      </c>
      <c r="O450" s="260" t="str">
        <f t="shared" si="86"/>
        <v/>
      </c>
      <c r="P450" s="781"/>
      <c r="Q450" s="782"/>
      <c r="R450" s="767"/>
      <c r="S450" s="768"/>
      <c r="T450" s="538"/>
      <c r="U450" s="539"/>
      <c r="V450" s="540"/>
      <c r="X450" s="541"/>
      <c r="Y450" s="541"/>
    </row>
    <row r="451" spans="1:29" s="44" customFormat="1" ht="24.95" customHeight="1">
      <c r="A451" s="42" t="str">
        <f>"H"&amp;E440</f>
        <v>H15</v>
      </c>
      <c r="B451" s="605" t="str">
        <f t="shared" si="87"/>
        <v/>
      </c>
      <c r="C451" s="581"/>
      <c r="D451" s="581"/>
      <c r="E451" s="581"/>
      <c r="F451" s="581"/>
      <c r="G451" s="534"/>
      <c r="H451" s="534"/>
      <c r="I451" s="579"/>
      <c r="J451" s="580" t="str">
        <f>IF(I451="","",IF(I451="I",$F440,VLOOKUP(I451,$C461:$D466,2,0)))</f>
        <v/>
      </c>
      <c r="K451" s="535"/>
      <c r="L451" s="535"/>
      <c r="M451" s="537"/>
      <c r="N451" s="43" t="str">
        <f t="shared" si="85"/>
        <v/>
      </c>
      <c r="O451" s="260" t="str">
        <f t="shared" si="86"/>
        <v/>
      </c>
      <c r="P451" s="781"/>
      <c r="Q451" s="782"/>
      <c r="R451" s="767"/>
      <c r="S451" s="768"/>
      <c r="T451" s="538"/>
      <c r="U451" s="539"/>
      <c r="V451" s="540"/>
      <c r="X451" s="541"/>
      <c r="Y451" s="541"/>
    </row>
    <row r="452" spans="1:29" s="44" customFormat="1" ht="24.95" customHeight="1">
      <c r="A452" s="42" t="str">
        <f>"I"&amp;E440</f>
        <v>I15</v>
      </c>
      <c r="B452" s="605" t="str">
        <f t="shared" si="87"/>
        <v/>
      </c>
      <c r="C452" s="581"/>
      <c r="D452" s="581"/>
      <c r="E452" s="581"/>
      <c r="F452" s="581"/>
      <c r="G452" s="534"/>
      <c r="H452" s="534"/>
      <c r="I452" s="579"/>
      <c r="J452" s="580" t="str">
        <f>IF(I452="","",IF(I452="I",$F440,VLOOKUP(I452,$C461:$D466,2,0)))</f>
        <v/>
      </c>
      <c r="K452" s="535"/>
      <c r="L452" s="535"/>
      <c r="M452" s="537"/>
      <c r="N452" s="43" t="str">
        <f t="shared" si="85"/>
        <v/>
      </c>
      <c r="O452" s="260" t="str">
        <f t="shared" si="86"/>
        <v/>
      </c>
      <c r="P452" s="781"/>
      <c r="Q452" s="782"/>
      <c r="R452" s="767"/>
      <c r="S452" s="768"/>
      <c r="T452" s="538"/>
      <c r="U452" s="539"/>
      <c r="V452" s="540"/>
      <c r="X452" s="541"/>
      <c r="Y452" s="541"/>
    </row>
    <row r="453" spans="1:29" s="44" customFormat="1" ht="24.95" customHeight="1" thickBot="1">
      <c r="A453" s="42" t="str">
        <f>"J"&amp;E440</f>
        <v>J15</v>
      </c>
      <c r="B453" s="612" t="str">
        <f t="shared" si="87"/>
        <v/>
      </c>
      <c r="C453" s="582"/>
      <c r="D453" s="582"/>
      <c r="E453" s="582"/>
      <c r="F453" s="582"/>
      <c r="G453" s="583"/>
      <c r="H453" s="583"/>
      <c r="I453" s="584"/>
      <c r="J453" s="585" t="str">
        <f>IF(I453="","",IF(I453="I",$F440,VLOOKUP(I453,$C461:$D466,2,0)))</f>
        <v/>
      </c>
      <c r="K453" s="586"/>
      <c r="L453" s="586"/>
      <c r="M453" s="587"/>
      <c r="N453" s="43" t="str">
        <f t="shared" si="85"/>
        <v/>
      </c>
      <c r="O453" s="260" t="str">
        <f t="shared" si="86"/>
        <v/>
      </c>
      <c r="P453" s="781"/>
      <c r="Q453" s="782"/>
      <c r="R453" s="767"/>
      <c r="S453" s="768"/>
      <c r="T453" s="538"/>
      <c r="U453" s="539"/>
      <c r="V453" s="540"/>
      <c r="X453" s="541"/>
      <c r="Y453" s="541"/>
    </row>
    <row r="454" spans="1:29" s="27" customFormat="1" ht="12" customHeight="1" thickBot="1">
      <c r="A454" s="42"/>
      <c r="B454" s="45"/>
      <c r="C454" s="46"/>
      <c r="D454" s="46"/>
      <c r="E454" s="46"/>
      <c r="F454" s="46"/>
      <c r="G454" s="46"/>
      <c r="H454" s="606"/>
      <c r="I454" s="46"/>
      <c r="J454" s="46"/>
      <c r="K454" s="46"/>
      <c r="L454" s="46"/>
      <c r="M454" s="46"/>
      <c r="N454" s="46"/>
      <c r="O454" s="259"/>
      <c r="P454" s="46"/>
      <c r="Q454" s="46"/>
      <c r="R454" s="259"/>
      <c r="S454" s="46"/>
      <c r="T454" s="46"/>
      <c r="U454" s="47"/>
      <c r="V454" s="48"/>
      <c r="X454" s="592"/>
      <c r="Y454" s="593"/>
      <c r="AB454" s="378"/>
    </row>
    <row r="455" spans="1:29" s="27" customFormat="1" ht="17.25" customHeight="1" thickBot="1">
      <c r="A455" s="42" t="str">
        <f>"Z"&amp;E440</f>
        <v>Z15</v>
      </c>
      <c r="B455" s="510"/>
      <c r="C455" s="511"/>
      <c r="D455" s="511"/>
      <c r="E455" s="511"/>
      <c r="F455" s="511"/>
      <c r="G455" s="511"/>
      <c r="H455" s="511"/>
      <c r="I455" s="511"/>
      <c r="J455" s="511"/>
      <c r="K455" s="511"/>
      <c r="L455" s="511"/>
      <c r="M455" s="511"/>
      <c r="N455" s="437" t="s">
        <v>388</v>
      </c>
      <c r="O455" s="438">
        <f>IF(COUNTIF(O444:O453,"")&gt;9,0,SUM(O444:O453)/(COUNTIF(H444:H453,"SI")))</f>
        <v>570.69000000000005</v>
      </c>
      <c r="P455" s="511"/>
      <c r="Q455" s="511"/>
      <c r="R455" s="530"/>
      <c r="S455" s="530"/>
      <c r="T455" s="531"/>
      <c r="U455" s="532"/>
      <c r="V455" s="533"/>
      <c r="W455" s="285"/>
      <c r="X455" s="613" t="e">
        <f>COUNTIF(#REF!,"")-COUNTIF(#REF!,"CUMPLE")-1</f>
        <v>#REF!</v>
      </c>
      <c r="Y455" s="591"/>
      <c r="AB455" s="28"/>
    </row>
    <row r="456" spans="1:29" ht="17.25" customHeight="1">
      <c r="B456" s="50"/>
      <c r="C456" s="50"/>
      <c r="D456" s="50"/>
      <c r="E456" s="50"/>
      <c r="F456" s="50"/>
      <c r="G456" s="51"/>
      <c r="H456" s="51"/>
      <c r="I456" s="51"/>
      <c r="J456" s="51"/>
      <c r="K456" s="51"/>
      <c r="L456" s="51"/>
      <c r="M456" s="51"/>
      <c r="N456" s="51"/>
      <c r="O456" s="51"/>
      <c r="P456" s="51"/>
      <c r="Q456" s="51"/>
      <c r="R456" s="51"/>
      <c r="S456" s="51"/>
      <c r="T456" s="51"/>
      <c r="U456" s="51"/>
      <c r="V456" s="51"/>
      <c r="W456" s="51"/>
      <c r="X456" s="608"/>
      <c r="Y456" s="51"/>
      <c r="Z456" s="51"/>
      <c r="AA456" s="51"/>
      <c r="AB456" s="51"/>
      <c r="AC456" s="50"/>
    </row>
    <row r="457" spans="1:29" s="27" customFormat="1" ht="16.5" customHeight="1" thickBot="1">
      <c r="A457" s="22"/>
      <c r="B457" s="783" t="s">
        <v>389</v>
      </c>
      <c r="C457" s="783"/>
      <c r="D457" s="783"/>
      <c r="E457" s="783"/>
      <c r="F457" s="783"/>
      <c r="G457" s="783"/>
      <c r="H457" s="783"/>
      <c r="I457" s="783"/>
      <c r="J457" s="783"/>
      <c r="K457" s="783"/>
      <c r="L457" s="783"/>
      <c r="M457" s="783"/>
      <c r="N457" s="783"/>
      <c r="O457" s="783"/>
      <c r="P457" s="783"/>
      <c r="Q457" s="783"/>
      <c r="R457" s="783"/>
      <c r="S457" s="783"/>
      <c r="T457" s="783"/>
      <c r="U457" s="783"/>
      <c r="V457" s="783"/>
      <c r="W457" s="286"/>
      <c r="X457" s="607"/>
      <c r="Y457" s="52"/>
      <c r="Z457" s="52"/>
      <c r="AA457" s="52"/>
      <c r="AB457" s="28"/>
      <c r="AC457" s="28"/>
    </row>
    <row r="458" spans="1:29" s="30" customFormat="1" ht="22.5" customHeight="1">
      <c r="A458" s="112" t="str">
        <f>"K"&amp;E440</f>
        <v>K15</v>
      </c>
      <c r="B458" s="790" t="s">
        <v>390</v>
      </c>
      <c r="C458" s="772" t="s">
        <v>391</v>
      </c>
      <c r="D458" s="773"/>
      <c r="E458" s="773"/>
      <c r="F458" s="773"/>
      <c r="G458" s="773"/>
      <c r="H458" s="773"/>
      <c r="I458" s="773"/>
      <c r="J458" s="773"/>
      <c r="K458" s="773"/>
      <c r="L458" s="773"/>
      <c r="M458" s="774"/>
      <c r="N458" s="525"/>
      <c r="O458" s="588"/>
      <c r="P458" s="772" t="s">
        <v>392</v>
      </c>
      <c r="Q458" s="773"/>
      <c r="R458" s="773"/>
      <c r="S458" s="774"/>
      <c r="T458" s="784" t="s">
        <v>393</v>
      </c>
      <c r="U458" s="774"/>
      <c r="V458" s="811"/>
      <c r="W458" s="284"/>
      <c r="X458" s="778" t="s">
        <v>394</v>
      </c>
      <c r="Y458" s="779"/>
      <c r="Z458" s="779"/>
      <c r="AA458" s="779" t="s">
        <v>395</v>
      </c>
      <c r="AB458" s="808" t="s">
        <v>396</v>
      </c>
      <c r="AC458" s="28"/>
    </row>
    <row r="459" spans="1:29" s="30" customFormat="1" ht="22.5" customHeight="1">
      <c r="A459" s="112" t="str">
        <f>"L"&amp;E440</f>
        <v>L15</v>
      </c>
      <c r="B459" s="791"/>
      <c r="C459" s="769" t="s">
        <v>397</v>
      </c>
      <c r="D459" s="770"/>
      <c r="E459" s="771"/>
      <c r="F459" s="512">
        <f>IF(VLOOKUP(E440,PROPONENTES!$C$19:$E$108,3,0)="","",VLOOKUP(E440,PROPONENTES!$C$19:$E$108,3,0))</f>
        <v>1</v>
      </c>
      <c r="G459" s="824" t="s">
        <v>398</v>
      </c>
      <c r="H459" s="793" t="s">
        <v>399</v>
      </c>
      <c r="I459" s="793"/>
      <c r="J459" s="769" t="s">
        <v>400</v>
      </c>
      <c r="K459" s="823"/>
      <c r="L459" s="513" t="s">
        <v>401</v>
      </c>
      <c r="M459" s="513"/>
      <c r="N459" s="526"/>
      <c r="O459" s="527"/>
      <c r="P459" s="775"/>
      <c r="Q459" s="776"/>
      <c r="R459" s="776"/>
      <c r="S459" s="777"/>
      <c r="T459" s="796"/>
      <c r="U459" s="797"/>
      <c r="V459" s="812"/>
      <c r="W459" s="284"/>
      <c r="X459" s="780" t="s">
        <v>402</v>
      </c>
      <c r="Y459" s="810" t="s">
        <v>403</v>
      </c>
      <c r="Z459" s="810"/>
      <c r="AA459" s="810"/>
      <c r="AB459" s="809"/>
      <c r="AC459" s="28"/>
    </row>
    <row r="460" spans="1:29" s="30" customFormat="1" ht="51.75" customHeight="1" thickBot="1">
      <c r="A460" s="112" t="str">
        <f>"M"&amp;E440</f>
        <v>M15</v>
      </c>
      <c r="B460" s="791"/>
      <c r="C460" s="770" t="s">
        <v>404</v>
      </c>
      <c r="D460" s="771"/>
      <c r="E460" s="514" t="s">
        <v>405</v>
      </c>
      <c r="F460" s="515" t="s">
        <v>406</v>
      </c>
      <c r="G460" s="824"/>
      <c r="H460" s="793"/>
      <c r="I460" s="793"/>
      <c r="J460" s="504" t="s">
        <v>407</v>
      </c>
      <c r="K460" s="516" t="s">
        <v>408</v>
      </c>
      <c r="L460" s="517" t="s">
        <v>409</v>
      </c>
      <c r="M460" s="517"/>
      <c r="N460" s="528" t="s">
        <v>410</v>
      </c>
      <c r="O460" s="529"/>
      <c r="P460" s="386"/>
      <c r="Q460" s="387" t="s">
        <v>411</v>
      </c>
      <c r="R460" s="388"/>
      <c r="S460" s="113">
        <f>COUNTIFS(H444:H453,"SI",O444:O453,"&gt;0")</f>
        <v>2</v>
      </c>
      <c r="T460" s="785"/>
      <c r="U460" s="787"/>
      <c r="V460" s="813"/>
      <c r="W460" s="284"/>
      <c r="X460" s="780"/>
      <c r="Y460" s="810"/>
      <c r="Z460" s="810"/>
      <c r="AA460" s="810"/>
      <c r="AB460" s="809"/>
      <c r="AC460" s="28"/>
    </row>
    <row r="461" spans="1:29" s="30" customFormat="1" ht="15.75" customHeight="1">
      <c r="A461" s="112" t="str">
        <f>"N"&amp;E440</f>
        <v>N15</v>
      </c>
      <c r="B461" s="791"/>
      <c r="C461" s="54">
        <v>1</v>
      </c>
      <c r="D461" s="100" t="str">
        <f>IF(AND(C461&lt;=F459,F459&gt;1,F459&lt;&gt;""),VLOOKUP(VALUE(E440&amp;","&amp;C461),INTEGRANTES!$D$19:$F$192,2,0),"")</f>
        <v/>
      </c>
      <c r="E461" s="107" t="str">
        <f>IF(D461&lt;&gt;"",VLOOKUP(VALUE(E440&amp;","&amp;C461),INTEGRANTES!$D$19:$F$192,3,0),"")</f>
        <v/>
      </c>
      <c r="F461" s="380" t="str">
        <f>IF(D461="","",IF(OR(SUMIF($J447:$J453,D461,$O447:$O453)=0,N461="NO"),"NO APORTA",SUMIF($J447:$J453,D461,$O447:$O453)))</f>
        <v/>
      </c>
      <c r="G461" s="380" t="str">
        <f>IF($D461="","",IF($F459&lt;=1,"",ROUND(POSMMLV*PORPO,2)))</f>
        <v/>
      </c>
      <c r="H461" s="765" t="str">
        <f>IF($D461="","",IF(OR(F461="NO APORTA",G461&gt;F461),"NO CUMPLE","CUMPLE"))</f>
        <v/>
      </c>
      <c r="I461" s="766"/>
      <c r="J461" s="108" t="str">
        <f>IF(D461="","",IF(OR(AND(SUMIF($J444:$J453,D461,$O444:$O453)&gt;=5%*POSMMLV,N461="SI"),AND(SUMIF($J444:$J453,D461,$O444:$O453)=0,E461&lt;=5%,N461="SI")),"CUMPLE","NO CUMPLE"))</f>
        <v/>
      </c>
      <c r="K461" s="105" t="str">
        <f>IF(OR(D461="",J461=""),"",IF(AND(J461="NO CUMPLE",F461="NO APORTA",E461&gt;5%),"EXP = 0 y PART &gt; 5%",IF(F461&lt;5%*Q466,"EXP &lt; 5%*PO","")))</f>
        <v/>
      </c>
      <c r="L461" s="389" t="str">
        <f>IF(OR(D461="",E461=""),"",IF(AND(E461&gt;=0.25,F461&lt;&gt;"NO APORTA",F461&gt;=$R466*0.25),"SI","NO"))</f>
        <v/>
      </c>
      <c r="M461" s="389"/>
      <c r="N461" s="468" t="s">
        <v>385</v>
      </c>
      <c r="O461" s="396">
        <f>COUNTIFS(O444:O453,"&gt;0",H444:H453,"SI")</f>
        <v>2</v>
      </c>
      <c r="P461" s="814" t="s">
        <v>139</v>
      </c>
      <c r="Q461" s="814"/>
      <c r="R461" s="817">
        <f>E440</f>
        <v>15</v>
      </c>
      <c r="S461" s="818"/>
      <c r="T461" s="784" t="s">
        <v>412</v>
      </c>
      <c r="U461" s="773"/>
      <c r="V461" s="774"/>
      <c r="W461" s="283"/>
      <c r="X461" s="542" t="str">
        <f>IF($F459=1,"NO APLICA",$D461)</f>
        <v>NO APLICA</v>
      </c>
      <c r="Y461" s="543" t="str">
        <f>IF(OR($F461="",$F461="NO APORTA",$R466=0,$X461="NO APLICA"),"",ROUND($F461/$Q466,2))</f>
        <v/>
      </c>
      <c r="Z461" s="544" t="str">
        <f>IF(Y467=1,"SI APLICA",IF(OR($X461="",$X461="NO APLICA",$F461="",$F461="NO APORTA"),"",IF(ROUND($F461/Q466,7)&gt;=0.4,"SI APLICA","NO APLICA")))</f>
        <v>SI APLICA</v>
      </c>
      <c r="AA461" s="543" t="s">
        <v>413</v>
      </c>
      <c r="AB461" s="540" t="str">
        <f>IF(COUNTIF(Z461:AA461,"SI APLICA")=2,"SI APLICA","")</f>
        <v>SI APLICA</v>
      </c>
      <c r="AC461" s="28"/>
    </row>
    <row r="462" spans="1:29" s="30" customFormat="1" ht="15.75" customHeight="1" thickBot="1">
      <c r="A462" s="112" t="str">
        <f>"O"&amp;E440</f>
        <v>O15</v>
      </c>
      <c r="B462" s="791"/>
      <c r="C462" s="54">
        <v>2</v>
      </c>
      <c r="D462" s="100" t="str">
        <f>IF(AND(C462&lt;=F459,F459&lt;&gt;""),VLOOKUP(VALUE(E440&amp;","&amp;C462),INTEGRANTES!$D$19:$F$192,2,0),"")</f>
        <v/>
      </c>
      <c r="E462" s="107" t="str">
        <f>IF(D462&lt;&gt;"",VLOOKUP(VALUE(E440&amp;","&amp;C462),INTEGRANTES!$D$19:$F$192,3,0),"")</f>
        <v/>
      </c>
      <c r="F462" s="380" t="str">
        <f>IF(D462="","",IF(OR(SUMIF($J447:$J453,D462,$O447:$O453)=0,N462="NO"),"NO APORTA",SUMIF($J447:$J453,D462,$O447:$O453)))</f>
        <v/>
      </c>
      <c r="G462" s="380" t="str">
        <f>IF($D462="","",IF($F459&lt;=1,"",ROUND(POSMMLV*PORPO,2)))</f>
        <v/>
      </c>
      <c r="H462" s="765" t="str">
        <f t="shared" ref="H462:H465" si="88">IF($D462="","",IF(OR(F462="NO APORTA",G462&gt;F462),"NO CUMPLE","CUMPLE"))</f>
        <v/>
      </c>
      <c r="I462" s="766"/>
      <c r="J462" s="108" t="str">
        <f>IF(D462="","",IF(OR(AND(SUMIF($J444:$J453,D462,$O444:$O453)&gt;=5%*POSMMLV,N462="SI"),AND(SUMIF($J444:$J453,D462,$O444:$O453)=0,E462&lt;=5%,N462="SI")),"CUMPLE","NO CUMPLE"))</f>
        <v/>
      </c>
      <c r="K462" s="105" t="str">
        <f>IF(OR(D462="",J462=""),"",IF(AND(J462="NO CUMPLE",F462="NO APORTA",E462&gt;5%),"EXP = 0 y PART &gt; 5%",IF(F462&lt;5%*Q466,"EXP &lt; 5%*PO","")))</f>
        <v/>
      </c>
      <c r="L462" s="389" t="str">
        <f>IF(OR(D462="",E462=""),"",IF(AND(E462&gt;=0.25,F462&lt;&gt;"NO APORTA",F462&gt;=$R466*0.25),"SI","NO"))</f>
        <v/>
      </c>
      <c r="M462" s="389"/>
      <c r="N462" s="468" t="s">
        <v>385</v>
      </c>
      <c r="O462" s="396"/>
      <c r="P462" s="815"/>
      <c r="Q462" s="815"/>
      <c r="R462" s="815"/>
      <c r="S462" s="819"/>
      <c r="T462" s="785"/>
      <c r="U462" s="786"/>
      <c r="V462" s="787"/>
      <c r="W462" s="283"/>
      <c r="X462" s="542" t="str">
        <f>IF($F459=1,"NO APLICA",$D462)</f>
        <v>NO APLICA</v>
      </c>
      <c r="Y462" s="543" t="str">
        <f>IF(OR($F462="",$F462="NO APORTA",$R466=0,$X462="NO APLICA"),"",ROUND($F462/$Q466,2))</f>
        <v/>
      </c>
      <c r="Z462" s="544"/>
      <c r="AA462" s="543"/>
      <c r="AB462" s="540" t="str">
        <f t="shared" ref="AB462" si="89">IF(COUNTIF(Z462:AA462,"SI APLICA")=2,"SI APLICA","")</f>
        <v/>
      </c>
      <c r="AC462" s="28"/>
    </row>
    <row r="463" spans="1:29" s="30" customFormat="1" ht="15.75" customHeight="1">
      <c r="A463" s="112" t="str">
        <f>"P"&amp;E440</f>
        <v>P15</v>
      </c>
      <c r="B463" s="791"/>
      <c r="C463" s="54">
        <v>3</v>
      </c>
      <c r="D463" s="100" t="str">
        <f>IF(AND(C463&lt;=F459,F459&lt;&gt;""),VLOOKUP(VALUE(E440&amp;","&amp;C463),INTEGRANTES!$D$19:$F$192,2,0),"")</f>
        <v/>
      </c>
      <c r="E463" s="107" t="str">
        <f>IF(D463&lt;&gt;"",VLOOKUP(VALUE(E440&amp;","&amp;C463),INTEGRANTES!$D$19:$F$192,3,0),"")</f>
        <v/>
      </c>
      <c r="F463" s="380" t="str">
        <f>IF(D463="","",IF(OR(SUMIF($J447:$J453,D463,$O447:$O453)=0,N463="NO"),"NO APORTA",SUMIF($J447:$J453,D463,$O447:$O453)))</f>
        <v/>
      </c>
      <c r="G463" s="380" t="str">
        <f>IF($D463="","",IF($F459&lt;=1,"",ROUND(POSMMLV*PORPO,2)))</f>
        <v/>
      </c>
      <c r="H463" s="765" t="str">
        <f t="shared" si="88"/>
        <v/>
      </c>
      <c r="I463" s="766"/>
      <c r="J463" s="108" t="str">
        <f>IF(D463="","",IF(OR(AND(SUMIF($J444:$J453,D463,$O444:$O453)&gt;=5%*POSMMLV,N463="SI"),AND(SUMIF($J444:$J453,D463,$O444:$O453)=0,E463&lt;=5%,N463="SI")),"CUMPLE","NO CUMPLE"))</f>
        <v/>
      </c>
      <c r="K463" s="105" t="str">
        <f>IF(OR(D463="",J463=""),"",IF(AND(J463="NO CUMPLE",F463="NO APORTA",E463&gt;5%),"EXP = 0 y PART &gt; 5%",IF(F463&lt;5%*Q466,"EXP &lt; 5%*PO","")))</f>
        <v/>
      </c>
      <c r="L463" s="389" t="str">
        <f>IF(OR(D463="",E463=""),"",IF(AND(E463&gt;=0.25,F463&lt;&gt;"NO APORTA",F463&gt;=$R466*0.25),"SI","NO"))</f>
        <v/>
      </c>
      <c r="M463" s="389"/>
      <c r="N463" s="468"/>
      <c r="O463" s="397"/>
      <c r="P463" s="816"/>
      <c r="Q463" s="816"/>
      <c r="R463" s="816"/>
      <c r="S463" s="820"/>
      <c r="T463" s="308"/>
      <c r="U463" s="308"/>
      <c r="V463" s="309"/>
      <c r="W463" s="284"/>
      <c r="X463" s="542" t="str">
        <f>IF($F459=1,"NO APLICA",$D463)</f>
        <v>NO APLICA</v>
      </c>
      <c r="Y463" s="543" t="str">
        <f>IF(OR($F463="",$F463="NO APORTA",$R466=0,$X463="NO APLICA"),"",ROUND($F463/$Q466,2))</f>
        <v/>
      </c>
      <c r="Z463" s="544"/>
      <c r="AA463" s="543"/>
      <c r="AB463" s="540" t="str">
        <f>IF(COUNTIF(Z463:AA463,"SI APLICA")=2,"SI APLICA","")</f>
        <v/>
      </c>
      <c r="AC463" s="28"/>
    </row>
    <row r="464" spans="1:29" s="30" customFormat="1" ht="15.75" customHeight="1">
      <c r="A464" s="112" t="str">
        <f>"Q"&amp;E440</f>
        <v>Q15</v>
      </c>
      <c r="B464" s="791"/>
      <c r="C464" s="54">
        <v>4</v>
      </c>
      <c r="D464" s="100" t="str">
        <f>IF(AND(C464&lt;=F459,F459&lt;&gt;""),VLOOKUP(VALUE(E440&amp;","&amp;C464),INTEGRANTES!$D$19:$F$192,2,0),"")</f>
        <v/>
      </c>
      <c r="E464" s="107" t="str">
        <f>IF(D464&lt;&gt;"",VLOOKUP(VALUE(E440&amp;","&amp;C464),INTEGRANTES!$D$19:$F$192,3,0),"")</f>
        <v/>
      </c>
      <c r="F464" s="380" t="str">
        <f>IF(D464="","",IF(OR(SUMIF($J447:$J453,D464,$O447:$O453)=0,N464="NO"),"NO APORTA",SUMIF($J447:$J453,D464,$O447:$O453)))</f>
        <v/>
      </c>
      <c r="G464" s="380" t="str">
        <f>IF($D464="","",IF($F459&lt;=1,"",ROUND(POSMMLV*PORPO,2)))</f>
        <v/>
      </c>
      <c r="H464" s="765" t="str">
        <f t="shared" si="88"/>
        <v/>
      </c>
      <c r="I464" s="766"/>
      <c r="J464" s="108" t="str">
        <f>IF(D464="","",IF(OR(AND(SUMIF($J444:$J453,D464,$O444:$O453)&gt;=5%*POSMMLV,N464="SI"),AND(SUMIF($J444:$J453,D464,$O444:$O453)=0,E464&lt;=5%,N464="SI")),"CUMPLE","NO CUMPLE"))</f>
        <v/>
      </c>
      <c r="K464" s="105" t="str">
        <f>IF(OR(D464="",J464=""),"",IF(AND(J464="NO CUMPLE",F464="NO APORTA",E464&gt;5%),"EXP = 0 y PART &gt; 5%",IF(F464&lt;5%*Q466,"EXP &lt; 5%*PO","")))</f>
        <v/>
      </c>
      <c r="L464" s="389" t="str">
        <f>IF(OR(D464="",E464=""),"",IF(AND(E464&gt;=0.25,F464&lt;&gt;"NO APORTA",F464&gt;=$R466*0.25),"SI","NO"))</f>
        <v/>
      </c>
      <c r="M464" s="389"/>
      <c r="N464" s="468"/>
      <c r="O464" s="788" t="s">
        <v>414</v>
      </c>
      <c r="P464" s="769" t="s">
        <v>415</v>
      </c>
      <c r="Q464" s="770"/>
      <c r="R464" s="770"/>
      <c r="S464" s="771"/>
      <c r="T464" s="284"/>
      <c r="U464" s="284"/>
      <c r="V464" s="310"/>
      <c r="W464" s="284"/>
      <c r="X464" s="542" t="str">
        <f>IF($F459=1,"NO APLICA",$D464)</f>
        <v>NO APLICA</v>
      </c>
      <c r="Y464" s="543" t="str">
        <f>IF(OR($F464="",$F464="NO APORTA",$R466=0,$X464="NO APLICA"),"",ROUND($F464/$Q466,2))</f>
        <v/>
      </c>
      <c r="Z464" s="544"/>
      <c r="AA464" s="543"/>
      <c r="AB464" s="540" t="str">
        <f t="shared" ref="AB464:AB465" si="90">IF(COUNTIF(Z464:AA464,"SI APLICA")=2,"SI APLICA","")</f>
        <v/>
      </c>
      <c r="AC464" s="28"/>
    </row>
    <row r="465" spans="1:29" s="30" customFormat="1" ht="17.25" customHeight="1">
      <c r="A465" s="112" t="str">
        <f>"R"&amp;E440</f>
        <v>R15</v>
      </c>
      <c r="B465" s="791"/>
      <c r="C465" s="54">
        <v>5</v>
      </c>
      <c r="D465" s="100" t="str">
        <f>IF(AND(C465&lt;=F459,F459&lt;&gt;""),VLOOKUP(VALUE(E440&amp;","&amp;C465),INTEGRANTES!$D$19:$F$192,2,0),"")</f>
        <v/>
      </c>
      <c r="E465" s="107" t="str">
        <f>IF(D465&lt;&gt;"",VLOOKUP(VALUE(E440&amp;","&amp;C465),INTEGRANTES!$D$19:$F$192,3,0),"")</f>
        <v/>
      </c>
      <c r="F465" s="380" t="str">
        <f>IF(D465="","",IF(OR(SUMIF($J447:$J453,D465,$O447:$O453)=0,N465="NO"),"NO APORTA",SUMIF($J447:$J453,D465,$O447:$O453)))</f>
        <v/>
      </c>
      <c r="G465" s="380" t="str">
        <f>IF($D465="","",IF($F459&lt;=1,"",ROUND(POSMMLV*PORPO,2)))</f>
        <v/>
      </c>
      <c r="H465" s="765" t="str">
        <f t="shared" si="88"/>
        <v/>
      </c>
      <c r="I465" s="766"/>
      <c r="J465" s="108" t="str">
        <f>IF(D465="","",IF(OR(AND(SUMIF($J444:$J453,D465,$O444:$O453)&gt;=5%*POSMMLV,N465="SI"),AND(SUMIF($J444:$J453,D465,$O444:$O453)=0,E465&lt;=5%,N465="SI")),"CUMPLE","NO CUMPLE"))</f>
        <v/>
      </c>
      <c r="K465" s="105" t="str">
        <f>IF(OR(D465="",J465=""),"",IF(AND(J465="NO CUMPLE",F465="NO APORTA",E465&gt;5%),"EXP = 0 y PART &gt; 5%",IF(F465&lt;5%*Q466,"EXP &lt; 5%*PO","")))</f>
        <v/>
      </c>
      <c r="L465" s="389" t="str">
        <f>IF(OR(D465="",E465=""),"",IF(AND(E465&gt;=0.25,F465&lt;&gt;"NO APORTA",F465&gt;=$R466*0.25),"SI","NO"))</f>
        <v/>
      </c>
      <c r="M465" s="389"/>
      <c r="N465" s="468"/>
      <c r="O465" s="789"/>
      <c r="P465" s="504" t="s">
        <v>416</v>
      </c>
      <c r="Q465" s="504" t="s">
        <v>417</v>
      </c>
      <c r="R465" s="793" t="s">
        <v>418</v>
      </c>
      <c r="S465" s="793"/>
      <c r="T465" s="284"/>
      <c r="U465" s="284"/>
      <c r="V465" s="310"/>
      <c r="W465" s="284"/>
      <c r="X465" s="542" t="str">
        <f>IF($F459=1,"NO APLICA",$D465)</f>
        <v>NO APLICA</v>
      </c>
      <c r="Y465" s="543" t="str">
        <f>IF(OR($F465="",$F465="NO APORTA",$R466=0,$X465="NO APLICA"),"",ROUND($F465/$Q466,2))</f>
        <v/>
      </c>
      <c r="Z465" s="544"/>
      <c r="AA465" s="543"/>
      <c r="AB465" s="540" t="str">
        <f t="shared" si="90"/>
        <v/>
      </c>
      <c r="AC465" s="28"/>
    </row>
    <row r="466" spans="1:29" s="30" customFormat="1" ht="16.5" customHeight="1" thickBot="1">
      <c r="A466" s="112" t="str">
        <f>"S"&amp;E440</f>
        <v>S15</v>
      </c>
      <c r="B466" s="791"/>
      <c r="C466" s="109">
        <v>6</v>
      </c>
      <c r="D466" s="110" t="str">
        <f>IF(AND(C466&lt;=F459,F459&lt;&gt;""),VLOOKUP(VALUE(E440&amp;","&amp;C466),INTEGRANTES!$D$19:$F$192,2,0),"")</f>
        <v/>
      </c>
      <c r="E466" s="111" t="str">
        <f>IF(D466&lt;&gt;"",VLOOKUP(VALUE(E440&amp;","&amp;C466),INTEGRANTES!$D$19:$F$192,3,0),"")</f>
        <v/>
      </c>
      <c r="F466" s="380" t="str">
        <f>IF(D466="","",IF(OR(SUMIF($J447:$J453,D466,$O447:$O453)=0,N466="NO"),"NO APORTA",SUMIF($J447:$J453,D466,$O447:$O453)))</f>
        <v/>
      </c>
      <c r="G466" s="380" t="str">
        <f>IF($D466="","",IF($F459&lt;=1,"",ROUND(POSMMLV*PORPO,2)))</f>
        <v/>
      </c>
      <c r="H466" s="765" t="str">
        <f>IF($D466="","",IF(OR(F466="NO APORTA",G466&gt;F466),"NO CUMPLE","CUMPLE"))</f>
        <v/>
      </c>
      <c r="I466" s="766"/>
      <c r="J466" s="108" t="str">
        <f>IF(D466="","",IF(OR(AND(SUMIF($J444:$J453,D466,$O444:$O453)&gt;=5%*POSMMLV,N466="SI"),AND(SUMIF($J444:$J453,D466,$O444:$O453)=0,E466&lt;=5%,N466="SI")),"CUMPLE","NO CUMPLE"))</f>
        <v/>
      </c>
      <c r="K466" s="105" t="str">
        <f>IF(OR(D466="",J466=""),"",IF(AND(J466="NO CUMPLE",F466="NO APORTA",E466&gt;5%),"EXP = 0 y PART &gt; 5%",IF(F466&lt;5%*Q466,"EXP &lt; 5%*PO","")))</f>
        <v/>
      </c>
      <c r="L466" s="389" t="str">
        <f>IF(OR(D466="",E466=""),"",IF(AND(E466&gt;=0.25,F466&lt;&gt;"NO APORTA",F466&gt;=$R466*0.25),"SI","NO"))</f>
        <v/>
      </c>
      <c r="M466" s="389"/>
      <c r="N466" s="468"/>
      <c r="O466" s="403" t="str">
        <f ca="1">IF(R466&gt;=Q466,"CUMPLE","NO CUMPLE")</f>
        <v>CUMPLE</v>
      </c>
      <c r="P466" s="312">
        <f>NUMMOD</f>
        <v>1</v>
      </c>
      <c r="Q466" s="313">
        <f ca="1">IF(P466="","",ROUND(VLOOKUP(P466,PRESUPUESTOS!$B$16:$L$16,9,FALSE),7))</f>
        <v>300</v>
      </c>
      <c r="R466" s="834">
        <f>IF(OR(COUNTIF(O444:O453,"")&gt;9,S460&lt;NUMMINCONT),0,SUM(O444:O453))</f>
        <v>1141.3800000000001</v>
      </c>
      <c r="S466" s="834"/>
      <c r="T466" s="284"/>
      <c r="U466" s="284"/>
      <c r="V466" s="310"/>
      <c r="W466" s="284"/>
      <c r="X466" s="545" t="str">
        <f>IF($F459=1,"NO APLICA",$D466)</f>
        <v>NO APLICA</v>
      </c>
      <c r="Y466" s="543" t="str">
        <f>IF(OR($F466="",$F466="NO APORTA",$R466=0,$X466="NO APLICA"),"",ROUND($F466/$Q466,2))</f>
        <v/>
      </c>
      <c r="Z466" s="544"/>
      <c r="AA466" s="546"/>
      <c r="AB466" s="540" t="str">
        <f>IF(COUNTIF(Z466:AA466,"SI APLICA")=2,"SI APLICA","")</f>
        <v/>
      </c>
      <c r="AC466" s="28"/>
    </row>
    <row r="467" spans="1:29" s="30" customFormat="1" ht="16.5" customHeight="1" thickBot="1">
      <c r="A467" s="112" t="str">
        <f>"T"&amp;E440</f>
        <v>T15</v>
      </c>
      <c r="B467" s="792"/>
      <c r="C467" s="821" t="s">
        <v>419</v>
      </c>
      <c r="D467" s="822"/>
      <c r="E467" s="822"/>
      <c r="F467" s="518"/>
      <c r="G467" s="519"/>
      <c r="H467" s="794" t="str">
        <f>IF(OR($F459="",SUM(E461:E466)=0),"",IF(COUNTIF(H461:H466,"CUMPLE")&gt;=1,"CUMPLE","NO CUMPLE"))</f>
        <v/>
      </c>
      <c r="I467" s="795"/>
      <c r="J467" s="314" t="str">
        <f>IF(COUNTIF(J461:J466,"")&gt;5,"",IF(COUNTIF(J461:J466,"NO CUMPLE")&gt;0,"NO CUMPLE","CUMPLE"))</f>
        <v/>
      </c>
      <c r="K467" s="314" t="str">
        <f>IF(OR(AND(F459=1,N461="SI"),AND(COUNTIF(H467:J467,"CUMPLE")=2)),"CUMPLE","NO CUMPLE")</f>
        <v>CUMPLE</v>
      </c>
      <c r="L467" s="519"/>
      <c r="M467" s="519"/>
      <c r="N467" s="519"/>
      <c r="O467" s="833" t="str">
        <f ca="1">IF(ISNUMBER(F440),"",IF(AND(O466="NO CUMPLE",SUM(N447:N453)&lt;Q466),"EL PROPONENTE SE DEBE REQUERIR POR EXPERIENCIA MINIMA EXIGIDA",""))</f>
        <v/>
      </c>
      <c r="P467" s="833"/>
      <c r="Q467" s="833"/>
      <c r="R467" s="833"/>
      <c r="S467" s="833"/>
      <c r="T467" s="522"/>
      <c r="U467" s="523"/>
      <c r="V467" s="524"/>
      <c r="W467" s="284"/>
      <c r="X467" s="364" t="str">
        <f>IF(Y467=1,"PROPONENTE INDIVIDUAL","PROPONENTE PLURAL")</f>
        <v>PROPONENTE INDIVIDUAL</v>
      </c>
      <c r="Y467" s="276">
        <f>F459</f>
        <v>1</v>
      </c>
      <c r="Z467" s="277" t="str">
        <f>IF(OR(AND(Z461="SI APLICA",AA461="SI APLICA"),AND(Z462="SI APLICA",AA462="SI APLICA"),AND(Z463="SI APLICA",AA463="SI APLICA"),AND(Z464="SI APLICA",AA464="SI APLICA"),AND(Z465="SI APLICA",AA465="SI APLICA"),AND(Z466="SI APLICA",AA466="SI APLICA")),"SI APLICA","NO APLICA")</f>
        <v>SI APLICA</v>
      </c>
      <c r="AA467" s="278" t="str">
        <f>IF(OR(AND(AA461="SI APLICA",AB461="SI APLICA"),AND(AA462="SI APLICA",AB462="SI APLICA"),AND(AA463="SI APLICA",AB463="SI APLICA"),AND(AA464="SI APLICA",AB464="SI APLICA"),AND(AA465="SI APLICA",AB465="SI APLICA"),AND(AA466="SI APLICA",AB466="SI APLICA")),"SI APLICA","NO APLICA")</f>
        <v>SI APLICA</v>
      </c>
      <c r="AB467" s="278" t="str">
        <f>IF(COUNTIF(AB461:AB466,"SI APLICA")&gt;0,"SI APLICA","NO APLICA")</f>
        <v>SI APLICA</v>
      </c>
      <c r="AC467" s="28"/>
    </row>
    <row r="468" spans="1:29" ht="24.95" customHeight="1"/>
    <row r="469" spans="1:29" ht="24.95" customHeight="1"/>
    <row r="470" spans="1:29" s="41" customFormat="1" ht="24" thickBot="1">
      <c r="A470" s="34">
        <v>16</v>
      </c>
      <c r="B470" s="828" t="s">
        <v>355</v>
      </c>
      <c r="C470" s="828"/>
      <c r="D470" s="828"/>
      <c r="E470" s="35">
        <f>VLOOKUP(A470,PROPONENTES!$B$19:$E$108,2,FALSE)</f>
        <v>16</v>
      </c>
      <c r="F470" s="36" t="str">
        <f>VLOOKUP(A470,PROPONENTES!$B$19:$E$108,3,FALSE)</f>
        <v>CONSORCIO CAMCO</v>
      </c>
      <c r="G470" s="37"/>
      <c r="H470" s="37"/>
      <c r="I470" s="36"/>
      <c r="J470" s="36"/>
      <c r="K470" s="36"/>
      <c r="L470" s="36"/>
      <c r="M470" s="38"/>
      <c r="N470" s="38"/>
      <c r="O470" s="37"/>
      <c r="P470" s="37"/>
      <c r="Q470" s="39"/>
      <c r="R470" s="39"/>
      <c r="S470" s="39"/>
      <c r="T470" s="39"/>
      <c r="U470" s="40"/>
      <c r="Y470" s="52"/>
      <c r="Z470" s="52"/>
      <c r="AA470" s="52"/>
      <c r="AB470" s="28"/>
      <c r="AC470" s="28"/>
    </row>
    <row r="471" spans="1:29" s="27" customFormat="1" ht="24.75" customHeight="1">
      <c r="A471" s="22"/>
      <c r="B471" s="829" t="s">
        <v>356</v>
      </c>
      <c r="C471" s="501" t="s">
        <v>357</v>
      </c>
      <c r="D471" s="502" t="s">
        <v>358</v>
      </c>
      <c r="E471" s="502"/>
      <c r="F471" s="502" t="s">
        <v>359</v>
      </c>
      <c r="G471" s="503"/>
      <c r="H471" s="803" t="s">
        <v>360</v>
      </c>
      <c r="I471" s="831" t="s">
        <v>361</v>
      </c>
      <c r="J471" s="803" t="s">
        <v>362</v>
      </c>
      <c r="K471" s="803" t="s">
        <v>363</v>
      </c>
      <c r="L471" s="803" t="s">
        <v>364</v>
      </c>
      <c r="M471" s="803" t="s">
        <v>365</v>
      </c>
      <c r="N471" s="804" t="s">
        <v>366</v>
      </c>
      <c r="O471" s="805"/>
      <c r="P471" s="806" t="s">
        <v>367</v>
      </c>
      <c r="Q471" s="807"/>
      <c r="R471" s="784" t="s">
        <v>368</v>
      </c>
      <c r="S471" s="774"/>
      <c r="T471" s="798" t="s">
        <v>369</v>
      </c>
      <c r="U471" s="799"/>
      <c r="V471" s="800"/>
      <c r="X471" s="520"/>
      <c r="Y471" s="520"/>
    </row>
    <row r="472" spans="1:29" s="27" customFormat="1" ht="94.5" customHeight="1">
      <c r="A472" s="22"/>
      <c r="B472" s="830"/>
      <c r="C472" s="504" t="s">
        <v>370</v>
      </c>
      <c r="D472" s="505" t="s">
        <v>41</v>
      </c>
      <c r="E472" s="505" t="s">
        <v>371</v>
      </c>
      <c r="F472" s="505" t="s">
        <v>372</v>
      </c>
      <c r="G472" s="506" t="s">
        <v>373</v>
      </c>
      <c r="H472" s="793"/>
      <c r="I472" s="832"/>
      <c r="J472" s="793"/>
      <c r="K472" s="793"/>
      <c r="L472" s="793"/>
      <c r="M472" s="793"/>
      <c r="N472" s="504" t="s">
        <v>374</v>
      </c>
      <c r="O472" s="505" t="s">
        <v>375</v>
      </c>
      <c r="P472" s="801"/>
      <c r="Q472" s="802"/>
      <c r="R472" s="796"/>
      <c r="S472" s="797"/>
      <c r="T472" s="507" t="s">
        <v>376</v>
      </c>
      <c r="U472" s="508" t="s">
        <v>377</v>
      </c>
      <c r="V472" s="509" t="s">
        <v>378</v>
      </c>
      <c r="X472" s="521" t="s">
        <v>379</v>
      </c>
      <c r="Y472" s="521" t="s">
        <v>380</v>
      </c>
    </row>
    <row r="473" spans="1:29" s="27" customFormat="1" ht="15" customHeight="1">
      <c r="A473" s="22"/>
      <c r="B473" s="594"/>
      <c r="C473" s="595">
        <v>3</v>
      </c>
      <c r="D473" s="595">
        <v>4</v>
      </c>
      <c r="E473" s="595">
        <v>5</v>
      </c>
      <c r="F473" s="595">
        <v>6</v>
      </c>
      <c r="G473" s="595">
        <v>7</v>
      </c>
      <c r="H473" s="595">
        <v>8</v>
      </c>
      <c r="I473" s="595">
        <v>9</v>
      </c>
      <c r="J473" s="595">
        <v>10</v>
      </c>
      <c r="K473" s="595">
        <v>11</v>
      </c>
      <c r="L473" s="595">
        <v>12</v>
      </c>
      <c r="M473" s="595">
        <v>13</v>
      </c>
      <c r="N473" s="595">
        <v>14</v>
      </c>
      <c r="O473" s="595">
        <v>15</v>
      </c>
      <c r="P473" s="596">
        <v>16</v>
      </c>
      <c r="Q473" s="597">
        <v>17</v>
      </c>
      <c r="R473" s="596">
        <v>18</v>
      </c>
      <c r="S473" s="597">
        <v>19</v>
      </c>
      <c r="T473" s="598">
        <v>20</v>
      </c>
      <c r="U473" s="255">
        <v>21</v>
      </c>
      <c r="V473" s="599">
        <v>22</v>
      </c>
      <c r="X473" s="589"/>
      <c r="Y473" s="590"/>
    </row>
    <row r="474" spans="1:29" s="44" customFormat="1" ht="61.5" customHeight="1">
      <c r="A474" s="42" t="str">
        <f>"A"&amp;E470</f>
        <v>A16</v>
      </c>
      <c r="B474" s="605">
        <f>IF(C474&lt;&gt;"",B473+1,"")</f>
        <v>1</v>
      </c>
      <c r="C474" s="581" t="s">
        <v>443</v>
      </c>
      <c r="D474" s="581" t="s">
        <v>522</v>
      </c>
      <c r="E474" s="581" t="s">
        <v>523</v>
      </c>
      <c r="F474" s="581" t="s">
        <v>431</v>
      </c>
      <c r="G474" s="534">
        <v>0.96</v>
      </c>
      <c r="H474" s="534" t="s">
        <v>385</v>
      </c>
      <c r="I474" s="579">
        <v>1</v>
      </c>
      <c r="J474" s="580" t="str">
        <f>IF(I474="","",IF(I474="I",$F470,VLOOKUP(I474,$C491:$D496,2,0)))</f>
        <v>CAG INGENIERIA SAS</v>
      </c>
      <c r="K474" s="535">
        <v>41794</v>
      </c>
      <c r="L474" s="535">
        <v>42026</v>
      </c>
      <c r="M474" s="536">
        <v>663.05</v>
      </c>
      <c r="N474" s="232">
        <f t="shared" ref="N474:N483" si="91">IF(OR(G474="",M474=""),"",M474*G474)</f>
        <v>636.52799999999991</v>
      </c>
      <c r="O474" s="260">
        <f t="shared" ref="O474:O483" si="92">IF(OR(H474="",H474="NO",K474&lt;$Q$17,K474&gt;$R$17,K474="",M474="",N474=""),"",ROUND(N474,7))</f>
        <v>636.52800000000002</v>
      </c>
      <c r="P474" s="781"/>
      <c r="Q474" s="782"/>
      <c r="R474" s="767"/>
      <c r="S474" s="768"/>
      <c r="T474" s="538" t="s">
        <v>385</v>
      </c>
      <c r="U474" s="539">
        <v>13</v>
      </c>
      <c r="V474" s="540" t="s">
        <v>385</v>
      </c>
      <c r="X474" s="541" t="s">
        <v>423</v>
      </c>
      <c r="Y474" s="541" t="s">
        <v>435</v>
      </c>
    </row>
    <row r="475" spans="1:29" s="44" customFormat="1" ht="56.25" customHeight="1">
      <c r="A475" s="42" t="str">
        <f>"B"&amp;E470</f>
        <v>B16</v>
      </c>
      <c r="B475" s="605">
        <f t="shared" ref="B475:B483" si="93">IF(C475&lt;&gt;"",B474+1,"")</f>
        <v>2</v>
      </c>
      <c r="C475" s="581" t="s">
        <v>443</v>
      </c>
      <c r="D475" s="581" t="s">
        <v>524</v>
      </c>
      <c r="E475" s="581" t="s">
        <v>525</v>
      </c>
      <c r="F475" s="638" t="s">
        <v>431</v>
      </c>
      <c r="G475" s="534">
        <v>0.3</v>
      </c>
      <c r="H475" s="534" t="s">
        <v>385</v>
      </c>
      <c r="I475" s="579">
        <v>1</v>
      </c>
      <c r="J475" s="580" t="str">
        <f>IF(I475="","",IF(I475="I",$F470,VLOOKUP(I475,$C491:$D496,2,0)))</f>
        <v>CAG INGENIERIA SAS</v>
      </c>
      <c r="K475" s="535">
        <v>41654</v>
      </c>
      <c r="L475" s="535">
        <v>41774</v>
      </c>
      <c r="M475" s="536">
        <v>363.95</v>
      </c>
      <c r="N475" s="232">
        <f t="shared" si="91"/>
        <v>109.18499999999999</v>
      </c>
      <c r="O475" s="260">
        <f t="shared" si="92"/>
        <v>109.185</v>
      </c>
      <c r="P475" s="781"/>
      <c r="Q475" s="782"/>
      <c r="R475" s="767"/>
      <c r="S475" s="768"/>
      <c r="T475" s="538" t="s">
        <v>385</v>
      </c>
      <c r="U475" s="539">
        <v>10</v>
      </c>
      <c r="V475" s="540" t="s">
        <v>385</v>
      </c>
      <c r="X475" s="541" t="s">
        <v>449</v>
      </c>
      <c r="Y475" s="541" t="s">
        <v>439</v>
      </c>
    </row>
    <row r="476" spans="1:29" s="44" customFormat="1" ht="101.25" customHeight="1">
      <c r="A476" s="42" t="str">
        <f>"C"&amp;E470</f>
        <v>C16</v>
      </c>
      <c r="B476" s="605">
        <f t="shared" si="93"/>
        <v>3</v>
      </c>
      <c r="C476" s="581" t="s">
        <v>526</v>
      </c>
      <c r="D476" s="581" t="s">
        <v>527</v>
      </c>
      <c r="E476" s="581" t="s">
        <v>528</v>
      </c>
      <c r="F476" s="581" t="s">
        <v>431</v>
      </c>
      <c r="G476" s="534">
        <v>0.1</v>
      </c>
      <c r="H476" s="534" t="s">
        <v>385</v>
      </c>
      <c r="I476" s="579">
        <v>2</v>
      </c>
      <c r="J476" s="580" t="str">
        <f>IF(I476="","",IF(I476="I",$F470,VLOOKUP(I476,$C491:$D496,2,0)))</f>
        <v>CONCIAMCO</v>
      </c>
      <c r="K476" s="535">
        <v>43664</v>
      </c>
      <c r="L476" s="535">
        <v>44090</v>
      </c>
      <c r="M476" s="536">
        <v>170.6</v>
      </c>
      <c r="N476" s="232">
        <f t="shared" si="91"/>
        <v>17.059999999999999</v>
      </c>
      <c r="O476" s="260">
        <f t="shared" si="92"/>
        <v>17.059999999999999</v>
      </c>
      <c r="P476" s="781"/>
      <c r="Q476" s="782"/>
      <c r="R476" s="767"/>
      <c r="S476" s="768"/>
      <c r="T476" s="538" t="s">
        <v>385</v>
      </c>
      <c r="U476" s="539">
        <v>6</v>
      </c>
      <c r="V476" s="540" t="s">
        <v>385</v>
      </c>
      <c r="X476" s="541" t="s">
        <v>423</v>
      </c>
      <c r="Y476" s="541" t="s">
        <v>435</v>
      </c>
    </row>
    <row r="477" spans="1:29" s="44" customFormat="1" ht="66" customHeight="1">
      <c r="A477" s="42" t="str">
        <f>"D"&amp;E470</f>
        <v>D16</v>
      </c>
      <c r="B477" s="605">
        <f t="shared" si="93"/>
        <v>4</v>
      </c>
      <c r="C477" s="581" t="s">
        <v>443</v>
      </c>
      <c r="D477" s="581" t="s">
        <v>529</v>
      </c>
      <c r="E477" s="581" t="s">
        <v>530</v>
      </c>
      <c r="F477" s="581" t="s">
        <v>431</v>
      </c>
      <c r="G477" s="534">
        <v>0.96</v>
      </c>
      <c r="H477" s="534" t="s">
        <v>385</v>
      </c>
      <c r="I477" s="579">
        <v>1</v>
      </c>
      <c r="J477" s="580" t="str">
        <f>IF(I477="","",IF(I477="I",$F470,VLOOKUP(I477,$C491:$D496,2,0)))</f>
        <v>CAG INGENIERIA SAS</v>
      </c>
      <c r="K477" s="535">
        <v>41785</v>
      </c>
      <c r="L477" s="535">
        <v>42292</v>
      </c>
      <c r="M477" s="536">
        <v>1236.81</v>
      </c>
      <c r="N477" s="232">
        <f t="shared" si="91"/>
        <v>1187.3375999999998</v>
      </c>
      <c r="O477" s="260">
        <f t="shared" si="92"/>
        <v>1187.3376000000001</v>
      </c>
      <c r="P477" s="781"/>
      <c r="Q477" s="782"/>
      <c r="R477" s="767"/>
      <c r="S477" s="768"/>
      <c r="T477" s="538" t="s">
        <v>385</v>
      </c>
      <c r="U477" s="539">
        <v>15</v>
      </c>
      <c r="V477" s="540" t="s">
        <v>385</v>
      </c>
      <c r="X477" s="541" t="s">
        <v>423</v>
      </c>
      <c r="Y477" s="541" t="s">
        <v>435</v>
      </c>
    </row>
    <row r="478" spans="1:29" s="44" customFormat="1" ht="24.95" customHeight="1">
      <c r="A478" s="42" t="str">
        <f>"E"&amp;E470</f>
        <v>E16</v>
      </c>
      <c r="B478" s="605" t="str">
        <f t="shared" si="93"/>
        <v/>
      </c>
      <c r="C478" s="581"/>
      <c r="D478" s="581"/>
      <c r="E478" s="581"/>
      <c r="F478" s="581"/>
      <c r="G478" s="534"/>
      <c r="H478" s="534"/>
      <c r="I478" s="579"/>
      <c r="J478" s="580" t="str">
        <f>IF(I478="","",IF(I478="I",$F470,VLOOKUP(I478,$C491:$D496,2,0)))</f>
        <v/>
      </c>
      <c r="K478" s="535"/>
      <c r="L478" s="535"/>
      <c r="M478" s="536"/>
      <c r="N478" s="232" t="str">
        <f t="shared" si="91"/>
        <v/>
      </c>
      <c r="O478" s="260" t="str">
        <f t="shared" si="92"/>
        <v/>
      </c>
      <c r="P478" s="781"/>
      <c r="Q478" s="782"/>
      <c r="R478" s="767"/>
      <c r="S478" s="768"/>
      <c r="T478" s="538"/>
      <c r="U478" s="539"/>
      <c r="V478" s="540"/>
      <c r="X478" s="541"/>
      <c r="Y478" s="541"/>
    </row>
    <row r="479" spans="1:29" s="44" customFormat="1" ht="24.95" customHeight="1">
      <c r="A479" s="42" t="str">
        <f>"F"&amp;E470</f>
        <v>F16</v>
      </c>
      <c r="B479" s="605" t="str">
        <f t="shared" si="93"/>
        <v/>
      </c>
      <c r="C479" s="581"/>
      <c r="D479" s="581"/>
      <c r="E479" s="581"/>
      <c r="F479" s="581"/>
      <c r="G479" s="534"/>
      <c r="H479" s="534"/>
      <c r="I479" s="579"/>
      <c r="J479" s="580" t="str">
        <f>IF(I479="","",IF(I479="I",$F470,VLOOKUP(I479,$C491:$D496,2,0)))</f>
        <v/>
      </c>
      <c r="K479" s="535"/>
      <c r="L479" s="535"/>
      <c r="M479" s="536"/>
      <c r="N479" s="232" t="str">
        <f t="shared" si="91"/>
        <v/>
      </c>
      <c r="O479" s="260" t="str">
        <f t="shared" si="92"/>
        <v/>
      </c>
      <c r="P479" s="781"/>
      <c r="Q479" s="782"/>
      <c r="R479" s="767"/>
      <c r="S479" s="768"/>
      <c r="T479" s="538"/>
      <c r="U479" s="539"/>
      <c r="V479" s="540"/>
      <c r="X479" s="541"/>
      <c r="Y479" s="541"/>
    </row>
    <row r="480" spans="1:29" s="44" customFormat="1" ht="24.95" customHeight="1">
      <c r="A480" s="42" t="str">
        <f>"G"&amp;E470</f>
        <v>G16</v>
      </c>
      <c r="B480" s="605" t="str">
        <f t="shared" si="93"/>
        <v/>
      </c>
      <c r="C480" s="581"/>
      <c r="D480" s="581"/>
      <c r="E480" s="581"/>
      <c r="F480" s="581"/>
      <c r="G480" s="534"/>
      <c r="H480" s="534"/>
      <c r="I480" s="579"/>
      <c r="J480" s="580" t="str">
        <f>IF(I480="","",IF(I480="I",$F470,VLOOKUP(I480,$C491:$D496,2,0)))</f>
        <v/>
      </c>
      <c r="K480" s="535"/>
      <c r="L480" s="535"/>
      <c r="M480" s="536"/>
      <c r="N480" s="43" t="str">
        <f t="shared" si="91"/>
        <v/>
      </c>
      <c r="O480" s="260" t="str">
        <f t="shared" si="92"/>
        <v/>
      </c>
      <c r="P480" s="781"/>
      <c r="Q480" s="782"/>
      <c r="R480" s="767"/>
      <c r="S480" s="768"/>
      <c r="T480" s="538"/>
      <c r="U480" s="539"/>
      <c r="V480" s="540"/>
      <c r="X480" s="541"/>
      <c r="Y480" s="541"/>
    </row>
    <row r="481" spans="1:29" s="44" customFormat="1" ht="24.95" customHeight="1">
      <c r="A481" s="42" t="str">
        <f>"H"&amp;E470</f>
        <v>H16</v>
      </c>
      <c r="B481" s="605" t="str">
        <f t="shared" si="93"/>
        <v/>
      </c>
      <c r="C481" s="581"/>
      <c r="D481" s="581"/>
      <c r="E481" s="581"/>
      <c r="F481" s="581"/>
      <c r="G481" s="534"/>
      <c r="H481" s="534"/>
      <c r="I481" s="579"/>
      <c r="J481" s="580" t="str">
        <f>IF(I481="","",IF(I481="I",$F470,VLOOKUP(I481,$C491:$D496,2,0)))</f>
        <v/>
      </c>
      <c r="K481" s="535"/>
      <c r="L481" s="535"/>
      <c r="M481" s="537"/>
      <c r="N481" s="43" t="str">
        <f t="shared" si="91"/>
        <v/>
      </c>
      <c r="O481" s="260" t="str">
        <f t="shared" si="92"/>
        <v/>
      </c>
      <c r="P481" s="781"/>
      <c r="Q481" s="782"/>
      <c r="R481" s="767"/>
      <c r="S481" s="768"/>
      <c r="T481" s="538"/>
      <c r="U481" s="539"/>
      <c r="V481" s="540"/>
      <c r="X481" s="541"/>
      <c r="Y481" s="541"/>
    </row>
    <row r="482" spans="1:29" s="44" customFormat="1" ht="24.95" customHeight="1">
      <c r="A482" s="42" t="str">
        <f>"I"&amp;E470</f>
        <v>I16</v>
      </c>
      <c r="B482" s="605" t="str">
        <f t="shared" si="93"/>
        <v/>
      </c>
      <c r="C482" s="581"/>
      <c r="D482" s="581"/>
      <c r="E482" s="581"/>
      <c r="F482" s="581"/>
      <c r="G482" s="534"/>
      <c r="H482" s="534"/>
      <c r="I482" s="579"/>
      <c r="J482" s="580" t="str">
        <f>IF(I482="","",IF(I482="I",$F470,VLOOKUP(I482,$C491:$D496,2,0)))</f>
        <v/>
      </c>
      <c r="K482" s="535"/>
      <c r="L482" s="535"/>
      <c r="M482" s="537"/>
      <c r="N482" s="43" t="str">
        <f t="shared" si="91"/>
        <v/>
      </c>
      <c r="O482" s="260" t="str">
        <f t="shared" si="92"/>
        <v/>
      </c>
      <c r="P482" s="781"/>
      <c r="Q482" s="782"/>
      <c r="R482" s="767"/>
      <c r="S482" s="768"/>
      <c r="T482" s="538"/>
      <c r="U482" s="539"/>
      <c r="V482" s="540"/>
      <c r="X482" s="541"/>
      <c r="Y482" s="541"/>
    </row>
    <row r="483" spans="1:29" s="44" customFormat="1" ht="24.95" customHeight="1" thickBot="1">
      <c r="A483" s="42" t="str">
        <f>"J"&amp;E470</f>
        <v>J16</v>
      </c>
      <c r="B483" s="612" t="str">
        <f t="shared" si="93"/>
        <v/>
      </c>
      <c r="C483" s="582"/>
      <c r="D483" s="582"/>
      <c r="E483" s="582"/>
      <c r="F483" s="582"/>
      <c r="G483" s="583"/>
      <c r="H483" s="583"/>
      <c r="I483" s="584"/>
      <c r="J483" s="585" t="str">
        <f>IF(I483="","",IF(I483="I",$F470,VLOOKUP(I483,$C491:$D496,2,0)))</f>
        <v/>
      </c>
      <c r="K483" s="586"/>
      <c r="L483" s="586"/>
      <c r="M483" s="587"/>
      <c r="N483" s="43" t="str">
        <f t="shared" si="91"/>
        <v/>
      </c>
      <c r="O483" s="260" t="str">
        <f t="shared" si="92"/>
        <v/>
      </c>
      <c r="P483" s="781"/>
      <c r="Q483" s="782"/>
      <c r="R483" s="767"/>
      <c r="S483" s="768"/>
      <c r="T483" s="538"/>
      <c r="U483" s="539"/>
      <c r="V483" s="540"/>
      <c r="X483" s="541"/>
      <c r="Y483" s="541"/>
    </row>
    <row r="484" spans="1:29" s="27" customFormat="1" ht="12" customHeight="1" thickBot="1">
      <c r="A484" s="42"/>
      <c r="B484" s="45"/>
      <c r="C484" s="46"/>
      <c r="D484" s="46"/>
      <c r="E484" s="46"/>
      <c r="F484" s="46"/>
      <c r="G484" s="46"/>
      <c r="H484" s="606"/>
      <c r="I484" s="46"/>
      <c r="J484" s="46"/>
      <c r="K484" s="46"/>
      <c r="L484" s="46"/>
      <c r="M484" s="46"/>
      <c r="N484" s="46"/>
      <c r="O484" s="259"/>
      <c r="P484" s="46"/>
      <c r="Q484" s="46"/>
      <c r="R484" s="259"/>
      <c r="S484" s="46"/>
      <c r="T484" s="46"/>
      <c r="U484" s="47"/>
      <c r="V484" s="48"/>
      <c r="X484" s="592"/>
      <c r="Y484" s="593"/>
      <c r="AB484" s="378"/>
    </row>
    <row r="485" spans="1:29" s="27" customFormat="1" ht="17.25" customHeight="1" thickBot="1">
      <c r="A485" s="42" t="str">
        <f>"Z"&amp;E470</f>
        <v>Z16</v>
      </c>
      <c r="B485" s="510"/>
      <c r="C485" s="511"/>
      <c r="D485" s="511"/>
      <c r="E485" s="511"/>
      <c r="F485" s="511"/>
      <c r="G485" s="511"/>
      <c r="H485" s="511"/>
      <c r="I485" s="511"/>
      <c r="J485" s="511"/>
      <c r="K485" s="511"/>
      <c r="L485" s="511"/>
      <c r="M485" s="511"/>
      <c r="N485" s="437" t="s">
        <v>388</v>
      </c>
      <c r="O485" s="438">
        <f>IF(COUNTIF(O474:O483,"")&gt;9,0,SUM(O474:O483)/(COUNTIF(H474:H483,"SI")))</f>
        <v>487.52764999999999</v>
      </c>
      <c r="P485" s="511"/>
      <c r="Q485" s="511"/>
      <c r="R485" s="530"/>
      <c r="S485" s="530"/>
      <c r="T485" s="531"/>
      <c r="U485" s="532"/>
      <c r="V485" s="533"/>
      <c r="W485" s="285"/>
      <c r="X485" s="613" t="e">
        <f>COUNTIF(#REF!,"")-COUNTIF(#REF!,"CUMPLE")-1</f>
        <v>#REF!</v>
      </c>
      <c r="Y485" s="591"/>
      <c r="AB485" s="28"/>
    </row>
    <row r="486" spans="1:29" ht="17.25" customHeight="1">
      <c r="B486" s="50"/>
      <c r="C486" s="50"/>
      <c r="D486" s="50"/>
      <c r="E486" s="50"/>
      <c r="F486" s="50"/>
      <c r="G486" s="51"/>
      <c r="H486" s="51"/>
      <c r="I486" s="51"/>
      <c r="J486" s="51"/>
      <c r="K486" s="51"/>
      <c r="L486" s="51"/>
      <c r="M486" s="51"/>
      <c r="N486" s="51"/>
      <c r="O486" s="51"/>
      <c r="P486" s="51"/>
      <c r="Q486" s="51"/>
      <c r="R486" s="51"/>
      <c r="S486" s="51"/>
      <c r="T486" s="51"/>
      <c r="U486" s="51"/>
      <c r="V486" s="51"/>
      <c r="W486" s="51"/>
      <c r="X486" s="608"/>
      <c r="Y486" s="51"/>
      <c r="Z486" s="51"/>
      <c r="AA486" s="51"/>
      <c r="AB486" s="51"/>
      <c r="AC486" s="50"/>
    </row>
    <row r="487" spans="1:29" s="27" customFormat="1" ht="16.5" customHeight="1" thickBot="1">
      <c r="A487" s="22"/>
      <c r="B487" s="783" t="s">
        <v>389</v>
      </c>
      <c r="C487" s="783"/>
      <c r="D487" s="783"/>
      <c r="E487" s="783"/>
      <c r="F487" s="783"/>
      <c r="G487" s="783"/>
      <c r="H487" s="783"/>
      <c r="I487" s="783"/>
      <c r="J487" s="783"/>
      <c r="K487" s="783"/>
      <c r="L487" s="783"/>
      <c r="M487" s="783"/>
      <c r="N487" s="783"/>
      <c r="O487" s="783"/>
      <c r="P487" s="783"/>
      <c r="Q487" s="783"/>
      <c r="R487" s="783"/>
      <c r="S487" s="783"/>
      <c r="T487" s="783"/>
      <c r="U487" s="783"/>
      <c r="V487" s="783"/>
      <c r="W487" s="286"/>
      <c r="X487" s="607"/>
      <c r="Y487" s="52"/>
      <c r="Z487" s="52"/>
      <c r="AA487" s="52"/>
      <c r="AB487" s="28"/>
      <c r="AC487" s="28"/>
    </row>
    <row r="488" spans="1:29" s="30" customFormat="1" ht="22.5" customHeight="1">
      <c r="A488" s="112" t="str">
        <f>"K"&amp;E470</f>
        <v>K16</v>
      </c>
      <c r="B488" s="790" t="s">
        <v>390</v>
      </c>
      <c r="C488" s="772" t="s">
        <v>391</v>
      </c>
      <c r="D488" s="773"/>
      <c r="E488" s="773"/>
      <c r="F488" s="773"/>
      <c r="G488" s="773"/>
      <c r="H488" s="773"/>
      <c r="I488" s="773"/>
      <c r="J488" s="773"/>
      <c r="K488" s="773"/>
      <c r="L488" s="773"/>
      <c r="M488" s="774"/>
      <c r="N488" s="525"/>
      <c r="O488" s="588"/>
      <c r="P488" s="772" t="s">
        <v>392</v>
      </c>
      <c r="Q488" s="773"/>
      <c r="R488" s="773"/>
      <c r="S488" s="774"/>
      <c r="T488" s="784" t="s">
        <v>393</v>
      </c>
      <c r="U488" s="774"/>
      <c r="V488" s="811"/>
      <c r="W488" s="284"/>
      <c r="X488" s="778" t="s">
        <v>394</v>
      </c>
      <c r="Y488" s="779"/>
      <c r="Z488" s="779"/>
      <c r="AA488" s="779" t="s">
        <v>395</v>
      </c>
      <c r="AB488" s="808" t="s">
        <v>396</v>
      </c>
      <c r="AC488" s="28"/>
    </row>
    <row r="489" spans="1:29" s="30" customFormat="1" ht="22.5" customHeight="1">
      <c r="A489" s="112" t="str">
        <f>"L"&amp;E470</f>
        <v>L16</v>
      </c>
      <c r="B489" s="791"/>
      <c r="C489" s="769" t="s">
        <v>397</v>
      </c>
      <c r="D489" s="770"/>
      <c r="E489" s="771"/>
      <c r="F489" s="512">
        <f>IF(VLOOKUP(E470,PROPONENTES!$C$19:$E$108,3,0)="","",VLOOKUP(E470,PROPONENTES!$C$19:$E$108,3,0))</f>
        <v>2</v>
      </c>
      <c r="G489" s="824" t="s">
        <v>398</v>
      </c>
      <c r="H489" s="793" t="s">
        <v>399</v>
      </c>
      <c r="I489" s="793"/>
      <c r="J489" s="769" t="s">
        <v>400</v>
      </c>
      <c r="K489" s="823"/>
      <c r="L489" s="513" t="s">
        <v>401</v>
      </c>
      <c r="M489" s="513"/>
      <c r="N489" s="526"/>
      <c r="O489" s="527"/>
      <c r="P489" s="775"/>
      <c r="Q489" s="776"/>
      <c r="R489" s="776"/>
      <c r="S489" s="777"/>
      <c r="T489" s="796"/>
      <c r="U489" s="797"/>
      <c r="V489" s="812"/>
      <c r="W489" s="284"/>
      <c r="X489" s="780" t="s">
        <v>402</v>
      </c>
      <c r="Y489" s="810" t="s">
        <v>403</v>
      </c>
      <c r="Z489" s="810"/>
      <c r="AA489" s="810"/>
      <c r="AB489" s="809"/>
      <c r="AC489" s="28"/>
    </row>
    <row r="490" spans="1:29" s="30" customFormat="1" ht="51.75" customHeight="1" thickBot="1">
      <c r="A490" s="112" t="str">
        <f>"M"&amp;E470</f>
        <v>M16</v>
      </c>
      <c r="B490" s="791"/>
      <c r="C490" s="770" t="s">
        <v>404</v>
      </c>
      <c r="D490" s="771"/>
      <c r="E490" s="514" t="s">
        <v>405</v>
      </c>
      <c r="F490" s="515" t="s">
        <v>406</v>
      </c>
      <c r="G490" s="824"/>
      <c r="H490" s="793"/>
      <c r="I490" s="793"/>
      <c r="J490" s="504" t="s">
        <v>407</v>
      </c>
      <c r="K490" s="516" t="s">
        <v>408</v>
      </c>
      <c r="L490" s="517" t="s">
        <v>409</v>
      </c>
      <c r="M490" s="517"/>
      <c r="N490" s="528" t="s">
        <v>410</v>
      </c>
      <c r="O490" s="529"/>
      <c r="P490" s="386"/>
      <c r="Q490" s="387" t="s">
        <v>411</v>
      </c>
      <c r="R490" s="388"/>
      <c r="S490" s="113">
        <f>COUNTIFS(H474:H483,"SI",O474:O483,"&gt;0")</f>
        <v>4</v>
      </c>
      <c r="T490" s="785"/>
      <c r="U490" s="787"/>
      <c r="V490" s="813"/>
      <c r="W490" s="284"/>
      <c r="X490" s="780"/>
      <c r="Y490" s="810"/>
      <c r="Z490" s="810"/>
      <c r="AA490" s="810"/>
      <c r="AB490" s="809"/>
      <c r="AC490" s="28"/>
    </row>
    <row r="491" spans="1:29" s="30" customFormat="1" ht="15.75" customHeight="1">
      <c r="A491" s="112" t="str">
        <f>"N"&amp;E470</f>
        <v>N16</v>
      </c>
      <c r="B491" s="791"/>
      <c r="C491" s="54">
        <v>1</v>
      </c>
      <c r="D491" s="100" t="str">
        <f>IF(AND(C491&lt;=F489,F489&gt;1,F489&lt;&gt;""),VLOOKUP(VALUE(E470&amp;","&amp;C491),INTEGRANTES!$D$19:$F$192,2,0),"")</f>
        <v>CAG INGENIERIA SAS</v>
      </c>
      <c r="E491" s="107">
        <f>IF(D491&lt;&gt;"",VLOOKUP(VALUE(E470&amp;","&amp;C491),INTEGRANTES!$D$19:$F$192,3,0),"")</f>
        <v>0.55000000000000004</v>
      </c>
      <c r="F491" s="380">
        <f>IF(D491="","",IF(OR(SUMIF($J477:$J483,D491,$O477:$O483)=0,N491="NO"),"NO APORTA",SUMIF($J477:$J483,D491,$O477:$O483)))</f>
        <v>1187.3376000000001</v>
      </c>
      <c r="G491" s="380">
        <f ca="1">IF($D491="","",IF($F489&lt;=1,"",ROUND(POSMMLV*PORPO,2)))</f>
        <v>150</v>
      </c>
      <c r="H491" s="765" t="str">
        <f ca="1">IF($D491="","",IF(OR(F491="NO APORTA",G491&gt;F491),"NO CUMPLE","CUMPLE"))</f>
        <v>CUMPLE</v>
      </c>
      <c r="I491" s="766"/>
      <c r="J491" s="108" t="str">
        <f ca="1">IF(D491="","",IF(OR(AND(SUMIF($J474:$J483,D491,$O474:$O483)&gt;=5%*POSMMLV,N491="SI"),AND(SUMIF($J474:$J483,D491,$O474:$O483)=0,E491&lt;=5%,N491="SI")),"CUMPLE","NO CUMPLE"))</f>
        <v>CUMPLE</v>
      </c>
      <c r="K491" s="105" t="str">
        <f ca="1">IF(OR(D491="",J491=""),"",IF(AND(J491="NO CUMPLE",F491="NO APORTA",E491&gt;5%),"EXP = 0 y PART &gt; 5%",IF(F491&lt;5%*Q496,"EXP &lt; 5%*PO","")))</f>
        <v/>
      </c>
      <c r="L491" s="389" t="str">
        <f>IF(OR(D491="",E491=""),"",IF(AND(E491&gt;=0.25,F491&lt;&gt;"NO APORTA",F491&gt;=$R496*0.25),"SI","NO"))</f>
        <v>SI</v>
      </c>
      <c r="M491" s="389"/>
      <c r="N491" s="468" t="s">
        <v>385</v>
      </c>
      <c r="O491" s="396">
        <f>COUNTIFS(O474:O483,"&gt;0",H474:H483,"SI")</f>
        <v>4</v>
      </c>
      <c r="P491" s="814" t="s">
        <v>139</v>
      </c>
      <c r="Q491" s="814"/>
      <c r="R491" s="817">
        <f>E470</f>
        <v>16</v>
      </c>
      <c r="S491" s="818"/>
      <c r="T491" s="784" t="s">
        <v>412</v>
      </c>
      <c r="U491" s="773"/>
      <c r="V491" s="774"/>
      <c r="W491" s="283"/>
      <c r="X491" s="542" t="str">
        <f>IF($F489=1,"NO APLICA",$D491)</f>
        <v>CAG INGENIERIA SAS</v>
      </c>
      <c r="Y491" s="543">
        <f ca="1">IF(OR($F491="",$F491="NO APORTA",$R496=0,$X491="NO APLICA"),"",ROUND($F491/$Q496,2))</f>
        <v>3.96</v>
      </c>
      <c r="Z491" s="544" t="str">
        <f ca="1">IF(Y497=1,"SI APLICA",IF(OR($X491="",$X491="NO APLICA",$F491="",$F491="NO APORTA"),"",IF(ROUND($F491/Q496,7)&gt;=0.4,"SI APLICA","NO APLICA")))</f>
        <v>SI APLICA</v>
      </c>
      <c r="AA491" s="543" t="s">
        <v>413</v>
      </c>
      <c r="AB491" s="540" t="str">
        <f ca="1">IF(COUNTIF(Z491:AA491,"SI APLICA")=2,"SI APLICA","")</f>
        <v>SI APLICA</v>
      </c>
      <c r="AC491" s="28"/>
    </row>
    <row r="492" spans="1:29" s="30" customFormat="1" ht="15.75" customHeight="1" thickBot="1">
      <c r="A492" s="112" t="str">
        <f>"O"&amp;E470</f>
        <v>O16</v>
      </c>
      <c r="B492" s="791"/>
      <c r="C492" s="54">
        <v>2</v>
      </c>
      <c r="D492" s="100" t="str">
        <f>IF(AND(C492&lt;=F489,F489&lt;&gt;""),VLOOKUP(VALUE(E470&amp;","&amp;C492),INTEGRANTES!$D$19:$F$192,2,0),"")</f>
        <v>CONCIAMCO</v>
      </c>
      <c r="E492" s="107">
        <f>IF(D492&lt;&gt;"",VLOOKUP(VALUE(E470&amp;","&amp;C492),INTEGRANTES!$D$19:$F$192,3,0),"")</f>
        <v>0.45</v>
      </c>
      <c r="F492" s="380">
        <f>IF(D492="","",IF(OR(SUMIF($J474:$J483,D492,$O474:$O483)=0,N492="NO"),"NO APORTA",SUMIF($J474:$J483,D492,$O474:$O483)))</f>
        <v>17.059999999999999</v>
      </c>
      <c r="G492" s="380">
        <f ca="1">IF($D492="","",IF($F489&lt;=1,"",ROUND(POSMMLV*PORPO,2)))</f>
        <v>150</v>
      </c>
      <c r="H492" s="765" t="str">
        <f t="shared" ref="H492:H495" ca="1" si="94">IF($D492="","",IF(OR(F492="NO APORTA",G492&gt;F492),"NO CUMPLE","CUMPLE"))</f>
        <v>NO CUMPLE</v>
      </c>
      <c r="I492" s="766"/>
      <c r="J492" s="108" t="str">
        <f ca="1">IF(D492="","",IF(OR(AND(SUMIF($J474:$J483,D492,$O474:$O483)&gt;=5%*POSMMLV,N492="SI"),AND(SUMIF($J474:$J483,D492,$O474:$O483)=0,E492&lt;=5%,N492="SI")),"CUMPLE","NO CUMPLE"))</f>
        <v>CUMPLE</v>
      </c>
      <c r="K492" s="105" t="str">
        <f ca="1">IF(OR(D492="",J492=""),"",IF(AND(J492="NO CUMPLE",F492="NO APORTA",E492&gt;5%),"EXP = 0 y PART &gt; 5%",IF(F492&lt;5%*Q496,"EXP &lt; 5%*PO","")))</f>
        <v/>
      </c>
      <c r="L492" s="389" t="str">
        <f>IF(OR(D492="",E492=""),"",IF(AND(E492&gt;=0.25,F492&lt;&gt;"NO APORTA",F492&gt;=$R496*0.25),"SI","NO"))</f>
        <v>NO</v>
      </c>
      <c r="M492" s="389"/>
      <c r="N492" s="468" t="s">
        <v>385</v>
      </c>
      <c r="O492" s="396"/>
      <c r="P492" s="815"/>
      <c r="Q492" s="815"/>
      <c r="R492" s="815"/>
      <c r="S492" s="819"/>
      <c r="T492" s="785"/>
      <c r="U492" s="786"/>
      <c r="V492" s="787"/>
      <c r="W492" s="283"/>
      <c r="X492" s="542" t="str">
        <f>IF($F489=1,"NO APLICA",$D492)</f>
        <v>CONCIAMCO</v>
      </c>
      <c r="Y492" s="543">
        <f ca="1">IF(OR($F492="",$F492="NO APORTA",$R496=0,$X492="NO APLICA"),"",ROUND($F492/$Q496,2))</f>
        <v>0.06</v>
      </c>
      <c r="Z492" s="544" t="str">
        <f ca="1">IF(Y497=1,"SI APLICA",IF(OR($X492="",$X492="NO APLICA",$F492="",$F492="NO APORTA"),"",IF(ROUND($F492/Q496,7)&gt;=0.4,"SI APLICA","NO APLICA")))</f>
        <v>NO APLICA</v>
      </c>
      <c r="AA492" s="543" t="s">
        <v>516</v>
      </c>
      <c r="AB492" s="540" t="str">
        <f t="shared" ref="AB492" ca="1" si="95">IF(COUNTIF(Z492:AA492,"SI APLICA")=2,"SI APLICA","")</f>
        <v/>
      </c>
      <c r="AC492" s="28"/>
    </row>
    <row r="493" spans="1:29" s="30" customFormat="1" ht="15.75" customHeight="1">
      <c r="A493" s="112" t="str">
        <f>"P"&amp;E470</f>
        <v>P16</v>
      </c>
      <c r="B493" s="791"/>
      <c r="C493" s="54">
        <v>3</v>
      </c>
      <c r="D493" s="100" t="str">
        <f>IF(AND(C493&lt;=F489,F489&lt;&gt;""),VLOOKUP(VALUE(E470&amp;","&amp;C493),INTEGRANTES!$D$19:$F$192,2,0),"")</f>
        <v/>
      </c>
      <c r="E493" s="107" t="str">
        <f>IF(D493&lt;&gt;"",VLOOKUP(VALUE(E470&amp;","&amp;C493),INTEGRANTES!$D$19:$F$192,3,0),"")</f>
        <v/>
      </c>
      <c r="F493" s="380" t="str">
        <f>IF(D493="","",IF(OR(SUMIF($J477:$J483,D493,$O477:$O483)=0,N493="NO"),"NO APORTA",SUMIF($J477:$J483,D493,$O477:$O483)))</f>
        <v/>
      </c>
      <c r="G493" s="380" t="str">
        <f>IF($D493="","",IF($F489&lt;=1,"",ROUND(POSMMLV*PORPO,2)))</f>
        <v/>
      </c>
      <c r="H493" s="765" t="str">
        <f t="shared" si="94"/>
        <v/>
      </c>
      <c r="I493" s="766"/>
      <c r="J493" s="108" t="str">
        <f>IF(D493="","",IF(OR(AND(SUMIF($J474:$J483,D493,$O474:$O483)&gt;=5%*POSMMLV,N493="SI"),AND(SUMIF($J474:$J483,D493,$O474:$O483)=0,E493&lt;=5%,N493="SI")),"CUMPLE","NO CUMPLE"))</f>
        <v/>
      </c>
      <c r="K493" s="105" t="str">
        <f>IF(OR(D493="",J493=""),"",IF(AND(J493="NO CUMPLE",F493="NO APORTA",E493&gt;5%),"EXP = 0 y PART &gt; 5%",IF(F493&lt;5%*Q496,"EXP &lt; 5%*PO","")))</f>
        <v/>
      </c>
      <c r="L493" s="389" t="str">
        <f>IF(OR(D493="",E493=""),"",IF(AND(E493&gt;=0.25,F493&lt;&gt;"NO APORTA",F493&gt;=$R496*0.25),"SI","NO"))</f>
        <v/>
      </c>
      <c r="M493" s="389"/>
      <c r="N493" s="468"/>
      <c r="O493" s="397"/>
      <c r="P493" s="816"/>
      <c r="Q493" s="816"/>
      <c r="R493" s="816"/>
      <c r="S493" s="820"/>
      <c r="T493" s="308"/>
      <c r="U493" s="308"/>
      <c r="V493" s="309"/>
      <c r="W493" s="284"/>
      <c r="X493" s="542" t="str">
        <f>IF($F489=1,"NO APLICA",$D493)</f>
        <v/>
      </c>
      <c r="Y493" s="543" t="str">
        <f>IF(OR($F493="",$F493="NO APORTA",$R496=0,$X493="NO APLICA"),"",ROUND($F493/$Q496,2))</f>
        <v/>
      </c>
      <c r="Z493" s="544" t="str">
        <f>IF(Y497=1,"SI APLICA",IF(OR($X493="",$X493="NO APLICA",$F493="",$F493="NO APORTA"),"",IF(ROUND($F493/Q496,7)&gt;=0.4,"SI APLICA","NO APLICA")))</f>
        <v/>
      </c>
      <c r="AA493" s="543"/>
      <c r="AB493" s="540" t="str">
        <f>IF(COUNTIF(Z493:AA493,"SI APLICA")=2,"SI APLICA","")</f>
        <v/>
      </c>
      <c r="AC493" s="28"/>
    </row>
    <row r="494" spans="1:29" s="30" customFormat="1" ht="15.75" customHeight="1">
      <c r="A494" s="112" t="str">
        <f>"Q"&amp;E470</f>
        <v>Q16</v>
      </c>
      <c r="B494" s="791"/>
      <c r="C494" s="54">
        <v>4</v>
      </c>
      <c r="D494" s="100" t="str">
        <f>IF(AND(C494&lt;=F489,F489&lt;&gt;""),VLOOKUP(VALUE(E470&amp;","&amp;C494),INTEGRANTES!$D$19:$F$192,2,0),"")</f>
        <v/>
      </c>
      <c r="E494" s="107" t="str">
        <f>IF(D494&lt;&gt;"",VLOOKUP(VALUE(E470&amp;","&amp;C494),INTEGRANTES!$D$19:$F$192,3,0),"")</f>
        <v/>
      </c>
      <c r="F494" s="380" t="str">
        <f>IF(D494="","",IF(OR(SUMIF($J477:$J483,D494,$O477:$O483)=0,N494="NO"),"NO APORTA",SUMIF($J477:$J483,D494,$O477:$O483)))</f>
        <v/>
      </c>
      <c r="G494" s="380" t="str">
        <f>IF($D494="","",IF($F489&lt;=1,"",ROUND(POSMMLV*PORPO,2)))</f>
        <v/>
      </c>
      <c r="H494" s="765" t="str">
        <f t="shared" si="94"/>
        <v/>
      </c>
      <c r="I494" s="766"/>
      <c r="J494" s="108" t="str">
        <f>IF(D494="","",IF(OR(AND(SUMIF($J474:$J483,D494,$O474:$O483)&gt;=5%*POSMMLV,N494="SI"),AND(SUMIF($J474:$J483,D494,$O474:$O483)=0,E494&lt;=5%,N494="SI")),"CUMPLE","NO CUMPLE"))</f>
        <v/>
      </c>
      <c r="K494" s="105" t="str">
        <f>IF(OR(D494="",J494=""),"",IF(AND(J494="NO CUMPLE",F494="NO APORTA",E494&gt;5%),"EXP = 0 y PART &gt; 5%",IF(F494&lt;5%*Q496,"EXP &lt; 5%*PO","")))</f>
        <v/>
      </c>
      <c r="L494" s="389" t="str">
        <f>IF(OR(D494="",E494=""),"",IF(AND(E494&gt;=0.25,F494&lt;&gt;"NO APORTA",F494&gt;=$R496*0.25),"SI","NO"))</f>
        <v/>
      </c>
      <c r="M494" s="389"/>
      <c r="N494" s="468"/>
      <c r="O494" s="788" t="s">
        <v>414</v>
      </c>
      <c r="P494" s="769" t="s">
        <v>415</v>
      </c>
      <c r="Q494" s="770"/>
      <c r="R494" s="770"/>
      <c r="S494" s="771"/>
      <c r="T494" s="284"/>
      <c r="U494" s="284"/>
      <c r="V494" s="310"/>
      <c r="W494" s="284"/>
      <c r="X494" s="542" t="str">
        <f>IF($F489=1,"NO APLICA",$D494)</f>
        <v/>
      </c>
      <c r="Y494" s="543" t="str">
        <f>IF(OR($F494="",$F494="NO APORTA",$R496=0,$X494="NO APLICA"),"",ROUND($F494/$Q496,2))</f>
        <v/>
      </c>
      <c r="Z494" s="544" t="str">
        <f>IF(Y497=1,"SI APLICA",IF(OR($X494="",$X494="NO APLICA",$F494="",$F494="NO APORTA"),"",IF(ROUND($F494/Q496,7)&gt;=0.4,"SI APLICA","NO APLICA")))</f>
        <v/>
      </c>
      <c r="AA494" s="543"/>
      <c r="AB494" s="540" t="str">
        <f t="shared" ref="AB494:AB495" si="96">IF(COUNTIF(Z494:AA494,"SI APLICA")=2,"SI APLICA","")</f>
        <v/>
      </c>
      <c r="AC494" s="28"/>
    </row>
    <row r="495" spans="1:29" s="30" customFormat="1" ht="17.25" customHeight="1">
      <c r="A495" s="112" t="str">
        <f>"R"&amp;E470</f>
        <v>R16</v>
      </c>
      <c r="B495" s="791"/>
      <c r="C495" s="54">
        <v>5</v>
      </c>
      <c r="D495" s="100" t="str">
        <f>IF(AND(C495&lt;=F489,F489&lt;&gt;""),VLOOKUP(VALUE(E470&amp;","&amp;C495),INTEGRANTES!$D$19:$F$192,2,0),"")</f>
        <v/>
      </c>
      <c r="E495" s="107" t="str">
        <f>IF(D495&lt;&gt;"",VLOOKUP(VALUE(E470&amp;","&amp;C495),INTEGRANTES!$D$19:$F$192,3,0),"")</f>
        <v/>
      </c>
      <c r="F495" s="380" t="str">
        <f>IF(D495="","",IF(OR(SUMIF($J477:$J483,D495,$O477:$O483)=0,N495="NO"),"NO APORTA",SUMIF($J477:$J483,D495,$O477:$O483)))</f>
        <v/>
      </c>
      <c r="G495" s="380" t="str">
        <f>IF($D495="","",IF($F489&lt;=1,"",ROUND(POSMMLV*PORPO,2)))</f>
        <v/>
      </c>
      <c r="H495" s="765" t="str">
        <f t="shared" si="94"/>
        <v/>
      </c>
      <c r="I495" s="766"/>
      <c r="J495" s="108" t="str">
        <f>IF(D495="","",IF(OR(AND(SUMIF($J474:$J483,D495,$O474:$O483)&gt;=5%*POSMMLV,N495="SI"),AND(SUMIF($J474:$J483,D495,$O474:$O483)=0,E495&lt;=5%,N495="SI")),"CUMPLE","NO CUMPLE"))</f>
        <v/>
      </c>
      <c r="K495" s="105" t="str">
        <f>IF(OR(D495="",J495=""),"",IF(AND(J495="NO CUMPLE",F495="NO APORTA",E495&gt;5%),"EXP = 0 y PART &gt; 5%",IF(F495&lt;5%*Q496,"EXP &lt; 5%*PO","")))</f>
        <v/>
      </c>
      <c r="L495" s="389" t="str">
        <f>IF(OR(D495="",E495=""),"",IF(AND(E495&gt;=0.25,F495&lt;&gt;"NO APORTA",F495&gt;=$R496*0.25),"SI","NO"))</f>
        <v/>
      </c>
      <c r="M495" s="389"/>
      <c r="N495" s="468"/>
      <c r="O495" s="789"/>
      <c r="P495" s="504" t="s">
        <v>416</v>
      </c>
      <c r="Q495" s="504" t="s">
        <v>417</v>
      </c>
      <c r="R495" s="793" t="s">
        <v>418</v>
      </c>
      <c r="S495" s="793"/>
      <c r="T495" s="284"/>
      <c r="U495" s="284"/>
      <c r="V495" s="310"/>
      <c r="W495" s="284"/>
      <c r="X495" s="542" t="str">
        <f>IF($F489=1,"NO APLICA",$D495)</f>
        <v/>
      </c>
      <c r="Y495" s="543" t="str">
        <f>IF(OR($F495="",$F495="NO APORTA",$R496=0,$X495="NO APLICA"),"",ROUND($F495/$Q496,2))</f>
        <v/>
      </c>
      <c r="Z495" s="544" t="str">
        <f>IF(Y497=1,"SI APLICA",IF(OR($X495="",$X495="NO APLICA",$F495="",$F495="NO APORTA"),"",IF(ROUND($F495/Q496,7)&gt;=0.4,"SI APLICA","NO APLICA")))</f>
        <v/>
      </c>
      <c r="AA495" s="543"/>
      <c r="AB495" s="540" t="str">
        <f t="shared" si="96"/>
        <v/>
      </c>
      <c r="AC495" s="28"/>
    </row>
    <row r="496" spans="1:29" s="30" customFormat="1" ht="16.5" customHeight="1" thickBot="1">
      <c r="A496" s="112" t="str">
        <f>"S"&amp;E470</f>
        <v>S16</v>
      </c>
      <c r="B496" s="791"/>
      <c r="C496" s="109">
        <v>6</v>
      </c>
      <c r="D496" s="110" t="str">
        <f>IF(AND(C496&lt;=F489,F489&lt;&gt;""),VLOOKUP(VALUE(E470&amp;","&amp;C496),INTEGRANTES!$D$19:$F$192,2,0),"")</f>
        <v/>
      </c>
      <c r="E496" s="111" t="str">
        <f>IF(D496&lt;&gt;"",VLOOKUP(VALUE(E470&amp;","&amp;C496),INTEGRANTES!$D$19:$F$192,3,0),"")</f>
        <v/>
      </c>
      <c r="F496" s="380" t="str">
        <f>IF(D496="","",IF(OR(SUMIF($J477:$J483,D496,$O477:$O483)=0,N496="NO"),"NO APORTA",SUMIF($J477:$J483,D496,$O477:$O483)))</f>
        <v/>
      </c>
      <c r="G496" s="380" t="str">
        <f>IF($D496="","",IF($F489&lt;=1,"",ROUND(POSMMLV*PORPO,2)))</f>
        <v/>
      </c>
      <c r="H496" s="765" t="str">
        <f>IF($D496="","",IF(OR(F496="NO APORTA",G496&gt;F496),"NO CUMPLE","CUMPLE"))</f>
        <v/>
      </c>
      <c r="I496" s="766"/>
      <c r="J496" s="108" t="str">
        <f>IF(D496="","",IF(OR(AND(SUMIF($J474:$J483,D496,$O474:$O483)&gt;=5%*POSMMLV,N496="SI"),AND(SUMIF($J474:$J483,D496,$O474:$O483)=0,E496&lt;=5%,N496="SI")),"CUMPLE","NO CUMPLE"))</f>
        <v/>
      </c>
      <c r="K496" s="105" t="str">
        <f>IF(OR(D496="",J496=""),"",IF(AND(J496="NO CUMPLE",F496="NO APORTA",E496&gt;5%),"EXP = 0 y PART &gt; 5%",IF(F496&lt;5%*Q496,"EXP &lt; 5%*PO","")))</f>
        <v/>
      </c>
      <c r="L496" s="389" t="str">
        <f>IF(OR(D496="",E496=""),"",IF(AND(E496&gt;=0.25,F496&lt;&gt;"NO APORTA",F496&gt;=$R496*0.25),"SI","NO"))</f>
        <v/>
      </c>
      <c r="M496" s="389"/>
      <c r="N496" s="468"/>
      <c r="O496" s="403" t="str">
        <f ca="1">IF(R496&gt;=Q496,"CUMPLE","NO CUMPLE")</f>
        <v>CUMPLE</v>
      </c>
      <c r="P496" s="312">
        <f>NUMMOD</f>
        <v>1</v>
      </c>
      <c r="Q496" s="313">
        <f ca="1">IF(P496="","",ROUND(VLOOKUP(P496,PRESUPUESTOS!$B$16:$L$16,9,FALSE),7))</f>
        <v>300</v>
      </c>
      <c r="R496" s="834">
        <f>IF(OR(COUNTIF(O474:O483,"")&gt;9,S490&lt;NUMMINCONT),0,SUM(O474:O483))</f>
        <v>1950.1106</v>
      </c>
      <c r="S496" s="834"/>
      <c r="T496" s="284"/>
      <c r="U496" s="284"/>
      <c r="V496" s="310"/>
      <c r="W496" s="284"/>
      <c r="X496" s="545" t="str">
        <f>IF($F489=1,"NO APLICA",$D496)</f>
        <v/>
      </c>
      <c r="Y496" s="543" t="str">
        <f>IF(OR($F496="",$F496="NO APORTA",$R496=0,$X496="NO APLICA"),"",ROUND($F496/$Q496,2))</f>
        <v/>
      </c>
      <c r="Z496" s="544" t="str">
        <f>IF(Y497=1,"SI APLICA",IF(OR($X496="",$X496="NO APLICA",$F496="",$F496="NO APORTA"),"",IF(ROUND($F496/Q496,7)&gt;=0.4,"SI APLICA","NO APLICA")))</f>
        <v/>
      </c>
      <c r="AA496" s="546"/>
      <c r="AB496" s="540" t="str">
        <f>IF(COUNTIF(Z496:AA496,"SI APLICA")=2,"SI APLICA","")</f>
        <v/>
      </c>
      <c r="AC496" s="28"/>
    </row>
    <row r="497" spans="1:29" s="30" customFormat="1" ht="16.5" customHeight="1" thickBot="1">
      <c r="A497" s="112" t="str">
        <f>"T"&amp;E470</f>
        <v>T16</v>
      </c>
      <c r="B497" s="792"/>
      <c r="C497" s="821" t="s">
        <v>419</v>
      </c>
      <c r="D497" s="822"/>
      <c r="E497" s="822"/>
      <c r="F497" s="518"/>
      <c r="G497" s="519"/>
      <c r="H497" s="794" t="str">
        <f ca="1">IF(OR($F489="",SUM(E491:E496)=0),"",IF(COUNTIF(H491:H496,"CUMPLE")&gt;=1,"CUMPLE","NO CUMPLE"))</f>
        <v>CUMPLE</v>
      </c>
      <c r="I497" s="795"/>
      <c r="J497" s="314" t="str">
        <f ca="1">IF(COUNTIF(J491:J496,"")&gt;5,"",IF(COUNTIF(J491:J496,"NO CUMPLE")&gt;0,"NO CUMPLE","CUMPLE"))</f>
        <v>CUMPLE</v>
      </c>
      <c r="K497" s="314" t="str">
        <f ca="1">IF(OR(AND(F489=1,N491="SI"),AND(COUNTIF(H497:J497,"CUMPLE")=2)),"CUMPLE","NO CUMPLE")</f>
        <v>CUMPLE</v>
      </c>
      <c r="L497" s="519"/>
      <c r="M497" s="519"/>
      <c r="N497" s="519"/>
      <c r="O497" s="833" t="str">
        <f ca="1">IF(ISNUMBER(F470),"",IF(AND(O496="NO CUMPLE",SUM(N477:N483)&lt;Q496),"EL PROPONENTE SE DEBE REQUERIR POR EXPERIENCIA MINIMA EXIGIDA",""))</f>
        <v/>
      </c>
      <c r="P497" s="833"/>
      <c r="Q497" s="833"/>
      <c r="R497" s="833"/>
      <c r="S497" s="833"/>
      <c r="T497" s="522"/>
      <c r="U497" s="523"/>
      <c r="V497" s="524"/>
      <c r="W497" s="284"/>
      <c r="X497" s="364" t="str">
        <f>IF(Y497=1,"PROPONENTE INDIVIDUAL","PROPONENTE PLURAL")</f>
        <v>PROPONENTE PLURAL</v>
      </c>
      <c r="Y497" s="276">
        <f>F489</f>
        <v>2</v>
      </c>
      <c r="Z497" s="277" t="str">
        <f ca="1">IF(OR(AND(Z491="SI APLICA",AA491="SI APLICA"),AND(Z492="SI APLICA",AA492="SI APLICA"),AND(Z493="SI APLICA",AA493="SI APLICA"),AND(Z494="SI APLICA",AA494="SI APLICA"),AND(Z495="SI APLICA",AA495="SI APLICA"),AND(Z496="SI APLICA",AA496="SI APLICA")),"SI APLICA","NO APLICA")</f>
        <v>SI APLICA</v>
      </c>
      <c r="AA497" s="278" t="str">
        <f ca="1">IF(OR(AND(AA491="SI APLICA",AB491="SI APLICA"),AND(AA492="SI APLICA",AB492="SI APLICA"),AND(AA493="SI APLICA",AB493="SI APLICA"),AND(AA494="SI APLICA",AB494="SI APLICA"),AND(AA495="SI APLICA",AB495="SI APLICA"),AND(AA496="SI APLICA",AB496="SI APLICA")),"SI APLICA","NO APLICA")</f>
        <v>SI APLICA</v>
      </c>
      <c r="AB497" s="278" t="str">
        <f ca="1">IF(COUNTIF(AB491:AB496,"SI APLICA")&gt;0,"SI APLICA","NO APLICA")</f>
        <v>SI APLICA</v>
      </c>
      <c r="AC497" s="28"/>
    </row>
    <row r="498" spans="1:29" ht="24.95" customHeight="1"/>
    <row r="499" spans="1:29" ht="24.95" customHeight="1"/>
    <row r="500" spans="1:29" s="41" customFormat="1" ht="24" thickBot="1">
      <c r="A500" s="34">
        <v>17</v>
      </c>
      <c r="B500" s="828" t="s">
        <v>355</v>
      </c>
      <c r="C500" s="828"/>
      <c r="D500" s="828"/>
      <c r="E500" s="35">
        <f>VLOOKUP(A500,PROPONENTES!$B$19:$E$108,2,FALSE)</f>
        <v>17</v>
      </c>
      <c r="F500" s="36" t="str">
        <f>VLOOKUP(A500,PROPONENTES!$B$19:$E$108,3,FALSE)</f>
        <v>ARCA AQUITECTURA E INGENIERÍA S.A</v>
      </c>
      <c r="G500" s="37"/>
      <c r="H500" s="37"/>
      <c r="I500" s="36"/>
      <c r="J500" s="36"/>
      <c r="K500" s="36"/>
      <c r="L500" s="36"/>
      <c r="M500" s="38"/>
      <c r="N500" s="38"/>
      <c r="O500" s="37"/>
      <c r="P500" s="37"/>
      <c r="Q500" s="39"/>
      <c r="R500" s="39"/>
      <c r="S500" s="39"/>
      <c r="T500" s="39"/>
      <c r="U500" s="40"/>
      <c r="Y500" s="52"/>
      <c r="Z500" s="52"/>
      <c r="AA500" s="52"/>
      <c r="AB500" s="28"/>
      <c r="AC500" s="28"/>
    </row>
    <row r="501" spans="1:29" s="27" customFormat="1" ht="24.75" customHeight="1">
      <c r="A501" s="22"/>
      <c r="B501" s="829" t="s">
        <v>356</v>
      </c>
      <c r="C501" s="501" t="s">
        <v>357</v>
      </c>
      <c r="D501" s="502" t="s">
        <v>358</v>
      </c>
      <c r="E501" s="502"/>
      <c r="F501" s="502" t="s">
        <v>359</v>
      </c>
      <c r="G501" s="503"/>
      <c r="H501" s="803" t="s">
        <v>360</v>
      </c>
      <c r="I501" s="831" t="s">
        <v>361</v>
      </c>
      <c r="J501" s="803" t="s">
        <v>362</v>
      </c>
      <c r="K501" s="803" t="s">
        <v>363</v>
      </c>
      <c r="L501" s="803" t="s">
        <v>364</v>
      </c>
      <c r="M501" s="803" t="s">
        <v>365</v>
      </c>
      <c r="N501" s="804" t="s">
        <v>366</v>
      </c>
      <c r="O501" s="805"/>
      <c r="P501" s="806" t="s">
        <v>367</v>
      </c>
      <c r="Q501" s="807"/>
      <c r="R501" s="784" t="s">
        <v>368</v>
      </c>
      <c r="S501" s="774"/>
      <c r="T501" s="798" t="s">
        <v>369</v>
      </c>
      <c r="U501" s="799"/>
      <c r="V501" s="800"/>
      <c r="X501" s="520"/>
      <c r="Y501" s="520"/>
    </row>
    <row r="502" spans="1:29" s="27" customFormat="1" ht="94.5" customHeight="1">
      <c r="A502" s="22"/>
      <c r="B502" s="830"/>
      <c r="C502" s="504" t="s">
        <v>370</v>
      </c>
      <c r="D502" s="505" t="s">
        <v>41</v>
      </c>
      <c r="E502" s="505" t="s">
        <v>371</v>
      </c>
      <c r="F502" s="505" t="s">
        <v>372</v>
      </c>
      <c r="G502" s="506" t="s">
        <v>373</v>
      </c>
      <c r="H502" s="793"/>
      <c r="I502" s="832"/>
      <c r="J502" s="793"/>
      <c r="K502" s="793"/>
      <c r="L502" s="793"/>
      <c r="M502" s="793"/>
      <c r="N502" s="504" t="s">
        <v>374</v>
      </c>
      <c r="O502" s="505" t="s">
        <v>375</v>
      </c>
      <c r="P502" s="801"/>
      <c r="Q502" s="802"/>
      <c r="R502" s="796"/>
      <c r="S502" s="797"/>
      <c r="T502" s="507" t="s">
        <v>376</v>
      </c>
      <c r="U502" s="508" t="s">
        <v>377</v>
      </c>
      <c r="V502" s="509" t="s">
        <v>378</v>
      </c>
      <c r="X502" s="521" t="s">
        <v>379</v>
      </c>
      <c r="Y502" s="521" t="s">
        <v>380</v>
      </c>
    </row>
    <row r="503" spans="1:29" s="27" customFormat="1" ht="15" customHeight="1">
      <c r="A503" s="22"/>
      <c r="B503" s="594"/>
      <c r="C503" s="595">
        <v>3</v>
      </c>
      <c r="D503" s="595">
        <v>4</v>
      </c>
      <c r="E503" s="595">
        <v>5</v>
      </c>
      <c r="F503" s="595">
        <v>6</v>
      </c>
      <c r="G503" s="595">
        <v>7</v>
      </c>
      <c r="H503" s="595">
        <v>8</v>
      </c>
      <c r="I503" s="595">
        <v>9</v>
      </c>
      <c r="J503" s="595">
        <v>10</v>
      </c>
      <c r="K503" s="595">
        <v>11</v>
      </c>
      <c r="L503" s="595">
        <v>12</v>
      </c>
      <c r="M503" s="595">
        <v>13</v>
      </c>
      <c r="N503" s="595">
        <v>14</v>
      </c>
      <c r="O503" s="595">
        <v>15</v>
      </c>
      <c r="P503" s="596">
        <v>16</v>
      </c>
      <c r="Q503" s="597">
        <v>17</v>
      </c>
      <c r="R503" s="596">
        <v>18</v>
      </c>
      <c r="S503" s="597">
        <v>19</v>
      </c>
      <c r="T503" s="598">
        <v>20</v>
      </c>
      <c r="U503" s="255">
        <v>21</v>
      </c>
      <c r="V503" s="599">
        <v>22</v>
      </c>
      <c r="X503" s="589"/>
      <c r="Y503" s="590"/>
    </row>
    <row r="504" spans="1:29" s="44" customFormat="1" ht="87.75" customHeight="1">
      <c r="A504" s="42" t="str">
        <f>"A"&amp;E500</f>
        <v>A17</v>
      </c>
      <c r="B504" s="605">
        <f>IF(C504&lt;&gt;"",B503+1,"")</f>
        <v>1</v>
      </c>
      <c r="C504" s="581" t="s">
        <v>531</v>
      </c>
      <c r="D504" s="581">
        <v>2121681</v>
      </c>
      <c r="E504" s="581" t="s">
        <v>532</v>
      </c>
      <c r="F504" s="581" t="s">
        <v>533</v>
      </c>
      <c r="G504" s="534">
        <v>0.4</v>
      </c>
      <c r="H504" s="534" t="s">
        <v>385</v>
      </c>
      <c r="I504" s="579" t="s">
        <v>384</v>
      </c>
      <c r="J504" s="580" t="str">
        <f>IF(I504="","",IF(I504="I",$F500,VLOOKUP(I504,$C521:$D526,2,0)))</f>
        <v>ARCA AQUITECTURA E INGENIERÍA S.A</v>
      </c>
      <c r="K504" s="535">
        <v>41089</v>
      </c>
      <c r="L504" s="535">
        <v>41305</v>
      </c>
      <c r="M504" s="536">
        <v>984.63</v>
      </c>
      <c r="N504" s="232">
        <f t="shared" ref="N504:N513" si="97">IF(OR(G504="",M504=""),"",M504*G504)</f>
        <v>393.85200000000003</v>
      </c>
      <c r="O504" s="260">
        <f t="shared" ref="O504:O513" si="98">IF(OR(H504="",H504="NO",K504&lt;$Q$17,K504&gt;$R$17,K504="",M504="",N504=""),"",ROUND(N504,7))</f>
        <v>393.85199999999998</v>
      </c>
      <c r="P504" s="781"/>
      <c r="Q504" s="782"/>
      <c r="R504" s="767"/>
      <c r="S504" s="768"/>
      <c r="T504" s="538" t="s">
        <v>385</v>
      </c>
      <c r="U504" s="539">
        <v>29</v>
      </c>
      <c r="V504" s="540" t="s">
        <v>385</v>
      </c>
      <c r="X504" s="541" t="s">
        <v>423</v>
      </c>
      <c r="Y504" s="541" t="s">
        <v>435</v>
      </c>
    </row>
    <row r="505" spans="1:29" s="44" customFormat="1" ht="109.5" customHeight="1">
      <c r="A505" s="42" t="str">
        <f>"B"&amp;E500</f>
        <v>B17</v>
      </c>
      <c r="B505" s="605">
        <f t="shared" ref="B505:B513" si="99">IF(C505&lt;&gt;"",B504+1,"")</f>
        <v>2</v>
      </c>
      <c r="C505" s="581" t="s">
        <v>534</v>
      </c>
      <c r="D505" s="581" t="s">
        <v>535</v>
      </c>
      <c r="E505" s="581" t="s">
        <v>536</v>
      </c>
      <c r="F505" s="581" t="s">
        <v>431</v>
      </c>
      <c r="G505" s="534">
        <v>0.4</v>
      </c>
      <c r="H505" s="534" t="s">
        <v>385</v>
      </c>
      <c r="I505" s="579" t="s">
        <v>384</v>
      </c>
      <c r="J505" s="580" t="str">
        <f>IF(I505="","",IF(I505="I",$F500,VLOOKUP(I505,$C521:$D526,2,0)))</f>
        <v>ARCA AQUITECTURA E INGENIERÍA S.A</v>
      </c>
      <c r="K505" s="535">
        <v>42244</v>
      </c>
      <c r="L505" s="535">
        <v>42596</v>
      </c>
      <c r="M505" s="536">
        <v>1423.34</v>
      </c>
      <c r="N505" s="232">
        <f t="shared" si="97"/>
        <v>569.33600000000001</v>
      </c>
      <c r="O505" s="260">
        <f t="shared" si="98"/>
        <v>569.33600000000001</v>
      </c>
      <c r="P505" s="781"/>
      <c r="Q505" s="782"/>
      <c r="R505" s="767"/>
      <c r="S505" s="768"/>
      <c r="T505" s="538" t="s">
        <v>385</v>
      </c>
      <c r="U505" s="539">
        <v>86</v>
      </c>
      <c r="V505" s="540" t="s">
        <v>385</v>
      </c>
      <c r="X505" s="541" t="s">
        <v>463</v>
      </c>
      <c r="Y505" s="541" t="s">
        <v>387</v>
      </c>
    </row>
    <row r="506" spans="1:29" s="44" customFormat="1" ht="24.95" customHeight="1">
      <c r="A506" s="42" t="str">
        <f>"C"&amp;E500</f>
        <v>C17</v>
      </c>
      <c r="B506" s="605" t="str">
        <f t="shared" si="99"/>
        <v/>
      </c>
      <c r="C506" s="581"/>
      <c r="D506" s="581"/>
      <c r="E506" s="581"/>
      <c r="F506" s="581"/>
      <c r="G506" s="534"/>
      <c r="H506" s="534"/>
      <c r="I506" s="579"/>
      <c r="J506" s="580" t="str">
        <f>IF(I506="","",IF(I506="I",$F500,VLOOKUP(I506,$C521:$D526,2,0)))</f>
        <v/>
      </c>
      <c r="K506" s="535"/>
      <c r="L506" s="535"/>
      <c r="M506" s="536"/>
      <c r="N506" s="232" t="str">
        <f t="shared" si="97"/>
        <v/>
      </c>
      <c r="O506" s="260" t="str">
        <f t="shared" si="98"/>
        <v/>
      </c>
      <c r="P506" s="781"/>
      <c r="Q506" s="782"/>
      <c r="R506" s="767"/>
      <c r="S506" s="768"/>
      <c r="T506" s="538"/>
      <c r="U506" s="539"/>
      <c r="V506" s="540"/>
      <c r="X506" s="541"/>
      <c r="Y506" s="541"/>
    </row>
    <row r="507" spans="1:29" s="44" customFormat="1" ht="24.95" customHeight="1">
      <c r="A507" s="42" t="str">
        <f>"D"&amp;E500</f>
        <v>D17</v>
      </c>
      <c r="B507" s="605" t="str">
        <f t="shared" si="99"/>
        <v/>
      </c>
      <c r="C507" s="581"/>
      <c r="D507" s="581"/>
      <c r="E507" s="581"/>
      <c r="F507" s="581"/>
      <c r="G507" s="534"/>
      <c r="H507" s="534"/>
      <c r="I507" s="579"/>
      <c r="J507" s="580" t="str">
        <f>IF(I507="","",IF(I507="I",$F500,VLOOKUP(I507,$C521:$D526,2,0)))</f>
        <v/>
      </c>
      <c r="K507" s="535"/>
      <c r="L507" s="535"/>
      <c r="M507" s="536"/>
      <c r="N507" s="232" t="str">
        <f t="shared" si="97"/>
        <v/>
      </c>
      <c r="O507" s="260" t="str">
        <f t="shared" si="98"/>
        <v/>
      </c>
      <c r="P507" s="781"/>
      <c r="Q507" s="782"/>
      <c r="R507" s="767"/>
      <c r="S507" s="768"/>
      <c r="T507" s="538"/>
      <c r="U507" s="539"/>
      <c r="V507" s="540"/>
      <c r="X507" s="541"/>
      <c r="Y507" s="541"/>
    </row>
    <row r="508" spans="1:29" s="44" customFormat="1" ht="24.95" customHeight="1">
      <c r="A508" s="42" t="str">
        <f>"E"&amp;E500</f>
        <v>E17</v>
      </c>
      <c r="B508" s="605" t="str">
        <f t="shared" si="99"/>
        <v/>
      </c>
      <c r="C508" s="581"/>
      <c r="D508" s="581"/>
      <c r="E508" s="581"/>
      <c r="F508" s="581"/>
      <c r="G508" s="534"/>
      <c r="H508" s="534"/>
      <c r="I508" s="579"/>
      <c r="J508" s="580" t="str">
        <f>IF(I508="","",IF(I508="I",$F500,VLOOKUP(I508,$C521:$D526,2,0)))</f>
        <v/>
      </c>
      <c r="K508" s="535"/>
      <c r="L508" s="535"/>
      <c r="M508" s="536"/>
      <c r="N508" s="232" t="str">
        <f t="shared" si="97"/>
        <v/>
      </c>
      <c r="O508" s="260" t="str">
        <f t="shared" si="98"/>
        <v/>
      </c>
      <c r="P508" s="781"/>
      <c r="Q508" s="782"/>
      <c r="R508" s="767"/>
      <c r="S508" s="768"/>
      <c r="T508" s="538"/>
      <c r="U508" s="539"/>
      <c r="V508" s="540"/>
      <c r="X508" s="541"/>
      <c r="Y508" s="541"/>
    </row>
    <row r="509" spans="1:29" s="44" customFormat="1" ht="24.95" customHeight="1">
      <c r="A509" s="42" t="str">
        <f>"F"&amp;E500</f>
        <v>F17</v>
      </c>
      <c r="B509" s="605" t="str">
        <f t="shared" si="99"/>
        <v/>
      </c>
      <c r="C509" s="581"/>
      <c r="D509" s="581"/>
      <c r="E509" s="581"/>
      <c r="F509" s="581"/>
      <c r="G509" s="534"/>
      <c r="H509" s="534"/>
      <c r="I509" s="579"/>
      <c r="J509" s="580" t="str">
        <f>IF(I509="","",IF(I509="I",$F500,VLOOKUP(I509,$C521:$D526,2,0)))</f>
        <v/>
      </c>
      <c r="K509" s="535"/>
      <c r="L509" s="535"/>
      <c r="M509" s="536"/>
      <c r="N509" s="232" t="str">
        <f t="shared" si="97"/>
        <v/>
      </c>
      <c r="O509" s="260" t="str">
        <f t="shared" si="98"/>
        <v/>
      </c>
      <c r="P509" s="781"/>
      <c r="Q509" s="782"/>
      <c r="R509" s="767"/>
      <c r="S509" s="768"/>
      <c r="T509" s="538"/>
      <c r="U509" s="539"/>
      <c r="V509" s="540"/>
      <c r="X509" s="541"/>
      <c r="Y509" s="541"/>
    </row>
    <row r="510" spans="1:29" s="44" customFormat="1" ht="24.95" customHeight="1">
      <c r="A510" s="42" t="str">
        <f>"G"&amp;E500</f>
        <v>G17</v>
      </c>
      <c r="B510" s="605" t="str">
        <f t="shared" si="99"/>
        <v/>
      </c>
      <c r="C510" s="581"/>
      <c r="D510" s="581"/>
      <c r="E510" s="581"/>
      <c r="F510" s="581"/>
      <c r="G510" s="534"/>
      <c r="H510" s="534"/>
      <c r="I510" s="579"/>
      <c r="J510" s="580" t="str">
        <f>IF(I510="","",IF(I510="I",$F500,VLOOKUP(I510,$C521:$D526,2,0)))</f>
        <v/>
      </c>
      <c r="K510" s="535"/>
      <c r="L510" s="535"/>
      <c r="M510" s="536"/>
      <c r="N510" s="43" t="str">
        <f t="shared" si="97"/>
        <v/>
      </c>
      <c r="O510" s="260" t="str">
        <f t="shared" si="98"/>
        <v/>
      </c>
      <c r="P510" s="781"/>
      <c r="Q510" s="782"/>
      <c r="R510" s="767"/>
      <c r="S510" s="768"/>
      <c r="T510" s="538"/>
      <c r="U510" s="539"/>
      <c r="V510" s="540"/>
      <c r="X510" s="541"/>
      <c r="Y510" s="541"/>
    </row>
    <row r="511" spans="1:29" s="44" customFormat="1" ht="24.95" customHeight="1">
      <c r="A511" s="42" t="str">
        <f>"H"&amp;E500</f>
        <v>H17</v>
      </c>
      <c r="B511" s="605" t="str">
        <f t="shared" si="99"/>
        <v/>
      </c>
      <c r="C511" s="581"/>
      <c r="D511" s="581"/>
      <c r="E511" s="581"/>
      <c r="F511" s="581"/>
      <c r="G511" s="534"/>
      <c r="H511" s="534"/>
      <c r="I511" s="579"/>
      <c r="J511" s="580" t="str">
        <f>IF(I511="","",IF(I511="I",$F500,VLOOKUP(I511,$C521:$D526,2,0)))</f>
        <v/>
      </c>
      <c r="K511" s="535"/>
      <c r="L511" s="535"/>
      <c r="M511" s="537"/>
      <c r="N511" s="43" t="str">
        <f t="shared" si="97"/>
        <v/>
      </c>
      <c r="O511" s="260" t="str">
        <f t="shared" si="98"/>
        <v/>
      </c>
      <c r="P511" s="781"/>
      <c r="Q511" s="782"/>
      <c r="R511" s="767"/>
      <c r="S511" s="768"/>
      <c r="T511" s="538"/>
      <c r="U511" s="539"/>
      <c r="V511" s="540"/>
      <c r="X511" s="541"/>
      <c r="Y511" s="541"/>
    </row>
    <row r="512" spans="1:29" s="44" customFormat="1" ht="24.95" customHeight="1">
      <c r="A512" s="42" t="str">
        <f>"I"&amp;E500</f>
        <v>I17</v>
      </c>
      <c r="B512" s="605" t="str">
        <f t="shared" si="99"/>
        <v/>
      </c>
      <c r="C512" s="581"/>
      <c r="D512" s="581"/>
      <c r="E512" s="581"/>
      <c r="F512" s="581"/>
      <c r="G512" s="534"/>
      <c r="H512" s="534"/>
      <c r="I512" s="579"/>
      <c r="J512" s="580" t="str">
        <f>IF(I512="","",IF(I512="I",$F500,VLOOKUP(I512,$C521:$D526,2,0)))</f>
        <v/>
      </c>
      <c r="K512" s="535"/>
      <c r="L512" s="535"/>
      <c r="M512" s="537"/>
      <c r="N512" s="43" t="str">
        <f t="shared" si="97"/>
        <v/>
      </c>
      <c r="O512" s="260" t="str">
        <f t="shared" si="98"/>
        <v/>
      </c>
      <c r="P512" s="781"/>
      <c r="Q512" s="782"/>
      <c r="R512" s="767"/>
      <c r="S512" s="768"/>
      <c r="T512" s="538"/>
      <c r="U512" s="539"/>
      <c r="V512" s="540"/>
      <c r="X512" s="541"/>
      <c r="Y512" s="541"/>
    </row>
    <row r="513" spans="1:29" s="44" customFormat="1" ht="24.95" customHeight="1" thickBot="1">
      <c r="A513" s="42" t="str">
        <f>"J"&amp;E500</f>
        <v>J17</v>
      </c>
      <c r="B513" s="612" t="str">
        <f t="shared" si="99"/>
        <v/>
      </c>
      <c r="C513" s="582"/>
      <c r="D513" s="582"/>
      <c r="E513" s="582"/>
      <c r="F513" s="582"/>
      <c r="G513" s="583"/>
      <c r="H513" s="583"/>
      <c r="I513" s="584"/>
      <c r="J513" s="585" t="str">
        <f>IF(I513="","",IF(I513="I",$F500,VLOOKUP(I513,$C521:$D526,2,0)))</f>
        <v/>
      </c>
      <c r="K513" s="586"/>
      <c r="L513" s="586"/>
      <c r="M513" s="587"/>
      <c r="N513" s="43" t="str">
        <f t="shared" si="97"/>
        <v/>
      </c>
      <c r="O513" s="260" t="str">
        <f t="shared" si="98"/>
        <v/>
      </c>
      <c r="P513" s="781"/>
      <c r="Q513" s="782"/>
      <c r="R513" s="767"/>
      <c r="S513" s="768"/>
      <c r="T513" s="538"/>
      <c r="U513" s="539"/>
      <c r="V513" s="540"/>
      <c r="X513" s="541"/>
      <c r="Y513" s="541"/>
    </row>
    <row r="514" spans="1:29" s="27" customFormat="1" ht="12" customHeight="1" thickBot="1">
      <c r="A514" s="42"/>
      <c r="B514" s="45"/>
      <c r="C514" s="46"/>
      <c r="D514" s="46"/>
      <c r="E514" s="46"/>
      <c r="F514" s="46"/>
      <c r="G514" s="46"/>
      <c r="H514" s="606"/>
      <c r="I514" s="46"/>
      <c r="J514" s="46"/>
      <c r="K514" s="46"/>
      <c r="L514" s="46"/>
      <c r="M514" s="46"/>
      <c r="N514" s="46"/>
      <c r="O514" s="259"/>
      <c r="P514" s="46"/>
      <c r="Q514" s="46"/>
      <c r="R514" s="259"/>
      <c r="S514" s="46"/>
      <c r="T514" s="46"/>
      <c r="U514" s="47"/>
      <c r="V514" s="48"/>
      <c r="X514" s="592"/>
      <c r="Y514" s="593"/>
      <c r="AB514" s="378"/>
    </row>
    <row r="515" spans="1:29" s="27" customFormat="1" ht="17.25" customHeight="1" thickBot="1">
      <c r="A515" s="42" t="str">
        <f>"Z"&amp;E500</f>
        <v>Z17</v>
      </c>
      <c r="B515" s="510"/>
      <c r="C515" s="511"/>
      <c r="D515" s="511"/>
      <c r="E515" s="511"/>
      <c r="F515" s="511"/>
      <c r="G515" s="511"/>
      <c r="H515" s="511"/>
      <c r="I515" s="511"/>
      <c r="J515" s="511"/>
      <c r="K515" s="511"/>
      <c r="L515" s="511"/>
      <c r="M515" s="511"/>
      <c r="N515" s="437" t="s">
        <v>388</v>
      </c>
      <c r="O515" s="438">
        <f>IF(COUNTIF(O504:O513,"")&gt;9,0,SUM(O504:O513)/(COUNTIF(H504:H513,"SI")))</f>
        <v>481.59399999999999</v>
      </c>
      <c r="P515" s="511"/>
      <c r="Q515" s="511"/>
      <c r="R515" s="530"/>
      <c r="S515" s="530"/>
      <c r="T515" s="531"/>
      <c r="U515" s="532"/>
      <c r="V515" s="533"/>
      <c r="W515" s="285"/>
      <c r="X515" s="613" t="e">
        <f>COUNTIF(#REF!,"")-COUNTIF(#REF!,"CUMPLE")-1</f>
        <v>#REF!</v>
      </c>
      <c r="Y515" s="591"/>
      <c r="AB515" s="28"/>
    </row>
    <row r="516" spans="1:29" ht="17.25" customHeight="1">
      <c r="B516" s="50"/>
      <c r="C516" s="50"/>
      <c r="D516" s="50"/>
      <c r="E516" s="50"/>
      <c r="F516" s="50"/>
      <c r="G516" s="51"/>
      <c r="H516" s="51"/>
      <c r="I516" s="51"/>
      <c r="J516" s="51"/>
      <c r="K516" s="51"/>
      <c r="L516" s="51"/>
      <c r="M516" s="51"/>
      <c r="N516" s="51"/>
      <c r="O516" s="51"/>
      <c r="P516" s="51"/>
      <c r="Q516" s="51"/>
      <c r="R516" s="51"/>
      <c r="S516" s="51"/>
      <c r="T516" s="51"/>
      <c r="U516" s="51"/>
      <c r="V516" s="51"/>
      <c r="W516" s="51"/>
      <c r="X516" s="608"/>
      <c r="Y516" s="51"/>
      <c r="Z516" s="51"/>
      <c r="AA516" s="51"/>
      <c r="AB516" s="51"/>
      <c r="AC516" s="50"/>
    </row>
    <row r="517" spans="1:29" s="27" customFormat="1" ht="16.5" customHeight="1" thickBot="1">
      <c r="A517" s="22"/>
      <c r="B517" s="783" t="s">
        <v>389</v>
      </c>
      <c r="C517" s="783"/>
      <c r="D517" s="783"/>
      <c r="E517" s="783"/>
      <c r="F517" s="783"/>
      <c r="G517" s="783"/>
      <c r="H517" s="783"/>
      <c r="I517" s="783"/>
      <c r="J517" s="783"/>
      <c r="K517" s="783"/>
      <c r="L517" s="783"/>
      <c r="M517" s="783"/>
      <c r="N517" s="783"/>
      <c r="O517" s="783"/>
      <c r="P517" s="783"/>
      <c r="Q517" s="783"/>
      <c r="R517" s="783"/>
      <c r="S517" s="783"/>
      <c r="T517" s="783"/>
      <c r="U517" s="783"/>
      <c r="V517" s="783"/>
      <c r="W517" s="286"/>
      <c r="X517" s="607"/>
      <c r="Y517" s="52"/>
      <c r="Z517" s="52"/>
      <c r="AA517" s="52"/>
      <c r="AB517" s="28"/>
      <c r="AC517" s="28"/>
    </row>
    <row r="518" spans="1:29" s="30" customFormat="1" ht="22.5" customHeight="1">
      <c r="A518" s="112" t="str">
        <f>"K"&amp;E500</f>
        <v>K17</v>
      </c>
      <c r="B518" s="790" t="s">
        <v>390</v>
      </c>
      <c r="C518" s="772" t="s">
        <v>391</v>
      </c>
      <c r="D518" s="773"/>
      <c r="E518" s="773"/>
      <c r="F518" s="773"/>
      <c r="G518" s="773"/>
      <c r="H518" s="773"/>
      <c r="I518" s="773"/>
      <c r="J518" s="773"/>
      <c r="K518" s="773"/>
      <c r="L518" s="773"/>
      <c r="M518" s="774"/>
      <c r="N518" s="525"/>
      <c r="O518" s="588"/>
      <c r="P518" s="772" t="s">
        <v>392</v>
      </c>
      <c r="Q518" s="773"/>
      <c r="R518" s="773"/>
      <c r="S518" s="774"/>
      <c r="T518" s="784" t="s">
        <v>393</v>
      </c>
      <c r="U518" s="774"/>
      <c r="V518" s="811"/>
      <c r="W518" s="284"/>
      <c r="X518" s="778" t="s">
        <v>394</v>
      </c>
      <c r="Y518" s="779"/>
      <c r="Z518" s="779"/>
      <c r="AA518" s="779" t="s">
        <v>395</v>
      </c>
      <c r="AB518" s="808" t="s">
        <v>396</v>
      </c>
      <c r="AC518" s="28"/>
    </row>
    <row r="519" spans="1:29" s="30" customFormat="1" ht="22.5" customHeight="1">
      <c r="A519" s="112" t="str">
        <f>"L"&amp;E500</f>
        <v>L17</v>
      </c>
      <c r="B519" s="791"/>
      <c r="C519" s="769" t="s">
        <v>397</v>
      </c>
      <c r="D519" s="770"/>
      <c r="E519" s="771"/>
      <c r="F519" s="512">
        <f>IF(VLOOKUP(E500,PROPONENTES!$C$19:$E$108,3,0)="","",VLOOKUP(E500,PROPONENTES!$C$19:$E$108,3,0))</f>
        <v>1</v>
      </c>
      <c r="G519" s="824" t="s">
        <v>398</v>
      </c>
      <c r="H519" s="793" t="s">
        <v>399</v>
      </c>
      <c r="I519" s="793"/>
      <c r="J519" s="769" t="s">
        <v>400</v>
      </c>
      <c r="K519" s="823"/>
      <c r="L519" s="513" t="s">
        <v>401</v>
      </c>
      <c r="M519" s="513"/>
      <c r="N519" s="526"/>
      <c r="O519" s="527"/>
      <c r="P519" s="775"/>
      <c r="Q519" s="776"/>
      <c r="R519" s="776"/>
      <c r="S519" s="777"/>
      <c r="T519" s="796"/>
      <c r="U519" s="797"/>
      <c r="V519" s="812"/>
      <c r="W519" s="284"/>
      <c r="X519" s="780" t="s">
        <v>402</v>
      </c>
      <c r="Y519" s="810" t="s">
        <v>403</v>
      </c>
      <c r="Z519" s="810"/>
      <c r="AA519" s="810"/>
      <c r="AB519" s="809"/>
      <c r="AC519" s="28"/>
    </row>
    <row r="520" spans="1:29" s="30" customFormat="1" ht="51.75" customHeight="1" thickBot="1">
      <c r="A520" s="112" t="str">
        <f>"M"&amp;E500</f>
        <v>M17</v>
      </c>
      <c r="B520" s="791"/>
      <c r="C520" s="770" t="s">
        <v>404</v>
      </c>
      <c r="D520" s="771"/>
      <c r="E520" s="514" t="s">
        <v>405</v>
      </c>
      <c r="F520" s="515" t="s">
        <v>406</v>
      </c>
      <c r="G520" s="824"/>
      <c r="H520" s="793"/>
      <c r="I520" s="793"/>
      <c r="J520" s="504" t="s">
        <v>407</v>
      </c>
      <c r="K520" s="516" t="s">
        <v>408</v>
      </c>
      <c r="L520" s="517" t="s">
        <v>409</v>
      </c>
      <c r="M520" s="517"/>
      <c r="N520" s="528" t="s">
        <v>410</v>
      </c>
      <c r="O520" s="529"/>
      <c r="P520" s="386"/>
      <c r="Q520" s="387" t="s">
        <v>411</v>
      </c>
      <c r="R520" s="388"/>
      <c r="S520" s="113">
        <f>COUNTIFS(H504:H513,"SI",O504:O513,"&gt;0")</f>
        <v>2</v>
      </c>
      <c r="T520" s="785"/>
      <c r="U520" s="787"/>
      <c r="V520" s="813"/>
      <c r="W520" s="284"/>
      <c r="X520" s="780"/>
      <c r="Y520" s="810"/>
      <c r="Z520" s="810"/>
      <c r="AA520" s="810"/>
      <c r="AB520" s="809"/>
      <c r="AC520" s="28"/>
    </row>
    <row r="521" spans="1:29" s="30" customFormat="1" ht="15.75" customHeight="1">
      <c r="A521" s="112" t="str">
        <f>"N"&amp;E500</f>
        <v>N17</v>
      </c>
      <c r="B521" s="791"/>
      <c r="C521" s="54">
        <v>1</v>
      </c>
      <c r="D521" s="100" t="str">
        <f>IF(AND(C521&lt;=F519,F519&gt;1,F519&lt;&gt;""),VLOOKUP(VALUE(E500&amp;","&amp;C521),INTEGRANTES!$D$19:$F$192,2,0),"")</f>
        <v/>
      </c>
      <c r="E521" s="107" t="str">
        <f>IF(D521&lt;&gt;"",VLOOKUP(VALUE(E500&amp;","&amp;C521),INTEGRANTES!$D$19:$F$192,3,0),"")</f>
        <v/>
      </c>
      <c r="F521" s="380" t="str">
        <f>IF(D521="","",IF(OR(SUMIF($J507:$J513,D521,$O507:$O513)=0,N521="NO"),"NO APORTA",SUMIF($J507:$J513,D521,$O507:$O513)))</f>
        <v/>
      </c>
      <c r="G521" s="380" t="str">
        <f>IF($D521="","",IF($F519&lt;=1,"",ROUND(POSMMLV*PORPO,2)))</f>
        <v/>
      </c>
      <c r="H521" s="765" t="str">
        <f>IF($D521="","",IF(OR(F521="NO APORTA",G521&gt;F521),"NO CUMPLE","CUMPLE"))</f>
        <v/>
      </c>
      <c r="I521" s="766"/>
      <c r="J521" s="108" t="str">
        <f>IF(D521="","",IF(OR(AND(SUMIF($J504:$J513,D521,$O504:$O513)&gt;=5%*POSMMLV,N521="SI"),AND(SUMIF($J504:$J513,D521,$O504:$O513)=0,E521&lt;=5%,N521="SI")),"CUMPLE","NO CUMPLE"))</f>
        <v/>
      </c>
      <c r="K521" s="105" t="str">
        <f>IF(OR(D521="",J521=""),"",IF(AND(J521="NO CUMPLE",F521="NO APORTA",E521&gt;5%),"EXP = 0 y PART &gt; 5%",IF(F521&lt;5%*Q526,"EXP &lt; 5%*PO","")))</f>
        <v/>
      </c>
      <c r="L521" s="389" t="str">
        <f>IF(OR(D521="",E521=""),"",IF(AND(E521&gt;=0.25,F521&lt;&gt;"NO APORTA",F521&gt;=$R526*0.25),"SI","NO"))</f>
        <v/>
      </c>
      <c r="M521" s="389"/>
      <c r="N521" s="468" t="s">
        <v>385</v>
      </c>
      <c r="O521" s="396">
        <f>COUNTIFS(O504:O513,"&gt;0",H504:H513,"SI")</f>
        <v>2</v>
      </c>
      <c r="P521" s="814" t="s">
        <v>139</v>
      </c>
      <c r="Q521" s="814"/>
      <c r="R521" s="817">
        <f>E500</f>
        <v>17</v>
      </c>
      <c r="S521" s="818"/>
      <c r="T521" s="784" t="s">
        <v>412</v>
      </c>
      <c r="U521" s="773"/>
      <c r="V521" s="774"/>
      <c r="W521" s="283"/>
      <c r="X521" s="542" t="str">
        <f>IF($F519=1,"NO APLICA",$D521)</f>
        <v>NO APLICA</v>
      </c>
      <c r="Y521" s="543" t="str">
        <f>IF(OR($F521="",$F521="NO APORTA",$R526=0,$X521="NO APLICA"),"",ROUND($F521/$Q526,2))</f>
        <v/>
      </c>
      <c r="Z521" s="544" t="str">
        <f>IF(Y527=1,"SI APLICA",IF(OR($X521="",$X521="NO APLICA",$F521="",$F521="NO APORTA"),"",IF(ROUND($F521/Q526,7)&gt;=0.4,"SI APLICA","NO APLICA")))</f>
        <v>SI APLICA</v>
      </c>
      <c r="AA521" s="543" t="s">
        <v>413</v>
      </c>
      <c r="AB521" s="540" t="str">
        <f>IF(COUNTIF(Z521:AA521,"SI APLICA")=2,"SI APLICA","")</f>
        <v>SI APLICA</v>
      </c>
      <c r="AC521" s="28"/>
    </row>
    <row r="522" spans="1:29" s="30" customFormat="1" ht="15.75" customHeight="1" thickBot="1">
      <c r="A522" s="112" t="str">
        <f>"O"&amp;E500</f>
        <v>O17</v>
      </c>
      <c r="B522" s="791"/>
      <c r="C522" s="54">
        <v>2</v>
      </c>
      <c r="D522" s="100" t="str">
        <f>IF(AND(C522&lt;=F519,F519&lt;&gt;""),VLOOKUP(VALUE(E500&amp;","&amp;C522),INTEGRANTES!$D$19:$F$192,2,0),"")</f>
        <v/>
      </c>
      <c r="E522" s="107" t="str">
        <f>IF(D522&lt;&gt;"",VLOOKUP(VALUE(E500&amp;","&amp;C522),INTEGRANTES!$D$19:$F$192,3,0),"")</f>
        <v/>
      </c>
      <c r="F522" s="380" t="str">
        <f>IF(D522="","",IF(OR(SUMIF($J507:$J513,D522,$O507:$O513)=0,N522="NO"),"NO APORTA",SUMIF($J507:$J513,D522,$O507:$O513)))</f>
        <v/>
      </c>
      <c r="G522" s="380" t="str">
        <f>IF($D522="","",IF($F519&lt;=1,"",ROUND(POSMMLV*PORPO,2)))</f>
        <v/>
      </c>
      <c r="H522" s="765" t="str">
        <f t="shared" ref="H522:H525" si="100">IF($D522="","",IF(OR(F522="NO APORTA",G522&gt;F522),"NO CUMPLE","CUMPLE"))</f>
        <v/>
      </c>
      <c r="I522" s="766"/>
      <c r="J522" s="108" t="str">
        <f>IF(D522="","",IF(OR(AND(SUMIF($J504:$J513,D522,$O504:$O513)&gt;=5%*POSMMLV,N522="SI"),AND(SUMIF($J504:$J513,D522,$O504:$O513)=0,E522&lt;=5%,N522="SI")),"CUMPLE","NO CUMPLE"))</f>
        <v/>
      </c>
      <c r="K522" s="105" t="str">
        <f>IF(OR(D522="",J522=""),"",IF(AND(J522="NO CUMPLE",F522="NO APORTA",E522&gt;5%),"EXP = 0 y PART &gt; 5%",IF(F522&lt;5%*Q526,"EXP &lt; 5%*PO","")))</f>
        <v/>
      </c>
      <c r="L522" s="389" t="str">
        <f>IF(OR(D522="",E522=""),"",IF(AND(E522&gt;=0.25,F522&lt;&gt;"NO APORTA",F522&gt;=$R526*0.25),"SI","NO"))</f>
        <v/>
      </c>
      <c r="M522" s="389"/>
      <c r="N522" s="468" t="s">
        <v>385</v>
      </c>
      <c r="O522" s="396"/>
      <c r="P522" s="815"/>
      <c r="Q522" s="815"/>
      <c r="R522" s="815"/>
      <c r="S522" s="819"/>
      <c r="T522" s="785"/>
      <c r="U522" s="786"/>
      <c r="V522" s="787"/>
      <c r="W522" s="283"/>
      <c r="X522" s="542" t="str">
        <f>IF($F519=1,"NO APLICA",$D522)</f>
        <v>NO APLICA</v>
      </c>
      <c r="Y522" s="543" t="str">
        <f>IF(OR($F522="",$F522="NO APORTA",$R526=0,$X522="NO APLICA"),"",ROUND($F522/$Q526,2))</f>
        <v/>
      </c>
      <c r="Z522" s="544"/>
      <c r="AA522" s="543"/>
      <c r="AB522" s="540" t="str">
        <f t="shared" ref="AB522" si="101">IF(COUNTIF(Z522:AA522,"SI APLICA")=2,"SI APLICA","")</f>
        <v/>
      </c>
      <c r="AC522" s="28"/>
    </row>
    <row r="523" spans="1:29" s="30" customFormat="1" ht="15.75" customHeight="1">
      <c r="A523" s="112" t="str">
        <f>"P"&amp;E500</f>
        <v>P17</v>
      </c>
      <c r="B523" s="791"/>
      <c r="C523" s="54">
        <v>3</v>
      </c>
      <c r="D523" s="100" t="str">
        <f>IF(AND(C523&lt;=F519,F519&lt;&gt;""),VLOOKUP(VALUE(E500&amp;","&amp;C523),INTEGRANTES!$D$19:$F$192,2,0),"")</f>
        <v/>
      </c>
      <c r="E523" s="107" t="str">
        <f>IF(D523&lt;&gt;"",VLOOKUP(VALUE(E500&amp;","&amp;C523),INTEGRANTES!$D$19:$F$192,3,0),"")</f>
        <v/>
      </c>
      <c r="F523" s="380" t="str">
        <f>IF(D523="","",IF(OR(SUMIF($J507:$J513,D523,$O507:$O513)=0,N523="NO"),"NO APORTA",SUMIF($J507:$J513,D523,$O507:$O513)))</f>
        <v/>
      </c>
      <c r="G523" s="380" t="str">
        <f>IF($D523="","",IF($F519&lt;=1,"",ROUND(POSMMLV*PORPO,2)))</f>
        <v/>
      </c>
      <c r="H523" s="765" t="str">
        <f t="shared" si="100"/>
        <v/>
      </c>
      <c r="I523" s="766"/>
      <c r="J523" s="108" t="str">
        <f>IF(D523="","",IF(OR(AND(SUMIF($J504:$J513,D523,$O504:$O513)&gt;=5%*POSMMLV,N523="SI"),AND(SUMIF($J504:$J513,D523,$O504:$O513)=0,E523&lt;=5%,N523="SI")),"CUMPLE","NO CUMPLE"))</f>
        <v/>
      </c>
      <c r="K523" s="105" t="str">
        <f>IF(OR(D523="",J523=""),"",IF(AND(J523="NO CUMPLE",F523="NO APORTA",E523&gt;5%),"EXP = 0 y PART &gt; 5%",IF(F523&lt;5%*Q526,"EXP &lt; 5%*PO","")))</f>
        <v/>
      </c>
      <c r="L523" s="389" t="str">
        <f>IF(OR(D523="",E523=""),"",IF(AND(E523&gt;=0.25,F523&lt;&gt;"NO APORTA",F523&gt;=$R526*0.25),"SI","NO"))</f>
        <v/>
      </c>
      <c r="M523" s="389"/>
      <c r="N523" s="468"/>
      <c r="O523" s="397"/>
      <c r="P523" s="816"/>
      <c r="Q523" s="816"/>
      <c r="R523" s="816"/>
      <c r="S523" s="820"/>
      <c r="T523" s="308"/>
      <c r="U523" s="308"/>
      <c r="V523" s="309"/>
      <c r="W523" s="284"/>
      <c r="X523" s="542" t="str">
        <f>IF($F519=1,"NO APLICA",$D523)</f>
        <v>NO APLICA</v>
      </c>
      <c r="Y523" s="543" t="str">
        <f>IF(OR($F523="",$F523="NO APORTA",$R526=0,$X523="NO APLICA"),"",ROUND($F523/$Q526,2))</f>
        <v/>
      </c>
      <c r="Z523" s="544"/>
      <c r="AA523" s="543"/>
      <c r="AB523" s="540" t="str">
        <f>IF(COUNTIF(Z523:AA523,"SI APLICA")=2,"SI APLICA","")</f>
        <v/>
      </c>
      <c r="AC523" s="28"/>
    </row>
    <row r="524" spans="1:29" s="30" customFormat="1" ht="15.75" customHeight="1">
      <c r="A524" s="112" t="str">
        <f>"Q"&amp;E500</f>
        <v>Q17</v>
      </c>
      <c r="B524" s="791"/>
      <c r="C524" s="54">
        <v>4</v>
      </c>
      <c r="D524" s="100" t="str">
        <f>IF(AND(C524&lt;=F519,F519&lt;&gt;""),VLOOKUP(VALUE(E500&amp;","&amp;C524),INTEGRANTES!$D$19:$F$192,2,0),"")</f>
        <v/>
      </c>
      <c r="E524" s="107" t="str">
        <f>IF(D524&lt;&gt;"",VLOOKUP(VALUE(E500&amp;","&amp;C524),INTEGRANTES!$D$19:$F$192,3,0),"")</f>
        <v/>
      </c>
      <c r="F524" s="380" t="str">
        <f>IF(D524="","",IF(OR(SUMIF($J507:$J513,D524,$O507:$O513)=0,N524="NO"),"NO APORTA",SUMIF($J507:$J513,D524,$O507:$O513)))</f>
        <v/>
      </c>
      <c r="G524" s="380" t="str">
        <f>IF($D524="","",IF($F519&lt;=1,"",ROUND(POSMMLV*PORPO,2)))</f>
        <v/>
      </c>
      <c r="H524" s="765" t="str">
        <f t="shared" si="100"/>
        <v/>
      </c>
      <c r="I524" s="766"/>
      <c r="J524" s="108" t="str">
        <f>IF(D524="","",IF(OR(AND(SUMIF($J504:$J513,D524,$O504:$O513)&gt;=5%*POSMMLV,N524="SI"),AND(SUMIF($J504:$J513,D524,$O504:$O513)=0,E524&lt;=5%,N524="SI")),"CUMPLE","NO CUMPLE"))</f>
        <v/>
      </c>
      <c r="K524" s="105" t="str">
        <f>IF(OR(D524="",J524=""),"",IF(AND(J524="NO CUMPLE",F524="NO APORTA",E524&gt;5%),"EXP = 0 y PART &gt; 5%",IF(F524&lt;5%*Q526,"EXP &lt; 5%*PO","")))</f>
        <v/>
      </c>
      <c r="L524" s="389" t="str">
        <f>IF(OR(D524="",E524=""),"",IF(AND(E524&gt;=0.25,F524&lt;&gt;"NO APORTA",F524&gt;=$R526*0.25),"SI","NO"))</f>
        <v/>
      </c>
      <c r="M524" s="389"/>
      <c r="N524" s="468"/>
      <c r="O524" s="788" t="s">
        <v>414</v>
      </c>
      <c r="P524" s="769" t="s">
        <v>415</v>
      </c>
      <c r="Q524" s="770"/>
      <c r="R524" s="770"/>
      <c r="S524" s="771"/>
      <c r="T524" s="284"/>
      <c r="U524" s="284"/>
      <c r="V524" s="310"/>
      <c r="W524" s="284"/>
      <c r="X524" s="542" t="str">
        <f>IF($F519=1,"NO APLICA",$D524)</f>
        <v>NO APLICA</v>
      </c>
      <c r="Y524" s="543" t="str">
        <f>IF(OR($F524="",$F524="NO APORTA",$R526=0,$X524="NO APLICA"),"",ROUND($F524/$Q526,2))</f>
        <v/>
      </c>
      <c r="Z524" s="544"/>
      <c r="AA524" s="543"/>
      <c r="AB524" s="540" t="str">
        <f t="shared" ref="AB524:AB525" si="102">IF(COUNTIF(Z524:AA524,"SI APLICA")=2,"SI APLICA","")</f>
        <v/>
      </c>
      <c r="AC524" s="28"/>
    </row>
    <row r="525" spans="1:29" s="30" customFormat="1" ht="17.25" customHeight="1">
      <c r="A525" s="112" t="str">
        <f>"R"&amp;E500</f>
        <v>R17</v>
      </c>
      <c r="B525" s="791"/>
      <c r="C525" s="54">
        <v>5</v>
      </c>
      <c r="D525" s="100" t="str">
        <f>IF(AND(C525&lt;=F519,F519&lt;&gt;""),VLOOKUP(VALUE(E500&amp;","&amp;C525),INTEGRANTES!$D$19:$F$192,2,0),"")</f>
        <v/>
      </c>
      <c r="E525" s="107" t="str">
        <f>IF(D525&lt;&gt;"",VLOOKUP(VALUE(E500&amp;","&amp;C525),INTEGRANTES!$D$19:$F$192,3,0),"")</f>
        <v/>
      </c>
      <c r="F525" s="380" t="str">
        <f>IF(D525="","",IF(OR(SUMIF($J507:$J513,D525,$O507:$O513)=0,N525="NO"),"NO APORTA",SUMIF($J507:$J513,D525,$O507:$O513)))</f>
        <v/>
      </c>
      <c r="G525" s="380" t="str">
        <f>IF($D525="","",IF($F519&lt;=1,"",ROUND(POSMMLV*PORPO,2)))</f>
        <v/>
      </c>
      <c r="H525" s="765" t="str">
        <f t="shared" si="100"/>
        <v/>
      </c>
      <c r="I525" s="766"/>
      <c r="J525" s="108" t="str">
        <f>IF(D525="","",IF(OR(AND(SUMIF($J504:$J513,D525,$O504:$O513)&gt;=5%*POSMMLV,N525="SI"),AND(SUMIF($J504:$J513,D525,$O504:$O513)=0,E525&lt;=5%,N525="SI")),"CUMPLE","NO CUMPLE"))</f>
        <v/>
      </c>
      <c r="K525" s="105" t="str">
        <f>IF(OR(D525="",J525=""),"",IF(AND(J525="NO CUMPLE",F525="NO APORTA",E525&gt;5%),"EXP = 0 y PART &gt; 5%",IF(F525&lt;5%*Q526,"EXP &lt; 5%*PO","")))</f>
        <v/>
      </c>
      <c r="L525" s="389" t="str">
        <f>IF(OR(D525="",E525=""),"",IF(AND(E525&gt;=0.25,F525&lt;&gt;"NO APORTA",F525&gt;=$R526*0.25),"SI","NO"))</f>
        <v/>
      </c>
      <c r="M525" s="389"/>
      <c r="N525" s="468"/>
      <c r="O525" s="789"/>
      <c r="P525" s="504" t="s">
        <v>416</v>
      </c>
      <c r="Q525" s="504" t="s">
        <v>417</v>
      </c>
      <c r="R525" s="793" t="s">
        <v>418</v>
      </c>
      <c r="S525" s="793"/>
      <c r="T525" s="284"/>
      <c r="U525" s="284"/>
      <c r="V525" s="310"/>
      <c r="W525" s="284"/>
      <c r="X525" s="542" t="str">
        <f>IF($F519=1,"NO APLICA",$D525)</f>
        <v>NO APLICA</v>
      </c>
      <c r="Y525" s="543" t="str">
        <f>IF(OR($F525="",$F525="NO APORTA",$R526=0,$X525="NO APLICA"),"",ROUND($F525/$Q526,2))</f>
        <v/>
      </c>
      <c r="Z525" s="544"/>
      <c r="AA525" s="543"/>
      <c r="AB525" s="540" t="str">
        <f t="shared" si="102"/>
        <v/>
      </c>
      <c r="AC525" s="28"/>
    </row>
    <row r="526" spans="1:29" s="30" customFormat="1" ht="16.5" customHeight="1" thickBot="1">
      <c r="A526" s="112" t="str">
        <f>"S"&amp;E500</f>
        <v>S17</v>
      </c>
      <c r="B526" s="791"/>
      <c r="C526" s="109">
        <v>6</v>
      </c>
      <c r="D526" s="110" t="str">
        <f>IF(AND(C526&lt;=F519,F519&lt;&gt;""),VLOOKUP(VALUE(E500&amp;","&amp;C526),INTEGRANTES!$D$19:$F$192,2,0),"")</f>
        <v/>
      </c>
      <c r="E526" s="111" t="str">
        <f>IF(D526&lt;&gt;"",VLOOKUP(VALUE(E500&amp;","&amp;C526),INTEGRANTES!$D$19:$F$192,3,0),"")</f>
        <v/>
      </c>
      <c r="F526" s="380" t="str">
        <f>IF(D526="","",IF(OR(SUMIF($J507:$J513,D526,$O507:$O513)=0,N526="NO"),"NO APORTA",SUMIF($J507:$J513,D526,$O507:$O513)))</f>
        <v/>
      </c>
      <c r="G526" s="380" t="str">
        <f>IF($D526="","",IF($F519&lt;=1,"",ROUND(POSMMLV*PORPO,2)))</f>
        <v/>
      </c>
      <c r="H526" s="765" t="str">
        <f>IF($D526="","",IF(OR(F526="NO APORTA",G526&gt;F526),"NO CUMPLE","CUMPLE"))</f>
        <v/>
      </c>
      <c r="I526" s="766"/>
      <c r="J526" s="108" t="str">
        <f>IF(D526="","",IF(OR(AND(SUMIF($J504:$J513,D526,$O504:$O513)&gt;=5%*POSMMLV,N526="SI"),AND(SUMIF($J504:$J513,D526,$O504:$O513)=0,E526&lt;=5%,N526="SI")),"CUMPLE","NO CUMPLE"))</f>
        <v/>
      </c>
      <c r="K526" s="105" t="str">
        <f>IF(OR(D526="",J526=""),"",IF(AND(J526="NO CUMPLE",F526="NO APORTA",E526&gt;5%),"EXP = 0 y PART &gt; 5%",IF(F526&lt;5%*Q526,"EXP &lt; 5%*PO","")))</f>
        <v/>
      </c>
      <c r="L526" s="389" t="str">
        <f>IF(OR(D526="",E526=""),"",IF(AND(E526&gt;=0.25,F526&lt;&gt;"NO APORTA",F526&gt;=$R526*0.25),"SI","NO"))</f>
        <v/>
      </c>
      <c r="M526" s="389"/>
      <c r="N526" s="468"/>
      <c r="O526" s="403" t="str">
        <f ca="1">IF(R526&gt;=Q526,"CUMPLE","NO CUMPLE")</f>
        <v>CUMPLE</v>
      </c>
      <c r="P526" s="312">
        <f>NUMMOD</f>
        <v>1</v>
      </c>
      <c r="Q526" s="313">
        <f ca="1">IF(P526="","",ROUND(VLOOKUP(P526,PRESUPUESTOS!$B$16:$L$16,9,FALSE),7))</f>
        <v>300</v>
      </c>
      <c r="R526" s="834">
        <f>IF(OR(COUNTIF(O504:O513,"")&gt;9,S520&lt;NUMMINCONT),0,SUM(O504:O513))</f>
        <v>963.18799999999999</v>
      </c>
      <c r="S526" s="834"/>
      <c r="T526" s="284"/>
      <c r="U526" s="284"/>
      <c r="V526" s="310"/>
      <c r="W526" s="284"/>
      <c r="X526" s="545" t="str">
        <f>IF($F519=1,"NO APLICA",$D526)</f>
        <v>NO APLICA</v>
      </c>
      <c r="Y526" s="543" t="str">
        <f>IF(OR($F526="",$F526="NO APORTA",$R526=0,$X526="NO APLICA"),"",ROUND($F526/$Q526,2))</f>
        <v/>
      </c>
      <c r="Z526" s="544"/>
      <c r="AA526" s="546"/>
      <c r="AB526" s="540" t="str">
        <f>IF(COUNTIF(Z526:AA526,"SI APLICA")=2,"SI APLICA","")</f>
        <v/>
      </c>
      <c r="AC526" s="28"/>
    </row>
    <row r="527" spans="1:29" s="30" customFormat="1" ht="16.5" customHeight="1" thickBot="1">
      <c r="A527" s="112" t="str">
        <f>"T"&amp;E500</f>
        <v>T17</v>
      </c>
      <c r="B527" s="792"/>
      <c r="C527" s="821" t="s">
        <v>419</v>
      </c>
      <c r="D527" s="822"/>
      <c r="E527" s="822"/>
      <c r="F527" s="518"/>
      <c r="G527" s="519"/>
      <c r="H527" s="794" t="str">
        <f>IF(OR($F519="",SUM(E521:E526)=0),"",IF(COUNTIF(H521:H526,"CUMPLE")&gt;=1,"CUMPLE","NO CUMPLE"))</f>
        <v/>
      </c>
      <c r="I527" s="795"/>
      <c r="J527" s="314" t="str">
        <f>IF(COUNTIF(J521:J526,"")&gt;5,"",IF(COUNTIF(J521:J526,"NO CUMPLE")&gt;0,"NO CUMPLE","CUMPLE"))</f>
        <v/>
      </c>
      <c r="K527" s="314" t="str">
        <f>IF(OR(AND(F519=1,N521="SI"),AND(COUNTIF(H527:J527,"CUMPLE")=2)),"CUMPLE","NO CUMPLE")</f>
        <v>CUMPLE</v>
      </c>
      <c r="L527" s="519"/>
      <c r="M527" s="519"/>
      <c r="N527" s="519"/>
      <c r="O527" s="833" t="str">
        <f ca="1">IF(ISNUMBER(F500),"",IF(AND(O526="NO CUMPLE",SUM(N507:N513)&lt;Q526),"EL PROPONENTE SE DEBE REQUERIR POR EXPERIENCIA MINIMA EXIGIDA",""))</f>
        <v/>
      </c>
      <c r="P527" s="833"/>
      <c r="Q527" s="833"/>
      <c r="R527" s="833"/>
      <c r="S527" s="833"/>
      <c r="T527" s="522"/>
      <c r="U527" s="523"/>
      <c r="V527" s="524"/>
      <c r="W527" s="284"/>
      <c r="X527" s="364" t="str">
        <f>IF(Y527=1,"PROPONENTE INDIVIDUAL","PROPONENTE PLURAL")</f>
        <v>PROPONENTE INDIVIDUAL</v>
      </c>
      <c r="Y527" s="276">
        <f>F519</f>
        <v>1</v>
      </c>
      <c r="Z527" s="277" t="str">
        <f>IF(OR(AND(Z521="SI APLICA",AA521="SI APLICA"),AND(Z522="SI APLICA",AA522="SI APLICA"),AND(Z523="SI APLICA",AA523="SI APLICA"),AND(Z524="SI APLICA",AA524="SI APLICA"),AND(Z525="SI APLICA",AA525="SI APLICA"),AND(Z526="SI APLICA",AA526="SI APLICA")),"SI APLICA","NO APLICA")</f>
        <v>SI APLICA</v>
      </c>
      <c r="AA527" s="278" t="str">
        <f>IF(OR(AND(AA521="SI APLICA",AB521="SI APLICA"),AND(AA522="SI APLICA",AB522="SI APLICA"),AND(AA523="SI APLICA",AB523="SI APLICA"),AND(AA524="SI APLICA",AB524="SI APLICA"),AND(AA525="SI APLICA",AB525="SI APLICA"),AND(AA526="SI APLICA",AB526="SI APLICA")),"SI APLICA","NO APLICA")</f>
        <v>SI APLICA</v>
      </c>
      <c r="AB527" s="278" t="str">
        <f>IF(COUNTIF(AB521:AB526,"SI APLICA")&gt;0,"SI APLICA","NO APLICA")</f>
        <v>SI APLICA</v>
      </c>
      <c r="AC527" s="28"/>
    </row>
    <row r="528" spans="1:29" ht="24.95" customHeight="1"/>
    <row r="529" spans="1:29" ht="24.95" customHeight="1"/>
    <row r="530" spans="1:29" s="41" customFormat="1" ht="24" thickBot="1">
      <c r="A530" s="34">
        <v>18</v>
      </c>
      <c r="B530" s="828" t="s">
        <v>355</v>
      </c>
      <c r="C530" s="828"/>
      <c r="D530" s="828"/>
      <c r="E530" s="35">
        <f>VLOOKUP(A530,PROPONENTES!$B$19:$E$108,2,FALSE)</f>
        <v>18</v>
      </c>
      <c r="F530" s="36" t="str">
        <f>VLOOKUP(A530,PROPONENTES!$B$19:$E$108,3,FALSE)</f>
        <v>ALPHA INGENIERIA INTEGRAL SAS</v>
      </c>
      <c r="G530" s="37"/>
      <c r="H530" s="37"/>
      <c r="I530" s="36"/>
      <c r="J530" s="36"/>
      <c r="K530" s="36"/>
      <c r="L530" s="36"/>
      <c r="M530" s="38"/>
      <c r="N530" s="38"/>
      <c r="O530" s="37"/>
      <c r="P530" s="37"/>
      <c r="Q530" s="39"/>
      <c r="R530" s="39"/>
      <c r="S530" s="39"/>
      <c r="T530" s="39"/>
      <c r="U530" s="40"/>
      <c r="Y530" s="52"/>
      <c r="Z530" s="52"/>
      <c r="AA530" s="52"/>
      <c r="AB530" s="28"/>
      <c r="AC530" s="28"/>
    </row>
    <row r="531" spans="1:29" s="27" customFormat="1" ht="24.75" customHeight="1">
      <c r="A531" s="22"/>
      <c r="B531" s="829" t="s">
        <v>356</v>
      </c>
      <c r="C531" s="501" t="s">
        <v>357</v>
      </c>
      <c r="D531" s="502" t="s">
        <v>358</v>
      </c>
      <c r="E531" s="502"/>
      <c r="F531" s="502" t="s">
        <v>359</v>
      </c>
      <c r="G531" s="503"/>
      <c r="H531" s="803" t="s">
        <v>360</v>
      </c>
      <c r="I531" s="831" t="s">
        <v>361</v>
      </c>
      <c r="J531" s="803" t="s">
        <v>362</v>
      </c>
      <c r="K531" s="803" t="s">
        <v>363</v>
      </c>
      <c r="L531" s="803" t="s">
        <v>364</v>
      </c>
      <c r="M531" s="803" t="s">
        <v>365</v>
      </c>
      <c r="N531" s="804" t="s">
        <v>366</v>
      </c>
      <c r="O531" s="805"/>
      <c r="P531" s="806" t="s">
        <v>367</v>
      </c>
      <c r="Q531" s="807"/>
      <c r="R531" s="784" t="s">
        <v>368</v>
      </c>
      <c r="S531" s="774"/>
      <c r="T531" s="798" t="s">
        <v>369</v>
      </c>
      <c r="U531" s="799"/>
      <c r="V531" s="800"/>
      <c r="X531" s="520"/>
      <c r="Y531" s="520"/>
    </row>
    <row r="532" spans="1:29" s="27" customFormat="1" ht="94.5" customHeight="1">
      <c r="A532" s="22"/>
      <c r="B532" s="830"/>
      <c r="C532" s="504" t="s">
        <v>370</v>
      </c>
      <c r="D532" s="505" t="s">
        <v>41</v>
      </c>
      <c r="E532" s="505" t="s">
        <v>371</v>
      </c>
      <c r="F532" s="505" t="s">
        <v>372</v>
      </c>
      <c r="G532" s="506" t="s">
        <v>373</v>
      </c>
      <c r="H532" s="793"/>
      <c r="I532" s="832"/>
      <c r="J532" s="793"/>
      <c r="K532" s="793"/>
      <c r="L532" s="793"/>
      <c r="M532" s="793"/>
      <c r="N532" s="504" t="s">
        <v>374</v>
      </c>
      <c r="O532" s="505" t="s">
        <v>375</v>
      </c>
      <c r="P532" s="801"/>
      <c r="Q532" s="802"/>
      <c r="R532" s="796"/>
      <c r="S532" s="797"/>
      <c r="T532" s="507" t="s">
        <v>376</v>
      </c>
      <c r="U532" s="508" t="s">
        <v>377</v>
      </c>
      <c r="V532" s="509" t="s">
        <v>378</v>
      </c>
      <c r="X532" s="521" t="s">
        <v>379</v>
      </c>
      <c r="Y532" s="521" t="s">
        <v>380</v>
      </c>
    </row>
    <row r="533" spans="1:29" s="27" customFormat="1" ht="15" customHeight="1">
      <c r="A533" s="22"/>
      <c r="B533" s="594"/>
      <c r="C533" s="595">
        <v>3</v>
      </c>
      <c r="D533" s="595">
        <v>4</v>
      </c>
      <c r="E533" s="595">
        <v>5</v>
      </c>
      <c r="F533" s="595">
        <v>6</v>
      </c>
      <c r="G533" s="595">
        <v>7</v>
      </c>
      <c r="H533" s="595">
        <v>8</v>
      </c>
      <c r="I533" s="595">
        <v>9</v>
      </c>
      <c r="J533" s="595">
        <v>10</v>
      </c>
      <c r="K533" s="595">
        <v>11</v>
      </c>
      <c r="L533" s="595">
        <v>12</v>
      </c>
      <c r="M533" s="595">
        <v>13</v>
      </c>
      <c r="N533" s="595">
        <v>14</v>
      </c>
      <c r="O533" s="595">
        <v>15</v>
      </c>
      <c r="P533" s="596">
        <v>16</v>
      </c>
      <c r="Q533" s="597">
        <v>17</v>
      </c>
      <c r="R533" s="596">
        <v>18</v>
      </c>
      <c r="S533" s="597">
        <v>19</v>
      </c>
      <c r="T533" s="598">
        <v>20</v>
      </c>
      <c r="U533" s="255">
        <v>21</v>
      </c>
      <c r="V533" s="599">
        <v>22</v>
      </c>
      <c r="X533" s="589"/>
      <c r="Y533" s="590"/>
    </row>
    <row r="534" spans="1:29" s="44" customFormat="1" ht="76.5">
      <c r="A534" s="42" t="str">
        <f>"A"&amp;E530</f>
        <v>A18</v>
      </c>
      <c r="B534" s="605">
        <f>IF(C534&lt;&gt;"",B533+1,"")</f>
        <v>1</v>
      </c>
      <c r="C534" s="581" t="s">
        <v>537</v>
      </c>
      <c r="D534" s="581" t="s">
        <v>538</v>
      </c>
      <c r="E534" s="581" t="s">
        <v>539</v>
      </c>
      <c r="F534" s="581" t="s">
        <v>384</v>
      </c>
      <c r="G534" s="534">
        <v>1</v>
      </c>
      <c r="H534" s="534" t="s">
        <v>385</v>
      </c>
      <c r="I534" s="579" t="s">
        <v>384</v>
      </c>
      <c r="J534" s="580" t="str">
        <f>IF(I534="","",IF(I534="I",$F530,VLOOKUP(I534,$C551:$D556,2,0)))</f>
        <v>ALPHA INGENIERIA INTEGRAL SAS</v>
      </c>
      <c r="K534" s="535">
        <v>36421</v>
      </c>
      <c r="L534" s="535">
        <v>36663</v>
      </c>
      <c r="M534" s="536">
        <v>482.98</v>
      </c>
      <c r="N534" s="232">
        <f>IF(OR(G534="",M534=""),"",M534*G534)</f>
        <v>482.98</v>
      </c>
      <c r="O534" s="631">
        <f>IF(OR(H534="",H534="NO",K534&lt;$Q$17,K534&gt;$R$17,K534="",M534="",N534=""),"",ROUND(N534,7))</f>
        <v>482.98</v>
      </c>
      <c r="P534" s="781"/>
      <c r="Q534" s="782"/>
      <c r="R534" s="767"/>
      <c r="S534" s="768"/>
      <c r="T534" s="538" t="s">
        <v>385</v>
      </c>
      <c r="U534" s="539">
        <v>34</v>
      </c>
      <c r="V534" s="540" t="s">
        <v>385</v>
      </c>
      <c r="X534" s="541" t="s">
        <v>423</v>
      </c>
      <c r="Y534" s="541" t="s">
        <v>435</v>
      </c>
    </row>
    <row r="535" spans="1:29" s="44" customFormat="1" ht="24.95" customHeight="1">
      <c r="A535" s="42" t="str">
        <f>"B"&amp;E530</f>
        <v>B18</v>
      </c>
      <c r="B535" s="605" t="str">
        <f t="shared" ref="B535:B543" si="103">IF(C535&lt;&gt;"",B534+1,"")</f>
        <v/>
      </c>
      <c r="C535" s="581"/>
      <c r="D535" s="581"/>
      <c r="E535" s="581"/>
      <c r="F535" s="581"/>
      <c r="G535" s="534"/>
      <c r="H535" s="534"/>
      <c r="I535" s="579"/>
      <c r="J535" s="580" t="str">
        <f>IF(I535="","",IF(I535="I",$F530,VLOOKUP(I535,$C551:$D556,2,0)))</f>
        <v/>
      </c>
      <c r="K535" s="535"/>
      <c r="L535" s="535"/>
      <c r="M535" s="536"/>
      <c r="N535" s="232" t="str">
        <f t="shared" ref="N535:N543" si="104">IF(OR(G535="",M535=""),"",M535*G535)</f>
        <v/>
      </c>
      <c r="O535" s="260" t="str">
        <f t="shared" ref="O535:O543" si="105">IF(OR(H535="",H535="NO",K535&lt;$Q$17,K535&gt;$R$17,K535="",M535="",N535=""),"",ROUND(N535,7))</f>
        <v/>
      </c>
      <c r="P535" s="781"/>
      <c r="Q535" s="782"/>
      <c r="R535" s="767"/>
      <c r="S535" s="768"/>
      <c r="T535" s="538"/>
      <c r="U535" s="539"/>
      <c r="V535" s="540"/>
      <c r="X535" s="541"/>
      <c r="Y535" s="541"/>
    </row>
    <row r="536" spans="1:29" s="44" customFormat="1" ht="24.95" customHeight="1">
      <c r="A536" s="42" t="str">
        <f>"C"&amp;E530</f>
        <v>C18</v>
      </c>
      <c r="B536" s="605" t="str">
        <f t="shared" si="103"/>
        <v/>
      </c>
      <c r="C536" s="581"/>
      <c r="D536" s="581"/>
      <c r="E536" s="581"/>
      <c r="F536" s="581"/>
      <c r="G536" s="534"/>
      <c r="H536" s="534"/>
      <c r="I536" s="579"/>
      <c r="J536" s="580" t="str">
        <f>IF(I536="","",IF(I536="I",$F530,VLOOKUP(I536,$C551:$D556,2,0)))</f>
        <v/>
      </c>
      <c r="K536" s="535"/>
      <c r="L536" s="535"/>
      <c r="M536" s="536"/>
      <c r="N536" s="232" t="str">
        <f t="shared" si="104"/>
        <v/>
      </c>
      <c r="O536" s="260" t="str">
        <f t="shared" si="105"/>
        <v/>
      </c>
      <c r="P536" s="781"/>
      <c r="Q536" s="782"/>
      <c r="R536" s="767"/>
      <c r="S536" s="768"/>
      <c r="T536" s="538"/>
      <c r="U536" s="539"/>
      <c r="V536" s="540"/>
      <c r="X536" s="541"/>
      <c r="Y536" s="541"/>
    </row>
    <row r="537" spans="1:29" s="44" customFormat="1" ht="24.95" customHeight="1">
      <c r="A537" s="42" t="str">
        <f>"D"&amp;E530</f>
        <v>D18</v>
      </c>
      <c r="B537" s="605" t="str">
        <f t="shared" si="103"/>
        <v/>
      </c>
      <c r="C537" s="581"/>
      <c r="D537" s="581"/>
      <c r="E537" s="581"/>
      <c r="F537" s="581"/>
      <c r="G537" s="534"/>
      <c r="H537" s="534"/>
      <c r="I537" s="579"/>
      <c r="J537" s="580" t="str">
        <f>IF(I537="","",IF(I537="I",$F530,VLOOKUP(I537,$C551:$D556,2,0)))</f>
        <v/>
      </c>
      <c r="K537" s="535"/>
      <c r="L537" s="535"/>
      <c r="M537" s="536"/>
      <c r="N537" s="232" t="str">
        <f t="shared" si="104"/>
        <v/>
      </c>
      <c r="O537" s="260" t="str">
        <f t="shared" si="105"/>
        <v/>
      </c>
      <c r="P537" s="781"/>
      <c r="Q537" s="782"/>
      <c r="R537" s="767"/>
      <c r="S537" s="768"/>
      <c r="T537" s="538"/>
      <c r="U537" s="539"/>
      <c r="V537" s="540"/>
      <c r="X537" s="541"/>
      <c r="Y537" s="541"/>
    </row>
    <row r="538" spans="1:29" s="44" customFormat="1" ht="24.95" customHeight="1">
      <c r="A538" s="42" t="str">
        <f>"E"&amp;E530</f>
        <v>E18</v>
      </c>
      <c r="B538" s="605" t="str">
        <f t="shared" si="103"/>
        <v/>
      </c>
      <c r="C538" s="581"/>
      <c r="D538" s="581"/>
      <c r="E538" s="581"/>
      <c r="F538" s="581"/>
      <c r="G538" s="534"/>
      <c r="H538" s="534"/>
      <c r="I538" s="579"/>
      <c r="J538" s="580" t="str">
        <f>IF(I538="","",IF(I538="I",$F530,VLOOKUP(I538,$C551:$D556,2,0)))</f>
        <v/>
      </c>
      <c r="K538" s="535"/>
      <c r="L538" s="535"/>
      <c r="M538" s="536"/>
      <c r="N538" s="232" t="str">
        <f t="shared" si="104"/>
        <v/>
      </c>
      <c r="O538" s="260" t="str">
        <f t="shared" si="105"/>
        <v/>
      </c>
      <c r="P538" s="781"/>
      <c r="Q538" s="782"/>
      <c r="R538" s="767"/>
      <c r="S538" s="768"/>
      <c r="T538" s="538"/>
      <c r="U538" s="539"/>
      <c r="V538" s="540"/>
      <c r="X538" s="541"/>
      <c r="Y538" s="541"/>
    </row>
    <row r="539" spans="1:29" s="44" customFormat="1" ht="24.95" customHeight="1">
      <c r="A539" s="42" t="str">
        <f>"F"&amp;E530</f>
        <v>F18</v>
      </c>
      <c r="B539" s="605" t="str">
        <f t="shared" si="103"/>
        <v/>
      </c>
      <c r="C539" s="581"/>
      <c r="D539" s="581"/>
      <c r="E539" s="581"/>
      <c r="F539" s="581"/>
      <c r="G539" s="534"/>
      <c r="H539" s="534"/>
      <c r="I539" s="579"/>
      <c r="J539" s="580" t="str">
        <f>IF(I539="","",IF(I539="I",$F530,VLOOKUP(I539,$C551:$D556,2,0)))</f>
        <v/>
      </c>
      <c r="K539" s="535"/>
      <c r="L539" s="535"/>
      <c r="M539" s="536"/>
      <c r="N539" s="232" t="str">
        <f t="shared" si="104"/>
        <v/>
      </c>
      <c r="O539" s="260" t="str">
        <f t="shared" si="105"/>
        <v/>
      </c>
      <c r="P539" s="781"/>
      <c r="Q539" s="782"/>
      <c r="R539" s="767"/>
      <c r="S539" s="768"/>
      <c r="T539" s="538"/>
      <c r="U539" s="539"/>
      <c r="V539" s="540"/>
      <c r="X539" s="541"/>
      <c r="Y539" s="541"/>
    </row>
    <row r="540" spans="1:29" s="44" customFormat="1" ht="24.95" customHeight="1">
      <c r="A540" s="42" t="str">
        <f>"G"&amp;E530</f>
        <v>G18</v>
      </c>
      <c r="B540" s="605" t="str">
        <f t="shared" si="103"/>
        <v/>
      </c>
      <c r="C540" s="581"/>
      <c r="D540" s="581"/>
      <c r="E540" s="581"/>
      <c r="F540" s="581"/>
      <c r="G540" s="534"/>
      <c r="H540" s="534"/>
      <c r="I540" s="579"/>
      <c r="J540" s="580" t="str">
        <f>IF(I540="","",IF(I540="I",$F530,VLOOKUP(I540,$C551:$D556,2,0)))</f>
        <v/>
      </c>
      <c r="K540" s="535"/>
      <c r="L540" s="535"/>
      <c r="M540" s="536"/>
      <c r="N540" s="43" t="str">
        <f t="shared" si="104"/>
        <v/>
      </c>
      <c r="O540" s="260" t="str">
        <f t="shared" si="105"/>
        <v/>
      </c>
      <c r="P540" s="781"/>
      <c r="Q540" s="782"/>
      <c r="R540" s="767"/>
      <c r="S540" s="768"/>
      <c r="T540" s="538"/>
      <c r="U540" s="539"/>
      <c r="V540" s="540"/>
      <c r="X540" s="541"/>
      <c r="Y540" s="541"/>
    </row>
    <row r="541" spans="1:29" s="44" customFormat="1" ht="24.95" customHeight="1">
      <c r="A541" s="42" t="str">
        <f>"H"&amp;E530</f>
        <v>H18</v>
      </c>
      <c r="B541" s="605" t="str">
        <f t="shared" si="103"/>
        <v/>
      </c>
      <c r="C541" s="581"/>
      <c r="D541" s="581"/>
      <c r="E541" s="581"/>
      <c r="F541" s="581"/>
      <c r="G541" s="534"/>
      <c r="H541" s="534"/>
      <c r="I541" s="579"/>
      <c r="J541" s="580" t="str">
        <f>IF(I541="","",IF(I541="I",$F530,VLOOKUP(I541,$C551:$D556,2,0)))</f>
        <v/>
      </c>
      <c r="K541" s="535"/>
      <c r="L541" s="535"/>
      <c r="M541" s="537"/>
      <c r="N541" s="43" t="str">
        <f t="shared" si="104"/>
        <v/>
      </c>
      <c r="O541" s="260" t="str">
        <f t="shared" si="105"/>
        <v/>
      </c>
      <c r="P541" s="781"/>
      <c r="Q541" s="782"/>
      <c r="R541" s="767"/>
      <c r="S541" s="768"/>
      <c r="T541" s="538"/>
      <c r="U541" s="539"/>
      <c r="V541" s="540"/>
      <c r="X541" s="541"/>
      <c r="Y541" s="541"/>
    </row>
    <row r="542" spans="1:29" s="44" customFormat="1" ht="24.95" customHeight="1">
      <c r="A542" s="42" t="str">
        <f>"I"&amp;E530</f>
        <v>I18</v>
      </c>
      <c r="B542" s="605" t="str">
        <f t="shared" si="103"/>
        <v/>
      </c>
      <c r="C542" s="581"/>
      <c r="D542" s="581"/>
      <c r="E542" s="581"/>
      <c r="F542" s="581"/>
      <c r="G542" s="534"/>
      <c r="H542" s="534"/>
      <c r="I542" s="579"/>
      <c r="J542" s="580" t="str">
        <f>IF(I542="","",IF(I542="I",$F530,VLOOKUP(I542,$C551:$D556,2,0)))</f>
        <v/>
      </c>
      <c r="K542" s="535"/>
      <c r="L542" s="535"/>
      <c r="M542" s="537"/>
      <c r="N542" s="43" t="str">
        <f t="shared" si="104"/>
        <v/>
      </c>
      <c r="O542" s="260" t="str">
        <f t="shared" si="105"/>
        <v/>
      </c>
      <c r="P542" s="781"/>
      <c r="Q542" s="782"/>
      <c r="R542" s="767"/>
      <c r="S542" s="768"/>
      <c r="T542" s="538"/>
      <c r="U542" s="539"/>
      <c r="V542" s="540"/>
      <c r="X542" s="541"/>
      <c r="Y542" s="541"/>
    </row>
    <row r="543" spans="1:29" s="44" customFormat="1" ht="24.95" customHeight="1" thickBot="1">
      <c r="A543" s="42" t="str">
        <f>"J"&amp;E530</f>
        <v>J18</v>
      </c>
      <c r="B543" s="612" t="str">
        <f t="shared" si="103"/>
        <v/>
      </c>
      <c r="C543" s="582"/>
      <c r="D543" s="582"/>
      <c r="E543" s="582"/>
      <c r="F543" s="582"/>
      <c r="G543" s="583"/>
      <c r="H543" s="583"/>
      <c r="I543" s="584"/>
      <c r="J543" s="585" t="str">
        <f>IF(I543="","",IF(I543="I",$F530,VLOOKUP(I543,$C551:$D556,2,0)))</f>
        <v/>
      </c>
      <c r="K543" s="586"/>
      <c r="L543" s="586"/>
      <c r="M543" s="587"/>
      <c r="N543" s="43" t="str">
        <f t="shared" si="104"/>
        <v/>
      </c>
      <c r="O543" s="260" t="str">
        <f t="shared" si="105"/>
        <v/>
      </c>
      <c r="P543" s="781"/>
      <c r="Q543" s="782"/>
      <c r="R543" s="767"/>
      <c r="S543" s="768"/>
      <c r="T543" s="538"/>
      <c r="U543" s="539"/>
      <c r="V543" s="540"/>
      <c r="X543" s="541"/>
      <c r="Y543" s="541"/>
    </row>
    <row r="544" spans="1:29" s="27" customFormat="1" ht="12" customHeight="1" thickBot="1">
      <c r="A544" s="42"/>
      <c r="B544" s="45"/>
      <c r="C544" s="46"/>
      <c r="D544" s="46"/>
      <c r="E544" s="46"/>
      <c r="F544" s="46"/>
      <c r="G544" s="46"/>
      <c r="H544" s="606"/>
      <c r="I544" s="46"/>
      <c r="J544" s="46"/>
      <c r="K544" s="46"/>
      <c r="L544" s="46"/>
      <c r="M544" s="46"/>
      <c r="N544" s="46"/>
      <c r="O544" s="259"/>
      <c r="P544" s="46"/>
      <c r="Q544" s="46"/>
      <c r="R544" s="259"/>
      <c r="S544" s="46"/>
      <c r="T544" s="46"/>
      <c r="U544" s="47"/>
      <c r="V544" s="48"/>
      <c r="X544" s="592"/>
      <c r="Y544" s="593"/>
      <c r="AB544" s="378"/>
    </row>
    <row r="545" spans="1:29" s="27" customFormat="1" ht="17.25" customHeight="1" thickBot="1">
      <c r="A545" s="42" t="str">
        <f>"Z"&amp;E530</f>
        <v>Z18</v>
      </c>
      <c r="B545" s="510"/>
      <c r="C545" s="511"/>
      <c r="D545" s="511"/>
      <c r="E545" s="511"/>
      <c r="F545" s="511"/>
      <c r="G545" s="511"/>
      <c r="H545" s="511"/>
      <c r="I545" s="511"/>
      <c r="J545" s="511"/>
      <c r="K545" s="511"/>
      <c r="L545" s="511"/>
      <c r="M545" s="511"/>
      <c r="N545" s="437" t="s">
        <v>388</v>
      </c>
      <c r="O545" s="438">
        <f>IF(COUNTIF(O534:O543,"")&gt;9,0,SUM(O534:O543)/(COUNTIF(H534:H543,"SI")))</f>
        <v>482.98</v>
      </c>
      <c r="P545" s="511"/>
      <c r="Q545" s="511"/>
      <c r="R545" s="530"/>
      <c r="S545" s="530"/>
      <c r="T545" s="531"/>
      <c r="U545" s="532"/>
      <c r="V545" s="533"/>
      <c r="W545" s="285"/>
      <c r="X545" s="613" t="e">
        <f>COUNTIF(#REF!,"")-COUNTIF(#REF!,"CUMPLE")-1</f>
        <v>#REF!</v>
      </c>
      <c r="Y545" s="591"/>
      <c r="AB545" s="28"/>
    </row>
    <row r="546" spans="1:29" ht="17.25" customHeight="1">
      <c r="B546" s="50"/>
      <c r="C546" s="50"/>
      <c r="D546" s="50"/>
      <c r="E546" s="50"/>
      <c r="F546" s="50"/>
      <c r="G546" s="51"/>
      <c r="H546" s="51"/>
      <c r="I546" s="51"/>
      <c r="J546" s="51"/>
      <c r="K546" s="51"/>
      <c r="L546" s="51"/>
      <c r="M546" s="51"/>
      <c r="N546" s="51"/>
      <c r="O546" s="51"/>
      <c r="P546" s="51"/>
      <c r="Q546" s="51"/>
      <c r="R546" s="51"/>
      <c r="S546" s="51"/>
      <c r="T546" s="51"/>
      <c r="U546" s="51"/>
      <c r="V546" s="51"/>
      <c r="W546" s="51"/>
      <c r="X546" s="608"/>
      <c r="Y546" s="51"/>
      <c r="Z546" s="51"/>
      <c r="AA546" s="51"/>
      <c r="AB546" s="51"/>
      <c r="AC546" s="50"/>
    </row>
    <row r="547" spans="1:29" s="27" customFormat="1" ht="16.5" customHeight="1" thickBot="1">
      <c r="A547" s="22"/>
      <c r="B547" s="783" t="s">
        <v>389</v>
      </c>
      <c r="C547" s="783"/>
      <c r="D547" s="783"/>
      <c r="E547" s="783"/>
      <c r="F547" s="783"/>
      <c r="G547" s="783"/>
      <c r="H547" s="783"/>
      <c r="I547" s="783"/>
      <c r="J547" s="783"/>
      <c r="K547" s="783"/>
      <c r="L547" s="783"/>
      <c r="M547" s="783"/>
      <c r="N547" s="783"/>
      <c r="O547" s="783"/>
      <c r="P547" s="783"/>
      <c r="Q547" s="783"/>
      <c r="R547" s="783"/>
      <c r="S547" s="783"/>
      <c r="T547" s="783"/>
      <c r="U547" s="783"/>
      <c r="V547" s="783"/>
      <c r="W547" s="286"/>
      <c r="X547" s="607"/>
      <c r="Y547" s="52"/>
      <c r="Z547" s="52"/>
      <c r="AA547" s="52"/>
      <c r="AB547" s="28"/>
      <c r="AC547" s="28"/>
    </row>
    <row r="548" spans="1:29" s="30" customFormat="1" ht="22.5" customHeight="1">
      <c r="A548" s="112" t="str">
        <f>"K"&amp;E530</f>
        <v>K18</v>
      </c>
      <c r="B548" s="790" t="s">
        <v>390</v>
      </c>
      <c r="C548" s="772" t="s">
        <v>391</v>
      </c>
      <c r="D548" s="773"/>
      <c r="E548" s="773"/>
      <c r="F548" s="773"/>
      <c r="G548" s="773"/>
      <c r="H548" s="773"/>
      <c r="I548" s="773"/>
      <c r="J548" s="773"/>
      <c r="K548" s="773"/>
      <c r="L548" s="773"/>
      <c r="M548" s="774"/>
      <c r="N548" s="525"/>
      <c r="O548" s="588"/>
      <c r="P548" s="772" t="s">
        <v>392</v>
      </c>
      <c r="Q548" s="773"/>
      <c r="R548" s="773"/>
      <c r="S548" s="774"/>
      <c r="T548" s="784" t="s">
        <v>393</v>
      </c>
      <c r="U548" s="774"/>
      <c r="V548" s="811"/>
      <c r="W548" s="284"/>
      <c r="X548" s="778" t="s">
        <v>394</v>
      </c>
      <c r="Y548" s="779"/>
      <c r="Z548" s="779"/>
      <c r="AA548" s="779" t="s">
        <v>395</v>
      </c>
      <c r="AB548" s="808" t="s">
        <v>396</v>
      </c>
      <c r="AC548" s="28"/>
    </row>
    <row r="549" spans="1:29" s="30" customFormat="1" ht="22.5" customHeight="1">
      <c r="A549" s="112" t="str">
        <f>"L"&amp;E530</f>
        <v>L18</v>
      </c>
      <c r="B549" s="791"/>
      <c r="C549" s="769" t="s">
        <v>397</v>
      </c>
      <c r="D549" s="770"/>
      <c r="E549" s="771"/>
      <c r="F549" s="512">
        <f>IF(VLOOKUP(E530,PROPONENTES!$C$19:$E$108,3,0)="","",VLOOKUP(E530,PROPONENTES!$C$19:$E$108,3,0))</f>
        <v>1</v>
      </c>
      <c r="G549" s="824" t="s">
        <v>398</v>
      </c>
      <c r="H549" s="793" t="s">
        <v>399</v>
      </c>
      <c r="I549" s="793"/>
      <c r="J549" s="769" t="s">
        <v>400</v>
      </c>
      <c r="K549" s="823"/>
      <c r="L549" s="513" t="s">
        <v>401</v>
      </c>
      <c r="M549" s="513"/>
      <c r="N549" s="526"/>
      <c r="O549" s="527"/>
      <c r="P549" s="775"/>
      <c r="Q549" s="776"/>
      <c r="R549" s="776"/>
      <c r="S549" s="777"/>
      <c r="T549" s="796"/>
      <c r="U549" s="797"/>
      <c r="V549" s="812"/>
      <c r="W549" s="284"/>
      <c r="X549" s="780" t="s">
        <v>402</v>
      </c>
      <c r="Y549" s="810" t="s">
        <v>403</v>
      </c>
      <c r="Z549" s="810"/>
      <c r="AA549" s="810"/>
      <c r="AB549" s="809"/>
      <c r="AC549" s="28"/>
    </row>
    <row r="550" spans="1:29" s="30" customFormat="1" ht="51.75" customHeight="1" thickBot="1">
      <c r="A550" s="112" t="str">
        <f>"M"&amp;E530</f>
        <v>M18</v>
      </c>
      <c r="B550" s="791"/>
      <c r="C550" s="770" t="s">
        <v>404</v>
      </c>
      <c r="D550" s="771"/>
      <c r="E550" s="514" t="s">
        <v>405</v>
      </c>
      <c r="F550" s="515" t="s">
        <v>406</v>
      </c>
      <c r="G550" s="824"/>
      <c r="H550" s="793"/>
      <c r="I550" s="793"/>
      <c r="J550" s="504" t="s">
        <v>407</v>
      </c>
      <c r="K550" s="516" t="s">
        <v>408</v>
      </c>
      <c r="L550" s="517" t="s">
        <v>409</v>
      </c>
      <c r="M550" s="517"/>
      <c r="N550" s="528" t="s">
        <v>410</v>
      </c>
      <c r="O550" s="529"/>
      <c r="P550" s="386"/>
      <c r="Q550" s="387" t="s">
        <v>411</v>
      </c>
      <c r="R550" s="388"/>
      <c r="S550" s="113">
        <f>COUNTIFS(H534:H543,"SI",O534:O543,"&gt;0")</f>
        <v>1</v>
      </c>
      <c r="T550" s="785"/>
      <c r="U550" s="787"/>
      <c r="V550" s="813"/>
      <c r="W550" s="284"/>
      <c r="X550" s="780"/>
      <c r="Y550" s="810"/>
      <c r="Z550" s="810"/>
      <c r="AA550" s="810"/>
      <c r="AB550" s="809"/>
      <c r="AC550" s="28"/>
    </row>
    <row r="551" spans="1:29" s="30" customFormat="1" ht="15.75" customHeight="1">
      <c r="A551" s="112" t="str">
        <f>"N"&amp;E530</f>
        <v>N18</v>
      </c>
      <c r="B551" s="791"/>
      <c r="C551" s="54">
        <v>1</v>
      </c>
      <c r="D551" s="100" t="str">
        <f>IF(AND(C551&lt;=F549,F549&gt;1,F549&lt;&gt;""),VLOOKUP(VALUE(E530&amp;","&amp;C551),INTEGRANTES!$D$19:$F$192,2,0),"")</f>
        <v/>
      </c>
      <c r="E551" s="107" t="str">
        <f>IF(D551&lt;&gt;"",VLOOKUP(VALUE(E530&amp;","&amp;C551),INTEGRANTES!$D$19:$F$192,3,0),"")</f>
        <v/>
      </c>
      <c r="F551" s="380" t="str">
        <f>IF(D551="","",IF(OR(SUMIF($J537:$J543,D551,$O537:$O543)=0,N551="NO"),"NO APORTA",SUMIF($J537:$J543,D551,$O537:$O543)))</f>
        <v/>
      </c>
      <c r="G551" s="380" t="str">
        <f>IF($D551="","",IF($F549&lt;=1,"",ROUND(POSMMLV*PORPO,2)))</f>
        <v/>
      </c>
      <c r="H551" s="765" t="str">
        <f>IF($D551="","",IF(OR(F551="NO APORTA",G551&gt;F551),"NO CUMPLE","CUMPLE"))</f>
        <v/>
      </c>
      <c r="I551" s="766"/>
      <c r="J551" s="108" t="str">
        <f>IF(D551="","",IF(OR(AND(SUMIF($J534:$J543,D551,$O534:$O543)&gt;=5%*POSMMLV,N551="SI"),AND(SUMIF($J534:$J543,D551,$O534:$O543)=0,E551&lt;=5%,N551="SI")),"CUMPLE","NO CUMPLE"))</f>
        <v/>
      </c>
      <c r="K551" s="105" t="str">
        <f>IF(OR(D551="",J551=""),"",IF(AND(J551="NO CUMPLE",F551="NO APORTA",E551&gt;5%),"EXP = 0 y PART &gt; 5%",IF(F551&lt;5%*Q556,"EXP &lt; 5%*PO","")))</f>
        <v/>
      </c>
      <c r="L551" s="389" t="str">
        <f>IF(OR(D551="",E551=""),"",IF(AND(E551&gt;=0.25,F551&lt;&gt;"NO APORTA",F551&gt;=$R556*0.25),"SI","NO"))</f>
        <v/>
      </c>
      <c r="M551" s="389"/>
      <c r="N551" s="468" t="s">
        <v>385</v>
      </c>
      <c r="O551" s="396">
        <f>COUNTIFS(O534:O543,"&gt;0",H534:H543,"SI")</f>
        <v>1</v>
      </c>
      <c r="P551" s="814" t="s">
        <v>139</v>
      </c>
      <c r="Q551" s="814"/>
      <c r="R551" s="817">
        <f>E530</f>
        <v>18</v>
      </c>
      <c r="S551" s="818"/>
      <c r="T551" s="784" t="s">
        <v>412</v>
      </c>
      <c r="U551" s="773"/>
      <c r="V551" s="774"/>
      <c r="W551" s="283"/>
      <c r="X551" s="542" t="str">
        <f>IF($F549=1,"NO APLICA",$D551)</f>
        <v>NO APLICA</v>
      </c>
      <c r="Y551" s="543" t="str">
        <f>IF(OR($F551="",$F551="NO APORTA",$R556=0,$X551="NO APLICA"),"",ROUND($F551/$Q556,2))</f>
        <v/>
      </c>
      <c r="Z551" s="544" t="str">
        <f>IF(Y557=1,"SI APLICA",IF(OR($X551="",$X551="NO APLICA",$F551="",$F551="NO APORTA"),"",IF(ROUND($F551/Q556,7)&gt;=0.4,"SI APLICA","NO APLICA")))</f>
        <v>SI APLICA</v>
      </c>
      <c r="AA551" s="543" t="s">
        <v>413</v>
      </c>
      <c r="AB551" s="540" t="str">
        <f>IF(COUNTIF(Z551:AA551,"SI APLICA")=2,"SI APLICA","")</f>
        <v>SI APLICA</v>
      </c>
      <c r="AC551" s="28"/>
    </row>
    <row r="552" spans="1:29" s="30" customFormat="1" ht="15.75" customHeight="1" thickBot="1">
      <c r="A552" s="112" t="str">
        <f>"O"&amp;E530</f>
        <v>O18</v>
      </c>
      <c r="B552" s="791"/>
      <c r="C552" s="54">
        <v>2</v>
      </c>
      <c r="D552" s="100" t="str">
        <f>IF(AND(C552&lt;=F549,F549&lt;&gt;""),VLOOKUP(VALUE(E530&amp;","&amp;C552),INTEGRANTES!$D$19:$F$192,2,0),"")</f>
        <v/>
      </c>
      <c r="E552" s="107" t="str">
        <f>IF(D552&lt;&gt;"",VLOOKUP(VALUE(E530&amp;","&amp;C552),INTEGRANTES!$D$19:$F$192,3,0),"")</f>
        <v/>
      </c>
      <c r="F552" s="380" t="str">
        <f>IF(D552="","",IF(OR(SUMIF($J537:$J543,D552,$O537:$O543)=0,N552="NO"),"NO APORTA",SUMIF($J537:$J543,D552,$O537:$O543)))</f>
        <v/>
      </c>
      <c r="G552" s="380" t="str">
        <f>IF($D552="","",IF($F549&lt;=1,"",ROUND(POSMMLV*PORPO,2)))</f>
        <v/>
      </c>
      <c r="H552" s="765" t="str">
        <f t="shared" ref="H552:H555" si="106">IF($D552="","",IF(OR(F552="NO APORTA",G552&gt;F552),"NO CUMPLE","CUMPLE"))</f>
        <v/>
      </c>
      <c r="I552" s="766"/>
      <c r="J552" s="108" t="str">
        <f>IF(D552="","",IF(OR(AND(SUMIF($J534:$J543,D552,$O534:$O543)&gt;=5%*POSMMLV,N552="SI"),AND(SUMIF($J534:$J543,D552,$O534:$O543)=0,E552&lt;=5%,N552="SI")),"CUMPLE","NO CUMPLE"))</f>
        <v/>
      </c>
      <c r="K552" s="105" t="str">
        <f>IF(OR(D552="",J552=""),"",IF(AND(J552="NO CUMPLE",F552="NO APORTA",E552&gt;5%),"EXP = 0 y PART &gt; 5%",IF(F552&lt;5%*Q556,"EXP &lt; 5%*PO","")))</f>
        <v/>
      </c>
      <c r="L552" s="389" t="str">
        <f>IF(OR(D552="",E552=""),"",IF(AND(E552&gt;=0.25,F552&lt;&gt;"NO APORTA",F552&gt;=$R556*0.25),"SI","NO"))</f>
        <v/>
      </c>
      <c r="M552" s="389"/>
      <c r="N552" s="468" t="s">
        <v>385</v>
      </c>
      <c r="O552" s="396"/>
      <c r="P552" s="815"/>
      <c r="Q552" s="815"/>
      <c r="R552" s="815"/>
      <c r="S552" s="819"/>
      <c r="T552" s="785"/>
      <c r="U552" s="786"/>
      <c r="V552" s="787"/>
      <c r="W552" s="283"/>
      <c r="X552" s="542" t="str">
        <f>IF($F549=1,"NO APLICA",$D552)</f>
        <v>NO APLICA</v>
      </c>
      <c r="Y552" s="543" t="str">
        <f>IF(OR($F552="",$F552="NO APORTA",$R556=0,$X552="NO APLICA"),"",ROUND($F552/$Q556,2))</f>
        <v/>
      </c>
      <c r="Z552" s="544"/>
      <c r="AA552" s="543"/>
      <c r="AB552" s="540" t="str">
        <f t="shared" ref="AB552" si="107">IF(COUNTIF(Z552:AA552,"SI APLICA")=2,"SI APLICA","")</f>
        <v/>
      </c>
      <c r="AC552" s="28"/>
    </row>
    <row r="553" spans="1:29" s="30" customFormat="1" ht="15.75" customHeight="1">
      <c r="A553" s="112" t="str">
        <f>"P"&amp;E530</f>
        <v>P18</v>
      </c>
      <c r="B553" s="791"/>
      <c r="C553" s="54">
        <v>3</v>
      </c>
      <c r="D553" s="100" t="str">
        <f>IF(AND(C553&lt;=F549,F549&lt;&gt;""),VLOOKUP(VALUE(E530&amp;","&amp;C553),INTEGRANTES!$D$19:$F$192,2,0),"")</f>
        <v/>
      </c>
      <c r="E553" s="107" t="str">
        <f>IF(D553&lt;&gt;"",VLOOKUP(VALUE(E530&amp;","&amp;C553),INTEGRANTES!$D$19:$F$192,3,0),"")</f>
        <v/>
      </c>
      <c r="F553" s="380" t="str">
        <f>IF(D553="","",IF(OR(SUMIF($J537:$J543,D553,$O537:$O543)=0,N553="NO"),"NO APORTA",SUMIF($J537:$J543,D553,$O537:$O543)))</f>
        <v/>
      </c>
      <c r="G553" s="380" t="str">
        <f>IF($D553="","",IF($F549&lt;=1,"",ROUND(POSMMLV*PORPO,2)))</f>
        <v/>
      </c>
      <c r="H553" s="765" t="str">
        <f t="shared" si="106"/>
        <v/>
      </c>
      <c r="I553" s="766"/>
      <c r="J553" s="108" t="str">
        <f>IF(D553="","",IF(OR(AND(SUMIF($J534:$J543,D553,$O534:$O543)&gt;=5%*POSMMLV,N553="SI"),AND(SUMIF($J534:$J543,D553,$O534:$O543)=0,E553&lt;=5%,N553="SI")),"CUMPLE","NO CUMPLE"))</f>
        <v/>
      </c>
      <c r="K553" s="105" t="str">
        <f>IF(OR(D553="",J553=""),"",IF(AND(J553="NO CUMPLE",F553="NO APORTA",E553&gt;5%),"EXP = 0 y PART &gt; 5%",IF(F553&lt;5%*Q556,"EXP &lt; 5%*PO","")))</f>
        <v/>
      </c>
      <c r="L553" s="389" t="str">
        <f>IF(OR(D553="",E553=""),"",IF(AND(E553&gt;=0.25,F553&lt;&gt;"NO APORTA",F553&gt;=$R556*0.25),"SI","NO"))</f>
        <v/>
      </c>
      <c r="M553" s="389"/>
      <c r="N553" s="468"/>
      <c r="O553" s="397"/>
      <c r="P553" s="816"/>
      <c r="Q553" s="816"/>
      <c r="R553" s="816"/>
      <c r="S553" s="820"/>
      <c r="T553" s="308"/>
      <c r="U553" s="308"/>
      <c r="V553" s="309"/>
      <c r="W553" s="284"/>
      <c r="X553" s="542" t="str">
        <f>IF($F549=1,"NO APLICA",$D553)</f>
        <v>NO APLICA</v>
      </c>
      <c r="Y553" s="543" t="str">
        <f>IF(OR($F553="",$F553="NO APORTA",$R556=0,$X553="NO APLICA"),"",ROUND($F553/$Q556,2))</f>
        <v/>
      </c>
      <c r="Z553" s="544"/>
      <c r="AA553" s="543"/>
      <c r="AB553" s="540" t="str">
        <f>IF(COUNTIF(Z553:AA553,"SI APLICA")=2,"SI APLICA","")</f>
        <v/>
      </c>
      <c r="AC553" s="28"/>
    </row>
    <row r="554" spans="1:29" s="30" customFormat="1" ht="15.75" customHeight="1">
      <c r="A554" s="112" t="str">
        <f>"Q"&amp;E530</f>
        <v>Q18</v>
      </c>
      <c r="B554" s="791"/>
      <c r="C554" s="54">
        <v>4</v>
      </c>
      <c r="D554" s="100" t="str">
        <f>IF(AND(C554&lt;=F549,F549&lt;&gt;""),VLOOKUP(VALUE(E530&amp;","&amp;C554),INTEGRANTES!$D$19:$F$192,2,0),"")</f>
        <v/>
      </c>
      <c r="E554" s="107" t="str">
        <f>IF(D554&lt;&gt;"",VLOOKUP(VALUE(E530&amp;","&amp;C554),INTEGRANTES!$D$19:$F$192,3,0),"")</f>
        <v/>
      </c>
      <c r="F554" s="380" t="str">
        <f>IF(D554="","",IF(OR(SUMIF($J537:$J543,D554,$O537:$O543)=0,N554="NO"),"NO APORTA",SUMIF($J537:$J543,D554,$O537:$O543)))</f>
        <v/>
      </c>
      <c r="G554" s="380" t="str">
        <f>IF($D554="","",IF($F549&lt;=1,"",ROUND(POSMMLV*PORPO,2)))</f>
        <v/>
      </c>
      <c r="H554" s="765" t="str">
        <f t="shared" si="106"/>
        <v/>
      </c>
      <c r="I554" s="766"/>
      <c r="J554" s="108" t="str">
        <f>IF(D554="","",IF(OR(AND(SUMIF($J534:$J543,D554,$O534:$O543)&gt;=5%*POSMMLV,N554="SI"),AND(SUMIF($J534:$J543,D554,$O534:$O543)=0,E554&lt;=5%,N554="SI")),"CUMPLE","NO CUMPLE"))</f>
        <v/>
      </c>
      <c r="K554" s="105" t="str">
        <f>IF(OR(D554="",J554=""),"",IF(AND(J554="NO CUMPLE",F554="NO APORTA",E554&gt;5%),"EXP = 0 y PART &gt; 5%",IF(F554&lt;5%*Q556,"EXP &lt; 5%*PO","")))</f>
        <v/>
      </c>
      <c r="L554" s="389" t="str">
        <f>IF(OR(D554="",E554=""),"",IF(AND(E554&gt;=0.25,F554&lt;&gt;"NO APORTA",F554&gt;=$R556*0.25),"SI","NO"))</f>
        <v/>
      </c>
      <c r="M554" s="389"/>
      <c r="N554" s="468"/>
      <c r="O554" s="788" t="s">
        <v>414</v>
      </c>
      <c r="P554" s="769" t="s">
        <v>415</v>
      </c>
      <c r="Q554" s="770"/>
      <c r="R554" s="770"/>
      <c r="S554" s="771"/>
      <c r="T554" s="284"/>
      <c r="U554" s="284"/>
      <c r="V554" s="310"/>
      <c r="W554" s="284"/>
      <c r="X554" s="542" t="str">
        <f>IF($F549=1,"NO APLICA",$D554)</f>
        <v>NO APLICA</v>
      </c>
      <c r="Y554" s="543" t="str">
        <f>IF(OR($F554="",$F554="NO APORTA",$R556=0,$X554="NO APLICA"),"",ROUND($F554/$Q556,2))</f>
        <v/>
      </c>
      <c r="Z554" s="544"/>
      <c r="AA554" s="543"/>
      <c r="AB554" s="540" t="str">
        <f t="shared" ref="AB554:AB555" si="108">IF(COUNTIF(Z554:AA554,"SI APLICA")=2,"SI APLICA","")</f>
        <v/>
      </c>
      <c r="AC554" s="28"/>
    </row>
    <row r="555" spans="1:29" s="30" customFormat="1" ht="17.25" customHeight="1">
      <c r="A555" s="112" t="str">
        <f>"R"&amp;E530</f>
        <v>R18</v>
      </c>
      <c r="B555" s="791"/>
      <c r="C555" s="54">
        <v>5</v>
      </c>
      <c r="D555" s="100" t="str">
        <f>IF(AND(C555&lt;=F549,F549&lt;&gt;""),VLOOKUP(VALUE(E530&amp;","&amp;C555),INTEGRANTES!$D$19:$F$192,2,0),"")</f>
        <v/>
      </c>
      <c r="E555" s="107" t="str">
        <f>IF(D555&lt;&gt;"",VLOOKUP(VALUE(E530&amp;","&amp;C555),INTEGRANTES!$D$19:$F$192,3,0),"")</f>
        <v/>
      </c>
      <c r="F555" s="380" t="str">
        <f>IF(D555="","",IF(OR(SUMIF($J537:$J543,D555,$O537:$O543)=0,N555="NO"),"NO APORTA",SUMIF($J537:$J543,D555,$O537:$O543)))</f>
        <v/>
      </c>
      <c r="G555" s="380" t="str">
        <f>IF($D555="","",IF($F549&lt;=1,"",ROUND(POSMMLV*PORPO,2)))</f>
        <v/>
      </c>
      <c r="H555" s="765" t="str">
        <f t="shared" si="106"/>
        <v/>
      </c>
      <c r="I555" s="766"/>
      <c r="J555" s="108" t="str">
        <f>IF(D555="","",IF(OR(AND(SUMIF($J534:$J543,D555,$O534:$O543)&gt;=5%*POSMMLV,N555="SI"),AND(SUMIF($J534:$J543,D555,$O534:$O543)=0,E555&lt;=5%,N555="SI")),"CUMPLE","NO CUMPLE"))</f>
        <v/>
      </c>
      <c r="K555" s="105" t="str">
        <f>IF(OR(D555="",J555=""),"",IF(AND(J555="NO CUMPLE",F555="NO APORTA",E555&gt;5%),"EXP = 0 y PART &gt; 5%",IF(F555&lt;5%*Q556,"EXP &lt; 5%*PO","")))</f>
        <v/>
      </c>
      <c r="L555" s="389" t="str">
        <f>IF(OR(D555="",E555=""),"",IF(AND(E555&gt;=0.25,F555&lt;&gt;"NO APORTA",F555&gt;=$R556*0.25),"SI","NO"))</f>
        <v/>
      </c>
      <c r="M555" s="389"/>
      <c r="N555" s="468"/>
      <c r="O555" s="789"/>
      <c r="P555" s="504" t="s">
        <v>416</v>
      </c>
      <c r="Q555" s="504" t="s">
        <v>417</v>
      </c>
      <c r="R555" s="793" t="s">
        <v>418</v>
      </c>
      <c r="S555" s="793"/>
      <c r="T555" s="284"/>
      <c r="U555" s="284"/>
      <c r="V555" s="310"/>
      <c r="W555" s="284"/>
      <c r="X555" s="542" t="str">
        <f>IF($F549=1,"NO APLICA",$D555)</f>
        <v>NO APLICA</v>
      </c>
      <c r="Y555" s="543" t="str">
        <f>IF(OR($F555="",$F555="NO APORTA",$R556=0,$X555="NO APLICA"),"",ROUND($F555/$Q556,2))</f>
        <v/>
      </c>
      <c r="Z555" s="544"/>
      <c r="AA555" s="543"/>
      <c r="AB555" s="540" t="str">
        <f t="shared" si="108"/>
        <v/>
      </c>
      <c r="AC555" s="28"/>
    </row>
    <row r="556" spans="1:29" s="30" customFormat="1" ht="16.5" customHeight="1" thickBot="1">
      <c r="A556" s="112" t="str">
        <f>"S"&amp;E530</f>
        <v>S18</v>
      </c>
      <c r="B556" s="791"/>
      <c r="C556" s="109">
        <v>6</v>
      </c>
      <c r="D556" s="110" t="str">
        <f>IF(AND(C556&lt;=F549,F549&lt;&gt;""),VLOOKUP(VALUE(E530&amp;","&amp;C556),INTEGRANTES!$D$19:$F$192,2,0),"")</f>
        <v/>
      </c>
      <c r="E556" s="111" t="str">
        <f>IF(D556&lt;&gt;"",VLOOKUP(VALUE(E530&amp;","&amp;C556),INTEGRANTES!$D$19:$F$192,3,0),"")</f>
        <v/>
      </c>
      <c r="F556" s="380" t="str">
        <f>IF(D556="","",IF(OR(SUMIF($J537:$J543,D556,$O537:$O543)=0,N556="NO"),"NO APORTA",SUMIF($J537:$J543,D556,$O537:$O543)))</f>
        <v/>
      </c>
      <c r="G556" s="380" t="str">
        <f>IF($D556="","",IF($F549&lt;=1,"",ROUND(POSMMLV*PORPO,2)))</f>
        <v/>
      </c>
      <c r="H556" s="765" t="str">
        <f>IF($D556="","",IF(OR(F556="NO APORTA",G556&gt;F556),"NO CUMPLE","CUMPLE"))</f>
        <v/>
      </c>
      <c r="I556" s="766"/>
      <c r="J556" s="108" t="str">
        <f>IF(D556="","",IF(OR(AND(SUMIF($J534:$J543,D556,$O534:$O543)&gt;=5%*POSMMLV,N556="SI"),AND(SUMIF($J534:$J543,D556,$O534:$O543)=0,E556&lt;=5%,N556="SI")),"CUMPLE","NO CUMPLE"))</f>
        <v/>
      </c>
      <c r="K556" s="105" t="str">
        <f>IF(OR(D556="",J556=""),"",IF(AND(J556="NO CUMPLE",F556="NO APORTA",E556&gt;5%),"EXP = 0 y PART &gt; 5%",IF(F556&lt;5%*Q556,"EXP &lt; 5%*PO","")))</f>
        <v/>
      </c>
      <c r="L556" s="389" t="str">
        <f>IF(OR(D556="",E556=""),"",IF(AND(E556&gt;=0.25,F556&lt;&gt;"NO APORTA",F556&gt;=$R556*0.25),"SI","NO"))</f>
        <v/>
      </c>
      <c r="M556" s="389"/>
      <c r="N556" s="468"/>
      <c r="O556" s="403" t="str">
        <f ca="1">IF(R556&gt;=Q556,"CUMPLE","NO CUMPLE")</f>
        <v>CUMPLE</v>
      </c>
      <c r="P556" s="312">
        <f>NUMMOD</f>
        <v>1</v>
      </c>
      <c r="Q556" s="313">
        <f ca="1">IF(P556="","",ROUND(VLOOKUP(P556,PRESUPUESTOS!$B$16:$L$16,9,FALSE),7))</f>
        <v>300</v>
      </c>
      <c r="R556" s="834">
        <f>IF(OR(COUNTIF(O534:O543,"")&gt;9,S550&lt;NUMMINCONT),0,SUM(O534:O543))</f>
        <v>482.98</v>
      </c>
      <c r="S556" s="834"/>
      <c r="T556" s="284"/>
      <c r="U556" s="284"/>
      <c r="V556" s="310"/>
      <c r="W556" s="284"/>
      <c r="X556" s="545" t="str">
        <f>IF($F549=1,"NO APLICA",$D556)</f>
        <v>NO APLICA</v>
      </c>
      <c r="Y556" s="543" t="str">
        <f>IF(OR($F556="",$F556="NO APORTA",$R556=0,$X556="NO APLICA"),"",ROUND($F556/$Q556,2))</f>
        <v/>
      </c>
      <c r="Z556" s="544"/>
      <c r="AA556" s="546"/>
      <c r="AB556" s="540" t="str">
        <f>IF(COUNTIF(Z556:AA556,"SI APLICA")=2,"SI APLICA","")</f>
        <v/>
      </c>
      <c r="AC556" s="28"/>
    </row>
    <row r="557" spans="1:29" s="30" customFormat="1" ht="16.5" customHeight="1" thickBot="1">
      <c r="A557" s="112" t="str">
        <f>"T"&amp;E530</f>
        <v>T18</v>
      </c>
      <c r="B557" s="792"/>
      <c r="C557" s="821" t="s">
        <v>419</v>
      </c>
      <c r="D557" s="822"/>
      <c r="E557" s="822"/>
      <c r="F557" s="518"/>
      <c r="G557" s="519"/>
      <c r="H557" s="794" t="str">
        <f>IF(OR($F549="",SUM(E551:E556)=0),"",IF(COUNTIF(H551:H556,"CUMPLE")&gt;=1,"CUMPLE","NO CUMPLE"))</f>
        <v/>
      </c>
      <c r="I557" s="795"/>
      <c r="J557" s="314" t="str">
        <f>IF(COUNTIF(J551:J556,"")&gt;5,"",IF(COUNTIF(J551:J556,"NO CUMPLE")&gt;0,"NO CUMPLE","CUMPLE"))</f>
        <v/>
      </c>
      <c r="K557" s="314" t="str">
        <f>IF(OR(AND(F549=1,N551="SI"),AND(COUNTIF(H557:J557,"CUMPLE")=2)),"CUMPLE","NO CUMPLE")</f>
        <v>CUMPLE</v>
      </c>
      <c r="L557" s="519"/>
      <c r="M557" s="519"/>
      <c r="N557" s="519"/>
      <c r="O557" s="833" t="str">
        <f ca="1">IF(ISNUMBER(F530),"",IF(AND(O556="NO CUMPLE",SUM(N537:N543)&lt;Q556),"EL PROPONENTE SE DEBE REQUERIR POR EXPERIENCIA MINIMA EXIGIDA",""))</f>
        <v/>
      </c>
      <c r="P557" s="833"/>
      <c r="Q557" s="833"/>
      <c r="R557" s="833"/>
      <c r="S557" s="833"/>
      <c r="T557" s="522"/>
      <c r="U557" s="523"/>
      <c r="V557" s="524"/>
      <c r="W557" s="284"/>
      <c r="X557" s="364" t="str">
        <f>IF(Y557=1,"PROPONENTE INDIVIDUAL","PROPONENTE PLURAL")</f>
        <v>PROPONENTE INDIVIDUAL</v>
      </c>
      <c r="Y557" s="276">
        <f>F549</f>
        <v>1</v>
      </c>
      <c r="Z557" s="277" t="str">
        <f>IF(OR(AND(Z551="SI APLICA",AA551="SI APLICA"),AND(Z552="SI APLICA",AA552="SI APLICA"),AND(Z553="SI APLICA",AA553="SI APLICA"),AND(Z554="SI APLICA",AA554="SI APLICA"),AND(Z555="SI APLICA",AA555="SI APLICA"),AND(Z556="SI APLICA",AA556="SI APLICA")),"SI APLICA","NO APLICA")</f>
        <v>SI APLICA</v>
      </c>
      <c r="AA557" s="278" t="str">
        <f>IF(OR(AND(AA551="SI APLICA",AB551="SI APLICA"),AND(AA552="SI APLICA",AB552="SI APLICA"),AND(AA553="SI APLICA",AB553="SI APLICA"),AND(AA554="SI APLICA",AB554="SI APLICA"),AND(AA555="SI APLICA",AB555="SI APLICA"),AND(AA556="SI APLICA",AB556="SI APLICA")),"SI APLICA","NO APLICA")</f>
        <v>SI APLICA</v>
      </c>
      <c r="AB557" s="278" t="str">
        <f>IF(COUNTIF(AB551:AB556,"SI APLICA")&gt;0,"SI APLICA","NO APLICA")</f>
        <v>SI APLICA</v>
      </c>
      <c r="AC557" s="28"/>
    </row>
    <row r="558" spans="1:29" ht="24.95" customHeight="1"/>
    <row r="559" spans="1:29" ht="24.95" customHeight="1"/>
    <row r="560" spans="1:29" s="41" customFormat="1" ht="24" thickBot="1">
      <c r="A560" s="34">
        <v>19</v>
      </c>
      <c r="B560" s="828" t="s">
        <v>355</v>
      </c>
      <c r="C560" s="828"/>
      <c r="D560" s="828"/>
      <c r="E560" s="35">
        <f>VLOOKUP(A560,PROPONENTES!$B$19:$E$108,2,FALSE)</f>
        <v>19</v>
      </c>
      <c r="F560" s="36" t="str">
        <f>VLOOKUP(A560,PROPONENTES!$B$19:$E$108,3,FALSE)</f>
        <v>ELSA MARIA RUEDA LANDINEZ INGENIERIA SAS</v>
      </c>
      <c r="G560" s="37"/>
      <c r="H560" s="37"/>
      <c r="I560" s="36"/>
      <c r="J560" s="36"/>
      <c r="K560" s="36"/>
      <c r="L560" s="36"/>
      <c r="M560" s="38"/>
      <c r="N560" s="38"/>
      <c r="O560" s="37"/>
      <c r="P560" s="37"/>
      <c r="Q560" s="39"/>
      <c r="R560" s="39"/>
      <c r="S560" s="39"/>
      <c r="T560" s="39"/>
      <c r="U560" s="40"/>
      <c r="Y560" s="52"/>
      <c r="Z560" s="52"/>
      <c r="AA560" s="52"/>
      <c r="AB560" s="28"/>
      <c r="AC560" s="28"/>
    </row>
    <row r="561" spans="1:29" s="27" customFormat="1" ht="24.75" customHeight="1">
      <c r="A561" s="22"/>
      <c r="B561" s="829" t="s">
        <v>356</v>
      </c>
      <c r="C561" s="501" t="s">
        <v>357</v>
      </c>
      <c r="D561" s="502" t="s">
        <v>358</v>
      </c>
      <c r="E561" s="502"/>
      <c r="F561" s="502" t="s">
        <v>359</v>
      </c>
      <c r="G561" s="503"/>
      <c r="H561" s="803" t="s">
        <v>360</v>
      </c>
      <c r="I561" s="831" t="s">
        <v>361</v>
      </c>
      <c r="J561" s="803" t="s">
        <v>362</v>
      </c>
      <c r="K561" s="803" t="s">
        <v>363</v>
      </c>
      <c r="L561" s="803" t="s">
        <v>364</v>
      </c>
      <c r="M561" s="803" t="s">
        <v>365</v>
      </c>
      <c r="N561" s="804" t="s">
        <v>366</v>
      </c>
      <c r="O561" s="805"/>
      <c r="P561" s="806" t="s">
        <v>367</v>
      </c>
      <c r="Q561" s="807"/>
      <c r="R561" s="784" t="s">
        <v>368</v>
      </c>
      <c r="S561" s="774"/>
      <c r="T561" s="798" t="s">
        <v>369</v>
      </c>
      <c r="U561" s="799"/>
      <c r="V561" s="800"/>
      <c r="X561" s="520"/>
      <c r="Y561" s="520"/>
    </row>
    <row r="562" spans="1:29" s="27" customFormat="1" ht="94.5" customHeight="1">
      <c r="A562" s="22"/>
      <c r="B562" s="830"/>
      <c r="C562" s="504" t="s">
        <v>370</v>
      </c>
      <c r="D562" s="505" t="s">
        <v>41</v>
      </c>
      <c r="E562" s="505" t="s">
        <v>371</v>
      </c>
      <c r="F562" s="505" t="s">
        <v>372</v>
      </c>
      <c r="G562" s="506" t="s">
        <v>373</v>
      </c>
      <c r="H562" s="793"/>
      <c r="I562" s="832"/>
      <c r="J562" s="793"/>
      <c r="K562" s="793"/>
      <c r="L562" s="793"/>
      <c r="M562" s="793"/>
      <c r="N562" s="504" t="s">
        <v>374</v>
      </c>
      <c r="O562" s="505" t="s">
        <v>375</v>
      </c>
      <c r="P562" s="801"/>
      <c r="Q562" s="802"/>
      <c r="R562" s="796"/>
      <c r="S562" s="797"/>
      <c r="T562" s="507" t="s">
        <v>376</v>
      </c>
      <c r="U562" s="508" t="s">
        <v>377</v>
      </c>
      <c r="V562" s="509" t="s">
        <v>378</v>
      </c>
      <c r="X562" s="521" t="s">
        <v>379</v>
      </c>
      <c r="Y562" s="521" t="s">
        <v>380</v>
      </c>
    </row>
    <row r="563" spans="1:29" s="27" customFormat="1" ht="15" customHeight="1">
      <c r="A563" s="22"/>
      <c r="B563" s="594"/>
      <c r="C563" s="595">
        <v>3</v>
      </c>
      <c r="D563" s="595">
        <v>4</v>
      </c>
      <c r="E563" s="595">
        <v>5</v>
      </c>
      <c r="F563" s="595">
        <v>6</v>
      </c>
      <c r="G563" s="595">
        <v>7</v>
      </c>
      <c r="H563" s="595">
        <v>8</v>
      </c>
      <c r="I563" s="595">
        <v>9</v>
      </c>
      <c r="J563" s="595">
        <v>10</v>
      </c>
      <c r="K563" s="595">
        <v>11</v>
      </c>
      <c r="L563" s="595">
        <v>12</v>
      </c>
      <c r="M563" s="595">
        <v>13</v>
      </c>
      <c r="N563" s="595">
        <v>14</v>
      </c>
      <c r="O563" s="595">
        <v>15</v>
      </c>
      <c r="P563" s="596">
        <v>16</v>
      </c>
      <c r="Q563" s="597">
        <v>17</v>
      </c>
      <c r="R563" s="596">
        <v>18</v>
      </c>
      <c r="S563" s="597">
        <v>19</v>
      </c>
      <c r="T563" s="598">
        <v>20</v>
      </c>
      <c r="U563" s="255">
        <v>21</v>
      </c>
      <c r="V563" s="599">
        <v>22</v>
      </c>
      <c r="X563" s="589"/>
      <c r="Y563" s="590"/>
    </row>
    <row r="564" spans="1:29" s="44" customFormat="1" ht="58.5" customHeight="1">
      <c r="A564" s="42" t="str">
        <f>"A"&amp;E560</f>
        <v>A19</v>
      </c>
      <c r="B564" s="605">
        <f>IF(C564&lt;&gt;"",B563+1,"")</f>
        <v>1</v>
      </c>
      <c r="C564" s="581" t="s">
        <v>443</v>
      </c>
      <c r="D564" s="581" t="s">
        <v>540</v>
      </c>
      <c r="E564" s="581" t="s">
        <v>541</v>
      </c>
      <c r="F564" s="581" t="s">
        <v>384</v>
      </c>
      <c r="G564" s="534">
        <v>1</v>
      </c>
      <c r="H564" s="534" t="s">
        <v>385</v>
      </c>
      <c r="I564" s="579" t="s">
        <v>384</v>
      </c>
      <c r="J564" s="580" t="str">
        <f>IF(I564="","",IF(I564="I",$F560,VLOOKUP(I564,$C581:$D586,2,0)))</f>
        <v>ELSA MARIA RUEDA LANDINEZ INGENIERIA SAS</v>
      </c>
      <c r="K564" s="535">
        <v>37118</v>
      </c>
      <c r="L564" s="535">
        <v>37287</v>
      </c>
      <c r="M564" s="536">
        <v>527.45000000000005</v>
      </c>
      <c r="N564" s="232">
        <f t="shared" ref="N564:N573" si="109">IF(OR(G564="",M564=""),"",M564*G564)</f>
        <v>527.45000000000005</v>
      </c>
      <c r="O564" s="260">
        <f t="shared" ref="O564:O573" si="110">IF(OR(H564="",H564="NO",K564&lt;$Q$17,K564&gt;$R$17,K564="",M564="",N564=""),"",ROUND(N564,7))</f>
        <v>527.45000000000005</v>
      </c>
      <c r="P564" s="781"/>
      <c r="Q564" s="782"/>
      <c r="R564" s="767"/>
      <c r="S564" s="768"/>
      <c r="T564" s="538" t="s">
        <v>385</v>
      </c>
      <c r="U564" s="539">
        <v>2</v>
      </c>
      <c r="V564" s="540" t="s">
        <v>385</v>
      </c>
      <c r="X564" s="541" t="s">
        <v>449</v>
      </c>
      <c r="Y564" s="541" t="s">
        <v>387</v>
      </c>
    </row>
    <row r="565" spans="1:29" s="44" customFormat="1" ht="82.5" customHeight="1">
      <c r="A565" s="42" t="str">
        <f>"B"&amp;E560</f>
        <v>B19</v>
      </c>
      <c r="B565" s="605">
        <f t="shared" ref="B565:B573" si="111">IF(C565&lt;&gt;"",B564+1,"")</f>
        <v>2</v>
      </c>
      <c r="C565" s="581" t="s">
        <v>443</v>
      </c>
      <c r="D565" s="581" t="s">
        <v>542</v>
      </c>
      <c r="E565" s="581" t="s">
        <v>543</v>
      </c>
      <c r="F565" s="581" t="s">
        <v>384</v>
      </c>
      <c r="G565" s="534">
        <v>1</v>
      </c>
      <c r="H565" s="534" t="s">
        <v>385</v>
      </c>
      <c r="I565" s="579" t="s">
        <v>384</v>
      </c>
      <c r="J565" s="580" t="str">
        <f>IF(I565="","",IF(I565="I",$F560,VLOOKUP(I565,$C581:$D586,2,0)))</f>
        <v>ELSA MARIA RUEDA LANDINEZ INGENIERIA SAS</v>
      </c>
      <c r="K565" s="535">
        <v>39077</v>
      </c>
      <c r="L565" s="535">
        <v>39381</v>
      </c>
      <c r="M565" s="536">
        <v>637.04</v>
      </c>
      <c r="N565" s="232">
        <f t="shared" si="109"/>
        <v>637.04</v>
      </c>
      <c r="O565" s="260">
        <f t="shared" si="110"/>
        <v>637.04</v>
      </c>
      <c r="P565" s="781"/>
      <c r="Q565" s="782"/>
      <c r="R565" s="767"/>
      <c r="S565" s="768"/>
      <c r="T565" s="538" t="s">
        <v>385</v>
      </c>
      <c r="U565" s="539">
        <v>5</v>
      </c>
      <c r="V565" s="540" t="s">
        <v>385</v>
      </c>
      <c r="X565" s="541" t="s">
        <v>449</v>
      </c>
      <c r="Y565" s="541" t="s">
        <v>387</v>
      </c>
    </row>
    <row r="566" spans="1:29" s="44" customFormat="1" ht="87.75" customHeight="1">
      <c r="A566" s="42" t="str">
        <f>"C"&amp;E560</f>
        <v>C19</v>
      </c>
      <c r="B566" s="605">
        <f t="shared" si="111"/>
        <v>3</v>
      </c>
      <c r="C566" s="581" t="s">
        <v>544</v>
      </c>
      <c r="D566" s="581" t="s">
        <v>545</v>
      </c>
      <c r="E566" s="581" t="s">
        <v>546</v>
      </c>
      <c r="F566" s="581" t="s">
        <v>431</v>
      </c>
      <c r="G566" s="534">
        <v>0.5</v>
      </c>
      <c r="H566" s="534" t="s">
        <v>385</v>
      </c>
      <c r="I566" s="579" t="s">
        <v>384</v>
      </c>
      <c r="J566" s="580" t="str">
        <f>IF(I566="","",IF(I566="I",$F560,VLOOKUP(I566,$C581:$D586,2,0)))</f>
        <v>ELSA MARIA RUEDA LANDINEZ INGENIERIA SAS</v>
      </c>
      <c r="K566" s="535">
        <v>40443</v>
      </c>
      <c r="L566" s="535">
        <v>40926</v>
      </c>
      <c r="M566" s="536">
        <v>627.24</v>
      </c>
      <c r="N566" s="232">
        <f t="shared" si="109"/>
        <v>313.62</v>
      </c>
      <c r="O566" s="260">
        <f t="shared" si="110"/>
        <v>313.62</v>
      </c>
      <c r="P566" s="781"/>
      <c r="Q566" s="782"/>
      <c r="R566" s="767"/>
      <c r="S566" s="768"/>
      <c r="T566" s="538" t="s">
        <v>385</v>
      </c>
      <c r="U566" s="539">
        <v>6</v>
      </c>
      <c r="V566" s="540" t="s">
        <v>385</v>
      </c>
      <c r="X566" s="541" t="s">
        <v>423</v>
      </c>
      <c r="Y566" s="541" t="s">
        <v>435</v>
      </c>
    </row>
    <row r="567" spans="1:29" s="44" customFormat="1" ht="24.95" customHeight="1">
      <c r="A567" s="42" t="str">
        <f>"D"&amp;E560</f>
        <v>D19</v>
      </c>
      <c r="B567" s="605" t="str">
        <f t="shared" si="111"/>
        <v/>
      </c>
      <c r="C567" s="581"/>
      <c r="D567" s="581"/>
      <c r="E567" s="581"/>
      <c r="F567" s="581"/>
      <c r="G567" s="534"/>
      <c r="H567" s="534"/>
      <c r="I567" s="579"/>
      <c r="J567" s="580" t="str">
        <f>IF(I567="","",IF(I567="I",$F560,VLOOKUP(I567,$C581:$D586,2,0)))</f>
        <v/>
      </c>
      <c r="K567" s="535"/>
      <c r="L567" s="535"/>
      <c r="M567" s="536"/>
      <c r="N567" s="232" t="str">
        <f t="shared" si="109"/>
        <v/>
      </c>
      <c r="O567" s="260" t="str">
        <f t="shared" si="110"/>
        <v/>
      </c>
      <c r="P567" s="781"/>
      <c r="Q567" s="782"/>
      <c r="R567" s="767"/>
      <c r="S567" s="768"/>
      <c r="T567" s="538"/>
      <c r="U567" s="539"/>
      <c r="V567" s="540"/>
      <c r="X567" s="541"/>
      <c r="Y567" s="541"/>
    </row>
    <row r="568" spans="1:29" s="44" customFormat="1" ht="24.95" customHeight="1">
      <c r="A568" s="42" t="str">
        <f>"E"&amp;E560</f>
        <v>E19</v>
      </c>
      <c r="B568" s="605" t="str">
        <f t="shared" si="111"/>
        <v/>
      </c>
      <c r="C568" s="581"/>
      <c r="D568" s="581"/>
      <c r="E568" s="581"/>
      <c r="F568" s="581"/>
      <c r="G568" s="534"/>
      <c r="H568" s="534"/>
      <c r="I568" s="579"/>
      <c r="J568" s="580" t="str">
        <f>IF(I568="","",IF(I568="I",$F560,VLOOKUP(I568,$C581:$D586,2,0)))</f>
        <v/>
      </c>
      <c r="K568" s="535"/>
      <c r="L568" s="535"/>
      <c r="M568" s="536"/>
      <c r="N568" s="232" t="str">
        <f t="shared" si="109"/>
        <v/>
      </c>
      <c r="O568" s="260" t="str">
        <f t="shared" si="110"/>
        <v/>
      </c>
      <c r="P568" s="781"/>
      <c r="Q568" s="782"/>
      <c r="R568" s="767"/>
      <c r="S568" s="768"/>
      <c r="T568" s="538"/>
      <c r="U568" s="539"/>
      <c r="V568" s="540"/>
      <c r="X568" s="541"/>
      <c r="Y568" s="541"/>
    </row>
    <row r="569" spans="1:29" s="44" customFormat="1" ht="24.95" customHeight="1">
      <c r="A569" s="42" t="str">
        <f>"F"&amp;E560</f>
        <v>F19</v>
      </c>
      <c r="B569" s="605" t="str">
        <f t="shared" si="111"/>
        <v/>
      </c>
      <c r="C569" s="581"/>
      <c r="D569" s="581"/>
      <c r="E569" s="581"/>
      <c r="F569" s="581"/>
      <c r="G569" s="534"/>
      <c r="H569" s="534"/>
      <c r="I569" s="579"/>
      <c r="J569" s="580" t="str">
        <f>IF(I569="","",IF(I569="I",$F560,VLOOKUP(I569,$C581:$D586,2,0)))</f>
        <v/>
      </c>
      <c r="K569" s="535"/>
      <c r="L569" s="535"/>
      <c r="M569" s="536"/>
      <c r="N569" s="232" t="str">
        <f t="shared" si="109"/>
        <v/>
      </c>
      <c r="O569" s="260" t="str">
        <f t="shared" si="110"/>
        <v/>
      </c>
      <c r="P569" s="781"/>
      <c r="Q569" s="782"/>
      <c r="R569" s="767"/>
      <c r="S569" s="768"/>
      <c r="T569" s="538"/>
      <c r="U569" s="539"/>
      <c r="V569" s="540"/>
      <c r="X569" s="541"/>
      <c r="Y569" s="541"/>
    </row>
    <row r="570" spans="1:29" s="44" customFormat="1" ht="24.95" customHeight="1">
      <c r="A570" s="42" t="str">
        <f>"G"&amp;E560</f>
        <v>G19</v>
      </c>
      <c r="B570" s="605" t="str">
        <f t="shared" si="111"/>
        <v/>
      </c>
      <c r="C570" s="581"/>
      <c r="D570" s="581"/>
      <c r="E570" s="581"/>
      <c r="F570" s="581"/>
      <c r="G570" s="534"/>
      <c r="H570" s="534"/>
      <c r="I570" s="579"/>
      <c r="J570" s="580" t="str">
        <f>IF(I570="","",IF(I570="I",$F560,VLOOKUP(I570,$C581:$D586,2,0)))</f>
        <v/>
      </c>
      <c r="K570" s="535"/>
      <c r="L570" s="535"/>
      <c r="M570" s="536"/>
      <c r="N570" s="43" t="str">
        <f t="shared" si="109"/>
        <v/>
      </c>
      <c r="O570" s="260" t="str">
        <f t="shared" si="110"/>
        <v/>
      </c>
      <c r="P570" s="781"/>
      <c r="Q570" s="782"/>
      <c r="R570" s="767"/>
      <c r="S570" s="768"/>
      <c r="T570" s="538"/>
      <c r="U570" s="539"/>
      <c r="V570" s="540"/>
      <c r="X570" s="541"/>
      <c r="Y570" s="541"/>
    </row>
    <row r="571" spans="1:29" s="44" customFormat="1" ht="24.95" customHeight="1">
      <c r="A571" s="42" t="str">
        <f>"H"&amp;E560</f>
        <v>H19</v>
      </c>
      <c r="B571" s="605" t="str">
        <f t="shared" si="111"/>
        <v/>
      </c>
      <c r="C571" s="581"/>
      <c r="D571" s="581"/>
      <c r="E571" s="581"/>
      <c r="F571" s="581"/>
      <c r="G571" s="534"/>
      <c r="H571" s="534"/>
      <c r="I571" s="579"/>
      <c r="J571" s="580" t="str">
        <f>IF(I571="","",IF(I571="I",$F560,VLOOKUP(I571,$C581:$D586,2,0)))</f>
        <v/>
      </c>
      <c r="K571" s="535"/>
      <c r="L571" s="535"/>
      <c r="M571" s="537"/>
      <c r="N571" s="43" t="str">
        <f t="shared" si="109"/>
        <v/>
      </c>
      <c r="O571" s="260" t="str">
        <f t="shared" si="110"/>
        <v/>
      </c>
      <c r="P571" s="781"/>
      <c r="Q571" s="782"/>
      <c r="R571" s="767"/>
      <c r="S571" s="768"/>
      <c r="T571" s="538"/>
      <c r="U571" s="539"/>
      <c r="V571" s="540"/>
      <c r="X571" s="541"/>
      <c r="Y571" s="541"/>
    </row>
    <row r="572" spans="1:29" s="44" customFormat="1" ht="24.95" customHeight="1">
      <c r="A572" s="42" t="str">
        <f>"I"&amp;E560</f>
        <v>I19</v>
      </c>
      <c r="B572" s="605" t="str">
        <f t="shared" si="111"/>
        <v/>
      </c>
      <c r="C572" s="581"/>
      <c r="D572" s="581"/>
      <c r="E572" s="581"/>
      <c r="F572" s="581"/>
      <c r="G572" s="534"/>
      <c r="H572" s="534"/>
      <c r="I572" s="579"/>
      <c r="J572" s="580" t="str">
        <f>IF(I572="","",IF(I572="I",$F560,VLOOKUP(I572,$C581:$D586,2,0)))</f>
        <v/>
      </c>
      <c r="K572" s="535"/>
      <c r="L572" s="535"/>
      <c r="M572" s="537"/>
      <c r="N572" s="43" t="str">
        <f t="shared" si="109"/>
        <v/>
      </c>
      <c r="O572" s="260" t="str">
        <f t="shared" si="110"/>
        <v/>
      </c>
      <c r="P572" s="781"/>
      <c r="Q572" s="782"/>
      <c r="R572" s="767"/>
      <c r="S572" s="768"/>
      <c r="T572" s="538"/>
      <c r="U572" s="539"/>
      <c r="V572" s="540"/>
      <c r="X572" s="541"/>
      <c r="Y572" s="541"/>
    </row>
    <row r="573" spans="1:29" s="44" customFormat="1" ht="24.95" customHeight="1" thickBot="1">
      <c r="A573" s="42" t="str">
        <f>"J"&amp;E560</f>
        <v>J19</v>
      </c>
      <c r="B573" s="612" t="str">
        <f t="shared" si="111"/>
        <v/>
      </c>
      <c r="C573" s="582"/>
      <c r="D573" s="582"/>
      <c r="E573" s="582"/>
      <c r="F573" s="582"/>
      <c r="G573" s="583"/>
      <c r="H573" s="583"/>
      <c r="I573" s="584"/>
      <c r="J573" s="585" t="str">
        <f>IF(I573="","",IF(I573="I",$F560,VLOOKUP(I573,$C581:$D586,2,0)))</f>
        <v/>
      </c>
      <c r="K573" s="586"/>
      <c r="L573" s="586"/>
      <c r="M573" s="587"/>
      <c r="N573" s="43" t="str">
        <f t="shared" si="109"/>
        <v/>
      </c>
      <c r="O573" s="260" t="str">
        <f t="shared" si="110"/>
        <v/>
      </c>
      <c r="P573" s="781"/>
      <c r="Q573" s="782"/>
      <c r="R573" s="767"/>
      <c r="S573" s="768"/>
      <c r="T573" s="538"/>
      <c r="U573" s="539"/>
      <c r="V573" s="540"/>
      <c r="X573" s="541"/>
      <c r="Y573" s="541"/>
    </row>
    <row r="574" spans="1:29" s="27" customFormat="1" ht="12" customHeight="1" thickBot="1">
      <c r="A574" s="42"/>
      <c r="B574" s="45"/>
      <c r="C574" s="46"/>
      <c r="D574" s="46"/>
      <c r="E574" s="46"/>
      <c r="F574" s="46"/>
      <c r="G574" s="46"/>
      <c r="H574" s="606"/>
      <c r="I574" s="46"/>
      <c r="J574" s="46"/>
      <c r="K574" s="46"/>
      <c r="L574" s="46"/>
      <c r="M574" s="46"/>
      <c r="N574" s="46"/>
      <c r="O574" s="259"/>
      <c r="P574" s="46"/>
      <c r="Q574" s="46"/>
      <c r="R574" s="259"/>
      <c r="S574" s="46"/>
      <c r="T574" s="46"/>
      <c r="U574" s="47"/>
      <c r="V574" s="48"/>
      <c r="X574" s="592"/>
      <c r="Y574" s="593"/>
      <c r="AB574" s="378"/>
    </row>
    <row r="575" spans="1:29" s="27" customFormat="1" ht="17.25" customHeight="1" thickBot="1">
      <c r="A575" s="42" t="str">
        <f>"Z"&amp;E560</f>
        <v>Z19</v>
      </c>
      <c r="B575" s="510"/>
      <c r="C575" s="511"/>
      <c r="D575" s="511"/>
      <c r="E575" s="511"/>
      <c r="F575" s="511"/>
      <c r="G575" s="511"/>
      <c r="H575" s="511"/>
      <c r="I575" s="511"/>
      <c r="J575" s="511"/>
      <c r="K575" s="511"/>
      <c r="L575" s="511"/>
      <c r="M575" s="511"/>
      <c r="N575" s="437" t="s">
        <v>388</v>
      </c>
      <c r="O575" s="438">
        <f>IF(COUNTIF(O564:O573,"")&gt;9,0,SUM(O564:O573)/(COUNTIF(H564:H573,"SI")))</f>
        <v>492.70333333333338</v>
      </c>
      <c r="P575" s="511"/>
      <c r="Q575" s="511"/>
      <c r="R575" s="530"/>
      <c r="S575" s="530"/>
      <c r="T575" s="531"/>
      <c r="U575" s="532"/>
      <c r="V575" s="533"/>
      <c r="W575" s="285"/>
      <c r="X575" s="613" t="e">
        <f>COUNTIF(#REF!,"")-COUNTIF(#REF!,"CUMPLE")-1</f>
        <v>#REF!</v>
      </c>
      <c r="Y575" s="591"/>
      <c r="AB575" s="28"/>
    </row>
    <row r="576" spans="1:29" ht="17.25" customHeight="1">
      <c r="B576" s="50"/>
      <c r="C576" s="50"/>
      <c r="D576" s="50"/>
      <c r="E576" s="50"/>
      <c r="F576" s="50"/>
      <c r="G576" s="51"/>
      <c r="H576" s="51"/>
      <c r="I576" s="51"/>
      <c r="J576" s="51"/>
      <c r="K576" s="51"/>
      <c r="L576" s="51"/>
      <c r="M576" s="51"/>
      <c r="N576" s="51"/>
      <c r="O576" s="51"/>
      <c r="P576" s="51"/>
      <c r="Q576" s="51"/>
      <c r="R576" s="51"/>
      <c r="S576" s="51"/>
      <c r="T576" s="51"/>
      <c r="U576" s="51"/>
      <c r="V576" s="51"/>
      <c r="W576" s="51"/>
      <c r="X576" s="608"/>
      <c r="Y576" s="51"/>
      <c r="Z576" s="51"/>
      <c r="AA576" s="51"/>
      <c r="AB576" s="51"/>
      <c r="AC576" s="50"/>
    </row>
    <row r="577" spans="1:29" s="27" customFormat="1" ht="16.5" customHeight="1" thickBot="1">
      <c r="A577" s="22"/>
      <c r="B577" s="783" t="s">
        <v>389</v>
      </c>
      <c r="C577" s="783"/>
      <c r="D577" s="783"/>
      <c r="E577" s="783"/>
      <c r="F577" s="783"/>
      <c r="G577" s="783"/>
      <c r="H577" s="783"/>
      <c r="I577" s="783"/>
      <c r="J577" s="783"/>
      <c r="K577" s="783"/>
      <c r="L577" s="783"/>
      <c r="M577" s="783"/>
      <c r="N577" s="783"/>
      <c r="O577" s="783"/>
      <c r="P577" s="783"/>
      <c r="Q577" s="783"/>
      <c r="R577" s="783"/>
      <c r="S577" s="783"/>
      <c r="T577" s="783"/>
      <c r="U577" s="783"/>
      <c r="V577" s="783"/>
      <c r="W577" s="286"/>
      <c r="X577" s="607"/>
      <c r="Y577" s="52"/>
      <c r="Z577" s="52"/>
      <c r="AA577" s="52"/>
      <c r="AB577" s="28"/>
      <c r="AC577" s="28"/>
    </row>
    <row r="578" spans="1:29" s="30" customFormat="1" ht="22.5" customHeight="1">
      <c r="A578" s="112" t="str">
        <f>"K"&amp;E560</f>
        <v>K19</v>
      </c>
      <c r="B578" s="790" t="s">
        <v>390</v>
      </c>
      <c r="C578" s="772" t="s">
        <v>391</v>
      </c>
      <c r="D578" s="773"/>
      <c r="E578" s="773"/>
      <c r="F578" s="773"/>
      <c r="G578" s="773"/>
      <c r="H578" s="773"/>
      <c r="I578" s="773"/>
      <c r="J578" s="773"/>
      <c r="K578" s="773"/>
      <c r="L578" s="773"/>
      <c r="M578" s="774"/>
      <c r="N578" s="525"/>
      <c r="O578" s="588"/>
      <c r="P578" s="772" t="s">
        <v>392</v>
      </c>
      <c r="Q578" s="773"/>
      <c r="R578" s="773"/>
      <c r="S578" s="774"/>
      <c r="T578" s="784" t="s">
        <v>393</v>
      </c>
      <c r="U578" s="774"/>
      <c r="V578" s="811"/>
      <c r="W578" s="284"/>
      <c r="X578" s="778" t="s">
        <v>394</v>
      </c>
      <c r="Y578" s="779"/>
      <c r="Z578" s="779"/>
      <c r="AA578" s="779" t="s">
        <v>395</v>
      </c>
      <c r="AB578" s="808" t="s">
        <v>396</v>
      </c>
      <c r="AC578" s="28"/>
    </row>
    <row r="579" spans="1:29" s="30" customFormat="1" ht="22.5" customHeight="1">
      <c r="A579" s="112" t="str">
        <f>"L"&amp;E560</f>
        <v>L19</v>
      </c>
      <c r="B579" s="791"/>
      <c r="C579" s="769" t="s">
        <v>397</v>
      </c>
      <c r="D579" s="770"/>
      <c r="E579" s="771"/>
      <c r="F579" s="512">
        <f>IF(VLOOKUP(E560,PROPONENTES!$C$19:$E$108,3,0)="","",VLOOKUP(E560,PROPONENTES!$C$19:$E$108,3,0))</f>
        <v>1</v>
      </c>
      <c r="G579" s="824" t="s">
        <v>398</v>
      </c>
      <c r="H579" s="793" t="s">
        <v>399</v>
      </c>
      <c r="I579" s="793"/>
      <c r="J579" s="769" t="s">
        <v>400</v>
      </c>
      <c r="K579" s="823"/>
      <c r="L579" s="513" t="s">
        <v>401</v>
      </c>
      <c r="M579" s="513"/>
      <c r="N579" s="526"/>
      <c r="O579" s="527"/>
      <c r="P579" s="775"/>
      <c r="Q579" s="776"/>
      <c r="R579" s="776"/>
      <c r="S579" s="777"/>
      <c r="T579" s="796"/>
      <c r="U579" s="797"/>
      <c r="V579" s="812"/>
      <c r="W579" s="284"/>
      <c r="X579" s="780" t="s">
        <v>402</v>
      </c>
      <c r="Y579" s="810" t="s">
        <v>403</v>
      </c>
      <c r="Z579" s="810"/>
      <c r="AA579" s="810"/>
      <c r="AB579" s="809"/>
      <c r="AC579" s="28"/>
    </row>
    <row r="580" spans="1:29" s="30" customFormat="1" ht="51.75" customHeight="1" thickBot="1">
      <c r="A580" s="112" t="str">
        <f>"M"&amp;E560</f>
        <v>M19</v>
      </c>
      <c r="B580" s="791"/>
      <c r="C580" s="770" t="s">
        <v>404</v>
      </c>
      <c r="D580" s="771"/>
      <c r="E580" s="514" t="s">
        <v>405</v>
      </c>
      <c r="F580" s="515" t="s">
        <v>406</v>
      </c>
      <c r="G580" s="824"/>
      <c r="H580" s="793"/>
      <c r="I580" s="793"/>
      <c r="J580" s="504" t="s">
        <v>407</v>
      </c>
      <c r="K580" s="516" t="s">
        <v>408</v>
      </c>
      <c r="L580" s="517" t="s">
        <v>409</v>
      </c>
      <c r="M580" s="517"/>
      <c r="N580" s="528" t="s">
        <v>410</v>
      </c>
      <c r="O580" s="529"/>
      <c r="P580" s="386"/>
      <c r="Q580" s="387" t="s">
        <v>411</v>
      </c>
      <c r="R580" s="388"/>
      <c r="S580" s="113">
        <f>COUNTIFS(H564:H573,"SI",O564:O573,"&gt;0")</f>
        <v>3</v>
      </c>
      <c r="T580" s="785"/>
      <c r="U580" s="787"/>
      <c r="V580" s="813"/>
      <c r="W580" s="284"/>
      <c r="X580" s="780"/>
      <c r="Y580" s="810"/>
      <c r="Z580" s="810"/>
      <c r="AA580" s="810"/>
      <c r="AB580" s="809"/>
      <c r="AC580" s="28"/>
    </row>
    <row r="581" spans="1:29" s="30" customFormat="1" ht="15.75" customHeight="1">
      <c r="A581" s="112" t="str">
        <f>"N"&amp;E560</f>
        <v>N19</v>
      </c>
      <c r="B581" s="791"/>
      <c r="C581" s="54">
        <v>1</v>
      </c>
      <c r="D581" s="100" t="str">
        <f>IF(AND(C581&lt;=F579,F579&gt;1,F579&lt;&gt;""),VLOOKUP(VALUE(E560&amp;","&amp;C581),INTEGRANTES!$D$19:$F$192,2,0),"")</f>
        <v/>
      </c>
      <c r="E581" s="107" t="str">
        <f>IF(D581&lt;&gt;"",VLOOKUP(VALUE(E560&amp;","&amp;C581),INTEGRANTES!$D$19:$F$192,3,0),"")</f>
        <v/>
      </c>
      <c r="F581" s="380" t="str">
        <f>IF(D581="","",IF(OR(SUMIF($J567:$J573,D581,$O567:$O573)=0,N581="NO"),"NO APORTA",SUMIF($J567:$J573,D581,$O567:$O573)))</f>
        <v/>
      </c>
      <c r="G581" s="380" t="str">
        <f>IF($D581="","",IF($F579&lt;=1,"",ROUND(POSMMLV*PORPO,2)))</f>
        <v/>
      </c>
      <c r="H581" s="765" t="str">
        <f>IF($D581="","",IF(OR(F581="NO APORTA",G581&gt;F581),"NO CUMPLE","CUMPLE"))</f>
        <v/>
      </c>
      <c r="I581" s="766"/>
      <c r="J581" s="108" t="str">
        <f>IF(D581="","",IF(OR(AND(SUMIF($J564:$J573,D581,$O564:$O573)&gt;=5%*POSMMLV,N581="SI"),AND(SUMIF($J564:$J573,D581,$O564:$O573)=0,E581&lt;=5%,N581="SI")),"CUMPLE","NO CUMPLE"))</f>
        <v/>
      </c>
      <c r="K581" s="105" t="str">
        <f>IF(OR(D581="",J581=""),"",IF(AND(J581="NO CUMPLE",F581="NO APORTA",E581&gt;5%),"EXP = 0 y PART &gt; 5%",IF(F581&lt;5%*Q586,"EXP &lt; 5%*PO","")))</f>
        <v/>
      </c>
      <c r="L581" s="389" t="str">
        <f>IF(OR(D581="",E581=""),"",IF(AND(E581&gt;=0.25,F581&lt;&gt;"NO APORTA",F581&gt;=$R586*0.25),"SI","NO"))</f>
        <v/>
      </c>
      <c r="M581" s="389"/>
      <c r="N581" s="468" t="s">
        <v>385</v>
      </c>
      <c r="O581" s="396">
        <f>COUNTIFS(O564:O573,"&gt;0",H564:H573,"SI")</f>
        <v>3</v>
      </c>
      <c r="P581" s="814" t="s">
        <v>139</v>
      </c>
      <c r="Q581" s="814"/>
      <c r="R581" s="817">
        <f>E560</f>
        <v>19</v>
      </c>
      <c r="S581" s="818"/>
      <c r="T581" s="784" t="s">
        <v>412</v>
      </c>
      <c r="U581" s="773"/>
      <c r="V581" s="774"/>
      <c r="W581" s="283"/>
      <c r="X581" s="542" t="str">
        <f>IF($F579=1,"NO APLICA",$D581)</f>
        <v>NO APLICA</v>
      </c>
      <c r="Y581" s="543" t="str">
        <f>IF(OR($F581="",$F581="NO APORTA",$R586=0,$X581="NO APLICA"),"",ROUND($F581/$Q586,2))</f>
        <v/>
      </c>
      <c r="Z581" s="544" t="str">
        <f>IF(Y587=1,"SI APLICA",IF(OR($X581="",$X581="NO APLICA",$F581="",$F581="NO APORTA"),"",IF(ROUND($F581/Q586,7)&gt;=0.4,"SI APLICA","NO APLICA")))</f>
        <v>SI APLICA</v>
      </c>
      <c r="AA581" s="543" t="s">
        <v>413</v>
      </c>
      <c r="AB581" s="540" t="str">
        <f>IF(COUNTIF(Z581:AA581,"SI APLICA")=2,"SI APLICA","")</f>
        <v>SI APLICA</v>
      </c>
      <c r="AC581" s="28"/>
    </row>
    <row r="582" spans="1:29" s="30" customFormat="1" ht="15.75" customHeight="1" thickBot="1">
      <c r="A582" s="112" t="str">
        <f>"O"&amp;E560</f>
        <v>O19</v>
      </c>
      <c r="B582" s="791"/>
      <c r="C582" s="54">
        <v>2</v>
      </c>
      <c r="D582" s="100" t="str">
        <f>IF(AND(C582&lt;=F579,F579&lt;&gt;""),VLOOKUP(VALUE(E560&amp;","&amp;C582),INTEGRANTES!$D$19:$F$192,2,0),"")</f>
        <v/>
      </c>
      <c r="E582" s="107" t="str">
        <f>IF(D582&lt;&gt;"",VLOOKUP(VALUE(E560&amp;","&amp;C582),INTEGRANTES!$D$19:$F$192,3,0),"")</f>
        <v/>
      </c>
      <c r="F582" s="380" t="str">
        <f>IF(D582="","",IF(OR(SUMIF($J567:$J573,D582,$O567:$O573)=0,N582="NO"),"NO APORTA",SUMIF($J567:$J573,D582,$O567:$O573)))</f>
        <v/>
      </c>
      <c r="G582" s="380" t="str">
        <f>IF($D582="","",IF($F579&lt;=1,"",ROUND(POSMMLV*PORPO,2)))</f>
        <v/>
      </c>
      <c r="H582" s="765" t="str">
        <f t="shared" ref="H582:H585" si="112">IF($D582="","",IF(OR(F582="NO APORTA",G582&gt;F582),"NO CUMPLE","CUMPLE"))</f>
        <v/>
      </c>
      <c r="I582" s="766"/>
      <c r="J582" s="108" t="str">
        <f>IF(D582="","",IF(OR(AND(SUMIF($J564:$J573,D582,$O564:$O573)&gt;=5%*POSMMLV,N582="SI"),AND(SUMIF($J564:$J573,D582,$O564:$O573)=0,E582&lt;=5%,N582="SI")),"CUMPLE","NO CUMPLE"))</f>
        <v/>
      </c>
      <c r="K582" s="105" t="str">
        <f>IF(OR(D582="",J582=""),"",IF(AND(J582="NO CUMPLE",F582="NO APORTA",E582&gt;5%),"EXP = 0 y PART &gt; 5%",IF(F582&lt;5%*Q586,"EXP &lt; 5%*PO","")))</f>
        <v/>
      </c>
      <c r="L582" s="389" t="str">
        <f>IF(OR(D582="",E582=""),"",IF(AND(E582&gt;=0.25,F582&lt;&gt;"NO APORTA",F582&gt;=$R586*0.25),"SI","NO"))</f>
        <v/>
      </c>
      <c r="M582" s="389"/>
      <c r="N582" s="468" t="s">
        <v>385</v>
      </c>
      <c r="O582" s="396"/>
      <c r="P582" s="815"/>
      <c r="Q582" s="815"/>
      <c r="R582" s="815"/>
      <c r="S582" s="819"/>
      <c r="T582" s="785"/>
      <c r="U582" s="786"/>
      <c r="V582" s="787"/>
      <c r="W582" s="283"/>
      <c r="X582" s="542" t="str">
        <f>IF($F579=1,"NO APLICA",$D582)</f>
        <v>NO APLICA</v>
      </c>
      <c r="Y582" s="543" t="str">
        <f>IF(OR($F582="",$F582="NO APORTA",$R586=0,$X582="NO APLICA"),"",ROUND($F582/$Q586,2))</f>
        <v/>
      </c>
      <c r="Z582" s="544"/>
      <c r="AA582" s="543"/>
      <c r="AB582" s="540" t="str">
        <f t="shared" ref="AB582" si="113">IF(COUNTIF(Z582:AA582,"SI APLICA")=2,"SI APLICA","")</f>
        <v/>
      </c>
      <c r="AC582" s="28"/>
    </row>
    <row r="583" spans="1:29" s="30" customFormat="1" ht="15.75" customHeight="1">
      <c r="A583" s="112" t="str">
        <f>"P"&amp;E560</f>
        <v>P19</v>
      </c>
      <c r="B583" s="791"/>
      <c r="C583" s="54">
        <v>3</v>
      </c>
      <c r="D583" s="100" t="str">
        <f>IF(AND(C583&lt;=F579,F579&lt;&gt;""),VLOOKUP(VALUE(E560&amp;","&amp;C583),INTEGRANTES!$D$19:$F$192,2,0),"")</f>
        <v/>
      </c>
      <c r="E583" s="107" t="str">
        <f>IF(D583&lt;&gt;"",VLOOKUP(VALUE(E560&amp;","&amp;C583),INTEGRANTES!$D$19:$F$192,3,0),"")</f>
        <v/>
      </c>
      <c r="F583" s="380" t="str">
        <f>IF(D583="","",IF(OR(SUMIF($J567:$J573,D583,$O567:$O573)=0,N583="NO"),"NO APORTA",SUMIF($J567:$J573,D583,$O567:$O573)))</f>
        <v/>
      </c>
      <c r="G583" s="380" t="str">
        <f>IF($D583="","",IF($F579&lt;=1,"",ROUND(POSMMLV*PORPO,2)))</f>
        <v/>
      </c>
      <c r="H583" s="765" t="str">
        <f t="shared" si="112"/>
        <v/>
      </c>
      <c r="I583" s="766"/>
      <c r="J583" s="108" t="str">
        <f>IF(D583="","",IF(OR(AND(SUMIF($J564:$J573,D583,$O564:$O573)&gt;=5%*POSMMLV,N583="SI"),AND(SUMIF($J564:$J573,D583,$O564:$O573)=0,E583&lt;=5%,N583="SI")),"CUMPLE","NO CUMPLE"))</f>
        <v/>
      </c>
      <c r="K583" s="105" t="str">
        <f>IF(OR(D583="",J583=""),"",IF(AND(J583="NO CUMPLE",F583="NO APORTA",E583&gt;5%),"EXP = 0 y PART &gt; 5%",IF(F583&lt;5%*Q586,"EXP &lt; 5%*PO","")))</f>
        <v/>
      </c>
      <c r="L583" s="389" t="str">
        <f>IF(OR(D583="",E583=""),"",IF(AND(E583&gt;=0.25,F583&lt;&gt;"NO APORTA",F583&gt;=$R586*0.25),"SI","NO"))</f>
        <v/>
      </c>
      <c r="M583" s="389"/>
      <c r="N583" s="468"/>
      <c r="O583" s="397"/>
      <c r="P583" s="816"/>
      <c r="Q583" s="816"/>
      <c r="R583" s="816"/>
      <c r="S583" s="820"/>
      <c r="T583" s="308"/>
      <c r="U583" s="308"/>
      <c r="V583" s="309"/>
      <c r="W583" s="284"/>
      <c r="X583" s="542" t="str">
        <f>IF($F579=1,"NO APLICA",$D583)</f>
        <v>NO APLICA</v>
      </c>
      <c r="Y583" s="543" t="str">
        <f>IF(OR($F583="",$F583="NO APORTA",$R586=0,$X583="NO APLICA"),"",ROUND($F583/$Q586,2))</f>
        <v/>
      </c>
      <c r="Z583" s="544"/>
      <c r="AA583" s="543"/>
      <c r="AB583" s="540" t="str">
        <f>IF(COUNTIF(Z583:AA583,"SI APLICA")=2,"SI APLICA","")</f>
        <v/>
      </c>
      <c r="AC583" s="28"/>
    </row>
    <row r="584" spans="1:29" s="30" customFormat="1" ht="15.75" customHeight="1">
      <c r="A584" s="112" t="str">
        <f>"Q"&amp;E560</f>
        <v>Q19</v>
      </c>
      <c r="B584" s="791"/>
      <c r="C584" s="54">
        <v>4</v>
      </c>
      <c r="D584" s="100" t="str">
        <f>IF(AND(C584&lt;=F579,F579&lt;&gt;""),VLOOKUP(VALUE(E560&amp;","&amp;C584),INTEGRANTES!$D$19:$F$192,2,0),"")</f>
        <v/>
      </c>
      <c r="E584" s="107" t="str">
        <f>IF(D584&lt;&gt;"",VLOOKUP(VALUE(E560&amp;","&amp;C584),INTEGRANTES!$D$19:$F$192,3,0),"")</f>
        <v/>
      </c>
      <c r="F584" s="380" t="str">
        <f>IF(D584="","",IF(OR(SUMIF($J567:$J573,D584,$O567:$O573)=0,N584="NO"),"NO APORTA",SUMIF($J567:$J573,D584,$O567:$O573)))</f>
        <v/>
      </c>
      <c r="G584" s="380" t="str">
        <f>IF($D584="","",IF($F579&lt;=1,"",ROUND(POSMMLV*PORPO,2)))</f>
        <v/>
      </c>
      <c r="H584" s="765" t="str">
        <f t="shared" si="112"/>
        <v/>
      </c>
      <c r="I584" s="766"/>
      <c r="J584" s="108" t="str">
        <f>IF(D584="","",IF(OR(AND(SUMIF($J564:$J573,D584,$O564:$O573)&gt;=5%*POSMMLV,N584="SI"),AND(SUMIF($J564:$J573,D584,$O564:$O573)=0,E584&lt;=5%,N584="SI")),"CUMPLE","NO CUMPLE"))</f>
        <v/>
      </c>
      <c r="K584" s="105" t="str">
        <f>IF(OR(D584="",J584=""),"",IF(AND(J584="NO CUMPLE",F584="NO APORTA",E584&gt;5%),"EXP = 0 y PART &gt; 5%",IF(F584&lt;5%*Q586,"EXP &lt; 5%*PO","")))</f>
        <v/>
      </c>
      <c r="L584" s="389" t="str">
        <f>IF(OR(D584="",E584=""),"",IF(AND(E584&gt;=0.25,F584&lt;&gt;"NO APORTA",F584&gt;=$R586*0.25),"SI","NO"))</f>
        <v/>
      </c>
      <c r="M584" s="389"/>
      <c r="N584" s="468"/>
      <c r="O584" s="788" t="s">
        <v>414</v>
      </c>
      <c r="P584" s="769" t="s">
        <v>415</v>
      </c>
      <c r="Q584" s="770"/>
      <c r="R584" s="770"/>
      <c r="S584" s="771"/>
      <c r="T584" s="284"/>
      <c r="U584" s="284"/>
      <c r="V584" s="310"/>
      <c r="W584" s="284"/>
      <c r="X584" s="542" t="str">
        <f>IF($F579=1,"NO APLICA",$D584)</f>
        <v>NO APLICA</v>
      </c>
      <c r="Y584" s="543" t="str">
        <f>IF(OR($F584="",$F584="NO APORTA",$R586=0,$X584="NO APLICA"),"",ROUND($F584/$Q586,2))</f>
        <v/>
      </c>
      <c r="Z584" s="544"/>
      <c r="AA584" s="543"/>
      <c r="AB584" s="540" t="str">
        <f t="shared" ref="AB584:AB585" si="114">IF(COUNTIF(Z584:AA584,"SI APLICA")=2,"SI APLICA","")</f>
        <v/>
      </c>
      <c r="AC584" s="28"/>
    </row>
    <row r="585" spans="1:29" s="30" customFormat="1" ht="17.25" customHeight="1">
      <c r="A585" s="112" t="str">
        <f>"R"&amp;E560</f>
        <v>R19</v>
      </c>
      <c r="B585" s="791"/>
      <c r="C585" s="54">
        <v>5</v>
      </c>
      <c r="D585" s="100" t="str">
        <f>IF(AND(C585&lt;=F579,F579&lt;&gt;""),VLOOKUP(VALUE(E560&amp;","&amp;C585),INTEGRANTES!$D$19:$F$192,2,0),"")</f>
        <v/>
      </c>
      <c r="E585" s="107" t="str">
        <f>IF(D585&lt;&gt;"",VLOOKUP(VALUE(E560&amp;","&amp;C585),INTEGRANTES!$D$19:$F$192,3,0),"")</f>
        <v/>
      </c>
      <c r="F585" s="380" t="str">
        <f>IF(D585="","",IF(OR(SUMIF($J567:$J573,D585,$O567:$O573)=0,N585="NO"),"NO APORTA",SUMIF($J567:$J573,D585,$O567:$O573)))</f>
        <v/>
      </c>
      <c r="G585" s="380" t="str">
        <f>IF($D585="","",IF($F579&lt;=1,"",ROUND(POSMMLV*PORPO,2)))</f>
        <v/>
      </c>
      <c r="H585" s="765" t="str">
        <f t="shared" si="112"/>
        <v/>
      </c>
      <c r="I585" s="766"/>
      <c r="J585" s="108" t="str">
        <f>IF(D585="","",IF(OR(AND(SUMIF($J564:$J573,D585,$O564:$O573)&gt;=5%*POSMMLV,N585="SI"),AND(SUMIF($J564:$J573,D585,$O564:$O573)=0,E585&lt;=5%,N585="SI")),"CUMPLE","NO CUMPLE"))</f>
        <v/>
      </c>
      <c r="K585" s="105" t="str">
        <f>IF(OR(D585="",J585=""),"",IF(AND(J585="NO CUMPLE",F585="NO APORTA",E585&gt;5%),"EXP = 0 y PART &gt; 5%",IF(F585&lt;5%*Q586,"EXP &lt; 5%*PO","")))</f>
        <v/>
      </c>
      <c r="L585" s="389" t="str">
        <f>IF(OR(D585="",E585=""),"",IF(AND(E585&gt;=0.25,F585&lt;&gt;"NO APORTA",F585&gt;=$R586*0.25),"SI","NO"))</f>
        <v/>
      </c>
      <c r="M585" s="389"/>
      <c r="N585" s="468"/>
      <c r="O585" s="789"/>
      <c r="P585" s="504" t="s">
        <v>416</v>
      </c>
      <c r="Q585" s="504" t="s">
        <v>417</v>
      </c>
      <c r="R585" s="793" t="s">
        <v>418</v>
      </c>
      <c r="S585" s="793"/>
      <c r="T585" s="284"/>
      <c r="U585" s="284"/>
      <c r="V585" s="310"/>
      <c r="W585" s="284"/>
      <c r="X585" s="542" t="str">
        <f>IF($F579=1,"NO APLICA",$D585)</f>
        <v>NO APLICA</v>
      </c>
      <c r="Y585" s="543" t="str">
        <f>IF(OR($F585="",$F585="NO APORTA",$R586=0,$X585="NO APLICA"),"",ROUND($F585/$Q586,2))</f>
        <v/>
      </c>
      <c r="Z585" s="544"/>
      <c r="AA585" s="543"/>
      <c r="AB585" s="540" t="str">
        <f t="shared" si="114"/>
        <v/>
      </c>
      <c r="AC585" s="28"/>
    </row>
    <row r="586" spans="1:29" s="30" customFormat="1" ht="16.5" customHeight="1" thickBot="1">
      <c r="A586" s="112" t="str">
        <f>"S"&amp;E560</f>
        <v>S19</v>
      </c>
      <c r="B586" s="791"/>
      <c r="C586" s="109">
        <v>6</v>
      </c>
      <c r="D586" s="110" t="str">
        <f>IF(AND(C586&lt;=F579,F579&lt;&gt;""),VLOOKUP(VALUE(E560&amp;","&amp;C586),INTEGRANTES!$D$19:$F$192,2,0),"")</f>
        <v/>
      </c>
      <c r="E586" s="111" t="str">
        <f>IF(D586&lt;&gt;"",VLOOKUP(VALUE(E560&amp;","&amp;C586),INTEGRANTES!$D$19:$F$192,3,0),"")</f>
        <v/>
      </c>
      <c r="F586" s="380" t="str">
        <f>IF(D586="","",IF(OR(SUMIF($J567:$J573,D586,$O567:$O573)=0,N586="NO"),"NO APORTA",SUMIF($J567:$J573,D586,$O567:$O573)))</f>
        <v/>
      </c>
      <c r="G586" s="380" t="str">
        <f>IF($D586="","",IF($F579&lt;=1,"",ROUND(POSMMLV*PORPO,2)))</f>
        <v/>
      </c>
      <c r="H586" s="765" t="str">
        <f>IF($D586="","",IF(OR(F586="NO APORTA",G586&gt;F586),"NO CUMPLE","CUMPLE"))</f>
        <v/>
      </c>
      <c r="I586" s="766"/>
      <c r="J586" s="108" t="str">
        <f>IF(D586="","",IF(OR(AND(SUMIF($J564:$J573,D586,$O564:$O573)&gt;=5%*POSMMLV,N586="SI"),AND(SUMIF($J564:$J573,D586,$O564:$O573)=0,E586&lt;=5%,N586="SI")),"CUMPLE","NO CUMPLE"))</f>
        <v/>
      </c>
      <c r="K586" s="105" t="str">
        <f>IF(OR(D586="",J586=""),"",IF(AND(J586="NO CUMPLE",F586="NO APORTA",E586&gt;5%),"EXP = 0 y PART &gt; 5%",IF(F586&lt;5%*Q586,"EXP &lt; 5%*PO","")))</f>
        <v/>
      </c>
      <c r="L586" s="389" t="str">
        <f>IF(OR(D586="",E586=""),"",IF(AND(E586&gt;=0.25,F586&lt;&gt;"NO APORTA",F586&gt;=$R586*0.25),"SI","NO"))</f>
        <v/>
      </c>
      <c r="M586" s="389"/>
      <c r="N586" s="468"/>
      <c r="O586" s="403" t="str">
        <f ca="1">IF(R586&gt;=Q586,"CUMPLE","NO CUMPLE")</f>
        <v>CUMPLE</v>
      </c>
      <c r="P586" s="312">
        <f>NUMMOD</f>
        <v>1</v>
      </c>
      <c r="Q586" s="313">
        <f ca="1">IF(P586="","",ROUND(VLOOKUP(P586,PRESUPUESTOS!$B$16:$L$16,9,FALSE),7))</f>
        <v>300</v>
      </c>
      <c r="R586" s="834">
        <f>IF(OR(COUNTIF(O564:O573,"")&gt;9,S580&lt;NUMMINCONT),0,SUM(O564:O573))</f>
        <v>1478.1100000000001</v>
      </c>
      <c r="S586" s="834"/>
      <c r="T586" s="284"/>
      <c r="U586" s="284"/>
      <c r="V586" s="310"/>
      <c r="W586" s="284"/>
      <c r="X586" s="545" t="str">
        <f>IF($F579=1,"NO APLICA",$D586)</f>
        <v>NO APLICA</v>
      </c>
      <c r="Y586" s="543" t="str">
        <f>IF(OR($F586="",$F586="NO APORTA",$R586=0,$X586="NO APLICA"),"",ROUND($F586/$Q586,2))</f>
        <v/>
      </c>
      <c r="Z586" s="544"/>
      <c r="AA586" s="546"/>
      <c r="AB586" s="540" t="str">
        <f>IF(COUNTIF(Z586:AA586,"SI APLICA")=2,"SI APLICA","")</f>
        <v/>
      </c>
      <c r="AC586" s="28"/>
    </row>
    <row r="587" spans="1:29" s="30" customFormat="1" ht="16.5" customHeight="1" thickBot="1">
      <c r="A587" s="112" t="str">
        <f>"T"&amp;E560</f>
        <v>T19</v>
      </c>
      <c r="B587" s="792"/>
      <c r="C587" s="821" t="s">
        <v>419</v>
      </c>
      <c r="D587" s="822"/>
      <c r="E587" s="822"/>
      <c r="F587" s="518"/>
      <c r="G587" s="519"/>
      <c r="H587" s="794" t="str">
        <f>IF(OR($F579="",SUM(E581:E586)=0),"",IF(COUNTIF(H581:H586,"CUMPLE")&gt;=1,"CUMPLE","NO CUMPLE"))</f>
        <v/>
      </c>
      <c r="I587" s="795"/>
      <c r="J587" s="314" t="str">
        <f>IF(COUNTIF(J581:J586,"")&gt;5,"",IF(COUNTIF(J581:J586,"NO CUMPLE")&gt;0,"NO CUMPLE","CUMPLE"))</f>
        <v/>
      </c>
      <c r="K587" s="314" t="str">
        <f>IF(OR(AND(F579=1,N581="SI"),AND(COUNTIF(H587:J587,"CUMPLE")=2)),"CUMPLE","NO CUMPLE")</f>
        <v>CUMPLE</v>
      </c>
      <c r="L587" s="519"/>
      <c r="M587" s="519"/>
      <c r="N587" s="519"/>
      <c r="O587" s="833" t="str">
        <f ca="1">IF(ISNUMBER(F560),"",IF(AND(O586="NO CUMPLE",SUM(N567:N573)&lt;Q586),"EL PROPONENTE SE DEBE REQUERIR POR EXPERIENCIA MINIMA EXIGIDA",""))</f>
        <v/>
      </c>
      <c r="P587" s="833"/>
      <c r="Q587" s="833"/>
      <c r="R587" s="833"/>
      <c r="S587" s="833"/>
      <c r="T587" s="522"/>
      <c r="U587" s="523"/>
      <c r="V587" s="524"/>
      <c r="W587" s="284"/>
      <c r="X587" s="364" t="str">
        <f>IF(Y587=1,"PROPONENTE INDIVIDUAL","PROPONENTE PLURAL")</f>
        <v>PROPONENTE INDIVIDUAL</v>
      </c>
      <c r="Y587" s="276">
        <f>F579</f>
        <v>1</v>
      </c>
      <c r="Z587" s="277" t="str">
        <f>IF(OR(AND(Z581="SI APLICA",AA581="SI APLICA"),AND(Z582="SI APLICA",AA582="SI APLICA"),AND(Z583="SI APLICA",AA583="SI APLICA"),AND(Z584="SI APLICA",AA584="SI APLICA"),AND(Z585="SI APLICA",AA585="SI APLICA"),AND(Z586="SI APLICA",AA586="SI APLICA")),"SI APLICA","NO APLICA")</f>
        <v>SI APLICA</v>
      </c>
      <c r="AA587" s="278" t="str">
        <f>IF(OR(AND(AA581="SI APLICA",AB581="SI APLICA"),AND(AA582="SI APLICA",AB582="SI APLICA"),AND(AA583="SI APLICA",AB583="SI APLICA"),AND(AA584="SI APLICA",AB584="SI APLICA"),AND(AA585="SI APLICA",AB585="SI APLICA"),AND(AA586="SI APLICA",AB586="SI APLICA")),"SI APLICA","NO APLICA")</f>
        <v>SI APLICA</v>
      </c>
      <c r="AB587" s="278" t="str">
        <f>IF(COUNTIF(AB581:AB586,"SI APLICA")&gt;0,"SI APLICA","NO APLICA")</f>
        <v>SI APLICA</v>
      </c>
      <c r="AC587" s="28"/>
    </row>
    <row r="588" spans="1:29" ht="24.95" customHeight="1"/>
    <row r="589" spans="1:29" ht="24.95" customHeight="1"/>
    <row r="590" spans="1:29" s="41" customFormat="1" ht="24" thickBot="1">
      <c r="A590" s="34">
        <v>20</v>
      </c>
      <c r="B590" s="828" t="s">
        <v>355</v>
      </c>
      <c r="C590" s="828"/>
      <c r="D590" s="828"/>
      <c r="E590" s="35">
        <f>VLOOKUP(A590,PROPONENTES!$B$19:$E$108,2,FALSE)</f>
        <v>20</v>
      </c>
      <c r="F590" s="36" t="str">
        <f>VLOOKUP(A590,PROPONENTES!$B$19:$E$108,3,FALSE)</f>
        <v>PROES INGENIERÍA S.A.S</v>
      </c>
      <c r="G590" s="37"/>
      <c r="H590" s="37"/>
      <c r="I590" s="36"/>
      <c r="J590" s="36"/>
      <c r="K590" s="36"/>
      <c r="L590" s="36"/>
      <c r="M590" s="38"/>
      <c r="N590" s="38"/>
      <c r="O590" s="37"/>
      <c r="P590" s="37"/>
      <c r="Q590" s="39"/>
      <c r="R590" s="39"/>
      <c r="S590" s="39"/>
      <c r="T590" s="39"/>
      <c r="U590" s="40"/>
      <c r="Y590" s="52"/>
      <c r="Z590" s="52"/>
      <c r="AA590" s="52"/>
      <c r="AB590" s="28"/>
      <c r="AC590" s="28"/>
    </row>
    <row r="591" spans="1:29" s="27" customFormat="1" ht="24.75" customHeight="1">
      <c r="A591" s="22"/>
      <c r="B591" s="829" t="s">
        <v>356</v>
      </c>
      <c r="C591" s="501" t="s">
        <v>357</v>
      </c>
      <c r="D591" s="502" t="s">
        <v>358</v>
      </c>
      <c r="E591" s="502"/>
      <c r="F591" s="502" t="s">
        <v>359</v>
      </c>
      <c r="G591" s="503"/>
      <c r="H591" s="803" t="s">
        <v>360</v>
      </c>
      <c r="I591" s="831" t="s">
        <v>361</v>
      </c>
      <c r="J591" s="803" t="s">
        <v>362</v>
      </c>
      <c r="K591" s="803" t="s">
        <v>363</v>
      </c>
      <c r="L591" s="803" t="s">
        <v>364</v>
      </c>
      <c r="M591" s="803" t="s">
        <v>365</v>
      </c>
      <c r="N591" s="804" t="s">
        <v>366</v>
      </c>
      <c r="O591" s="805"/>
      <c r="P591" s="806" t="s">
        <v>367</v>
      </c>
      <c r="Q591" s="807"/>
      <c r="R591" s="784" t="s">
        <v>368</v>
      </c>
      <c r="S591" s="774"/>
      <c r="T591" s="798" t="s">
        <v>369</v>
      </c>
      <c r="U591" s="799"/>
      <c r="V591" s="800"/>
      <c r="X591" s="520"/>
      <c r="Y591" s="520"/>
    </row>
    <row r="592" spans="1:29" s="27" customFormat="1" ht="94.5" customHeight="1">
      <c r="A592" s="22"/>
      <c r="B592" s="830"/>
      <c r="C592" s="504" t="s">
        <v>370</v>
      </c>
      <c r="D592" s="505" t="s">
        <v>41</v>
      </c>
      <c r="E592" s="505" t="s">
        <v>371</v>
      </c>
      <c r="F592" s="505" t="s">
        <v>372</v>
      </c>
      <c r="G592" s="506" t="s">
        <v>373</v>
      </c>
      <c r="H592" s="793"/>
      <c r="I592" s="832"/>
      <c r="J592" s="793"/>
      <c r="K592" s="793"/>
      <c r="L592" s="793"/>
      <c r="M592" s="793"/>
      <c r="N592" s="504" t="s">
        <v>374</v>
      </c>
      <c r="O592" s="505" t="s">
        <v>375</v>
      </c>
      <c r="P592" s="801"/>
      <c r="Q592" s="802"/>
      <c r="R592" s="796"/>
      <c r="S592" s="797"/>
      <c r="T592" s="507" t="s">
        <v>376</v>
      </c>
      <c r="U592" s="508" t="s">
        <v>377</v>
      </c>
      <c r="V592" s="509" t="s">
        <v>378</v>
      </c>
      <c r="X592" s="521" t="s">
        <v>379</v>
      </c>
      <c r="Y592" s="521" t="s">
        <v>380</v>
      </c>
    </row>
    <row r="593" spans="1:29" s="27" customFormat="1" ht="15" customHeight="1">
      <c r="A593" s="22"/>
      <c r="B593" s="594"/>
      <c r="C593" s="595">
        <v>3</v>
      </c>
      <c r="D593" s="595">
        <v>4</v>
      </c>
      <c r="E593" s="595">
        <v>5</v>
      </c>
      <c r="F593" s="595">
        <v>6</v>
      </c>
      <c r="G593" s="595">
        <v>7</v>
      </c>
      <c r="H593" s="595">
        <v>8</v>
      </c>
      <c r="I593" s="595">
        <v>9</v>
      </c>
      <c r="J593" s="595">
        <v>10</v>
      </c>
      <c r="K593" s="595">
        <v>11</v>
      </c>
      <c r="L593" s="595">
        <v>12</v>
      </c>
      <c r="M593" s="595">
        <v>13</v>
      </c>
      <c r="N593" s="595">
        <v>14</v>
      </c>
      <c r="O593" s="595">
        <v>15</v>
      </c>
      <c r="P593" s="596">
        <v>16</v>
      </c>
      <c r="Q593" s="597">
        <v>17</v>
      </c>
      <c r="R593" s="596">
        <v>18</v>
      </c>
      <c r="S593" s="597">
        <v>19</v>
      </c>
      <c r="T593" s="598">
        <v>20</v>
      </c>
      <c r="U593" s="255">
        <v>21</v>
      </c>
      <c r="V593" s="599">
        <v>22</v>
      </c>
      <c r="X593" s="589"/>
      <c r="Y593" s="590"/>
    </row>
    <row r="594" spans="1:29" s="44" customFormat="1" ht="83.25" customHeight="1">
      <c r="A594" s="42" t="str">
        <f>"A"&amp;E590</f>
        <v>A20</v>
      </c>
      <c r="B594" s="605">
        <f>IF(C594&lt;&gt;"",B593+1,"")</f>
        <v>1</v>
      </c>
      <c r="C594" s="581" t="s">
        <v>547</v>
      </c>
      <c r="D594" s="581" t="s">
        <v>548</v>
      </c>
      <c r="E594" s="581" t="s">
        <v>549</v>
      </c>
      <c r="F594" s="581" t="s">
        <v>533</v>
      </c>
      <c r="G594" s="534">
        <v>0.5</v>
      </c>
      <c r="H594" s="534" t="s">
        <v>385</v>
      </c>
      <c r="I594" s="579" t="s">
        <v>384</v>
      </c>
      <c r="J594" s="580" t="str">
        <f>IF(I594="","",IF(I594="I",$F590,VLOOKUP(I594,$C611:$D616,2,0)))</f>
        <v>PROES INGENIERÍA S.A.S</v>
      </c>
      <c r="K594" s="535">
        <v>38187</v>
      </c>
      <c r="L594" s="535">
        <v>38826</v>
      </c>
      <c r="M594" s="536">
        <v>2593.3000000000002</v>
      </c>
      <c r="N594" s="232">
        <f t="shared" ref="N594:N603" si="115">IF(OR(G594="",M594=""),"",M594*G594)</f>
        <v>1296.6500000000001</v>
      </c>
      <c r="O594" s="648">
        <f>IF(OR(H594="",H594="NO",K594&lt;$Q$17,K594&gt;$R$17,K594="",M594="",N594=""),"",ROUND(N594,7))</f>
        <v>1296.6500000000001</v>
      </c>
      <c r="P594" s="781"/>
      <c r="Q594" s="782"/>
      <c r="R594" s="767"/>
      <c r="S594" s="768"/>
      <c r="T594" s="538" t="s">
        <v>385</v>
      </c>
      <c r="U594" s="539">
        <v>33</v>
      </c>
      <c r="V594" s="540" t="s">
        <v>385</v>
      </c>
      <c r="X594" s="541" t="s">
        <v>449</v>
      </c>
      <c r="Y594" s="541" t="s">
        <v>387</v>
      </c>
    </row>
    <row r="595" spans="1:29" s="44" customFormat="1" ht="90" customHeight="1">
      <c r="A595" s="42" t="str">
        <f>"B"&amp;E590</f>
        <v>B20</v>
      </c>
      <c r="B595" s="605">
        <f t="shared" ref="B595:B603" si="116">IF(C595&lt;&gt;"",B594+1,"")</f>
        <v>2</v>
      </c>
      <c r="C595" s="581" t="s">
        <v>550</v>
      </c>
      <c r="D595" s="581" t="s">
        <v>551</v>
      </c>
      <c r="E595" s="581" t="s">
        <v>552</v>
      </c>
      <c r="F595" s="581" t="s">
        <v>384</v>
      </c>
      <c r="G595" s="534">
        <v>1</v>
      </c>
      <c r="H595" s="534" t="s">
        <v>385</v>
      </c>
      <c r="I595" s="579" t="s">
        <v>384</v>
      </c>
      <c r="J595" s="580" t="str">
        <f>IF(I595="","",IF(I595="I",$F590,VLOOKUP(I595,$C611:$D616,2,0)))</f>
        <v>PROES INGENIERÍA S.A.S</v>
      </c>
      <c r="K595" s="535">
        <v>41282</v>
      </c>
      <c r="L595" s="535">
        <v>41467</v>
      </c>
      <c r="M595" s="536">
        <v>659.06</v>
      </c>
      <c r="N595" s="232">
        <f t="shared" si="115"/>
        <v>659.06</v>
      </c>
      <c r="O595" s="260">
        <f t="shared" ref="O595:O603" si="117">IF(OR(H595="",H595="NO",K595&lt;$Q$17,K595&gt;$R$17,K595="",M595="",N595=""),"",ROUND(N595,7))</f>
        <v>659.06</v>
      </c>
      <c r="P595" s="781"/>
      <c r="Q595" s="782"/>
      <c r="R595" s="767"/>
      <c r="S595" s="768"/>
      <c r="T595" s="538" t="s">
        <v>385</v>
      </c>
      <c r="U595" s="539">
        <v>39</v>
      </c>
      <c r="V595" s="540" t="s">
        <v>385</v>
      </c>
      <c r="X595" s="541" t="s">
        <v>446</v>
      </c>
      <c r="Y595" s="541" t="s">
        <v>387</v>
      </c>
    </row>
    <row r="596" spans="1:29" s="44" customFormat="1" ht="63" customHeight="1">
      <c r="A596" s="42" t="str">
        <f>"C"&amp;E590</f>
        <v>C20</v>
      </c>
      <c r="B596" s="605">
        <f t="shared" si="116"/>
        <v>3</v>
      </c>
      <c r="C596" s="581" t="s">
        <v>553</v>
      </c>
      <c r="D596" s="581" t="s">
        <v>554</v>
      </c>
      <c r="E596" s="581" t="s">
        <v>555</v>
      </c>
      <c r="F596" s="581" t="s">
        <v>431</v>
      </c>
      <c r="G596" s="534">
        <v>0.01</v>
      </c>
      <c r="H596" s="534" t="s">
        <v>385</v>
      </c>
      <c r="I596" s="579" t="s">
        <v>384</v>
      </c>
      <c r="J596" s="580" t="str">
        <f>IF(I596="","",IF(I596="I",$F590,VLOOKUP(I596,$C611:$D616,2,0)))</f>
        <v>PROES INGENIERÍA S.A.S</v>
      </c>
      <c r="K596" s="535">
        <v>42403</v>
      </c>
      <c r="L596" s="535">
        <v>43585</v>
      </c>
      <c r="M596" s="536">
        <v>8289.41</v>
      </c>
      <c r="N596" s="232">
        <f t="shared" si="115"/>
        <v>82.894099999999995</v>
      </c>
      <c r="O596" s="260">
        <f t="shared" si="117"/>
        <v>82.894099999999995</v>
      </c>
      <c r="P596" s="781"/>
      <c r="Q596" s="782"/>
      <c r="R596" s="767"/>
      <c r="S596" s="768"/>
      <c r="T596" s="538" t="s">
        <v>385</v>
      </c>
      <c r="U596" s="539">
        <v>73</v>
      </c>
      <c r="V596" s="540" t="s">
        <v>385</v>
      </c>
      <c r="X596" s="541" t="s">
        <v>449</v>
      </c>
      <c r="Y596" s="541" t="s">
        <v>439</v>
      </c>
    </row>
    <row r="597" spans="1:29" s="44" customFormat="1" ht="24.95" customHeight="1">
      <c r="A597" s="42" t="str">
        <f>"D"&amp;E590</f>
        <v>D20</v>
      </c>
      <c r="B597" s="605" t="str">
        <f t="shared" si="116"/>
        <v/>
      </c>
      <c r="C597" s="581"/>
      <c r="D597" s="581"/>
      <c r="E597" s="581"/>
      <c r="F597" s="581"/>
      <c r="G597" s="534"/>
      <c r="H597" s="534"/>
      <c r="I597" s="579"/>
      <c r="J597" s="580" t="str">
        <f>IF(I597="","",IF(I597="I",$F590,VLOOKUP(I597,$C611:$D616,2,0)))</f>
        <v/>
      </c>
      <c r="K597" s="535"/>
      <c r="L597" s="535"/>
      <c r="M597" s="536"/>
      <c r="N597" s="232" t="str">
        <f t="shared" si="115"/>
        <v/>
      </c>
      <c r="O597" s="260" t="str">
        <f t="shared" si="117"/>
        <v/>
      </c>
      <c r="P597" s="781"/>
      <c r="Q597" s="782"/>
      <c r="R597" s="767"/>
      <c r="S597" s="768"/>
      <c r="T597" s="538"/>
      <c r="U597" s="539"/>
      <c r="V597" s="540"/>
      <c r="X597" s="541"/>
      <c r="Y597" s="541"/>
    </row>
    <row r="598" spans="1:29" s="44" customFormat="1" ht="24.95" customHeight="1">
      <c r="A598" s="42" t="str">
        <f>"E"&amp;E590</f>
        <v>E20</v>
      </c>
      <c r="B598" s="605" t="str">
        <f t="shared" si="116"/>
        <v/>
      </c>
      <c r="C598" s="581"/>
      <c r="D598" s="581"/>
      <c r="E598" s="581"/>
      <c r="F598" s="581"/>
      <c r="G598" s="534"/>
      <c r="H598" s="534"/>
      <c r="I598" s="579"/>
      <c r="J598" s="580" t="str">
        <f>IF(I598="","",IF(I598="I",$F590,VLOOKUP(I598,$C611:$D616,2,0)))</f>
        <v/>
      </c>
      <c r="K598" s="535"/>
      <c r="L598" s="535"/>
      <c r="M598" s="536"/>
      <c r="N598" s="232" t="str">
        <f t="shared" si="115"/>
        <v/>
      </c>
      <c r="O598" s="260" t="str">
        <f t="shared" si="117"/>
        <v/>
      </c>
      <c r="P598" s="781"/>
      <c r="Q598" s="782"/>
      <c r="R598" s="767"/>
      <c r="S598" s="768"/>
      <c r="T598" s="538"/>
      <c r="U598" s="539"/>
      <c r="V598" s="540"/>
      <c r="X598" s="541"/>
      <c r="Y598" s="541"/>
    </row>
    <row r="599" spans="1:29" s="44" customFormat="1" ht="24.95" customHeight="1">
      <c r="A599" s="42" t="str">
        <f>"F"&amp;E590</f>
        <v>F20</v>
      </c>
      <c r="B599" s="605" t="str">
        <f t="shared" si="116"/>
        <v/>
      </c>
      <c r="C599" s="581"/>
      <c r="D599" s="581"/>
      <c r="E599" s="581"/>
      <c r="F599" s="581"/>
      <c r="G599" s="534"/>
      <c r="H599" s="534"/>
      <c r="I599" s="579"/>
      <c r="J599" s="580" t="str">
        <f>IF(I599="","",IF(I599="I",$F590,VLOOKUP(I599,$C611:$D616,2,0)))</f>
        <v/>
      </c>
      <c r="K599" s="535"/>
      <c r="L599" s="535"/>
      <c r="M599" s="536"/>
      <c r="N599" s="232" t="str">
        <f t="shared" si="115"/>
        <v/>
      </c>
      <c r="O599" s="260" t="str">
        <f t="shared" si="117"/>
        <v/>
      </c>
      <c r="P599" s="781"/>
      <c r="Q599" s="782"/>
      <c r="R599" s="767"/>
      <c r="S599" s="768"/>
      <c r="T599" s="538"/>
      <c r="U599" s="539"/>
      <c r="V599" s="540"/>
      <c r="X599" s="541"/>
      <c r="Y599" s="541"/>
    </row>
    <row r="600" spans="1:29" s="44" customFormat="1" ht="24.95" customHeight="1">
      <c r="A600" s="42" t="str">
        <f>"G"&amp;E590</f>
        <v>G20</v>
      </c>
      <c r="B600" s="605" t="str">
        <f t="shared" si="116"/>
        <v/>
      </c>
      <c r="C600" s="581"/>
      <c r="D600" s="581"/>
      <c r="E600" s="581"/>
      <c r="F600" s="581"/>
      <c r="G600" s="534"/>
      <c r="H600" s="534"/>
      <c r="I600" s="579"/>
      <c r="J600" s="580" t="str">
        <f>IF(I600="","",IF(I600="I",$F590,VLOOKUP(I600,$C611:$D616,2,0)))</f>
        <v/>
      </c>
      <c r="K600" s="535"/>
      <c r="L600" s="535"/>
      <c r="M600" s="536"/>
      <c r="N600" s="43" t="str">
        <f t="shared" si="115"/>
        <v/>
      </c>
      <c r="O600" s="260" t="str">
        <f t="shared" si="117"/>
        <v/>
      </c>
      <c r="P600" s="781"/>
      <c r="Q600" s="782"/>
      <c r="R600" s="767"/>
      <c r="S600" s="768"/>
      <c r="T600" s="538"/>
      <c r="U600" s="539"/>
      <c r="V600" s="540"/>
      <c r="X600" s="541"/>
      <c r="Y600" s="541"/>
    </row>
    <row r="601" spans="1:29" s="44" customFormat="1" ht="24.95" customHeight="1">
      <c r="A601" s="42" t="str">
        <f>"H"&amp;E590</f>
        <v>H20</v>
      </c>
      <c r="B601" s="605" t="str">
        <f t="shared" si="116"/>
        <v/>
      </c>
      <c r="C601" s="581"/>
      <c r="D601" s="581"/>
      <c r="E601" s="581"/>
      <c r="F601" s="581"/>
      <c r="G601" s="534"/>
      <c r="H601" s="534"/>
      <c r="I601" s="579"/>
      <c r="J601" s="580" t="str">
        <f>IF(I601="","",IF(I601="I",$F590,VLOOKUP(I601,$C611:$D616,2,0)))</f>
        <v/>
      </c>
      <c r="K601" s="535"/>
      <c r="L601" s="535"/>
      <c r="M601" s="537"/>
      <c r="N601" s="43" t="str">
        <f t="shared" si="115"/>
        <v/>
      </c>
      <c r="O601" s="260" t="str">
        <f t="shared" si="117"/>
        <v/>
      </c>
      <c r="P601" s="781"/>
      <c r="Q601" s="782"/>
      <c r="R601" s="767"/>
      <c r="S601" s="768"/>
      <c r="T601" s="538"/>
      <c r="U601" s="539"/>
      <c r="V601" s="540"/>
      <c r="X601" s="541"/>
      <c r="Y601" s="541"/>
    </row>
    <row r="602" spans="1:29" s="44" customFormat="1" ht="24.95" customHeight="1">
      <c r="A602" s="42" t="str">
        <f>"I"&amp;E590</f>
        <v>I20</v>
      </c>
      <c r="B602" s="605" t="str">
        <f t="shared" si="116"/>
        <v/>
      </c>
      <c r="C602" s="581"/>
      <c r="D602" s="581"/>
      <c r="E602" s="581"/>
      <c r="F602" s="581"/>
      <c r="G602" s="534"/>
      <c r="H602" s="534"/>
      <c r="I602" s="579"/>
      <c r="J602" s="580" t="str">
        <f>IF(I602="","",IF(I602="I",$F590,VLOOKUP(I602,$C611:$D616,2,0)))</f>
        <v/>
      </c>
      <c r="K602" s="535"/>
      <c r="L602" s="535"/>
      <c r="M602" s="537"/>
      <c r="N602" s="43" t="str">
        <f t="shared" si="115"/>
        <v/>
      </c>
      <c r="O602" s="260" t="str">
        <f t="shared" si="117"/>
        <v/>
      </c>
      <c r="P602" s="781"/>
      <c r="Q602" s="782"/>
      <c r="R602" s="767"/>
      <c r="S602" s="768"/>
      <c r="T602" s="538"/>
      <c r="U602" s="539"/>
      <c r="V602" s="540"/>
      <c r="X602" s="541"/>
      <c r="Y602" s="541"/>
    </row>
    <row r="603" spans="1:29" s="44" customFormat="1" ht="24.95" customHeight="1" thickBot="1">
      <c r="A603" s="42" t="str">
        <f>"J"&amp;E590</f>
        <v>J20</v>
      </c>
      <c r="B603" s="612" t="str">
        <f t="shared" si="116"/>
        <v/>
      </c>
      <c r="C603" s="582"/>
      <c r="D603" s="582"/>
      <c r="E603" s="582"/>
      <c r="F603" s="582"/>
      <c r="G603" s="583"/>
      <c r="H603" s="583"/>
      <c r="I603" s="584"/>
      <c r="J603" s="585" t="str">
        <f>IF(I603="","",IF(I603="I",$F590,VLOOKUP(I603,$C611:$D616,2,0)))</f>
        <v/>
      </c>
      <c r="K603" s="586"/>
      <c r="L603" s="586"/>
      <c r="M603" s="587"/>
      <c r="N603" s="43" t="str">
        <f t="shared" si="115"/>
        <v/>
      </c>
      <c r="O603" s="260" t="str">
        <f t="shared" si="117"/>
        <v/>
      </c>
      <c r="P603" s="781"/>
      <c r="Q603" s="782"/>
      <c r="R603" s="767"/>
      <c r="S603" s="768"/>
      <c r="T603" s="538"/>
      <c r="U603" s="539"/>
      <c r="V603" s="540"/>
      <c r="X603" s="541"/>
      <c r="Y603" s="541"/>
    </row>
    <row r="604" spans="1:29" s="27" customFormat="1" ht="12" customHeight="1" thickBot="1">
      <c r="A604" s="42"/>
      <c r="B604" s="45"/>
      <c r="C604" s="46"/>
      <c r="D604" s="46"/>
      <c r="E604" s="46"/>
      <c r="F604" s="46"/>
      <c r="G604" s="46"/>
      <c r="H604" s="606"/>
      <c r="I604" s="46"/>
      <c r="J604" s="46"/>
      <c r="K604" s="46"/>
      <c r="L604" s="46"/>
      <c r="M604" s="46"/>
      <c r="N604" s="46"/>
      <c r="O604" s="259"/>
      <c r="P604" s="46"/>
      <c r="Q604" s="46"/>
      <c r="R604" s="259"/>
      <c r="S604" s="46"/>
      <c r="T604" s="46"/>
      <c r="U604" s="47"/>
      <c r="V604" s="48"/>
      <c r="X604" s="592"/>
      <c r="Y604" s="593"/>
      <c r="AB604" s="378"/>
    </row>
    <row r="605" spans="1:29" s="27" customFormat="1" ht="17.25" customHeight="1" thickBot="1">
      <c r="A605" s="42" t="str">
        <f>"Z"&amp;E590</f>
        <v>Z20</v>
      </c>
      <c r="B605" s="510"/>
      <c r="C605" s="511"/>
      <c r="D605" s="511"/>
      <c r="E605" s="511"/>
      <c r="F605" s="511"/>
      <c r="G605" s="511"/>
      <c r="H605" s="511"/>
      <c r="I605" s="511"/>
      <c r="J605" s="511"/>
      <c r="K605" s="511"/>
      <c r="L605" s="511"/>
      <c r="M605" s="511"/>
      <c r="N605" s="437" t="s">
        <v>388</v>
      </c>
      <c r="O605" s="438">
        <f>IF(COUNTIF(O594:O603,"")&gt;9,0,SUM(O594:O603)/(COUNTIF(H594:H603,"SI")))</f>
        <v>679.53470000000004</v>
      </c>
      <c r="P605" s="511"/>
      <c r="Q605" s="511"/>
      <c r="R605" s="530"/>
      <c r="S605" s="530"/>
      <c r="T605" s="531"/>
      <c r="U605" s="532"/>
      <c r="V605" s="533"/>
      <c r="W605" s="285"/>
      <c r="X605" s="613" t="e">
        <f>COUNTIF(#REF!,"")-COUNTIF(#REF!,"CUMPLE")-1</f>
        <v>#REF!</v>
      </c>
      <c r="Y605" s="591"/>
      <c r="AB605" s="28"/>
    </row>
    <row r="606" spans="1:29" ht="17.25" customHeight="1">
      <c r="B606" s="50"/>
      <c r="C606" s="50"/>
      <c r="D606" s="50"/>
      <c r="E606" s="50"/>
      <c r="F606" s="50"/>
      <c r="G606" s="51"/>
      <c r="H606" s="51"/>
      <c r="I606" s="51"/>
      <c r="J606" s="51"/>
      <c r="K606" s="51"/>
      <c r="L606" s="51"/>
      <c r="M606" s="51"/>
      <c r="N606" s="51"/>
      <c r="O606" s="51"/>
      <c r="P606" s="51"/>
      <c r="Q606" s="51"/>
      <c r="R606" s="51"/>
      <c r="S606" s="51"/>
      <c r="T606" s="51"/>
      <c r="U606" s="51"/>
      <c r="V606" s="51"/>
      <c r="W606" s="51"/>
      <c r="X606" s="608"/>
      <c r="Y606" s="51"/>
      <c r="Z606" s="51"/>
      <c r="AA606" s="51"/>
      <c r="AB606" s="51"/>
      <c r="AC606" s="50"/>
    </row>
    <row r="607" spans="1:29" s="27" customFormat="1" ht="16.5" customHeight="1" thickBot="1">
      <c r="A607" s="22"/>
      <c r="B607" s="783" t="s">
        <v>389</v>
      </c>
      <c r="C607" s="783"/>
      <c r="D607" s="783"/>
      <c r="E607" s="783"/>
      <c r="F607" s="783"/>
      <c r="G607" s="783"/>
      <c r="H607" s="783"/>
      <c r="I607" s="783"/>
      <c r="J607" s="783"/>
      <c r="K607" s="783"/>
      <c r="L607" s="783"/>
      <c r="M607" s="783"/>
      <c r="N607" s="783"/>
      <c r="O607" s="783"/>
      <c r="P607" s="783"/>
      <c r="Q607" s="783"/>
      <c r="R607" s="783"/>
      <c r="S607" s="783"/>
      <c r="T607" s="783"/>
      <c r="U607" s="783"/>
      <c r="V607" s="783"/>
      <c r="W607" s="286"/>
      <c r="X607" s="607"/>
      <c r="Y607" s="52"/>
      <c r="Z607" s="52"/>
      <c r="AA607" s="52"/>
      <c r="AB607" s="28"/>
      <c r="AC607" s="28"/>
    </row>
    <row r="608" spans="1:29" s="30" customFormat="1" ht="22.5" customHeight="1">
      <c r="A608" s="112" t="str">
        <f>"K"&amp;E590</f>
        <v>K20</v>
      </c>
      <c r="B608" s="790" t="s">
        <v>390</v>
      </c>
      <c r="C608" s="772" t="s">
        <v>391</v>
      </c>
      <c r="D608" s="773"/>
      <c r="E608" s="773"/>
      <c r="F608" s="773"/>
      <c r="G608" s="773"/>
      <c r="H608" s="773"/>
      <c r="I608" s="773"/>
      <c r="J608" s="773"/>
      <c r="K608" s="773"/>
      <c r="L608" s="773"/>
      <c r="M608" s="774"/>
      <c r="N608" s="525"/>
      <c r="O608" s="588"/>
      <c r="P608" s="772" t="s">
        <v>392</v>
      </c>
      <c r="Q608" s="773"/>
      <c r="R608" s="773"/>
      <c r="S608" s="774"/>
      <c r="T608" s="784" t="s">
        <v>393</v>
      </c>
      <c r="U608" s="774"/>
      <c r="V608" s="811"/>
      <c r="W608" s="284"/>
      <c r="X608" s="778" t="s">
        <v>394</v>
      </c>
      <c r="Y608" s="779"/>
      <c r="Z608" s="779"/>
      <c r="AA608" s="779" t="s">
        <v>395</v>
      </c>
      <c r="AB608" s="808" t="s">
        <v>396</v>
      </c>
      <c r="AC608" s="28"/>
    </row>
    <row r="609" spans="1:29" s="30" customFormat="1" ht="22.5" customHeight="1">
      <c r="A609" s="112" t="str">
        <f>"L"&amp;E590</f>
        <v>L20</v>
      </c>
      <c r="B609" s="791"/>
      <c r="C609" s="769" t="s">
        <v>397</v>
      </c>
      <c r="D609" s="770"/>
      <c r="E609" s="771"/>
      <c r="F609" s="512">
        <f>IF(VLOOKUP(E590,PROPONENTES!$C$19:$E$108,3,0)="","",VLOOKUP(E590,PROPONENTES!$C$19:$E$108,3,0))</f>
        <v>1</v>
      </c>
      <c r="G609" s="824" t="s">
        <v>398</v>
      </c>
      <c r="H609" s="793" t="s">
        <v>399</v>
      </c>
      <c r="I609" s="793"/>
      <c r="J609" s="769" t="s">
        <v>400</v>
      </c>
      <c r="K609" s="823"/>
      <c r="L609" s="513" t="s">
        <v>401</v>
      </c>
      <c r="M609" s="513"/>
      <c r="N609" s="526"/>
      <c r="O609" s="527"/>
      <c r="P609" s="775"/>
      <c r="Q609" s="776"/>
      <c r="R609" s="776"/>
      <c r="S609" s="777"/>
      <c r="T609" s="796"/>
      <c r="U609" s="797"/>
      <c r="V609" s="812"/>
      <c r="W609" s="284"/>
      <c r="X609" s="780" t="s">
        <v>402</v>
      </c>
      <c r="Y609" s="810" t="s">
        <v>403</v>
      </c>
      <c r="Z609" s="810"/>
      <c r="AA609" s="810"/>
      <c r="AB609" s="809"/>
      <c r="AC609" s="28"/>
    </row>
    <row r="610" spans="1:29" s="30" customFormat="1" ht="51.75" customHeight="1" thickBot="1">
      <c r="A610" s="112" t="str">
        <f>"M"&amp;E590</f>
        <v>M20</v>
      </c>
      <c r="B610" s="791"/>
      <c r="C610" s="770" t="s">
        <v>404</v>
      </c>
      <c r="D610" s="771"/>
      <c r="E610" s="514" t="s">
        <v>405</v>
      </c>
      <c r="F610" s="515" t="s">
        <v>406</v>
      </c>
      <c r="G610" s="824"/>
      <c r="H610" s="793"/>
      <c r="I610" s="793"/>
      <c r="J610" s="504" t="s">
        <v>407</v>
      </c>
      <c r="K610" s="516" t="s">
        <v>408</v>
      </c>
      <c r="L610" s="517" t="s">
        <v>409</v>
      </c>
      <c r="M610" s="517"/>
      <c r="N610" s="528" t="s">
        <v>410</v>
      </c>
      <c r="O610" s="529"/>
      <c r="P610" s="386"/>
      <c r="Q610" s="387" t="s">
        <v>411</v>
      </c>
      <c r="R610" s="388"/>
      <c r="S610" s="113">
        <f>COUNTIFS(H594:H603,"SI",O594:O603,"&gt;0")</f>
        <v>3</v>
      </c>
      <c r="T610" s="785"/>
      <c r="U610" s="787"/>
      <c r="V610" s="813"/>
      <c r="W610" s="284"/>
      <c r="X610" s="780"/>
      <c r="Y610" s="810"/>
      <c r="Z610" s="810"/>
      <c r="AA610" s="810"/>
      <c r="AB610" s="809"/>
      <c r="AC610" s="28"/>
    </row>
    <row r="611" spans="1:29" s="30" customFormat="1" ht="15.75" customHeight="1">
      <c r="A611" s="112" t="str">
        <f>"N"&amp;E590</f>
        <v>N20</v>
      </c>
      <c r="B611" s="791"/>
      <c r="C611" s="54">
        <v>1</v>
      </c>
      <c r="D611" s="100" t="str">
        <f>IF(AND(C611&lt;=F609,F609&gt;1,F609&lt;&gt;""),VLOOKUP(VALUE(E590&amp;","&amp;C611),INTEGRANTES!$D$19:$F$192,2,0),"")</f>
        <v/>
      </c>
      <c r="E611" s="107" t="str">
        <f>IF(D611&lt;&gt;"",VLOOKUP(VALUE(E590&amp;","&amp;C611),INTEGRANTES!$D$19:$F$192,3,0),"")</f>
        <v/>
      </c>
      <c r="F611" s="380" t="str">
        <f>IF(D611="","",IF(OR(SUMIF($J597:$J603,D611,$O597:$O603)=0,N611="NO"),"NO APORTA",SUMIF($J597:$J603,D611,$O597:$O603)))</f>
        <v/>
      </c>
      <c r="G611" s="380" t="str">
        <f>IF($D611="","",IF($F609&lt;=1,"",ROUND(POSMMLV*PORPO,2)))</f>
        <v/>
      </c>
      <c r="H611" s="765" t="str">
        <f>IF($D611="","",IF(OR(F611="NO APORTA",G611&gt;F611),"NO CUMPLE","CUMPLE"))</f>
        <v/>
      </c>
      <c r="I611" s="766"/>
      <c r="J611" s="108" t="str">
        <f>IF(D611="","",IF(OR(AND(SUMIF($J594:$J603,D611,$O594:$O603)&gt;=5%*POSMMLV,N611="SI"),AND(SUMIF($J594:$J603,D611,$O594:$O603)=0,E611&lt;=5%,N611="SI")),"CUMPLE","NO CUMPLE"))</f>
        <v/>
      </c>
      <c r="K611" s="105" t="str">
        <f>IF(OR(D611="",J611=""),"",IF(AND(J611="NO CUMPLE",F611="NO APORTA",E611&gt;5%),"EXP = 0 y PART &gt; 5%",IF(F611&lt;5%*Q616,"EXP &lt; 5%*PO","")))</f>
        <v/>
      </c>
      <c r="L611" s="389" t="str">
        <f>IF(OR(D611="",E611=""),"",IF(AND(E611&gt;=0.25,F611&lt;&gt;"NO APORTA",F611&gt;=$R616*0.25),"SI","NO"))</f>
        <v/>
      </c>
      <c r="M611" s="389"/>
      <c r="N611" s="468" t="s">
        <v>385</v>
      </c>
      <c r="O611" s="396">
        <f>COUNTIFS(O594:O603,"&gt;0",H594:H603,"SI")</f>
        <v>3</v>
      </c>
      <c r="P611" s="814" t="s">
        <v>139</v>
      </c>
      <c r="Q611" s="814"/>
      <c r="R611" s="817">
        <f>E590</f>
        <v>20</v>
      </c>
      <c r="S611" s="818"/>
      <c r="T611" s="784" t="s">
        <v>412</v>
      </c>
      <c r="U611" s="773"/>
      <c r="V611" s="774"/>
      <c r="W611" s="283"/>
      <c r="X611" s="542" t="str">
        <f>IF($F609=1,"NO APLICA",$D611)</f>
        <v>NO APLICA</v>
      </c>
      <c r="Y611" s="543" t="str">
        <f>IF(OR($F611="",$F611="NO APORTA",$R616=0,$X611="NO APLICA"),"",ROUND($F611/$Q616,2))</f>
        <v/>
      </c>
      <c r="Z611" s="544" t="str">
        <f>IF(Y617=1,"SI APLICA",IF(OR($X611="",$X611="NO APLICA",$F611="",$F611="NO APORTA"),"",IF(ROUND($F611/Q616,7)&gt;=0.4,"SI APLICA","NO APLICA")))</f>
        <v>SI APLICA</v>
      </c>
      <c r="AA611" s="543" t="s">
        <v>413</v>
      </c>
      <c r="AB611" s="540" t="str">
        <f>IF(COUNTIF(Z611:AA611,"SI APLICA")=2,"SI APLICA","")</f>
        <v>SI APLICA</v>
      </c>
      <c r="AC611" s="28"/>
    </row>
    <row r="612" spans="1:29" s="30" customFormat="1" ht="15.75" customHeight="1" thickBot="1">
      <c r="A612" s="112" t="str">
        <f>"O"&amp;E590</f>
        <v>O20</v>
      </c>
      <c r="B612" s="791"/>
      <c r="C612" s="54">
        <v>2</v>
      </c>
      <c r="D612" s="100" t="str">
        <f>IF(AND(C612&lt;=F609,F609&lt;&gt;""),VLOOKUP(VALUE(E590&amp;","&amp;C612),INTEGRANTES!$D$19:$F$192,2,0),"")</f>
        <v/>
      </c>
      <c r="E612" s="107" t="str">
        <f>IF(D612&lt;&gt;"",VLOOKUP(VALUE(E590&amp;","&amp;C612),INTEGRANTES!$D$19:$F$192,3,0),"")</f>
        <v/>
      </c>
      <c r="F612" s="380" t="str">
        <f>IF(D612="","",IF(OR(SUMIF($J597:$J603,D612,$O597:$O603)=0,N612="NO"),"NO APORTA",SUMIF($J597:$J603,D612,$O597:$O603)))</f>
        <v/>
      </c>
      <c r="G612" s="380" t="str">
        <f>IF($D612="","",IF($F609&lt;=1,"",ROUND(POSMMLV*PORPO,2)))</f>
        <v/>
      </c>
      <c r="H612" s="765" t="str">
        <f t="shared" ref="H612:H615" si="118">IF($D612="","",IF(OR(F612="NO APORTA",G612&gt;F612),"NO CUMPLE","CUMPLE"))</f>
        <v/>
      </c>
      <c r="I612" s="766"/>
      <c r="J612" s="108" t="str">
        <f>IF(D612="","",IF(OR(AND(SUMIF($J594:$J603,D612,$O594:$O603)&gt;=5%*POSMMLV,N612="SI"),AND(SUMIF($J594:$J603,D612,$O594:$O603)=0,E612&lt;=5%,N612="SI")),"CUMPLE","NO CUMPLE"))</f>
        <v/>
      </c>
      <c r="K612" s="105" t="str">
        <f>IF(OR(D612="",J612=""),"",IF(AND(J612="NO CUMPLE",F612="NO APORTA",E612&gt;5%),"EXP = 0 y PART &gt; 5%",IF(F612&lt;5%*Q616,"EXP &lt; 5%*PO","")))</f>
        <v/>
      </c>
      <c r="L612" s="389" t="str">
        <f>IF(OR(D612="",E612=""),"",IF(AND(E612&gt;=0.25,F612&lt;&gt;"NO APORTA",F612&gt;=$R616*0.25),"SI","NO"))</f>
        <v/>
      </c>
      <c r="M612" s="389"/>
      <c r="N612" s="468" t="s">
        <v>385</v>
      </c>
      <c r="O612" s="396"/>
      <c r="P612" s="815"/>
      <c r="Q612" s="815"/>
      <c r="R612" s="815"/>
      <c r="S612" s="819"/>
      <c r="T612" s="785"/>
      <c r="U612" s="786"/>
      <c r="V612" s="787"/>
      <c r="W612" s="283"/>
      <c r="X612" s="542" t="str">
        <f>IF($F609=1,"NO APLICA",$D612)</f>
        <v>NO APLICA</v>
      </c>
      <c r="Y612" s="543" t="str">
        <f>IF(OR($F612="",$F612="NO APORTA",$R616=0,$X612="NO APLICA"),"",ROUND($F612/$Q616,2))</f>
        <v/>
      </c>
      <c r="Z612" s="544"/>
      <c r="AA612" s="543"/>
      <c r="AB612" s="540" t="str">
        <f t="shared" ref="AB612" si="119">IF(COUNTIF(Z612:AA612,"SI APLICA")=2,"SI APLICA","")</f>
        <v/>
      </c>
      <c r="AC612" s="28"/>
    </row>
    <row r="613" spans="1:29" s="30" customFormat="1" ht="15.75" customHeight="1">
      <c r="A613" s="112" t="str">
        <f>"P"&amp;E590</f>
        <v>P20</v>
      </c>
      <c r="B613" s="791"/>
      <c r="C613" s="54">
        <v>3</v>
      </c>
      <c r="D613" s="100" t="str">
        <f>IF(AND(C613&lt;=F609,F609&lt;&gt;""),VLOOKUP(VALUE(E590&amp;","&amp;C613),INTEGRANTES!$D$19:$F$192,2,0),"")</f>
        <v/>
      </c>
      <c r="E613" s="107" t="str">
        <f>IF(D613&lt;&gt;"",VLOOKUP(VALUE(E590&amp;","&amp;C613),INTEGRANTES!$D$19:$F$192,3,0),"")</f>
        <v/>
      </c>
      <c r="F613" s="380" t="str">
        <f>IF(D613="","",IF(OR(SUMIF($J597:$J603,D613,$O597:$O603)=0,N613="NO"),"NO APORTA",SUMIF($J597:$J603,D613,$O597:$O603)))</f>
        <v/>
      </c>
      <c r="G613" s="380" t="str">
        <f>IF($D613="","",IF($F609&lt;=1,"",ROUND(POSMMLV*PORPO,2)))</f>
        <v/>
      </c>
      <c r="H613" s="765" t="str">
        <f t="shared" si="118"/>
        <v/>
      </c>
      <c r="I613" s="766"/>
      <c r="J613" s="108" t="str">
        <f>IF(D613="","",IF(OR(AND(SUMIF($J594:$J603,D613,$O594:$O603)&gt;=5%*POSMMLV,N613="SI"),AND(SUMIF($J594:$J603,D613,$O594:$O603)=0,E613&lt;=5%,N613="SI")),"CUMPLE","NO CUMPLE"))</f>
        <v/>
      </c>
      <c r="K613" s="105" t="str">
        <f>IF(OR(D613="",J613=""),"",IF(AND(J613="NO CUMPLE",F613="NO APORTA",E613&gt;5%),"EXP = 0 y PART &gt; 5%",IF(F613&lt;5%*Q616,"EXP &lt; 5%*PO","")))</f>
        <v/>
      </c>
      <c r="L613" s="389" t="str">
        <f>IF(OR(D613="",E613=""),"",IF(AND(E613&gt;=0.25,F613&lt;&gt;"NO APORTA",F613&gt;=$R616*0.25),"SI","NO"))</f>
        <v/>
      </c>
      <c r="M613" s="389"/>
      <c r="N613" s="468"/>
      <c r="O613" s="397"/>
      <c r="P613" s="816"/>
      <c r="Q613" s="816"/>
      <c r="R613" s="816"/>
      <c r="S613" s="820"/>
      <c r="T613" s="308"/>
      <c r="U613" s="308"/>
      <c r="V613" s="309"/>
      <c r="W613" s="284"/>
      <c r="X613" s="542" t="str">
        <f>IF($F609=1,"NO APLICA",$D613)</f>
        <v>NO APLICA</v>
      </c>
      <c r="Y613" s="543" t="str">
        <f>IF(OR($F613="",$F613="NO APORTA",$R616=0,$X613="NO APLICA"),"",ROUND($F613/$Q616,2))</f>
        <v/>
      </c>
      <c r="Z613" s="544"/>
      <c r="AA613" s="543"/>
      <c r="AB613" s="540" t="str">
        <f>IF(COUNTIF(Z613:AA613,"SI APLICA")=2,"SI APLICA","")</f>
        <v/>
      </c>
      <c r="AC613" s="28"/>
    </row>
    <row r="614" spans="1:29" s="30" customFormat="1" ht="15.75" customHeight="1">
      <c r="A614" s="112" t="str">
        <f>"Q"&amp;E590</f>
        <v>Q20</v>
      </c>
      <c r="B614" s="791"/>
      <c r="C614" s="54">
        <v>4</v>
      </c>
      <c r="D614" s="100" t="str">
        <f>IF(AND(C614&lt;=F609,F609&lt;&gt;""),VLOOKUP(VALUE(E590&amp;","&amp;C614),INTEGRANTES!$D$19:$F$192,2,0),"")</f>
        <v/>
      </c>
      <c r="E614" s="107" t="str">
        <f>IF(D614&lt;&gt;"",VLOOKUP(VALUE(E590&amp;","&amp;C614),INTEGRANTES!$D$19:$F$192,3,0),"")</f>
        <v/>
      </c>
      <c r="F614" s="380" t="str">
        <f>IF(D614="","",IF(OR(SUMIF($J597:$J603,D614,$O597:$O603)=0,N614="NO"),"NO APORTA",SUMIF($J597:$J603,D614,$O597:$O603)))</f>
        <v/>
      </c>
      <c r="G614" s="380" t="str">
        <f>IF($D614="","",IF($F609&lt;=1,"",ROUND(POSMMLV*PORPO,2)))</f>
        <v/>
      </c>
      <c r="H614" s="765" t="str">
        <f t="shared" si="118"/>
        <v/>
      </c>
      <c r="I614" s="766"/>
      <c r="J614" s="108" t="str">
        <f>IF(D614="","",IF(OR(AND(SUMIF($J594:$J603,D614,$O594:$O603)&gt;=5%*POSMMLV,N614="SI"),AND(SUMIF($J594:$J603,D614,$O594:$O603)=0,E614&lt;=5%,N614="SI")),"CUMPLE","NO CUMPLE"))</f>
        <v/>
      </c>
      <c r="K614" s="105" t="str">
        <f>IF(OR(D614="",J614=""),"",IF(AND(J614="NO CUMPLE",F614="NO APORTA",E614&gt;5%),"EXP = 0 y PART &gt; 5%",IF(F614&lt;5%*Q616,"EXP &lt; 5%*PO","")))</f>
        <v/>
      </c>
      <c r="L614" s="389" t="str">
        <f>IF(OR(D614="",E614=""),"",IF(AND(E614&gt;=0.25,F614&lt;&gt;"NO APORTA",F614&gt;=$R616*0.25),"SI","NO"))</f>
        <v/>
      </c>
      <c r="M614" s="389"/>
      <c r="N614" s="468"/>
      <c r="O614" s="788" t="s">
        <v>414</v>
      </c>
      <c r="P614" s="769" t="s">
        <v>415</v>
      </c>
      <c r="Q614" s="770"/>
      <c r="R614" s="770"/>
      <c r="S614" s="771"/>
      <c r="T614" s="284"/>
      <c r="U614" s="284"/>
      <c r="V614" s="310"/>
      <c r="W614" s="284"/>
      <c r="X614" s="542" t="str">
        <f>IF($F609=1,"NO APLICA",$D614)</f>
        <v>NO APLICA</v>
      </c>
      <c r="Y614" s="543" t="str">
        <f>IF(OR($F614="",$F614="NO APORTA",$R616=0,$X614="NO APLICA"),"",ROUND($F614/$Q616,2))</f>
        <v/>
      </c>
      <c r="Z614" s="544"/>
      <c r="AA614" s="543"/>
      <c r="AB614" s="540" t="str">
        <f t="shared" ref="AB614:AB615" si="120">IF(COUNTIF(Z614:AA614,"SI APLICA")=2,"SI APLICA","")</f>
        <v/>
      </c>
      <c r="AC614" s="28"/>
    </row>
    <row r="615" spans="1:29" s="30" customFormat="1" ht="17.25" customHeight="1">
      <c r="A615" s="112" t="str">
        <f>"R"&amp;E590</f>
        <v>R20</v>
      </c>
      <c r="B615" s="791"/>
      <c r="C615" s="54">
        <v>5</v>
      </c>
      <c r="D615" s="100" t="str">
        <f>IF(AND(C615&lt;=F609,F609&lt;&gt;""),VLOOKUP(VALUE(E590&amp;","&amp;C615),INTEGRANTES!$D$19:$F$192,2,0),"")</f>
        <v/>
      </c>
      <c r="E615" s="107" t="str">
        <f>IF(D615&lt;&gt;"",VLOOKUP(VALUE(E590&amp;","&amp;C615),INTEGRANTES!$D$19:$F$192,3,0),"")</f>
        <v/>
      </c>
      <c r="F615" s="380" t="str">
        <f>IF(D615="","",IF(OR(SUMIF($J597:$J603,D615,$O597:$O603)=0,N615="NO"),"NO APORTA",SUMIF($J597:$J603,D615,$O597:$O603)))</f>
        <v/>
      </c>
      <c r="G615" s="380" t="str">
        <f>IF($D615="","",IF($F609&lt;=1,"",ROUND(POSMMLV*PORPO,2)))</f>
        <v/>
      </c>
      <c r="H615" s="765" t="str">
        <f t="shared" si="118"/>
        <v/>
      </c>
      <c r="I615" s="766"/>
      <c r="J615" s="108" t="str">
        <f>IF(D615="","",IF(OR(AND(SUMIF($J594:$J603,D615,$O594:$O603)&gt;=5%*POSMMLV,N615="SI"),AND(SUMIF($J594:$J603,D615,$O594:$O603)=0,E615&lt;=5%,N615="SI")),"CUMPLE","NO CUMPLE"))</f>
        <v/>
      </c>
      <c r="K615" s="105" t="str">
        <f>IF(OR(D615="",J615=""),"",IF(AND(J615="NO CUMPLE",F615="NO APORTA",E615&gt;5%),"EXP = 0 y PART &gt; 5%",IF(F615&lt;5%*Q616,"EXP &lt; 5%*PO","")))</f>
        <v/>
      </c>
      <c r="L615" s="389" t="str">
        <f>IF(OR(D615="",E615=""),"",IF(AND(E615&gt;=0.25,F615&lt;&gt;"NO APORTA",F615&gt;=$R616*0.25),"SI","NO"))</f>
        <v/>
      </c>
      <c r="M615" s="389"/>
      <c r="N615" s="468"/>
      <c r="O615" s="789"/>
      <c r="P615" s="504" t="s">
        <v>416</v>
      </c>
      <c r="Q615" s="504" t="s">
        <v>417</v>
      </c>
      <c r="R615" s="793" t="s">
        <v>418</v>
      </c>
      <c r="S615" s="793"/>
      <c r="T615" s="284"/>
      <c r="U615" s="284"/>
      <c r="V615" s="310"/>
      <c r="W615" s="284"/>
      <c r="X615" s="542" t="str">
        <f>IF($F609=1,"NO APLICA",$D615)</f>
        <v>NO APLICA</v>
      </c>
      <c r="Y615" s="543" t="str">
        <f>IF(OR($F615="",$F615="NO APORTA",$R616=0,$X615="NO APLICA"),"",ROUND($F615/$Q616,2))</f>
        <v/>
      </c>
      <c r="Z615" s="544"/>
      <c r="AA615" s="543"/>
      <c r="AB615" s="540" t="str">
        <f t="shared" si="120"/>
        <v/>
      </c>
      <c r="AC615" s="28"/>
    </row>
    <row r="616" spans="1:29" s="30" customFormat="1" ht="16.5" customHeight="1" thickBot="1">
      <c r="A616" s="112" t="str">
        <f>"S"&amp;E590</f>
        <v>S20</v>
      </c>
      <c r="B616" s="791"/>
      <c r="C616" s="109">
        <v>6</v>
      </c>
      <c r="D616" s="110" t="str">
        <f>IF(AND(C616&lt;=F609,F609&lt;&gt;""),VLOOKUP(VALUE(E590&amp;","&amp;C616),INTEGRANTES!$D$19:$F$192,2,0),"")</f>
        <v/>
      </c>
      <c r="E616" s="111" t="str">
        <f>IF(D616&lt;&gt;"",VLOOKUP(VALUE(E590&amp;","&amp;C616),INTEGRANTES!$D$19:$F$192,3,0),"")</f>
        <v/>
      </c>
      <c r="F616" s="380" t="str">
        <f>IF(D616="","",IF(OR(SUMIF($J597:$J603,D616,$O597:$O603)=0,N616="NO"),"NO APORTA",SUMIF($J597:$J603,D616,$O597:$O603)))</f>
        <v/>
      </c>
      <c r="G616" s="380" t="str">
        <f>IF($D616="","",IF($F609&lt;=1,"",ROUND(POSMMLV*PORPO,2)))</f>
        <v/>
      </c>
      <c r="H616" s="765" t="str">
        <f>IF($D616="","",IF(OR(F616="NO APORTA",G616&gt;F616),"NO CUMPLE","CUMPLE"))</f>
        <v/>
      </c>
      <c r="I616" s="766"/>
      <c r="J616" s="108" t="str">
        <f>IF(D616="","",IF(OR(AND(SUMIF($J594:$J603,D616,$O594:$O603)&gt;=5%*POSMMLV,N616="SI"),AND(SUMIF($J594:$J603,D616,$O594:$O603)=0,E616&lt;=5%,N616="SI")),"CUMPLE","NO CUMPLE"))</f>
        <v/>
      </c>
      <c r="K616" s="105" t="str">
        <f>IF(OR(D616="",J616=""),"",IF(AND(J616="NO CUMPLE",F616="NO APORTA",E616&gt;5%),"EXP = 0 y PART &gt; 5%",IF(F616&lt;5%*Q616,"EXP &lt; 5%*PO","")))</f>
        <v/>
      </c>
      <c r="L616" s="389" t="str">
        <f>IF(OR(D616="",E616=""),"",IF(AND(E616&gt;=0.25,F616&lt;&gt;"NO APORTA",F616&gt;=$R616*0.25),"SI","NO"))</f>
        <v/>
      </c>
      <c r="M616" s="389"/>
      <c r="N616" s="468"/>
      <c r="O616" s="403" t="str">
        <f ca="1">IF(R616&gt;=Q616,"CUMPLE","NO CUMPLE")</f>
        <v>CUMPLE</v>
      </c>
      <c r="P616" s="312">
        <f>NUMMOD</f>
        <v>1</v>
      </c>
      <c r="Q616" s="313">
        <f ca="1">IF(P616="","",ROUND(VLOOKUP(P616,PRESUPUESTOS!$B$16:$L$16,9,FALSE),7))</f>
        <v>300</v>
      </c>
      <c r="R616" s="834">
        <f>IF(OR(COUNTIF(O594:O603,"")&gt;9,S610&lt;NUMMINCONT),0,SUM(O594:O603))</f>
        <v>2038.6041</v>
      </c>
      <c r="S616" s="834"/>
      <c r="T616" s="284"/>
      <c r="U616" s="284"/>
      <c r="V616" s="310"/>
      <c r="W616" s="284"/>
      <c r="X616" s="545" t="str">
        <f>IF($F609=1,"NO APLICA",$D616)</f>
        <v>NO APLICA</v>
      </c>
      <c r="Y616" s="543" t="str">
        <f>IF(OR($F616="",$F616="NO APORTA",$R616=0,$X616="NO APLICA"),"",ROUND($F616/$Q616,2))</f>
        <v/>
      </c>
      <c r="Z616" s="544"/>
      <c r="AA616" s="546"/>
      <c r="AB616" s="540" t="str">
        <f>IF(COUNTIF(Z616:AA616,"SI APLICA")=2,"SI APLICA","")</f>
        <v/>
      </c>
      <c r="AC616" s="28"/>
    </row>
    <row r="617" spans="1:29" s="30" customFormat="1" ht="16.5" customHeight="1" thickBot="1">
      <c r="A617" s="112" t="str">
        <f>"T"&amp;E590</f>
        <v>T20</v>
      </c>
      <c r="B617" s="792"/>
      <c r="C617" s="821" t="s">
        <v>419</v>
      </c>
      <c r="D617" s="822"/>
      <c r="E617" s="822"/>
      <c r="F617" s="518"/>
      <c r="G617" s="519"/>
      <c r="H617" s="794" t="str">
        <f>IF(OR($F609="",SUM(E611:E616)=0),"",IF(COUNTIF(H611:H616,"CUMPLE")&gt;=1,"CUMPLE","NO CUMPLE"))</f>
        <v/>
      </c>
      <c r="I617" s="795"/>
      <c r="J617" s="314" t="str">
        <f>IF(COUNTIF(J611:J616,"")&gt;5,"",IF(COUNTIF(J611:J616,"NO CUMPLE")&gt;0,"NO CUMPLE","CUMPLE"))</f>
        <v/>
      </c>
      <c r="K617" s="314" t="str">
        <f>IF(OR(AND(F609=1,N611="SI"),AND(COUNTIF(H617:J617,"CUMPLE")=2)),"CUMPLE","NO CUMPLE")</f>
        <v>CUMPLE</v>
      </c>
      <c r="L617" s="519"/>
      <c r="M617" s="519"/>
      <c r="N617" s="519"/>
      <c r="O617" s="833" t="str">
        <f ca="1">IF(ISNUMBER(F590),"",IF(AND(O616="NO CUMPLE",SUM(N597:N603)&lt;Q616),"EL PROPONENTE SE DEBE REQUERIR POR EXPERIENCIA MINIMA EXIGIDA",""))</f>
        <v/>
      </c>
      <c r="P617" s="833"/>
      <c r="Q617" s="833"/>
      <c r="R617" s="833"/>
      <c r="S617" s="833"/>
      <c r="T617" s="522"/>
      <c r="U617" s="523"/>
      <c r="V617" s="524"/>
      <c r="W617" s="284"/>
      <c r="X617" s="364" t="str">
        <f>IF(Y617=1,"PROPONENTE INDIVIDUAL","PROPONENTE PLURAL")</f>
        <v>PROPONENTE INDIVIDUAL</v>
      </c>
      <c r="Y617" s="276">
        <f>F609</f>
        <v>1</v>
      </c>
      <c r="Z617" s="277" t="str">
        <f>IF(OR(AND(Z611="SI APLICA",AA611="SI APLICA"),AND(Z612="SI APLICA",AA612="SI APLICA"),AND(Z613="SI APLICA",AA613="SI APLICA"),AND(Z614="SI APLICA",AA614="SI APLICA"),AND(Z615="SI APLICA",AA615="SI APLICA"),AND(Z616="SI APLICA",AA616="SI APLICA")),"SI APLICA","NO APLICA")</f>
        <v>SI APLICA</v>
      </c>
      <c r="AA617" s="278" t="str">
        <f>IF(OR(AND(AA611="SI APLICA",AB611="SI APLICA"),AND(AA612="SI APLICA",AB612="SI APLICA"),AND(AA613="SI APLICA",AB613="SI APLICA"),AND(AA614="SI APLICA",AB614="SI APLICA"),AND(AA615="SI APLICA",AB615="SI APLICA"),AND(AA616="SI APLICA",AB616="SI APLICA")),"SI APLICA","NO APLICA")</f>
        <v>SI APLICA</v>
      </c>
      <c r="AB617" s="278" t="str">
        <f>IF(COUNTIF(AB611:AB616,"SI APLICA")&gt;0,"SI APLICA","NO APLICA")</f>
        <v>SI APLICA</v>
      </c>
      <c r="AC617" s="28"/>
    </row>
    <row r="618" spans="1:29" ht="24.95" customHeight="1"/>
    <row r="619" spans="1:29" ht="24.95" customHeight="1"/>
    <row r="620" spans="1:29" s="41" customFormat="1" ht="24" thickBot="1">
      <c r="A620" s="34">
        <v>21</v>
      </c>
      <c r="B620" s="828" t="s">
        <v>355</v>
      </c>
      <c r="C620" s="828"/>
      <c r="D620" s="828"/>
      <c r="E620" s="35">
        <f>VLOOKUP(A620,PROPONENTES!$B$19:$E$108,2,FALSE)</f>
        <v>21</v>
      </c>
      <c r="F620" s="36" t="str">
        <f>VLOOKUP(A620,PROPONENTES!$B$19:$E$108,3,FALSE)</f>
        <v>INGENIEROS CONSULTORES Y CONSTRUCTORES ARG SAS</v>
      </c>
      <c r="G620" s="37"/>
      <c r="H620" s="37"/>
      <c r="I620" s="36"/>
      <c r="J620" s="36"/>
      <c r="K620" s="36"/>
      <c r="L620" s="36"/>
      <c r="M620" s="38"/>
      <c r="N620" s="38"/>
      <c r="O620" s="37"/>
      <c r="P620" s="37"/>
      <c r="Q620" s="39"/>
      <c r="R620" s="39"/>
      <c r="S620" s="39"/>
      <c r="T620" s="39"/>
      <c r="U620" s="40"/>
      <c r="Y620" s="52"/>
      <c r="Z620" s="52"/>
      <c r="AA620" s="52"/>
      <c r="AB620" s="28"/>
      <c r="AC620" s="28"/>
    </row>
    <row r="621" spans="1:29" s="27" customFormat="1" ht="24.75" customHeight="1">
      <c r="A621" s="22"/>
      <c r="B621" s="829" t="s">
        <v>356</v>
      </c>
      <c r="C621" s="501" t="s">
        <v>357</v>
      </c>
      <c r="D621" s="502" t="s">
        <v>358</v>
      </c>
      <c r="E621" s="502"/>
      <c r="F621" s="502" t="s">
        <v>359</v>
      </c>
      <c r="G621" s="503"/>
      <c r="H621" s="803" t="s">
        <v>360</v>
      </c>
      <c r="I621" s="831" t="s">
        <v>361</v>
      </c>
      <c r="J621" s="803" t="s">
        <v>362</v>
      </c>
      <c r="K621" s="803" t="s">
        <v>363</v>
      </c>
      <c r="L621" s="803" t="s">
        <v>364</v>
      </c>
      <c r="M621" s="803" t="s">
        <v>365</v>
      </c>
      <c r="N621" s="804" t="s">
        <v>366</v>
      </c>
      <c r="O621" s="805"/>
      <c r="P621" s="806" t="s">
        <v>367</v>
      </c>
      <c r="Q621" s="807"/>
      <c r="R621" s="784" t="s">
        <v>368</v>
      </c>
      <c r="S621" s="774"/>
      <c r="T621" s="798" t="s">
        <v>369</v>
      </c>
      <c r="U621" s="799"/>
      <c r="V621" s="800"/>
      <c r="X621" s="520"/>
      <c r="Y621" s="520"/>
    </row>
    <row r="622" spans="1:29" s="27" customFormat="1" ht="94.5" customHeight="1">
      <c r="A622" s="22"/>
      <c r="B622" s="830"/>
      <c r="C622" s="504" t="s">
        <v>370</v>
      </c>
      <c r="D622" s="505" t="s">
        <v>41</v>
      </c>
      <c r="E622" s="505" t="s">
        <v>371</v>
      </c>
      <c r="F622" s="505" t="s">
        <v>372</v>
      </c>
      <c r="G622" s="506" t="s">
        <v>373</v>
      </c>
      <c r="H622" s="793"/>
      <c r="I622" s="832"/>
      <c r="J622" s="793"/>
      <c r="K622" s="793"/>
      <c r="L622" s="793"/>
      <c r="M622" s="793"/>
      <c r="N622" s="504" t="s">
        <v>374</v>
      </c>
      <c r="O622" s="505" t="s">
        <v>375</v>
      </c>
      <c r="P622" s="801"/>
      <c r="Q622" s="802"/>
      <c r="R622" s="796"/>
      <c r="S622" s="797"/>
      <c r="T622" s="507" t="s">
        <v>376</v>
      </c>
      <c r="U622" s="508" t="s">
        <v>377</v>
      </c>
      <c r="V622" s="509" t="s">
        <v>378</v>
      </c>
      <c r="X622" s="521" t="s">
        <v>379</v>
      </c>
      <c r="Y622" s="521" t="s">
        <v>380</v>
      </c>
    </row>
    <row r="623" spans="1:29" s="27" customFormat="1" ht="15" customHeight="1">
      <c r="A623" s="22"/>
      <c r="B623" s="594"/>
      <c r="C623" s="595">
        <v>3</v>
      </c>
      <c r="D623" s="595">
        <v>4</v>
      </c>
      <c r="E623" s="595">
        <v>5</v>
      </c>
      <c r="F623" s="595">
        <v>6</v>
      </c>
      <c r="G623" s="595">
        <v>7</v>
      </c>
      <c r="H623" s="595">
        <v>8</v>
      </c>
      <c r="I623" s="595">
        <v>9</v>
      </c>
      <c r="J623" s="595">
        <v>10</v>
      </c>
      <c r="K623" s="595">
        <v>11</v>
      </c>
      <c r="L623" s="595">
        <v>12</v>
      </c>
      <c r="M623" s="595">
        <v>13</v>
      </c>
      <c r="N623" s="595">
        <v>14</v>
      </c>
      <c r="O623" s="595">
        <v>15</v>
      </c>
      <c r="P623" s="596">
        <v>16</v>
      </c>
      <c r="Q623" s="597">
        <v>17</v>
      </c>
      <c r="R623" s="596">
        <v>18</v>
      </c>
      <c r="S623" s="597">
        <v>19</v>
      </c>
      <c r="T623" s="598">
        <v>20</v>
      </c>
      <c r="U623" s="255">
        <v>21</v>
      </c>
      <c r="V623" s="599">
        <v>22</v>
      </c>
      <c r="X623" s="589"/>
      <c r="Y623" s="590"/>
    </row>
    <row r="624" spans="1:29" s="44" customFormat="1" ht="98.25" customHeight="1">
      <c r="A624" s="42" t="str">
        <f>"A"&amp;E620</f>
        <v>A21</v>
      </c>
      <c r="B624" s="605">
        <f>IF(C624&lt;&gt;"",B623+1,"")</f>
        <v>1</v>
      </c>
      <c r="C624" s="581" t="s">
        <v>556</v>
      </c>
      <c r="D624" s="581" t="s">
        <v>557</v>
      </c>
      <c r="E624" s="581" t="s">
        <v>558</v>
      </c>
      <c r="F624" s="581" t="s">
        <v>431</v>
      </c>
      <c r="G624" s="534">
        <v>0.96</v>
      </c>
      <c r="H624" s="534" t="s">
        <v>385</v>
      </c>
      <c r="I624" s="579" t="s">
        <v>384</v>
      </c>
      <c r="J624" s="580" t="str">
        <f>IF(I624="","",IF(I624="I",$F620,VLOOKUP(I624,$C641:$D646,2,0)))</f>
        <v>INGENIEROS CONSULTORES Y CONSTRUCTORES ARG SAS</v>
      </c>
      <c r="K624" s="535">
        <v>40967</v>
      </c>
      <c r="L624" s="535">
        <v>42307</v>
      </c>
      <c r="M624" s="536">
        <v>3029.39</v>
      </c>
      <c r="N624" s="232">
        <f t="shared" ref="N624:N633" si="121">IF(OR(G624="",M624=""),"",M624*G624)</f>
        <v>2908.2143999999998</v>
      </c>
      <c r="O624" s="260">
        <f t="shared" ref="O624:O633" si="122">IF(OR(H624="",H624="NO",K624&lt;$Q$17,K624&gt;$R$17,K624="",M624="",N624=""),"",ROUND(N624,7))</f>
        <v>2908.2143999999998</v>
      </c>
      <c r="P624" s="781"/>
      <c r="Q624" s="782"/>
      <c r="R624" s="767"/>
      <c r="S624" s="768"/>
      <c r="T624" s="538" t="s">
        <v>385</v>
      </c>
      <c r="U624" s="539">
        <v>60</v>
      </c>
      <c r="V624" s="540" t="s">
        <v>385</v>
      </c>
      <c r="X624" s="541" t="s">
        <v>446</v>
      </c>
      <c r="Y624" s="541" t="s">
        <v>387</v>
      </c>
    </row>
    <row r="625" spans="1:29" s="44" customFormat="1" ht="63" customHeight="1">
      <c r="A625" s="42" t="str">
        <f>"B"&amp;E620</f>
        <v>B21</v>
      </c>
      <c r="B625" s="605">
        <f t="shared" ref="B625:B633" si="123">IF(C625&lt;&gt;"",B624+1,"")</f>
        <v>2</v>
      </c>
      <c r="C625" s="581" t="s">
        <v>443</v>
      </c>
      <c r="D625" s="581" t="s">
        <v>559</v>
      </c>
      <c r="E625" s="581" t="s">
        <v>560</v>
      </c>
      <c r="F625" s="581" t="s">
        <v>431</v>
      </c>
      <c r="G625" s="534">
        <v>0.25</v>
      </c>
      <c r="H625" s="534" t="s">
        <v>385</v>
      </c>
      <c r="I625" s="579" t="s">
        <v>384</v>
      </c>
      <c r="J625" s="580" t="str">
        <f>IF(I625="","",IF(I625="I",$F620,VLOOKUP(I625,$C641:$D646,2,0)))</f>
        <v>INGENIEROS CONSULTORES Y CONSTRUCTORES ARG SAS</v>
      </c>
      <c r="K625" s="535">
        <v>39409</v>
      </c>
      <c r="L625" s="535">
        <v>39727</v>
      </c>
      <c r="M625" s="536">
        <v>677.27</v>
      </c>
      <c r="N625" s="232">
        <f t="shared" si="121"/>
        <v>169.3175</v>
      </c>
      <c r="O625" s="260">
        <f t="shared" si="122"/>
        <v>169.3175</v>
      </c>
      <c r="P625" s="781"/>
      <c r="Q625" s="782"/>
      <c r="R625" s="767"/>
      <c r="S625" s="768"/>
      <c r="T625" s="538" t="s">
        <v>385</v>
      </c>
      <c r="U625" s="539">
        <v>13</v>
      </c>
      <c r="V625" s="540" t="s">
        <v>385</v>
      </c>
      <c r="X625" s="541" t="s">
        <v>449</v>
      </c>
      <c r="Y625" s="541" t="s">
        <v>387</v>
      </c>
    </row>
    <row r="626" spans="1:29" s="44" customFormat="1" ht="68.25" customHeight="1">
      <c r="A626" s="42" t="str">
        <f>"C"&amp;E620</f>
        <v>C21</v>
      </c>
      <c r="B626" s="605">
        <f t="shared" si="123"/>
        <v>3</v>
      </c>
      <c r="C626" s="581" t="s">
        <v>424</v>
      </c>
      <c r="D626" s="581" t="s">
        <v>561</v>
      </c>
      <c r="E626" s="581" t="s">
        <v>562</v>
      </c>
      <c r="F626" s="581" t="s">
        <v>431</v>
      </c>
      <c r="G626" s="534">
        <v>0.25</v>
      </c>
      <c r="H626" s="534" t="s">
        <v>385</v>
      </c>
      <c r="I626" s="579" t="s">
        <v>384</v>
      </c>
      <c r="J626" s="580" t="str">
        <f>IF(I626="","",IF(I626="I",$F620,VLOOKUP(I626,$C641:$D646,2,0)))</f>
        <v>INGENIEROS CONSULTORES Y CONSTRUCTORES ARG SAS</v>
      </c>
      <c r="K626" s="535">
        <v>39007</v>
      </c>
      <c r="L626" s="535">
        <v>39188</v>
      </c>
      <c r="M626" s="536">
        <v>285.04000000000002</v>
      </c>
      <c r="N626" s="232">
        <f t="shared" si="121"/>
        <v>71.260000000000005</v>
      </c>
      <c r="O626" s="260">
        <f t="shared" si="122"/>
        <v>71.260000000000005</v>
      </c>
      <c r="P626" s="781"/>
      <c r="Q626" s="782"/>
      <c r="R626" s="767"/>
      <c r="S626" s="768"/>
      <c r="T626" s="538" t="s">
        <v>385</v>
      </c>
      <c r="U626" s="539">
        <v>5</v>
      </c>
      <c r="V626" s="540" t="s">
        <v>385</v>
      </c>
      <c r="X626" s="541" t="s">
        <v>449</v>
      </c>
      <c r="Y626" s="541" t="s">
        <v>387</v>
      </c>
    </row>
    <row r="627" spans="1:29" s="44" customFormat="1" ht="24.95" customHeight="1">
      <c r="A627" s="42" t="str">
        <f>"D"&amp;E620</f>
        <v>D21</v>
      </c>
      <c r="B627" s="605" t="str">
        <f t="shared" si="123"/>
        <v/>
      </c>
      <c r="C627" s="581"/>
      <c r="D627" s="581"/>
      <c r="E627" s="581"/>
      <c r="F627" s="581"/>
      <c r="G627" s="534"/>
      <c r="H627" s="534"/>
      <c r="I627" s="579"/>
      <c r="J627" s="580" t="str">
        <f>IF(I627="","",IF(I627="I",$F620,VLOOKUP(I627,$C641:$D646,2,0)))</f>
        <v/>
      </c>
      <c r="K627" s="535"/>
      <c r="L627" s="535"/>
      <c r="M627" s="536"/>
      <c r="N627" s="232" t="str">
        <f t="shared" si="121"/>
        <v/>
      </c>
      <c r="O627" s="260" t="str">
        <f t="shared" si="122"/>
        <v/>
      </c>
      <c r="P627" s="781"/>
      <c r="Q627" s="782"/>
      <c r="R627" s="767"/>
      <c r="S627" s="768"/>
      <c r="T627" s="538"/>
      <c r="U627" s="539"/>
      <c r="V627" s="540"/>
      <c r="X627" s="541"/>
      <c r="Y627" s="541"/>
    </row>
    <row r="628" spans="1:29" s="44" customFormat="1" ht="24.95" customHeight="1">
      <c r="A628" s="42" t="str">
        <f>"E"&amp;E620</f>
        <v>E21</v>
      </c>
      <c r="B628" s="605" t="str">
        <f t="shared" si="123"/>
        <v/>
      </c>
      <c r="C628" s="581"/>
      <c r="D628" s="581"/>
      <c r="E628" s="581"/>
      <c r="F628" s="581"/>
      <c r="G628" s="534"/>
      <c r="H628" s="534"/>
      <c r="I628" s="579"/>
      <c r="J628" s="580" t="str">
        <f>IF(I628="","",IF(I628="I",$F620,VLOOKUP(I628,$C641:$D646,2,0)))</f>
        <v/>
      </c>
      <c r="K628" s="535"/>
      <c r="L628" s="535"/>
      <c r="M628" s="536"/>
      <c r="N628" s="232" t="str">
        <f t="shared" si="121"/>
        <v/>
      </c>
      <c r="O628" s="260" t="str">
        <f t="shared" si="122"/>
        <v/>
      </c>
      <c r="P628" s="781"/>
      <c r="Q628" s="782"/>
      <c r="R628" s="767"/>
      <c r="S628" s="768"/>
      <c r="T628" s="538"/>
      <c r="U628" s="539"/>
      <c r="V628" s="540"/>
      <c r="X628" s="541"/>
      <c r="Y628" s="541"/>
    </row>
    <row r="629" spans="1:29" s="44" customFormat="1" ht="24.95" customHeight="1">
      <c r="A629" s="42" t="str">
        <f>"F"&amp;E620</f>
        <v>F21</v>
      </c>
      <c r="B629" s="605" t="str">
        <f t="shared" si="123"/>
        <v/>
      </c>
      <c r="C629" s="581"/>
      <c r="D629" s="581"/>
      <c r="E629" s="581"/>
      <c r="F629" s="581"/>
      <c r="G629" s="534"/>
      <c r="H629" s="534"/>
      <c r="I629" s="579"/>
      <c r="J629" s="580" t="str">
        <f>IF(I629="","",IF(I629="I",$F620,VLOOKUP(I629,$C641:$D646,2,0)))</f>
        <v/>
      </c>
      <c r="K629" s="535"/>
      <c r="L629" s="535"/>
      <c r="M629" s="536"/>
      <c r="N629" s="232" t="str">
        <f t="shared" si="121"/>
        <v/>
      </c>
      <c r="O629" s="260" t="str">
        <f t="shared" si="122"/>
        <v/>
      </c>
      <c r="P629" s="781"/>
      <c r="Q629" s="782"/>
      <c r="R629" s="767"/>
      <c r="S629" s="768"/>
      <c r="T629" s="538"/>
      <c r="U629" s="539"/>
      <c r="V629" s="540"/>
      <c r="X629" s="541"/>
      <c r="Y629" s="541"/>
    </row>
    <row r="630" spans="1:29" s="44" customFormat="1" ht="24.95" customHeight="1">
      <c r="A630" s="42" t="str">
        <f>"G"&amp;E620</f>
        <v>G21</v>
      </c>
      <c r="B630" s="605" t="str">
        <f t="shared" si="123"/>
        <v/>
      </c>
      <c r="C630" s="581"/>
      <c r="D630" s="581"/>
      <c r="E630" s="581"/>
      <c r="F630" s="581"/>
      <c r="G630" s="534"/>
      <c r="H630" s="534"/>
      <c r="I630" s="579"/>
      <c r="J630" s="580" t="str">
        <f>IF(I630="","",IF(I630="I",$F620,VLOOKUP(I630,$C641:$D646,2,0)))</f>
        <v/>
      </c>
      <c r="K630" s="535"/>
      <c r="L630" s="535"/>
      <c r="M630" s="536"/>
      <c r="N630" s="43" t="str">
        <f t="shared" si="121"/>
        <v/>
      </c>
      <c r="O630" s="260" t="str">
        <f t="shared" si="122"/>
        <v/>
      </c>
      <c r="P630" s="781"/>
      <c r="Q630" s="782"/>
      <c r="R630" s="767"/>
      <c r="S630" s="768"/>
      <c r="T630" s="538"/>
      <c r="U630" s="539"/>
      <c r="V630" s="540"/>
      <c r="X630" s="541"/>
      <c r="Y630" s="541"/>
    </row>
    <row r="631" spans="1:29" s="44" customFormat="1" ht="24.95" customHeight="1">
      <c r="A631" s="42" t="str">
        <f>"H"&amp;E620</f>
        <v>H21</v>
      </c>
      <c r="B631" s="605" t="str">
        <f t="shared" si="123"/>
        <v/>
      </c>
      <c r="C631" s="581"/>
      <c r="D631" s="581"/>
      <c r="E631" s="581"/>
      <c r="F631" s="581"/>
      <c r="G631" s="534"/>
      <c r="H631" s="534"/>
      <c r="I631" s="579"/>
      <c r="J631" s="580" t="str">
        <f>IF(I631="","",IF(I631="I",$F620,VLOOKUP(I631,$C641:$D646,2,0)))</f>
        <v/>
      </c>
      <c r="K631" s="535"/>
      <c r="L631" s="535"/>
      <c r="M631" s="537"/>
      <c r="N631" s="43" t="str">
        <f t="shared" si="121"/>
        <v/>
      </c>
      <c r="O631" s="260" t="str">
        <f t="shared" si="122"/>
        <v/>
      </c>
      <c r="P631" s="781"/>
      <c r="Q631" s="782"/>
      <c r="R631" s="767"/>
      <c r="S631" s="768"/>
      <c r="T631" s="538"/>
      <c r="U631" s="539"/>
      <c r="V631" s="540"/>
      <c r="X631" s="541"/>
      <c r="Y631" s="541"/>
    </row>
    <row r="632" spans="1:29" s="44" customFormat="1" ht="24.95" customHeight="1">
      <c r="A632" s="42" t="str">
        <f>"I"&amp;E620</f>
        <v>I21</v>
      </c>
      <c r="B632" s="605" t="str">
        <f t="shared" si="123"/>
        <v/>
      </c>
      <c r="C632" s="581"/>
      <c r="D632" s="581"/>
      <c r="E632" s="581"/>
      <c r="F632" s="581"/>
      <c r="G632" s="534"/>
      <c r="H632" s="534"/>
      <c r="I632" s="579"/>
      <c r="J632" s="580" t="str">
        <f>IF(I632="","",IF(I632="I",$F620,VLOOKUP(I632,$C641:$D646,2,0)))</f>
        <v/>
      </c>
      <c r="K632" s="535"/>
      <c r="L632" s="535"/>
      <c r="M632" s="537"/>
      <c r="N632" s="43" t="str">
        <f t="shared" si="121"/>
        <v/>
      </c>
      <c r="O632" s="260" t="str">
        <f t="shared" si="122"/>
        <v/>
      </c>
      <c r="P632" s="781"/>
      <c r="Q632" s="782"/>
      <c r="R632" s="767"/>
      <c r="S632" s="768"/>
      <c r="T632" s="538"/>
      <c r="U632" s="539"/>
      <c r="V632" s="540"/>
      <c r="X632" s="541"/>
      <c r="Y632" s="541"/>
    </row>
    <row r="633" spans="1:29" s="44" customFormat="1" ht="24.95" customHeight="1" thickBot="1">
      <c r="A633" s="42" t="str">
        <f>"J"&amp;E620</f>
        <v>J21</v>
      </c>
      <c r="B633" s="612" t="str">
        <f t="shared" si="123"/>
        <v/>
      </c>
      <c r="C633" s="582"/>
      <c r="D633" s="582"/>
      <c r="E633" s="582"/>
      <c r="F633" s="582"/>
      <c r="G633" s="583"/>
      <c r="H633" s="583"/>
      <c r="I633" s="584"/>
      <c r="J633" s="585" t="str">
        <f>IF(I633="","",IF(I633="I",$F620,VLOOKUP(I633,$C641:$D646,2,0)))</f>
        <v/>
      </c>
      <c r="K633" s="586"/>
      <c r="L633" s="586"/>
      <c r="M633" s="587"/>
      <c r="N633" s="43" t="str">
        <f t="shared" si="121"/>
        <v/>
      </c>
      <c r="O633" s="260" t="str">
        <f t="shared" si="122"/>
        <v/>
      </c>
      <c r="P633" s="781"/>
      <c r="Q633" s="782"/>
      <c r="R633" s="767"/>
      <c r="S633" s="768"/>
      <c r="T633" s="538"/>
      <c r="U633" s="539"/>
      <c r="V633" s="540"/>
      <c r="X633" s="541"/>
      <c r="Y633" s="541"/>
    </row>
    <row r="634" spans="1:29" s="27" customFormat="1" ht="12" customHeight="1" thickBot="1">
      <c r="A634" s="42"/>
      <c r="B634" s="45"/>
      <c r="C634" s="46"/>
      <c r="D634" s="46"/>
      <c r="E634" s="46"/>
      <c r="F634" s="46"/>
      <c r="G634" s="46"/>
      <c r="H634" s="606"/>
      <c r="I634" s="46"/>
      <c r="J634" s="46"/>
      <c r="K634" s="46"/>
      <c r="L634" s="46"/>
      <c r="M634" s="46"/>
      <c r="N634" s="46"/>
      <c r="O634" s="259"/>
      <c r="P634" s="46"/>
      <c r="Q634" s="46"/>
      <c r="R634" s="259"/>
      <c r="S634" s="46"/>
      <c r="T634" s="46"/>
      <c r="U634" s="47"/>
      <c r="V634" s="48"/>
      <c r="X634" s="592"/>
      <c r="Y634" s="593"/>
      <c r="AB634" s="378"/>
    </row>
    <row r="635" spans="1:29" s="27" customFormat="1" ht="17.25" customHeight="1" thickBot="1">
      <c r="A635" s="42" t="str">
        <f>"Z"&amp;E620</f>
        <v>Z21</v>
      </c>
      <c r="B635" s="510"/>
      <c r="C635" s="511"/>
      <c r="D635" s="511"/>
      <c r="E635" s="511"/>
      <c r="F635" s="511"/>
      <c r="G635" s="511"/>
      <c r="H635" s="511"/>
      <c r="I635" s="511"/>
      <c r="J635" s="511"/>
      <c r="K635" s="511"/>
      <c r="L635" s="511"/>
      <c r="M635" s="511"/>
      <c r="N635" s="437" t="s">
        <v>388</v>
      </c>
      <c r="O635" s="438">
        <f>IF(COUNTIF(O624:O633,"")&gt;9,0,SUM(O624:O633)/(COUNTIF(H624:H633,"SI")))</f>
        <v>1049.5973000000001</v>
      </c>
      <c r="P635" s="511"/>
      <c r="Q635" s="511"/>
      <c r="R635" s="530"/>
      <c r="S635" s="530"/>
      <c r="T635" s="531"/>
      <c r="U635" s="532"/>
      <c r="V635" s="533"/>
      <c r="W635" s="285"/>
      <c r="X635" s="613" t="e">
        <f>COUNTIF(#REF!,"")-COUNTIF(#REF!,"CUMPLE")-1</f>
        <v>#REF!</v>
      </c>
      <c r="Y635" s="591"/>
      <c r="AB635" s="28"/>
    </row>
    <row r="636" spans="1:29" ht="17.25" customHeight="1">
      <c r="B636" s="50"/>
      <c r="C636" s="50"/>
      <c r="D636" s="50"/>
      <c r="E636" s="50"/>
      <c r="F636" s="50"/>
      <c r="G636" s="51"/>
      <c r="H636" s="51"/>
      <c r="I636" s="51"/>
      <c r="J636" s="51"/>
      <c r="K636" s="51"/>
      <c r="L636" s="51"/>
      <c r="M636" s="51"/>
      <c r="N636" s="51"/>
      <c r="O636" s="51"/>
      <c r="P636" s="51"/>
      <c r="Q636" s="51"/>
      <c r="R636" s="51"/>
      <c r="S636" s="51"/>
      <c r="T636" s="51"/>
      <c r="U636" s="51"/>
      <c r="V636" s="51"/>
      <c r="W636" s="51"/>
      <c r="X636" s="608"/>
      <c r="Y636" s="51"/>
      <c r="Z636" s="51"/>
      <c r="AA636" s="51"/>
      <c r="AB636" s="51"/>
      <c r="AC636" s="50"/>
    </row>
    <row r="637" spans="1:29" s="27" customFormat="1" ht="16.5" customHeight="1" thickBot="1">
      <c r="A637" s="22"/>
      <c r="B637" s="783" t="s">
        <v>389</v>
      </c>
      <c r="C637" s="783"/>
      <c r="D637" s="783"/>
      <c r="E637" s="783"/>
      <c r="F637" s="783"/>
      <c r="G637" s="783"/>
      <c r="H637" s="783"/>
      <c r="I637" s="783"/>
      <c r="J637" s="783"/>
      <c r="K637" s="783"/>
      <c r="L637" s="783"/>
      <c r="M637" s="783"/>
      <c r="N637" s="783"/>
      <c r="O637" s="783"/>
      <c r="P637" s="783"/>
      <c r="Q637" s="783"/>
      <c r="R637" s="783"/>
      <c r="S637" s="783"/>
      <c r="T637" s="783"/>
      <c r="U637" s="783"/>
      <c r="V637" s="783"/>
      <c r="W637" s="286"/>
      <c r="X637" s="607"/>
      <c r="Y637" s="52"/>
      <c r="Z637" s="52"/>
      <c r="AA637" s="52"/>
      <c r="AB637" s="28"/>
      <c r="AC637" s="28"/>
    </row>
    <row r="638" spans="1:29" s="30" customFormat="1" ht="22.5" customHeight="1">
      <c r="A638" s="112" t="str">
        <f>"K"&amp;E620</f>
        <v>K21</v>
      </c>
      <c r="B638" s="790" t="s">
        <v>390</v>
      </c>
      <c r="C638" s="772" t="s">
        <v>391</v>
      </c>
      <c r="D638" s="773"/>
      <c r="E638" s="773"/>
      <c r="F638" s="773"/>
      <c r="G638" s="773"/>
      <c r="H638" s="773"/>
      <c r="I638" s="773"/>
      <c r="J638" s="773"/>
      <c r="K638" s="773"/>
      <c r="L638" s="773"/>
      <c r="M638" s="774"/>
      <c r="N638" s="525"/>
      <c r="O638" s="588"/>
      <c r="P638" s="772" t="s">
        <v>392</v>
      </c>
      <c r="Q638" s="773"/>
      <c r="R638" s="773"/>
      <c r="S638" s="774"/>
      <c r="T638" s="784" t="s">
        <v>393</v>
      </c>
      <c r="U638" s="774"/>
      <c r="V638" s="811"/>
      <c r="W638" s="284"/>
      <c r="X638" s="778" t="s">
        <v>394</v>
      </c>
      <c r="Y638" s="779"/>
      <c r="Z638" s="779"/>
      <c r="AA638" s="779" t="s">
        <v>395</v>
      </c>
      <c r="AB638" s="808" t="s">
        <v>396</v>
      </c>
      <c r="AC638" s="28"/>
    </row>
    <row r="639" spans="1:29" s="30" customFormat="1" ht="22.5" customHeight="1">
      <c r="A639" s="112" t="str">
        <f>"L"&amp;E620</f>
        <v>L21</v>
      </c>
      <c r="B639" s="791"/>
      <c r="C639" s="769" t="s">
        <v>397</v>
      </c>
      <c r="D639" s="770"/>
      <c r="E639" s="771"/>
      <c r="F639" s="512">
        <f>IF(VLOOKUP(E620,PROPONENTES!$C$19:$E$108,3,0)="","",VLOOKUP(E620,PROPONENTES!$C$19:$E$108,3,0))</f>
        <v>1</v>
      </c>
      <c r="G639" s="824" t="s">
        <v>398</v>
      </c>
      <c r="H639" s="793" t="s">
        <v>399</v>
      </c>
      <c r="I639" s="793"/>
      <c r="J639" s="769" t="s">
        <v>400</v>
      </c>
      <c r="K639" s="823"/>
      <c r="L639" s="513" t="s">
        <v>401</v>
      </c>
      <c r="M639" s="513"/>
      <c r="N639" s="526"/>
      <c r="O639" s="527"/>
      <c r="P639" s="775"/>
      <c r="Q639" s="776"/>
      <c r="R639" s="776"/>
      <c r="S639" s="777"/>
      <c r="T639" s="796"/>
      <c r="U639" s="797"/>
      <c r="V639" s="812"/>
      <c r="W639" s="284"/>
      <c r="X639" s="780" t="s">
        <v>402</v>
      </c>
      <c r="Y639" s="810" t="s">
        <v>403</v>
      </c>
      <c r="Z639" s="810"/>
      <c r="AA639" s="810"/>
      <c r="AB639" s="809"/>
      <c r="AC639" s="28"/>
    </row>
    <row r="640" spans="1:29" s="30" customFormat="1" ht="51.75" customHeight="1" thickBot="1">
      <c r="A640" s="112" t="str">
        <f>"M"&amp;E620</f>
        <v>M21</v>
      </c>
      <c r="B640" s="791"/>
      <c r="C640" s="770" t="s">
        <v>404</v>
      </c>
      <c r="D640" s="771"/>
      <c r="E640" s="514" t="s">
        <v>405</v>
      </c>
      <c r="F640" s="515" t="s">
        <v>406</v>
      </c>
      <c r="G640" s="824"/>
      <c r="H640" s="793"/>
      <c r="I640" s="793"/>
      <c r="J640" s="504" t="s">
        <v>407</v>
      </c>
      <c r="K640" s="516" t="s">
        <v>408</v>
      </c>
      <c r="L640" s="517" t="s">
        <v>409</v>
      </c>
      <c r="M640" s="517"/>
      <c r="N640" s="528" t="s">
        <v>410</v>
      </c>
      <c r="O640" s="529"/>
      <c r="P640" s="386"/>
      <c r="Q640" s="387" t="s">
        <v>411</v>
      </c>
      <c r="R640" s="388"/>
      <c r="S640" s="113">
        <f>COUNTIFS(H624:H633,"SI",O624:O633,"&gt;0")</f>
        <v>3</v>
      </c>
      <c r="T640" s="785"/>
      <c r="U640" s="787"/>
      <c r="V640" s="813"/>
      <c r="W640" s="284"/>
      <c r="X640" s="780"/>
      <c r="Y640" s="810"/>
      <c r="Z640" s="810"/>
      <c r="AA640" s="810"/>
      <c r="AB640" s="809"/>
      <c r="AC640" s="28"/>
    </row>
    <row r="641" spans="1:29" s="30" customFormat="1" ht="15.75" customHeight="1">
      <c r="A641" s="112" t="str">
        <f>"N"&amp;E620</f>
        <v>N21</v>
      </c>
      <c r="B641" s="791"/>
      <c r="C641" s="54">
        <v>1</v>
      </c>
      <c r="D641" s="100" t="str">
        <f>IF(AND(C641&lt;=F639,F639&gt;1,F639&lt;&gt;""),VLOOKUP(VALUE(E620&amp;","&amp;C641),INTEGRANTES!$D$19:$F$192,2,0),"")</f>
        <v/>
      </c>
      <c r="E641" s="107" t="str">
        <f>IF(D641&lt;&gt;"",VLOOKUP(VALUE(E620&amp;","&amp;C641),INTEGRANTES!$D$19:$F$192,3,0),"")</f>
        <v/>
      </c>
      <c r="F641" s="380" t="str">
        <f>IF(D641="","",IF(OR(SUMIF($J627:$J633,D641,$O627:$O633)=0,N641="NO"),"NO APORTA",SUMIF($J627:$J633,D641,$O627:$O633)))</f>
        <v/>
      </c>
      <c r="G641" s="380" t="str">
        <f>IF($D641="","",IF($F639&lt;=1,"",ROUND(POSMMLV*PORPO,2)))</f>
        <v/>
      </c>
      <c r="H641" s="765" t="str">
        <f>IF($D641="","",IF(OR(F641="NO APORTA",G641&gt;F641),"NO CUMPLE","CUMPLE"))</f>
        <v/>
      </c>
      <c r="I641" s="766"/>
      <c r="J641" s="108" t="str">
        <f>IF(D641="","",IF(OR(AND(SUMIF($J624:$J633,D641,$O624:$O633)&gt;=5%*POSMMLV,N641="SI"),AND(SUMIF($J624:$J633,D641,$O624:$O633)=0,E641&lt;=5%,N641="SI")),"CUMPLE","NO CUMPLE"))</f>
        <v/>
      </c>
      <c r="K641" s="105" t="str">
        <f>IF(OR(D641="",J641=""),"",IF(AND(J641="NO CUMPLE",F641="NO APORTA",E641&gt;5%),"EXP = 0 y PART &gt; 5%",IF(F641&lt;5%*Q646,"EXP &lt; 5%*PO","")))</f>
        <v/>
      </c>
      <c r="L641" s="389" t="str">
        <f>IF(OR(D641="",E641=""),"",IF(AND(E641&gt;=0.25,F641&lt;&gt;"NO APORTA",F641&gt;=$R646*0.25),"SI","NO"))</f>
        <v/>
      </c>
      <c r="M641" s="389"/>
      <c r="N641" s="468" t="s">
        <v>385</v>
      </c>
      <c r="O641" s="396">
        <f>COUNTIFS(O624:O633,"&gt;0",H624:H633,"SI")</f>
        <v>3</v>
      </c>
      <c r="P641" s="814" t="s">
        <v>139</v>
      </c>
      <c r="Q641" s="814"/>
      <c r="R641" s="817">
        <f>E620</f>
        <v>21</v>
      </c>
      <c r="S641" s="818"/>
      <c r="T641" s="784" t="s">
        <v>412</v>
      </c>
      <c r="U641" s="773"/>
      <c r="V641" s="774"/>
      <c r="W641" s="283"/>
      <c r="X641" s="542" t="str">
        <f>IF($F639=1,"NO APLICA",$D641)</f>
        <v>NO APLICA</v>
      </c>
      <c r="Y641" s="543" t="str">
        <f>IF(OR($F641="",$F641="NO APORTA",$R646=0,$X641="NO APLICA"),"",ROUND($F641/$Q646,2))</f>
        <v/>
      </c>
      <c r="Z641" s="544" t="str">
        <f>IF(Y647=1,"SI APLICA",IF(OR($X641="",$X641="NO APLICA",$F641="",$F641="NO APORTA"),"",IF(ROUND($F641/Q646,7)&gt;=0.4,"SI APLICA","NO APLICA")))</f>
        <v>SI APLICA</v>
      </c>
      <c r="AA641" s="543" t="s">
        <v>413</v>
      </c>
      <c r="AB641" s="540" t="str">
        <f>IF(COUNTIF(Z641:AA641,"SI APLICA")=2,"SI APLICA","")</f>
        <v>SI APLICA</v>
      </c>
      <c r="AC641" s="28"/>
    </row>
    <row r="642" spans="1:29" s="30" customFormat="1" ht="15.75" customHeight="1" thickBot="1">
      <c r="A642" s="112" t="str">
        <f>"O"&amp;E620</f>
        <v>O21</v>
      </c>
      <c r="B642" s="791"/>
      <c r="C642" s="54">
        <v>2</v>
      </c>
      <c r="D642" s="100" t="str">
        <f>IF(AND(C642&lt;=F639,F639&lt;&gt;""),VLOOKUP(VALUE(E620&amp;","&amp;C642),INTEGRANTES!$D$19:$F$192,2,0),"")</f>
        <v/>
      </c>
      <c r="E642" s="107" t="str">
        <f>IF(D642&lt;&gt;"",VLOOKUP(VALUE(E620&amp;","&amp;C642),INTEGRANTES!$D$19:$F$192,3,0),"")</f>
        <v/>
      </c>
      <c r="F642" s="380" t="str">
        <f>IF(D642="","",IF(OR(SUMIF($J627:$J633,D642,$O627:$O633)=0,N642="NO"),"NO APORTA",SUMIF($J627:$J633,D642,$O627:$O633)))</f>
        <v/>
      </c>
      <c r="G642" s="380" t="str">
        <f>IF($D642="","",IF($F639&lt;=1,"",ROUND(POSMMLV*PORPO,2)))</f>
        <v/>
      </c>
      <c r="H642" s="765" t="str">
        <f t="shared" ref="H642:H645" si="124">IF($D642="","",IF(OR(F642="NO APORTA",G642&gt;F642),"NO CUMPLE","CUMPLE"))</f>
        <v/>
      </c>
      <c r="I642" s="766"/>
      <c r="J642" s="108" t="str">
        <f>IF(D642="","",IF(OR(AND(SUMIF($J624:$J633,D642,$O624:$O633)&gt;=5%*POSMMLV,N642="SI"),AND(SUMIF($J624:$J633,D642,$O624:$O633)=0,E642&lt;=5%,N642="SI")),"CUMPLE","NO CUMPLE"))</f>
        <v/>
      </c>
      <c r="K642" s="105" t="str">
        <f>IF(OR(D642="",J642=""),"",IF(AND(J642="NO CUMPLE",F642="NO APORTA",E642&gt;5%),"EXP = 0 y PART &gt; 5%",IF(F642&lt;5%*Q646,"EXP &lt; 5%*PO","")))</f>
        <v/>
      </c>
      <c r="L642" s="389" t="str">
        <f>IF(OR(D642="",E642=""),"",IF(AND(E642&gt;=0.25,F642&lt;&gt;"NO APORTA",F642&gt;=$R646*0.25),"SI","NO"))</f>
        <v/>
      </c>
      <c r="M642" s="389"/>
      <c r="N642" s="468" t="s">
        <v>385</v>
      </c>
      <c r="O642" s="396"/>
      <c r="P642" s="815"/>
      <c r="Q642" s="815"/>
      <c r="R642" s="815"/>
      <c r="S642" s="819"/>
      <c r="T642" s="785"/>
      <c r="U642" s="786"/>
      <c r="V642" s="787"/>
      <c r="W642" s="283"/>
      <c r="X642" s="542" t="str">
        <f>IF($F639=1,"NO APLICA",$D642)</f>
        <v>NO APLICA</v>
      </c>
      <c r="Y642" s="543" t="str">
        <f>IF(OR($F642="",$F642="NO APORTA",$R646=0,$X642="NO APLICA"),"",ROUND($F642/$Q646,2))</f>
        <v/>
      </c>
      <c r="Z642" s="544"/>
      <c r="AA642" s="543"/>
      <c r="AB642" s="540" t="str">
        <f t="shared" ref="AB642" si="125">IF(COUNTIF(Z642:AA642,"SI APLICA")=2,"SI APLICA","")</f>
        <v/>
      </c>
      <c r="AC642" s="28"/>
    </row>
    <row r="643" spans="1:29" s="30" customFormat="1" ht="15.75" customHeight="1">
      <c r="A643" s="112" t="str">
        <f>"P"&amp;E620</f>
        <v>P21</v>
      </c>
      <c r="B643" s="791"/>
      <c r="C643" s="54">
        <v>3</v>
      </c>
      <c r="D643" s="100" t="str">
        <f>IF(AND(C643&lt;=F639,F639&lt;&gt;""),VLOOKUP(VALUE(E620&amp;","&amp;C643),INTEGRANTES!$D$19:$F$192,2,0),"")</f>
        <v/>
      </c>
      <c r="E643" s="107" t="str">
        <f>IF(D643&lt;&gt;"",VLOOKUP(VALUE(E620&amp;","&amp;C643),INTEGRANTES!$D$19:$F$192,3,0),"")</f>
        <v/>
      </c>
      <c r="F643" s="380" t="str">
        <f>IF(D643="","",IF(OR(SUMIF($J627:$J633,D643,$O627:$O633)=0,N643="NO"),"NO APORTA",SUMIF($J627:$J633,D643,$O627:$O633)))</f>
        <v/>
      </c>
      <c r="G643" s="380" t="str">
        <f>IF($D643="","",IF($F639&lt;=1,"",ROUND(POSMMLV*PORPO,2)))</f>
        <v/>
      </c>
      <c r="H643" s="765" t="str">
        <f t="shared" si="124"/>
        <v/>
      </c>
      <c r="I643" s="766"/>
      <c r="J643" s="108" t="str">
        <f>IF(D643="","",IF(OR(AND(SUMIF($J624:$J633,D643,$O624:$O633)&gt;=5%*POSMMLV,N643="SI"),AND(SUMIF($J624:$J633,D643,$O624:$O633)=0,E643&lt;=5%,N643="SI")),"CUMPLE","NO CUMPLE"))</f>
        <v/>
      </c>
      <c r="K643" s="105" t="str">
        <f>IF(OR(D643="",J643=""),"",IF(AND(J643="NO CUMPLE",F643="NO APORTA",E643&gt;5%),"EXP = 0 y PART &gt; 5%",IF(F643&lt;5%*Q646,"EXP &lt; 5%*PO","")))</f>
        <v/>
      </c>
      <c r="L643" s="389" t="str">
        <f>IF(OR(D643="",E643=""),"",IF(AND(E643&gt;=0.25,F643&lt;&gt;"NO APORTA",F643&gt;=$R646*0.25),"SI","NO"))</f>
        <v/>
      </c>
      <c r="M643" s="389"/>
      <c r="N643" s="468"/>
      <c r="O643" s="397"/>
      <c r="P643" s="816"/>
      <c r="Q643" s="816"/>
      <c r="R643" s="816"/>
      <c r="S643" s="820"/>
      <c r="T643" s="308"/>
      <c r="U643" s="308"/>
      <c r="V643" s="309"/>
      <c r="W643" s="284"/>
      <c r="X643" s="542" t="str">
        <f>IF($F639=1,"NO APLICA",$D643)</f>
        <v>NO APLICA</v>
      </c>
      <c r="Y643" s="543" t="str">
        <f>IF(OR($F643="",$F643="NO APORTA",$R646=0,$X643="NO APLICA"),"",ROUND($F643/$Q646,2))</f>
        <v/>
      </c>
      <c r="Z643" s="544"/>
      <c r="AA643" s="543"/>
      <c r="AB643" s="540" t="str">
        <f>IF(COUNTIF(Z643:AA643,"SI APLICA")=2,"SI APLICA","")</f>
        <v/>
      </c>
      <c r="AC643" s="28"/>
    </row>
    <row r="644" spans="1:29" s="30" customFormat="1" ht="15.75" customHeight="1">
      <c r="A644" s="112" t="str">
        <f>"Q"&amp;E620</f>
        <v>Q21</v>
      </c>
      <c r="B644" s="791"/>
      <c r="C644" s="54">
        <v>4</v>
      </c>
      <c r="D644" s="100" t="str">
        <f>IF(AND(C644&lt;=F639,F639&lt;&gt;""),VLOOKUP(VALUE(E620&amp;","&amp;C644),INTEGRANTES!$D$19:$F$192,2,0),"")</f>
        <v/>
      </c>
      <c r="E644" s="107" t="str">
        <f>IF(D644&lt;&gt;"",VLOOKUP(VALUE(E620&amp;","&amp;C644),INTEGRANTES!$D$19:$F$192,3,0),"")</f>
        <v/>
      </c>
      <c r="F644" s="380" t="str">
        <f>IF(D644="","",IF(OR(SUMIF($J627:$J633,D644,$O627:$O633)=0,N644="NO"),"NO APORTA",SUMIF($J627:$J633,D644,$O627:$O633)))</f>
        <v/>
      </c>
      <c r="G644" s="380" t="str">
        <f>IF($D644="","",IF($F639&lt;=1,"",ROUND(POSMMLV*PORPO,2)))</f>
        <v/>
      </c>
      <c r="H644" s="765" t="str">
        <f t="shared" si="124"/>
        <v/>
      </c>
      <c r="I644" s="766"/>
      <c r="J644" s="108" t="str">
        <f>IF(D644="","",IF(OR(AND(SUMIF($J624:$J633,D644,$O624:$O633)&gt;=5%*POSMMLV,N644="SI"),AND(SUMIF($J624:$J633,D644,$O624:$O633)=0,E644&lt;=5%,N644="SI")),"CUMPLE","NO CUMPLE"))</f>
        <v/>
      </c>
      <c r="K644" s="105" t="str">
        <f>IF(OR(D644="",J644=""),"",IF(AND(J644="NO CUMPLE",F644="NO APORTA",E644&gt;5%),"EXP = 0 y PART &gt; 5%",IF(F644&lt;5%*Q646,"EXP &lt; 5%*PO","")))</f>
        <v/>
      </c>
      <c r="L644" s="389" t="str">
        <f>IF(OR(D644="",E644=""),"",IF(AND(E644&gt;=0.25,F644&lt;&gt;"NO APORTA",F644&gt;=$R646*0.25),"SI","NO"))</f>
        <v/>
      </c>
      <c r="M644" s="389"/>
      <c r="N644" s="468"/>
      <c r="O644" s="788" t="s">
        <v>414</v>
      </c>
      <c r="P644" s="769" t="s">
        <v>415</v>
      </c>
      <c r="Q644" s="770"/>
      <c r="R644" s="770"/>
      <c r="S644" s="771"/>
      <c r="T644" s="284"/>
      <c r="U644" s="284"/>
      <c r="V644" s="310"/>
      <c r="W644" s="284"/>
      <c r="X644" s="542" t="str">
        <f>IF($F639=1,"NO APLICA",$D644)</f>
        <v>NO APLICA</v>
      </c>
      <c r="Y644" s="543" t="str">
        <f>IF(OR($F644="",$F644="NO APORTA",$R646=0,$X644="NO APLICA"),"",ROUND($F644/$Q646,2))</f>
        <v/>
      </c>
      <c r="Z644" s="544"/>
      <c r="AA644" s="543"/>
      <c r="AB644" s="540" t="str">
        <f t="shared" ref="AB644:AB645" si="126">IF(COUNTIF(Z644:AA644,"SI APLICA")=2,"SI APLICA","")</f>
        <v/>
      </c>
      <c r="AC644" s="28"/>
    </row>
    <row r="645" spans="1:29" s="30" customFormat="1" ht="17.25" customHeight="1">
      <c r="A645" s="112" t="str">
        <f>"R"&amp;E620</f>
        <v>R21</v>
      </c>
      <c r="B645" s="791"/>
      <c r="C645" s="54">
        <v>5</v>
      </c>
      <c r="D645" s="100" t="str">
        <f>IF(AND(C645&lt;=F639,F639&lt;&gt;""),VLOOKUP(VALUE(E620&amp;","&amp;C645),INTEGRANTES!$D$19:$F$192,2,0),"")</f>
        <v/>
      </c>
      <c r="E645" s="107" t="str">
        <f>IF(D645&lt;&gt;"",VLOOKUP(VALUE(E620&amp;","&amp;C645),INTEGRANTES!$D$19:$F$192,3,0),"")</f>
        <v/>
      </c>
      <c r="F645" s="380" t="str">
        <f>IF(D645="","",IF(OR(SUMIF($J627:$J633,D645,$O627:$O633)=0,N645="NO"),"NO APORTA",SUMIF($J627:$J633,D645,$O627:$O633)))</f>
        <v/>
      </c>
      <c r="G645" s="380" t="str">
        <f>IF($D645="","",IF($F639&lt;=1,"",ROUND(POSMMLV*PORPO,2)))</f>
        <v/>
      </c>
      <c r="H645" s="765" t="str">
        <f t="shared" si="124"/>
        <v/>
      </c>
      <c r="I645" s="766"/>
      <c r="J645" s="108" t="str">
        <f>IF(D645="","",IF(OR(AND(SUMIF($J624:$J633,D645,$O624:$O633)&gt;=5%*POSMMLV,N645="SI"),AND(SUMIF($J624:$J633,D645,$O624:$O633)=0,E645&lt;=5%,N645="SI")),"CUMPLE","NO CUMPLE"))</f>
        <v/>
      </c>
      <c r="K645" s="105" t="str">
        <f>IF(OR(D645="",J645=""),"",IF(AND(J645="NO CUMPLE",F645="NO APORTA",E645&gt;5%),"EXP = 0 y PART &gt; 5%",IF(F645&lt;5%*Q646,"EXP &lt; 5%*PO","")))</f>
        <v/>
      </c>
      <c r="L645" s="389" t="str">
        <f>IF(OR(D645="",E645=""),"",IF(AND(E645&gt;=0.25,F645&lt;&gt;"NO APORTA",F645&gt;=$R646*0.25),"SI","NO"))</f>
        <v/>
      </c>
      <c r="M645" s="389"/>
      <c r="N645" s="468"/>
      <c r="O645" s="789"/>
      <c r="P645" s="504" t="s">
        <v>416</v>
      </c>
      <c r="Q645" s="504" t="s">
        <v>417</v>
      </c>
      <c r="R645" s="793" t="s">
        <v>418</v>
      </c>
      <c r="S645" s="793"/>
      <c r="T645" s="284"/>
      <c r="U645" s="284"/>
      <c r="V645" s="310"/>
      <c r="W645" s="284"/>
      <c r="X645" s="542" t="str">
        <f>IF($F639=1,"NO APLICA",$D645)</f>
        <v>NO APLICA</v>
      </c>
      <c r="Y645" s="543" t="str">
        <f>IF(OR($F645="",$F645="NO APORTA",$R646=0,$X645="NO APLICA"),"",ROUND($F645/$Q646,2))</f>
        <v/>
      </c>
      <c r="Z645" s="544"/>
      <c r="AA645" s="543"/>
      <c r="AB645" s="540" t="str">
        <f t="shared" si="126"/>
        <v/>
      </c>
      <c r="AC645" s="28"/>
    </row>
    <row r="646" spans="1:29" s="30" customFormat="1" ht="16.5" customHeight="1" thickBot="1">
      <c r="A646" s="112" t="str">
        <f>"S"&amp;E620</f>
        <v>S21</v>
      </c>
      <c r="B646" s="791"/>
      <c r="C646" s="109">
        <v>6</v>
      </c>
      <c r="D646" s="110" t="str">
        <f>IF(AND(C646&lt;=F639,F639&lt;&gt;""),VLOOKUP(VALUE(E620&amp;","&amp;C646),INTEGRANTES!$D$19:$F$192,2,0),"")</f>
        <v/>
      </c>
      <c r="E646" s="111" t="str">
        <f>IF(D646&lt;&gt;"",VLOOKUP(VALUE(E620&amp;","&amp;C646),INTEGRANTES!$D$19:$F$192,3,0),"")</f>
        <v/>
      </c>
      <c r="F646" s="380" t="str">
        <f>IF(D646="","",IF(OR(SUMIF($J627:$J633,D646,$O627:$O633)=0,N646="NO"),"NO APORTA",SUMIF($J627:$J633,D646,$O627:$O633)))</f>
        <v/>
      </c>
      <c r="G646" s="380" t="str">
        <f>IF($D646="","",IF($F639&lt;=1,"",ROUND(POSMMLV*PORPO,2)))</f>
        <v/>
      </c>
      <c r="H646" s="765" t="str">
        <f>IF($D646="","",IF(OR(F646="NO APORTA",G646&gt;F646),"NO CUMPLE","CUMPLE"))</f>
        <v/>
      </c>
      <c r="I646" s="766"/>
      <c r="J646" s="108" t="str">
        <f>IF(D646="","",IF(OR(AND(SUMIF($J624:$J633,D646,$O624:$O633)&gt;=5%*POSMMLV,N646="SI"),AND(SUMIF($J624:$J633,D646,$O624:$O633)=0,E646&lt;=5%,N646="SI")),"CUMPLE","NO CUMPLE"))</f>
        <v/>
      </c>
      <c r="K646" s="105" t="str">
        <f>IF(OR(D646="",J646=""),"",IF(AND(J646="NO CUMPLE",F646="NO APORTA",E646&gt;5%),"EXP = 0 y PART &gt; 5%",IF(F646&lt;5%*Q646,"EXP &lt; 5%*PO","")))</f>
        <v/>
      </c>
      <c r="L646" s="389" t="str">
        <f>IF(OR(D646="",E646=""),"",IF(AND(E646&gt;=0.25,F646&lt;&gt;"NO APORTA",F646&gt;=$R646*0.25),"SI","NO"))</f>
        <v/>
      </c>
      <c r="M646" s="389"/>
      <c r="N646" s="468"/>
      <c r="O646" s="403" t="str">
        <f ca="1">IF(R646&gt;=Q646,"CUMPLE","NO CUMPLE")</f>
        <v>CUMPLE</v>
      </c>
      <c r="P646" s="312">
        <f>NUMMOD</f>
        <v>1</v>
      </c>
      <c r="Q646" s="313">
        <f ca="1">IF(P646="","",ROUND(VLOOKUP(P646,PRESUPUESTOS!$B$16:$L$16,9,FALSE),7))</f>
        <v>300</v>
      </c>
      <c r="R646" s="834">
        <f>IF(OR(COUNTIF(O624:O633,"")&gt;9,S640&lt;NUMMINCONT),0,SUM(O624:O633))</f>
        <v>3148.7919000000002</v>
      </c>
      <c r="S646" s="834"/>
      <c r="T646" s="284"/>
      <c r="U646" s="284"/>
      <c r="V646" s="310"/>
      <c r="W646" s="284"/>
      <c r="X646" s="545" t="str">
        <f>IF($F639=1,"NO APLICA",$D646)</f>
        <v>NO APLICA</v>
      </c>
      <c r="Y646" s="543" t="str">
        <f>IF(OR($F646="",$F646="NO APORTA",$R646=0,$X646="NO APLICA"),"",ROUND($F646/$Q646,2))</f>
        <v/>
      </c>
      <c r="Z646" s="544"/>
      <c r="AA646" s="546"/>
      <c r="AB646" s="540" t="str">
        <f>IF(COUNTIF(Z646:AA646,"SI APLICA")=2,"SI APLICA","")</f>
        <v/>
      </c>
      <c r="AC646" s="28"/>
    </row>
    <row r="647" spans="1:29" s="30" customFormat="1" ht="16.5" customHeight="1" thickBot="1">
      <c r="A647" s="112" t="str">
        <f>"T"&amp;E620</f>
        <v>T21</v>
      </c>
      <c r="B647" s="792"/>
      <c r="C647" s="821" t="s">
        <v>419</v>
      </c>
      <c r="D647" s="822"/>
      <c r="E647" s="822"/>
      <c r="F647" s="518"/>
      <c r="G647" s="519"/>
      <c r="H647" s="794" t="str">
        <f>IF(OR($F639="",SUM(E641:E646)=0),"",IF(COUNTIF(H641:H646,"CUMPLE")&gt;=1,"CUMPLE","NO CUMPLE"))</f>
        <v/>
      </c>
      <c r="I647" s="795"/>
      <c r="J647" s="314" t="str">
        <f>IF(COUNTIF(J641:J646,"")&gt;5,"",IF(COUNTIF(J641:J646,"NO CUMPLE")&gt;0,"NO CUMPLE","CUMPLE"))</f>
        <v/>
      </c>
      <c r="K647" s="314" t="str">
        <f>IF(OR(AND(F639=1,N641="SI"),AND(COUNTIF(H647:J647,"CUMPLE")=2)),"CUMPLE","NO CUMPLE")</f>
        <v>CUMPLE</v>
      </c>
      <c r="L647" s="519"/>
      <c r="M647" s="519"/>
      <c r="N647" s="519"/>
      <c r="O647" s="833" t="str">
        <f ca="1">IF(ISNUMBER(F620),"",IF(AND(O646="NO CUMPLE",SUM(N627:N633)&lt;Q646),"EL PROPONENTE SE DEBE REQUERIR POR EXPERIENCIA MINIMA EXIGIDA",""))</f>
        <v/>
      </c>
      <c r="P647" s="833"/>
      <c r="Q647" s="833"/>
      <c r="R647" s="833"/>
      <c r="S647" s="833"/>
      <c r="T647" s="522"/>
      <c r="U647" s="523"/>
      <c r="V647" s="524"/>
      <c r="W647" s="284"/>
      <c r="X647" s="364" t="str">
        <f>IF(Y647=1,"PROPONENTE INDIVIDUAL","PROPONENTE PLURAL")</f>
        <v>PROPONENTE INDIVIDUAL</v>
      </c>
      <c r="Y647" s="276">
        <f>F639</f>
        <v>1</v>
      </c>
      <c r="Z647" s="277" t="str">
        <f>IF(OR(AND(Z641="SI APLICA",AA641="SI APLICA"),AND(Z642="SI APLICA",AA642="SI APLICA"),AND(Z643="SI APLICA",AA643="SI APLICA"),AND(Z644="SI APLICA",AA644="SI APLICA"),AND(Z645="SI APLICA",AA645="SI APLICA"),AND(Z646="SI APLICA",AA646="SI APLICA")),"SI APLICA","NO APLICA")</f>
        <v>SI APLICA</v>
      </c>
      <c r="AA647" s="278" t="str">
        <f>IF(OR(AND(AA641="SI APLICA",AB641="SI APLICA"),AND(AA642="SI APLICA",AB642="SI APLICA"),AND(AA643="SI APLICA",AB643="SI APLICA"),AND(AA644="SI APLICA",AB644="SI APLICA"),AND(AA645="SI APLICA",AB645="SI APLICA"),AND(AA646="SI APLICA",AB646="SI APLICA")),"SI APLICA","NO APLICA")</f>
        <v>SI APLICA</v>
      </c>
      <c r="AB647" s="278" t="str">
        <f>IF(COUNTIF(AB641:AB646,"SI APLICA")&gt;0,"SI APLICA","NO APLICA")</f>
        <v>SI APLICA</v>
      </c>
      <c r="AC647" s="28"/>
    </row>
    <row r="648" spans="1:29" ht="24.95" customHeight="1"/>
    <row r="649" spans="1:29" ht="24.95" customHeight="1"/>
    <row r="650" spans="1:29" s="41" customFormat="1" ht="24" thickBot="1">
      <c r="A650" s="34">
        <v>22</v>
      </c>
      <c r="B650" s="828" t="s">
        <v>355</v>
      </c>
      <c r="C650" s="828"/>
      <c r="D650" s="828"/>
      <c r="E650" s="35">
        <f>VLOOKUP(A650,PROPONENTES!$B$19:$E$108,2,FALSE)</f>
        <v>22</v>
      </c>
      <c r="F650" s="36" t="str">
        <f>VLOOKUP(A650,PROPONENTES!$B$19:$E$108,3,FALSE)</f>
        <v>CONSORCIO GABRIELA TOLIMA</v>
      </c>
      <c r="G650" s="37"/>
      <c r="H650" s="37"/>
      <c r="I650" s="36"/>
      <c r="J650" s="36"/>
      <c r="K650" s="36"/>
      <c r="L650" s="36"/>
      <c r="M650" s="38"/>
      <c r="N650" s="38"/>
      <c r="O650" s="37"/>
      <c r="P650" s="37"/>
      <c r="Q650" s="39"/>
      <c r="R650" s="39"/>
      <c r="S650" s="39"/>
      <c r="T650" s="39"/>
      <c r="U650" s="40"/>
      <c r="Y650" s="52"/>
      <c r="Z650" s="52"/>
      <c r="AA650" s="52"/>
      <c r="AB650" s="28"/>
      <c r="AC650" s="28"/>
    </row>
    <row r="651" spans="1:29" s="27" customFormat="1" ht="24.75" customHeight="1">
      <c r="A651" s="22"/>
      <c r="B651" s="829" t="s">
        <v>356</v>
      </c>
      <c r="C651" s="501" t="s">
        <v>357</v>
      </c>
      <c r="D651" s="502" t="s">
        <v>358</v>
      </c>
      <c r="E651" s="502"/>
      <c r="F651" s="502" t="s">
        <v>359</v>
      </c>
      <c r="G651" s="503"/>
      <c r="H651" s="803" t="s">
        <v>360</v>
      </c>
      <c r="I651" s="831" t="s">
        <v>361</v>
      </c>
      <c r="J651" s="803" t="s">
        <v>362</v>
      </c>
      <c r="K651" s="803" t="s">
        <v>363</v>
      </c>
      <c r="L651" s="803" t="s">
        <v>364</v>
      </c>
      <c r="M651" s="803" t="s">
        <v>365</v>
      </c>
      <c r="N651" s="804" t="s">
        <v>366</v>
      </c>
      <c r="O651" s="805"/>
      <c r="P651" s="806" t="s">
        <v>367</v>
      </c>
      <c r="Q651" s="807"/>
      <c r="R651" s="784" t="s">
        <v>368</v>
      </c>
      <c r="S651" s="774"/>
      <c r="T651" s="798" t="s">
        <v>369</v>
      </c>
      <c r="U651" s="799"/>
      <c r="V651" s="800"/>
      <c r="X651" s="520"/>
      <c r="Y651" s="520"/>
    </row>
    <row r="652" spans="1:29" s="27" customFormat="1" ht="94.5" customHeight="1">
      <c r="A652" s="22"/>
      <c r="B652" s="830"/>
      <c r="C652" s="504" t="s">
        <v>370</v>
      </c>
      <c r="D652" s="505" t="s">
        <v>41</v>
      </c>
      <c r="E652" s="505" t="s">
        <v>371</v>
      </c>
      <c r="F652" s="505" t="s">
        <v>372</v>
      </c>
      <c r="G652" s="506" t="s">
        <v>373</v>
      </c>
      <c r="H652" s="793"/>
      <c r="I652" s="832"/>
      <c r="J652" s="793"/>
      <c r="K652" s="793"/>
      <c r="L652" s="793"/>
      <c r="M652" s="793"/>
      <c r="N652" s="504" t="s">
        <v>374</v>
      </c>
      <c r="O652" s="505" t="s">
        <v>375</v>
      </c>
      <c r="P652" s="801"/>
      <c r="Q652" s="802"/>
      <c r="R652" s="796"/>
      <c r="S652" s="797"/>
      <c r="T652" s="507" t="s">
        <v>376</v>
      </c>
      <c r="U652" s="508" t="s">
        <v>377</v>
      </c>
      <c r="V652" s="509" t="s">
        <v>378</v>
      </c>
      <c r="X652" s="521" t="s">
        <v>379</v>
      </c>
      <c r="Y652" s="521" t="s">
        <v>380</v>
      </c>
    </row>
    <row r="653" spans="1:29" s="27" customFormat="1" ht="15" customHeight="1">
      <c r="A653" s="22"/>
      <c r="B653" s="594"/>
      <c r="C653" s="595">
        <v>3</v>
      </c>
      <c r="D653" s="595">
        <v>4</v>
      </c>
      <c r="E653" s="595">
        <v>5</v>
      </c>
      <c r="F653" s="595">
        <v>6</v>
      </c>
      <c r="G653" s="595">
        <v>7</v>
      </c>
      <c r="H653" s="595">
        <v>8</v>
      </c>
      <c r="I653" s="595">
        <v>9</v>
      </c>
      <c r="J653" s="595">
        <v>10</v>
      </c>
      <c r="K653" s="595">
        <v>11</v>
      </c>
      <c r="L653" s="595">
        <v>12</v>
      </c>
      <c r="M653" s="595">
        <v>13</v>
      </c>
      <c r="N653" s="595">
        <v>14</v>
      </c>
      <c r="O653" s="595">
        <v>15</v>
      </c>
      <c r="P653" s="596">
        <v>16</v>
      </c>
      <c r="Q653" s="597">
        <v>17</v>
      </c>
      <c r="R653" s="596">
        <v>18</v>
      </c>
      <c r="S653" s="597">
        <v>19</v>
      </c>
      <c r="T653" s="598">
        <v>20</v>
      </c>
      <c r="U653" s="255">
        <v>21</v>
      </c>
      <c r="V653" s="599">
        <v>22</v>
      </c>
      <c r="X653" s="589"/>
      <c r="Y653" s="590"/>
    </row>
    <row r="654" spans="1:29" s="44" customFormat="1" ht="51">
      <c r="A654" s="42" t="str">
        <f>"A"&amp;E650</f>
        <v>A22</v>
      </c>
      <c r="B654" s="605">
        <f>IF(C654&lt;&gt;"",B653+1,"")</f>
        <v>1</v>
      </c>
      <c r="C654" s="581" t="s">
        <v>563</v>
      </c>
      <c r="D654" s="581" t="s">
        <v>564</v>
      </c>
      <c r="E654" s="581" t="s">
        <v>565</v>
      </c>
      <c r="F654" s="581" t="s">
        <v>431</v>
      </c>
      <c r="G654" s="534">
        <v>0.95</v>
      </c>
      <c r="H654" s="534" t="s">
        <v>385</v>
      </c>
      <c r="I654" s="579">
        <v>1</v>
      </c>
      <c r="J654" s="580" t="str">
        <f>IF(I654="","",IF(I654="I",$F649,VLOOKUP(I654,$C670:$D675,2,0)))</f>
        <v>EQUILÁTERO ARQUITECTURA E INGENIERÍA S.A.S</v>
      </c>
      <c r="K654" s="535">
        <v>44355</v>
      </c>
      <c r="L654" s="535">
        <v>44719</v>
      </c>
      <c r="M654" s="536">
        <v>860.15</v>
      </c>
      <c r="N654" s="232">
        <f>IF(OR(G654="",M654=""),"",M654*G654)</f>
        <v>817.14249999999993</v>
      </c>
      <c r="O654" s="648">
        <f>IF(OR(H654="",H654="NO",K654&lt;$Q$17,K654&gt;$R$17,K654="",M654="",N654=""),"",ROUND(N654,7))</f>
        <v>817.14250000000004</v>
      </c>
      <c r="P654" s="781"/>
      <c r="Q654" s="782"/>
      <c r="R654" s="767"/>
      <c r="S654" s="768"/>
      <c r="T654" s="538" t="s">
        <v>385</v>
      </c>
      <c r="U654" s="539">
        <v>1</v>
      </c>
      <c r="V654" s="540" t="s">
        <v>385</v>
      </c>
      <c r="X654" s="541" t="s">
        <v>386</v>
      </c>
      <c r="Y654" s="541" t="s">
        <v>439</v>
      </c>
    </row>
    <row r="655" spans="1:29" s="44" customFormat="1" ht="76.5">
      <c r="A655" s="42" t="str">
        <f>"B"&amp;E650</f>
        <v>B22</v>
      </c>
      <c r="B655" s="605">
        <f t="shared" ref="B655:B663" si="127">IF(C655&lt;&gt;"",B654+1,"")</f>
        <v>2</v>
      </c>
      <c r="C655" s="581" t="s">
        <v>566</v>
      </c>
      <c r="D655" s="581" t="s">
        <v>567</v>
      </c>
      <c r="E655" s="581" t="s">
        <v>568</v>
      </c>
      <c r="F655" s="581" t="s">
        <v>384</v>
      </c>
      <c r="G655" s="534">
        <v>1</v>
      </c>
      <c r="H655" s="534" t="s">
        <v>385</v>
      </c>
      <c r="I655" s="579">
        <v>2</v>
      </c>
      <c r="J655" s="580" t="str">
        <f>IF(I655="","",IF(I655="I",$F650,VLOOKUP(I655,$C671:$D676,2,0)))</f>
        <v>J&amp;G CONSULTORIA S.A.S</v>
      </c>
      <c r="K655" s="535">
        <v>40751</v>
      </c>
      <c r="L655" s="535">
        <v>40802</v>
      </c>
      <c r="M655" s="536">
        <v>162.52000000000001</v>
      </c>
      <c r="N655" s="232">
        <f>IF(OR(G655="",M655=""),"",M655*G655)</f>
        <v>162.52000000000001</v>
      </c>
      <c r="O655" s="648">
        <f>IF(OR(H655="",H655="NO",K655&lt;$Q$17,K655&gt;$R$17,K655="",M655="",N655=""),"",ROUND(N655,7))</f>
        <v>162.52000000000001</v>
      </c>
      <c r="P655" s="781"/>
      <c r="Q655" s="782"/>
      <c r="R655" s="767"/>
      <c r="S655" s="768"/>
      <c r="T655" s="538" t="s">
        <v>385</v>
      </c>
      <c r="U655" s="539">
        <v>59</v>
      </c>
      <c r="V655" s="540" t="s">
        <v>385</v>
      </c>
      <c r="X655" s="541" t="s">
        <v>516</v>
      </c>
      <c r="Y655" s="541" t="s">
        <v>387</v>
      </c>
    </row>
    <row r="656" spans="1:29" s="44" customFormat="1" ht="24.95" customHeight="1">
      <c r="A656" s="42" t="str">
        <f>"C"&amp;E650</f>
        <v>C22</v>
      </c>
      <c r="B656" s="605" t="str">
        <f t="shared" si="127"/>
        <v/>
      </c>
      <c r="C656" s="581"/>
      <c r="D656" s="581"/>
      <c r="E656" s="581"/>
      <c r="F656" s="581"/>
      <c r="G656" s="534"/>
      <c r="H656" s="534"/>
      <c r="I656" s="579"/>
      <c r="J656" s="580" t="str">
        <f>IF(I656="","",IF(I656="I",$F650,VLOOKUP(I656,$C671:$D676,2,0)))</f>
        <v/>
      </c>
      <c r="K656" s="535"/>
      <c r="L656" s="535"/>
      <c r="M656" s="536"/>
      <c r="N656" s="232" t="str">
        <f>IF(OR(G656="",M656=""),"",M656*G656)</f>
        <v/>
      </c>
      <c r="O656" s="260" t="str">
        <f t="shared" ref="O656:O663" si="128">IF(OR(H656="",H656="NO",K656&lt;$Q$17,K656&gt;$R$17,K656="",M656="",N656=""),"",ROUND(N656,7))</f>
        <v/>
      </c>
      <c r="P656" s="781"/>
      <c r="Q656" s="782"/>
      <c r="R656" s="767"/>
      <c r="S656" s="768"/>
      <c r="T656" s="538"/>
      <c r="U656" s="539"/>
      <c r="V656" s="540"/>
      <c r="X656" s="541"/>
      <c r="Y656" s="541"/>
    </row>
    <row r="657" spans="1:29" s="44" customFormat="1" ht="24.95" customHeight="1">
      <c r="A657" s="42" t="str">
        <f>"D"&amp;E650</f>
        <v>D22</v>
      </c>
      <c r="B657" s="605" t="str">
        <f t="shared" si="127"/>
        <v/>
      </c>
      <c r="C657" s="581"/>
      <c r="D657" s="581"/>
      <c r="E657" s="581"/>
      <c r="F657" s="581"/>
      <c r="G657" s="534"/>
      <c r="H657" s="534"/>
      <c r="I657" s="579"/>
      <c r="J657" s="580" t="str">
        <f>IF(I657="","",IF(I657="I",$F650,VLOOKUP(I657,$C671:$D676,2,0)))</f>
        <v/>
      </c>
      <c r="K657" s="535"/>
      <c r="L657" s="535"/>
      <c r="M657" s="536"/>
      <c r="N657" s="232" t="str">
        <f>IF(OR(G657="",M657=""),"",M657*G657)</f>
        <v/>
      </c>
      <c r="O657" s="260" t="str">
        <f t="shared" si="128"/>
        <v/>
      </c>
      <c r="P657" s="781"/>
      <c r="Q657" s="782"/>
      <c r="R657" s="767"/>
      <c r="S657" s="768"/>
      <c r="T657" s="538"/>
      <c r="U657" s="539"/>
      <c r="V657" s="540"/>
      <c r="X657" s="541"/>
      <c r="Y657" s="541"/>
    </row>
    <row r="658" spans="1:29" s="44" customFormat="1" ht="24.95" customHeight="1">
      <c r="A658" s="42" t="str">
        <f>"E"&amp;E650</f>
        <v>E22</v>
      </c>
      <c r="B658" s="605" t="str">
        <f t="shared" si="127"/>
        <v/>
      </c>
      <c r="C658" s="581"/>
      <c r="D658" s="581"/>
      <c r="E658" s="581"/>
      <c r="F658" s="581"/>
      <c r="G658" s="534"/>
      <c r="H658" s="534"/>
      <c r="I658" s="579"/>
      <c r="J658" s="580" t="str">
        <f>IF(I658="","",IF(I658="I",$F650,VLOOKUP(I658,$C671:$D676,2,0)))</f>
        <v/>
      </c>
      <c r="K658" s="535"/>
      <c r="L658" s="535"/>
      <c r="M658" s="536"/>
      <c r="N658" s="232" t="str">
        <f t="shared" ref="N658:N663" si="129">IF(OR(G658="",M658=""),"",M658*G658)</f>
        <v/>
      </c>
      <c r="O658" s="260" t="str">
        <f t="shared" si="128"/>
        <v/>
      </c>
      <c r="P658" s="781"/>
      <c r="Q658" s="782"/>
      <c r="R658" s="767"/>
      <c r="S658" s="768"/>
      <c r="T658" s="538"/>
      <c r="U658" s="539"/>
      <c r="V658" s="540"/>
      <c r="X658" s="541"/>
      <c r="Y658" s="541"/>
    </row>
    <row r="659" spans="1:29" s="44" customFormat="1" ht="24.95" customHeight="1">
      <c r="A659" s="42" t="str">
        <f>"F"&amp;E650</f>
        <v>F22</v>
      </c>
      <c r="B659" s="605" t="str">
        <f t="shared" si="127"/>
        <v/>
      </c>
      <c r="C659" s="581"/>
      <c r="D659" s="581"/>
      <c r="E659" s="581"/>
      <c r="F659" s="581"/>
      <c r="G659" s="534"/>
      <c r="H659" s="534"/>
      <c r="I659" s="579"/>
      <c r="J659" s="580" t="str">
        <f>IF(I659="","",IF(I659="I",$F650,VLOOKUP(I659,$C671:$D676,2,0)))</f>
        <v/>
      </c>
      <c r="K659" s="535"/>
      <c r="L659" s="535"/>
      <c r="M659" s="536"/>
      <c r="N659" s="232" t="str">
        <f t="shared" si="129"/>
        <v/>
      </c>
      <c r="O659" s="260" t="str">
        <f t="shared" si="128"/>
        <v/>
      </c>
      <c r="P659" s="781"/>
      <c r="Q659" s="782"/>
      <c r="R659" s="767"/>
      <c r="S659" s="768"/>
      <c r="T659" s="538"/>
      <c r="U659" s="539"/>
      <c r="V659" s="540"/>
      <c r="X659" s="541"/>
      <c r="Y659" s="541"/>
    </row>
    <row r="660" spans="1:29" s="44" customFormat="1" ht="24.95" customHeight="1">
      <c r="A660" s="42" t="str">
        <f>"G"&amp;E650</f>
        <v>G22</v>
      </c>
      <c r="B660" s="605" t="str">
        <f t="shared" si="127"/>
        <v/>
      </c>
      <c r="C660" s="581"/>
      <c r="D660" s="581"/>
      <c r="E660" s="581"/>
      <c r="F660" s="581"/>
      <c r="G660" s="534"/>
      <c r="H660" s="534"/>
      <c r="I660" s="579"/>
      <c r="J660" s="580" t="str">
        <f>IF(I660="","",IF(I660="I",$F650,VLOOKUP(I660,$C671:$D676,2,0)))</f>
        <v/>
      </c>
      <c r="K660" s="535"/>
      <c r="L660" s="535"/>
      <c r="M660" s="536"/>
      <c r="N660" s="43" t="str">
        <f t="shared" si="129"/>
        <v/>
      </c>
      <c r="O660" s="260" t="str">
        <f t="shared" si="128"/>
        <v/>
      </c>
      <c r="P660" s="781"/>
      <c r="Q660" s="782"/>
      <c r="R660" s="767"/>
      <c r="S660" s="768"/>
      <c r="T660" s="538"/>
      <c r="U660" s="539"/>
      <c r="V660" s="540"/>
      <c r="X660" s="541"/>
      <c r="Y660" s="541"/>
    </row>
    <row r="661" spans="1:29" s="44" customFormat="1" ht="24.95" customHeight="1">
      <c r="A661" s="42" t="str">
        <f>"H"&amp;E650</f>
        <v>H22</v>
      </c>
      <c r="B661" s="605" t="str">
        <f t="shared" si="127"/>
        <v/>
      </c>
      <c r="C661" s="581"/>
      <c r="D661" s="581"/>
      <c r="E661" s="581"/>
      <c r="F661" s="581"/>
      <c r="G661" s="534"/>
      <c r="H661" s="534"/>
      <c r="I661" s="579"/>
      <c r="J661" s="580" t="str">
        <f>IF(I661="","",IF(I661="I",$F650,VLOOKUP(I661,$C671:$D676,2,0)))</f>
        <v/>
      </c>
      <c r="K661" s="535"/>
      <c r="L661" s="535"/>
      <c r="M661" s="537"/>
      <c r="N661" s="43" t="str">
        <f t="shared" si="129"/>
        <v/>
      </c>
      <c r="O661" s="260" t="str">
        <f t="shared" si="128"/>
        <v/>
      </c>
      <c r="P661" s="781"/>
      <c r="Q661" s="782"/>
      <c r="R661" s="767"/>
      <c r="S661" s="768"/>
      <c r="T661" s="538"/>
      <c r="U661" s="539"/>
      <c r="V661" s="540"/>
      <c r="X661" s="541"/>
      <c r="Y661" s="541"/>
    </row>
    <row r="662" spans="1:29" s="44" customFormat="1" ht="24.95" customHeight="1">
      <c r="A662" s="42" t="str">
        <f>"I"&amp;E650</f>
        <v>I22</v>
      </c>
      <c r="B662" s="605" t="str">
        <f t="shared" si="127"/>
        <v/>
      </c>
      <c r="C662" s="581"/>
      <c r="D662" s="581"/>
      <c r="E662" s="581"/>
      <c r="F662" s="581"/>
      <c r="G662" s="534"/>
      <c r="H662" s="534"/>
      <c r="I662" s="579"/>
      <c r="J662" s="580" t="str">
        <f>IF(I662="","",IF(I662="I",$F650,VLOOKUP(I662,$C671:$D676,2,0)))</f>
        <v/>
      </c>
      <c r="K662" s="535"/>
      <c r="L662" s="535"/>
      <c r="M662" s="537"/>
      <c r="N662" s="43" t="str">
        <f t="shared" si="129"/>
        <v/>
      </c>
      <c r="O662" s="260" t="str">
        <f t="shared" si="128"/>
        <v/>
      </c>
      <c r="P662" s="781"/>
      <c r="Q662" s="782"/>
      <c r="R662" s="767"/>
      <c r="S662" s="768"/>
      <c r="T662" s="538"/>
      <c r="U662" s="539"/>
      <c r="V662" s="540"/>
      <c r="X662" s="541"/>
      <c r="Y662" s="541"/>
    </row>
    <row r="663" spans="1:29" s="44" customFormat="1" ht="24.95" customHeight="1" thickBot="1">
      <c r="A663" s="42" t="str">
        <f>"J"&amp;E650</f>
        <v>J22</v>
      </c>
      <c r="B663" s="612" t="str">
        <f t="shared" si="127"/>
        <v/>
      </c>
      <c r="C663" s="582"/>
      <c r="D663" s="582"/>
      <c r="E663" s="582"/>
      <c r="F663" s="582"/>
      <c r="G663" s="583"/>
      <c r="H663" s="583"/>
      <c r="I663" s="584"/>
      <c r="J663" s="585" t="str">
        <f>IF(I663="","",IF(I663="I",$F650,VLOOKUP(I663,$C671:$D676,2,0)))</f>
        <v/>
      </c>
      <c r="K663" s="586"/>
      <c r="L663" s="586"/>
      <c r="M663" s="587"/>
      <c r="N663" s="43" t="str">
        <f t="shared" si="129"/>
        <v/>
      </c>
      <c r="O663" s="260" t="str">
        <f t="shared" si="128"/>
        <v/>
      </c>
      <c r="P663" s="781"/>
      <c r="Q663" s="782"/>
      <c r="R663" s="767"/>
      <c r="S663" s="768"/>
      <c r="T663" s="538"/>
      <c r="U663" s="539"/>
      <c r="V663" s="540"/>
      <c r="X663" s="541"/>
      <c r="Y663" s="541"/>
    </row>
    <row r="664" spans="1:29" s="27" customFormat="1" ht="12" customHeight="1" thickBot="1">
      <c r="A664" s="42"/>
      <c r="B664" s="45"/>
      <c r="C664" s="46"/>
      <c r="D664" s="46"/>
      <c r="E664" s="46"/>
      <c r="F664" s="46"/>
      <c r="G664" s="46"/>
      <c r="H664" s="606"/>
      <c r="I664" s="46"/>
      <c r="J664" s="46"/>
      <c r="K664" s="46"/>
      <c r="L664" s="46"/>
      <c r="M664" s="46"/>
      <c r="N664" s="46"/>
      <c r="O664" s="259"/>
      <c r="P664" s="46"/>
      <c r="Q664" s="46"/>
      <c r="R664" s="259"/>
      <c r="S664" s="46"/>
      <c r="T664" s="46"/>
      <c r="U664" s="47"/>
      <c r="V664" s="48"/>
      <c r="X664" s="592"/>
      <c r="Y664" s="593"/>
      <c r="AB664" s="378"/>
    </row>
    <row r="665" spans="1:29" s="27" customFormat="1" ht="17.25" customHeight="1" thickBot="1">
      <c r="A665" s="42" t="str">
        <f>"Z"&amp;E650</f>
        <v>Z22</v>
      </c>
      <c r="B665" s="510"/>
      <c r="C665" s="511"/>
      <c r="D665" s="511"/>
      <c r="E665" s="511"/>
      <c r="F665" s="511"/>
      <c r="G665" s="511"/>
      <c r="H665" s="511"/>
      <c r="I665" s="511"/>
      <c r="J665" s="511"/>
      <c r="K665" s="511"/>
      <c r="L665" s="511"/>
      <c r="M665" s="511"/>
      <c r="N665" s="437" t="s">
        <v>388</v>
      </c>
      <c r="O665" s="438">
        <f>IF(COUNTIF(O654:O663,"")&gt;9,0,SUM(O654:O663)/(COUNTIF(H654:H663,"SI")))</f>
        <v>489.83125000000001</v>
      </c>
      <c r="P665" s="511"/>
      <c r="Q665" s="511"/>
      <c r="R665" s="530"/>
      <c r="S665" s="530"/>
      <c r="T665" s="531"/>
      <c r="U665" s="532"/>
      <c r="V665" s="533"/>
      <c r="W665" s="285"/>
      <c r="X665" s="613" t="e">
        <f>COUNTIF(#REF!,"")-COUNTIF(#REF!,"CUMPLE")-1</f>
        <v>#REF!</v>
      </c>
      <c r="Y665" s="591"/>
      <c r="AB665" s="28"/>
    </row>
    <row r="666" spans="1:29" ht="17.25" customHeight="1">
      <c r="B666" s="50"/>
      <c r="C666" s="50"/>
      <c r="D666" s="50"/>
      <c r="E666" s="50"/>
      <c r="F666" s="50"/>
      <c r="G666" s="51"/>
      <c r="H666" s="51"/>
      <c r="I666" s="51"/>
      <c r="J666" s="51"/>
      <c r="K666" s="51"/>
      <c r="L666" s="51"/>
      <c r="M666" s="51"/>
      <c r="N666" s="51"/>
      <c r="O666" s="51"/>
      <c r="P666" s="51"/>
      <c r="Q666" s="51"/>
      <c r="R666" s="51"/>
      <c r="S666" s="51"/>
      <c r="T666" s="51"/>
      <c r="U666" s="51"/>
      <c r="V666" s="51"/>
      <c r="W666" s="51"/>
      <c r="X666" s="608"/>
      <c r="Y666" s="51"/>
      <c r="Z666" s="51"/>
      <c r="AA666" s="51"/>
      <c r="AB666" s="51"/>
      <c r="AC666" s="50"/>
    </row>
    <row r="667" spans="1:29" s="27" customFormat="1" ht="16.5" customHeight="1" thickBot="1">
      <c r="A667" s="22"/>
      <c r="B667" s="783" t="s">
        <v>389</v>
      </c>
      <c r="C667" s="783"/>
      <c r="D667" s="783"/>
      <c r="E667" s="783"/>
      <c r="F667" s="783"/>
      <c r="G667" s="783"/>
      <c r="H667" s="783"/>
      <c r="I667" s="783"/>
      <c r="J667" s="783"/>
      <c r="K667" s="783"/>
      <c r="L667" s="783"/>
      <c r="M667" s="783"/>
      <c r="N667" s="783"/>
      <c r="O667" s="783"/>
      <c r="P667" s="783"/>
      <c r="Q667" s="783"/>
      <c r="R667" s="783"/>
      <c r="S667" s="783"/>
      <c r="T667" s="783"/>
      <c r="U667" s="783"/>
      <c r="V667" s="783"/>
      <c r="W667" s="286"/>
      <c r="X667" s="607"/>
      <c r="Y667" s="52"/>
      <c r="Z667" s="52"/>
      <c r="AA667" s="52"/>
      <c r="AB667" s="28"/>
      <c r="AC667" s="28"/>
    </row>
    <row r="668" spans="1:29" s="30" customFormat="1" ht="22.5" customHeight="1">
      <c r="A668" s="112" t="str">
        <f>"K"&amp;E650</f>
        <v>K22</v>
      </c>
      <c r="B668" s="790" t="s">
        <v>390</v>
      </c>
      <c r="C668" s="772" t="s">
        <v>391</v>
      </c>
      <c r="D668" s="773"/>
      <c r="E668" s="773"/>
      <c r="F668" s="773"/>
      <c r="G668" s="773"/>
      <c r="H668" s="773"/>
      <c r="I668" s="773"/>
      <c r="J668" s="773"/>
      <c r="K668" s="773"/>
      <c r="L668" s="773"/>
      <c r="M668" s="774"/>
      <c r="N668" s="525"/>
      <c r="O668" s="588"/>
      <c r="P668" s="772" t="s">
        <v>392</v>
      </c>
      <c r="Q668" s="773"/>
      <c r="R668" s="773"/>
      <c r="S668" s="774"/>
      <c r="T668" s="784" t="s">
        <v>393</v>
      </c>
      <c r="U668" s="774"/>
      <c r="V668" s="811"/>
      <c r="W668" s="284"/>
      <c r="X668" s="778" t="s">
        <v>394</v>
      </c>
      <c r="Y668" s="779"/>
      <c r="Z668" s="779"/>
      <c r="AA668" s="779" t="s">
        <v>395</v>
      </c>
      <c r="AB668" s="808" t="s">
        <v>396</v>
      </c>
      <c r="AC668" s="28"/>
    </row>
    <row r="669" spans="1:29" s="30" customFormat="1" ht="22.5" customHeight="1">
      <c r="A669" s="112" t="str">
        <f>"L"&amp;E650</f>
        <v>L22</v>
      </c>
      <c r="B669" s="791"/>
      <c r="C669" s="769" t="s">
        <v>397</v>
      </c>
      <c r="D669" s="770"/>
      <c r="E669" s="771"/>
      <c r="F669" s="512">
        <f>IF(VLOOKUP(E650,PROPONENTES!$C$19:$E$108,3,0)="","",VLOOKUP(E650,PROPONENTES!$C$19:$E$108,3,0))</f>
        <v>2</v>
      </c>
      <c r="G669" s="824" t="s">
        <v>398</v>
      </c>
      <c r="H669" s="793" t="s">
        <v>399</v>
      </c>
      <c r="I669" s="793"/>
      <c r="J669" s="769" t="s">
        <v>400</v>
      </c>
      <c r="K669" s="823"/>
      <c r="L669" s="513" t="s">
        <v>401</v>
      </c>
      <c r="M669" s="513"/>
      <c r="N669" s="526"/>
      <c r="O669" s="527"/>
      <c r="P669" s="775"/>
      <c r="Q669" s="776"/>
      <c r="R669" s="776"/>
      <c r="S669" s="777"/>
      <c r="T669" s="796"/>
      <c r="U669" s="797"/>
      <c r="V669" s="812"/>
      <c r="W669" s="284"/>
      <c r="X669" s="780" t="s">
        <v>402</v>
      </c>
      <c r="Y669" s="810" t="s">
        <v>403</v>
      </c>
      <c r="Z669" s="810"/>
      <c r="AA669" s="810"/>
      <c r="AB669" s="809"/>
      <c r="AC669" s="28"/>
    </row>
    <row r="670" spans="1:29" s="30" customFormat="1" ht="51.75" customHeight="1" thickBot="1">
      <c r="A670" s="112" t="str">
        <f>"M"&amp;E650</f>
        <v>M22</v>
      </c>
      <c r="B670" s="791"/>
      <c r="C670" s="770" t="s">
        <v>404</v>
      </c>
      <c r="D670" s="771"/>
      <c r="E670" s="514" t="s">
        <v>405</v>
      </c>
      <c r="F670" s="515" t="s">
        <v>406</v>
      </c>
      <c r="G670" s="824"/>
      <c r="H670" s="793"/>
      <c r="I670" s="793"/>
      <c r="J670" s="504" t="s">
        <v>407</v>
      </c>
      <c r="K670" s="516" t="s">
        <v>408</v>
      </c>
      <c r="L670" s="517" t="s">
        <v>409</v>
      </c>
      <c r="M670" s="517"/>
      <c r="N670" s="528" t="s">
        <v>410</v>
      </c>
      <c r="O670" s="529"/>
      <c r="P670" s="386"/>
      <c r="Q670" s="387" t="s">
        <v>411</v>
      </c>
      <c r="R670" s="388"/>
      <c r="S670" s="113">
        <f>COUNTIFS(H654:H663,"SI",O654:O663,"&gt;0")</f>
        <v>2</v>
      </c>
      <c r="T670" s="785"/>
      <c r="U670" s="787"/>
      <c r="V670" s="813"/>
      <c r="W670" s="284"/>
      <c r="X670" s="780"/>
      <c r="Y670" s="810"/>
      <c r="Z670" s="810"/>
      <c r="AA670" s="810"/>
      <c r="AB670" s="809"/>
      <c r="AC670" s="28"/>
    </row>
    <row r="671" spans="1:29" s="30" customFormat="1" ht="25.5">
      <c r="A671" s="112" t="str">
        <f>"N"&amp;E650</f>
        <v>N22</v>
      </c>
      <c r="B671" s="791"/>
      <c r="C671" s="54">
        <v>1</v>
      </c>
      <c r="D671" s="100" t="str">
        <f>IF(AND(C671&lt;=F669,F669&gt;1,F669&lt;&gt;""),VLOOKUP(VALUE(E650&amp;","&amp;C671),INTEGRANTES!$D$19:$F$192,2,0),"")</f>
        <v>EQUILÁTERO ARQUITECTURA E INGENIERÍA S.A.S</v>
      </c>
      <c r="E671" s="107">
        <f>IF(D671&lt;&gt;"",VLOOKUP(VALUE(E650&amp;","&amp;C671),INTEGRANTES!$D$19:$F$192,3,0),"")</f>
        <v>0.95</v>
      </c>
      <c r="F671" s="380">
        <f>IF(D671="","",IF(OR(SUMIF($J654:$J663,D671,$O654:$O663)=0,N671="NO"),"NO APORTA",SUMIF($J654:$J663,D671,$O654:$O663)))</f>
        <v>817.14250000000004</v>
      </c>
      <c r="G671" s="380">
        <f ca="1">IF($D671="","",IF($F669&lt;=1,"",ROUND(POSMMLV*PORPO,2)))</f>
        <v>150</v>
      </c>
      <c r="H671" s="765" t="str">
        <f ca="1">IF($D671="","",IF(OR(F671="NO APORTA",G671&gt;F671),"NO CUMPLE","CUMPLE"))</f>
        <v>CUMPLE</v>
      </c>
      <c r="I671" s="766"/>
      <c r="J671" s="108" t="str">
        <f ca="1">IF(D671="","",IF(OR(AND(SUMIF($J654:$J663,D671,$O654:$O663)&gt;=5%*POSMMLV,N671="SI"),AND(SUMIF($J654:$J663,D671,$O654:$O663)=0,E671&lt;=5%,N671="SI")),"CUMPLE","NO CUMPLE"))</f>
        <v>CUMPLE</v>
      </c>
      <c r="K671" s="105" t="str">
        <f ca="1">IF(OR(D671="",J671=""),"",IF(AND(J671="NO CUMPLE",F671="NO APORTA",E671&gt;5%),"EXP = 0 y PART &gt; 5%",IF(F671&lt;5%*Q676,"EXP &lt; 5%*PO","")))</f>
        <v/>
      </c>
      <c r="L671" s="389" t="str">
        <f>IF(OR(D671="",E671=""),"",IF(AND(E671&gt;=0.25,F671&lt;&gt;"NO APORTA",F671&gt;=$R676*0.25),"SI","NO"))</f>
        <v>SI</v>
      </c>
      <c r="M671" s="389"/>
      <c r="N671" s="468" t="s">
        <v>385</v>
      </c>
      <c r="O671" s="396">
        <f>COUNTIFS(O654:O663,"&gt;0",H654:H663,"SI")</f>
        <v>2</v>
      </c>
      <c r="P671" s="814" t="s">
        <v>139</v>
      </c>
      <c r="Q671" s="814"/>
      <c r="R671" s="817">
        <f>E650</f>
        <v>22</v>
      </c>
      <c r="S671" s="818"/>
      <c r="T671" s="784" t="s">
        <v>412</v>
      </c>
      <c r="U671" s="773"/>
      <c r="V671" s="774"/>
      <c r="W671" s="283"/>
      <c r="X671" s="542" t="str">
        <f>IF($F669=1,"NO APLICA",$D671)</f>
        <v>EQUILÁTERO ARQUITECTURA E INGENIERÍA S.A.S</v>
      </c>
      <c r="Y671" s="543">
        <f ca="1">IF(OR($F671="",$F671="NO APORTA",$R676=0,$X671="NO APLICA"),"",ROUND($F671/$Q676,2))</f>
        <v>2.72</v>
      </c>
      <c r="Z671" s="544" t="str">
        <f ca="1">IF(Y677=1,"SI APLICA",IF(OR($X671="",$X671="NO APLICA",$F671="",$F671="NO APORTA"),"",IF(ROUND($F671/Q676,7)&gt;=0.4,"SI APLICA","NO APLICA")))</f>
        <v>SI APLICA</v>
      </c>
      <c r="AA671" s="543" t="s">
        <v>413</v>
      </c>
      <c r="AB671" s="540" t="str">
        <f ca="1">IF(COUNTIF(Z671:AA671,"SI APLICA")=2,"SI APLICA","")</f>
        <v>SI APLICA</v>
      </c>
      <c r="AC671" s="28"/>
    </row>
    <row r="672" spans="1:29" s="30" customFormat="1" ht="16.5" thickBot="1">
      <c r="A672" s="112" t="str">
        <f>"O"&amp;E650</f>
        <v>O22</v>
      </c>
      <c r="B672" s="791"/>
      <c r="C672" s="54">
        <v>2</v>
      </c>
      <c r="D672" s="100" t="str">
        <f>IF(AND(C672&lt;=F669,F669&lt;&gt;""),VLOOKUP(VALUE(E650&amp;","&amp;C672),INTEGRANTES!$D$19:$F$192,2,0),"")</f>
        <v>J&amp;G CONSULTORIA S.A.S</v>
      </c>
      <c r="E672" s="107">
        <f>IF(D672&lt;&gt;"",VLOOKUP(VALUE(E650&amp;","&amp;C672),INTEGRANTES!$D$19:$F$192,3,0),"")</f>
        <v>0.05</v>
      </c>
      <c r="F672" s="380">
        <f>IF(D672="","",IF(OR(SUMIF($J654:$J662,D672,$O654:$O664)=0,N672="NO"),"NO APORTA",SUMIF($J654:$J662,D672,$O654:$O663)))</f>
        <v>162.52000000000001</v>
      </c>
      <c r="G672" s="380">
        <f ca="1">IF($D672="","",IF($F669&lt;=1,"",ROUND(POSMMLV*PORPO,2)))</f>
        <v>150</v>
      </c>
      <c r="H672" s="765" t="str">
        <f t="shared" ref="H672:H675" ca="1" si="130">IF($D672="","",IF(OR(F672="NO APORTA",G672&gt;F672),"NO CUMPLE","CUMPLE"))</f>
        <v>CUMPLE</v>
      </c>
      <c r="I672" s="766"/>
      <c r="J672" s="108" t="str">
        <f ca="1">IF(D763="","",IF(OR(AND(SUMIF($J654:$J663,D672,$O654:$O663)&gt;=5%*POSMMLV,N763="SI"),AND(SUMIF($J654:$J663,D672,$O654:$O663)=0,E672&lt;=5%,N672="SI")),"CUMPLE","NO CUMPLE"))</f>
        <v>CUMPLE</v>
      </c>
      <c r="K672" s="105" t="str">
        <f ca="1">IF(OR(D672="",J672=""),"",IF(AND(J672="NO CUMPLE",F672="NO APORTA",E672&gt;5%),"EXP = 0 y PART &gt; 5%",IF(F672&lt;5%*Q676,"EXP &lt; 5%*PO","")))</f>
        <v/>
      </c>
      <c r="L672" s="389" t="str">
        <f>IF(OR(D672="",E672=""),"",IF(AND(E672&gt;=0.25,F672&lt;&gt;"NO APORTA",F672&gt;=$R676*0.25),"SI","NO"))</f>
        <v>NO</v>
      </c>
      <c r="M672" s="389"/>
      <c r="N672" s="468" t="s">
        <v>385</v>
      </c>
      <c r="O672" s="396"/>
      <c r="P672" s="815"/>
      <c r="Q672" s="815"/>
      <c r="R672" s="815"/>
      <c r="S672" s="819"/>
      <c r="T672" s="785"/>
      <c r="U672" s="786"/>
      <c r="V672" s="787"/>
      <c r="W672" s="283"/>
      <c r="X672" s="542" t="str">
        <f>IF($F669=1,"NO APLICA",$D672)</f>
        <v>J&amp;G CONSULTORIA S.A.S</v>
      </c>
      <c r="Y672" s="543">
        <f ca="1">IF(OR($F672="",$F672="NO APORTA",$R676=0,$X672="NO APLICA"),"",ROUND($F672/$Q676,2))</f>
        <v>0.54</v>
      </c>
      <c r="Z672" s="544" t="str">
        <f ca="1">IF(Y677=1,"SI APLICA",IF(OR($X672="",$X672="NO APLICA",$F672="",$F672="NO APORTA"),"",IF(ROUND($F672/Q676,7)&gt;=0.4,"SI APLICA","NO APLICA")))</f>
        <v>SI APLICA</v>
      </c>
      <c r="AA672" s="543" t="s">
        <v>516</v>
      </c>
      <c r="AB672" s="540" t="str">
        <f t="shared" ref="AB672" ca="1" si="131">IF(COUNTIF(Z672:AA672,"SI APLICA")=2,"SI APLICA","")</f>
        <v/>
      </c>
      <c r="AC672" s="28"/>
    </row>
    <row r="673" spans="1:29" s="30" customFormat="1" ht="15.75" customHeight="1">
      <c r="A673" s="112" t="str">
        <f>"P"&amp;E650</f>
        <v>P22</v>
      </c>
      <c r="B673" s="791"/>
      <c r="C673" s="54">
        <v>3</v>
      </c>
      <c r="D673" s="100" t="str">
        <f>IF(AND(C673&lt;=F669,F669&lt;&gt;""),VLOOKUP(VALUE(E650&amp;","&amp;C673),INTEGRANTES!$D$19:$F$192,2,0),"")</f>
        <v/>
      </c>
      <c r="E673" s="107" t="str">
        <f>IF(D673&lt;&gt;"",VLOOKUP(VALUE(E650&amp;","&amp;C673),INTEGRANTES!$D$19:$F$192,3,0),"")</f>
        <v/>
      </c>
      <c r="F673" s="380" t="str">
        <f>IF(D673="","",IF(OR(SUMIF($J657:$J663,D673,$O657:$O663)=0,N673="NO"),"NO APORTA",SUMIF($J657:$J663,D673,$O657:$O663)))</f>
        <v/>
      </c>
      <c r="G673" s="380" t="str">
        <f>IF($D673="","",IF($F669&lt;=1,"",ROUND(POSMMLV*PORPO,2)))</f>
        <v/>
      </c>
      <c r="H673" s="765" t="str">
        <f t="shared" si="130"/>
        <v/>
      </c>
      <c r="I673" s="766"/>
      <c r="J673" s="108" t="str">
        <f>IF(D673="","",IF(OR(AND(SUMIF($J654:$J663,D673,$O654:$O663)&gt;=5%*POSMMLV,N673="SI"),AND(SUMIF($J654:$J663,D673,$O654:$O663)=0,E673&lt;=5%,N673="SI")),"CUMPLE","NO CUMPLE"))</f>
        <v/>
      </c>
      <c r="K673" s="105" t="str">
        <f>IF(OR(D673="",J673=""),"",IF(AND(J673="NO CUMPLE",F673="NO APORTA",E673&gt;5%),"EXP = 0 y PART &gt; 5%",IF(F673&lt;5%*Q676,"EXP &lt; 5%*PO","")))</f>
        <v/>
      </c>
      <c r="L673" s="389" t="str">
        <f>IF(OR(D673="",E673=""),"",IF(AND(E673&gt;=0.25,F673&lt;&gt;"NO APORTA",F673&gt;=$R676*0.25),"SI","NO"))</f>
        <v/>
      </c>
      <c r="M673" s="389"/>
      <c r="N673" s="468"/>
      <c r="O673" s="397"/>
      <c r="P673" s="816"/>
      <c r="Q673" s="816"/>
      <c r="R673" s="816"/>
      <c r="S673" s="820"/>
      <c r="T673" s="308"/>
      <c r="U673" s="308"/>
      <c r="V673" s="309"/>
      <c r="W673" s="284"/>
      <c r="X673" s="542" t="str">
        <f>IF($F669=1,"NO APLICA",$D673)</f>
        <v/>
      </c>
      <c r="Y673" s="543" t="str">
        <f>IF(OR($F673="",$F673="NO APORTA",$R676=0,$X673="NO APLICA"),"",ROUND($F673/$Q676,2))</f>
        <v/>
      </c>
      <c r="Z673" s="544" t="str">
        <f>IF(Y677=1,"SI APLICA",IF(OR($X673="",$X673="NO APLICA",$F673="",$F673="NO APORTA"),"",IF(ROUND($F673/Q676,7)&gt;=0.4,"SI APLICA","NO APLICA")))</f>
        <v/>
      </c>
      <c r="AA673" s="543"/>
      <c r="AB673" s="540" t="str">
        <f>IF(COUNTIF(Z673:AA673,"SI APLICA")=2,"SI APLICA","")</f>
        <v/>
      </c>
      <c r="AC673" s="28"/>
    </row>
    <row r="674" spans="1:29" s="30" customFormat="1" ht="15.75" customHeight="1">
      <c r="A674" s="112" t="str">
        <f>"Q"&amp;E650</f>
        <v>Q22</v>
      </c>
      <c r="B674" s="791"/>
      <c r="C674" s="54">
        <v>4</v>
      </c>
      <c r="D674" s="100" t="str">
        <f>IF(AND(C674&lt;=F669,F669&lt;&gt;""),VLOOKUP(VALUE(E650&amp;","&amp;C674),INTEGRANTES!$D$19:$F$192,2,0),"")</f>
        <v/>
      </c>
      <c r="E674" s="107" t="str">
        <f>IF(D674&lt;&gt;"",VLOOKUP(VALUE(E650&amp;","&amp;C674),INTEGRANTES!$D$19:$F$192,3,0),"")</f>
        <v/>
      </c>
      <c r="F674" s="380" t="str">
        <f>IF(D674="","",IF(OR(SUMIF($J657:$J663,D674,$O657:$O663)=0,N674="NO"),"NO APORTA",SUMIF($J657:$J663,D674,$O657:$O663)))</f>
        <v/>
      </c>
      <c r="G674" s="380" t="str">
        <f>IF($D674="","",IF($F669&lt;=1,"",ROUND(POSMMLV*PORPO,2)))</f>
        <v/>
      </c>
      <c r="H674" s="765" t="str">
        <f t="shared" si="130"/>
        <v/>
      </c>
      <c r="I674" s="766"/>
      <c r="J674" s="108" t="str">
        <f>IF(D674="","",IF(OR(AND(SUMIF($J654:$J663,D674,$O654:$O663)&gt;=5%*POSMMLV,N674="SI"),AND(SUMIF($J654:$J663,D674,$O654:$O663)=0,E674&lt;=5%,N674="SI")),"CUMPLE","NO CUMPLE"))</f>
        <v/>
      </c>
      <c r="K674" s="105" t="str">
        <f>IF(OR(D674="",J674=""),"",IF(AND(J674="NO CUMPLE",F674="NO APORTA",E674&gt;5%),"EXP = 0 y PART &gt; 5%",IF(F674&lt;5%*Q676,"EXP &lt; 5%*PO","")))</f>
        <v/>
      </c>
      <c r="L674" s="389" t="str">
        <f>IF(OR(D674="",E674=""),"",IF(AND(E674&gt;=0.25,F674&lt;&gt;"NO APORTA",F674&gt;=$R676*0.25),"SI","NO"))</f>
        <v/>
      </c>
      <c r="M674" s="389"/>
      <c r="N674" s="468"/>
      <c r="O674" s="788" t="s">
        <v>414</v>
      </c>
      <c r="P674" s="769" t="s">
        <v>415</v>
      </c>
      <c r="Q674" s="770"/>
      <c r="R674" s="770"/>
      <c r="S674" s="771"/>
      <c r="T674" s="284"/>
      <c r="U674" s="284"/>
      <c r="V674" s="310"/>
      <c r="W674" s="284"/>
      <c r="X674" s="542" t="str">
        <f>IF($F669=1,"NO APLICA",$D674)</f>
        <v/>
      </c>
      <c r="Y674" s="543" t="str">
        <f>IF(OR($F674="",$F674="NO APORTA",$R676=0,$X674="NO APLICA"),"",ROUND($F674/$Q676,2))</f>
        <v/>
      </c>
      <c r="Z674" s="544" t="str">
        <f>IF(Y677=1,"SI APLICA",IF(OR($X674="",$X674="NO APLICA",$F674="",$F674="NO APORTA"),"",IF(ROUND($F674/Q676,7)&gt;=0.4,"SI APLICA","NO APLICA")))</f>
        <v/>
      </c>
      <c r="AA674" s="543"/>
      <c r="AB674" s="540" t="str">
        <f t="shared" ref="AB674:AB675" si="132">IF(COUNTIF(Z674:AA674,"SI APLICA")=2,"SI APLICA","")</f>
        <v/>
      </c>
      <c r="AC674" s="28"/>
    </row>
    <row r="675" spans="1:29" s="30" customFormat="1" ht="22.5" customHeight="1">
      <c r="A675" s="112" t="str">
        <f>"R"&amp;E650</f>
        <v>R22</v>
      </c>
      <c r="B675" s="791"/>
      <c r="C675" s="54">
        <v>5</v>
      </c>
      <c r="D675" s="100" t="str">
        <f>IF(AND(C675&lt;=F669,F669&lt;&gt;""),VLOOKUP(VALUE(E650&amp;","&amp;C675),INTEGRANTES!$D$19:$F$192,2,0),"")</f>
        <v/>
      </c>
      <c r="E675" s="107" t="str">
        <f>IF(D675&lt;&gt;"",VLOOKUP(VALUE(E650&amp;","&amp;C675),INTEGRANTES!$D$19:$F$192,3,0),"")</f>
        <v/>
      </c>
      <c r="F675" s="380" t="str">
        <f>IF(D675="","",IF(OR(SUMIF($J657:$J663,D675,$O657:$O663)=0,N675="NO"),"NO APORTA",SUMIF($J657:$J663,D675,$O657:$O663)))</f>
        <v/>
      </c>
      <c r="G675" s="380" t="str">
        <f>IF($D675="","",IF($F669&lt;=1,"",ROUND(POSMMLV*PORPO,2)))</f>
        <v/>
      </c>
      <c r="H675" s="765" t="str">
        <f t="shared" si="130"/>
        <v/>
      </c>
      <c r="I675" s="766"/>
      <c r="J675" s="108" t="str">
        <f>IF(D675="","",IF(OR(AND(SUMIF($J654:$J663,D675,$O654:$O663)&gt;=5%*POSMMLV,N675="SI"),AND(SUMIF($J654:$J663,D675,$O654:$O663)=0,E675&lt;=5%,N675="SI")),"CUMPLE","NO CUMPLE"))</f>
        <v/>
      </c>
      <c r="K675" s="105" t="str">
        <f>IF(OR(D675="",J675=""),"",IF(AND(J675="NO CUMPLE",F675="NO APORTA",E675&gt;5%),"EXP = 0 y PART &gt; 5%",IF(F675&lt;5%*Q676,"EXP &lt; 5%*PO","")))</f>
        <v/>
      </c>
      <c r="L675" s="389" t="str">
        <f>IF(OR(D675="",E675=""),"",IF(AND(E675&gt;=0.25,F675&lt;&gt;"NO APORTA",F675&gt;=$R676*0.25),"SI","NO"))</f>
        <v/>
      </c>
      <c r="M675" s="389"/>
      <c r="N675" s="468"/>
      <c r="O675" s="789"/>
      <c r="P675" s="504" t="s">
        <v>416</v>
      </c>
      <c r="Q675" s="504" t="s">
        <v>417</v>
      </c>
      <c r="R675" s="793" t="s">
        <v>418</v>
      </c>
      <c r="S675" s="793"/>
      <c r="T675" s="284"/>
      <c r="U675" s="284"/>
      <c r="V675" s="310"/>
      <c r="W675" s="284"/>
      <c r="X675" s="542" t="str">
        <f>IF($F669=1,"NO APLICA",$D675)</f>
        <v/>
      </c>
      <c r="Y675" s="543" t="str">
        <f>IF(OR($F675="",$F675="NO APORTA",$R676=0,$X675="NO APLICA"),"",ROUND($F675/$Q676,2))</f>
        <v/>
      </c>
      <c r="Z675" s="544" t="str">
        <f>IF(Y677=1,"SI APLICA",IF(OR($X675="",$X675="NO APLICA",$F675="",$F675="NO APORTA"),"",IF(ROUND($F675/Q676,7)&gt;=0.4,"SI APLICA","NO APLICA")))</f>
        <v/>
      </c>
      <c r="AA675" s="543"/>
      <c r="AB675" s="540" t="str">
        <f t="shared" si="132"/>
        <v/>
      </c>
      <c r="AC675" s="28"/>
    </row>
    <row r="676" spans="1:29" s="30" customFormat="1" ht="27" customHeight="1" thickBot="1">
      <c r="A676" s="112" t="str">
        <f>"S"&amp;E650</f>
        <v>S22</v>
      </c>
      <c r="B676" s="791"/>
      <c r="C676" s="109">
        <v>6</v>
      </c>
      <c r="D676" s="110" t="str">
        <f>IF(AND(C676&lt;=F669,F669&lt;&gt;""),VLOOKUP(VALUE(E650&amp;","&amp;C676),INTEGRANTES!$D$19:$F$192,2,0),"")</f>
        <v/>
      </c>
      <c r="E676" s="111" t="str">
        <f>IF(D676&lt;&gt;"",VLOOKUP(VALUE(E650&amp;","&amp;C676),INTEGRANTES!$D$19:$F$192,3,0),"")</f>
        <v/>
      </c>
      <c r="F676" s="380" t="str">
        <f>IF(D676="","",IF(OR(SUMIF($J657:$J663,D676,$O657:$O663)=0,N676="NO"),"NO APORTA",SUMIF($J657:$J663,D676,$O657:$O663)))</f>
        <v/>
      </c>
      <c r="G676" s="380" t="str">
        <f>IF($D676="","",IF($F669&lt;=1,"",ROUND(POSMMLV*PORPO,2)))</f>
        <v/>
      </c>
      <c r="H676" s="765" t="str">
        <f>IF($D676="","",IF(OR(F676="NO APORTA",G676&gt;F676),"NO CUMPLE","CUMPLE"))</f>
        <v/>
      </c>
      <c r="I676" s="766"/>
      <c r="J676" s="108" t="str">
        <f>IF(D676="","",IF(OR(AND(SUMIF($J654:$J663,D676,$O654:$O663)&gt;=5%*POSMMLV,N676="SI"),AND(SUMIF($J654:$J663,D676,$O654:$O663)=0,E676&lt;=5%,N676="SI")),"CUMPLE","NO CUMPLE"))</f>
        <v/>
      </c>
      <c r="K676" s="105" t="str">
        <f>IF(OR(D676="",J676=""),"",IF(AND(J676="NO CUMPLE",F676="NO APORTA",E676&gt;5%),"EXP = 0 y PART &gt; 5%",IF(F676&lt;5%*Q676,"EXP &lt; 5%*PO","")))</f>
        <v/>
      </c>
      <c r="L676" s="389" t="str">
        <f>IF(OR(D676="",E676=""),"",IF(AND(E676&gt;=0.25,F676&lt;&gt;"NO APORTA",F676&gt;=$R676*0.25),"SI","NO"))</f>
        <v/>
      </c>
      <c r="M676" s="389"/>
      <c r="N676" s="468"/>
      <c r="O676" s="403" t="str">
        <f ca="1">IF(R676&gt;=Q676,"CUMPLE","NO CUMPLE")</f>
        <v>CUMPLE</v>
      </c>
      <c r="P676" s="312">
        <f>NUMMOD</f>
        <v>1</v>
      </c>
      <c r="Q676" s="313">
        <f ca="1">IF(P676="","",ROUND(VLOOKUP(P676,PRESUPUESTOS!$B$16:$L$16,9,FALSE),7))</f>
        <v>300</v>
      </c>
      <c r="R676" s="834">
        <f>IF(OR(COUNTIF(O654:O663,"")&gt;9,S670&lt;NUMMINCONT),0,SUM(O654:O663))</f>
        <v>979.66250000000002</v>
      </c>
      <c r="S676" s="834"/>
      <c r="T676" s="284"/>
      <c r="U676" s="284"/>
      <c r="V676" s="310"/>
      <c r="W676" s="284"/>
      <c r="X676" s="545" t="str">
        <f>IF($F669=1,"NO APLICA",$D676)</f>
        <v/>
      </c>
      <c r="Y676" s="543" t="str">
        <f>IF(OR($F676="",$F676="NO APORTA",$R676=0,$X676="NO APLICA"),"",ROUND($F676/$Q676,2))</f>
        <v/>
      </c>
      <c r="Z676" s="544" t="str">
        <f>IF(Y677=1,"SI APLICA",IF(OR($X676="",$X676="NO APLICA",$F676="",$F676="NO APORTA"),"",IF(ROUND($F676/Q676,7)&gt;=0.4,"SI APLICA","NO APLICA")))</f>
        <v/>
      </c>
      <c r="AA676" s="546"/>
      <c r="AB676" s="540" t="str">
        <f>IF(COUNTIF(Z676:AA676,"SI APLICA")=2,"SI APLICA","")</f>
        <v/>
      </c>
      <c r="AC676" s="28"/>
    </row>
    <row r="677" spans="1:29" s="30" customFormat="1" ht="16.5" customHeight="1" thickBot="1">
      <c r="A677" s="112" t="str">
        <f>"T"&amp;E650</f>
        <v>T22</v>
      </c>
      <c r="B677" s="792"/>
      <c r="C677" s="821" t="s">
        <v>419</v>
      </c>
      <c r="D677" s="822"/>
      <c r="E677" s="822"/>
      <c r="F677" s="518"/>
      <c r="G677" s="519"/>
      <c r="H677" s="794" t="str">
        <f ca="1">IF(OR($F669="",SUM(E671:E676)=0),"",IF(COUNTIF(H671:I676,"CUMPLE")&gt;=1,"CUMPLE","NO CUMPLE"))</f>
        <v>CUMPLE</v>
      </c>
      <c r="I677" s="795"/>
      <c r="J677" s="314" t="str">
        <f ca="1">IF(COUNTIF(J671,"")&gt;5,"",IF(COUNTIF(J671,"NO CUMPLE")&gt;0,"NO CUMPLE","CUMPLE"))</f>
        <v>CUMPLE</v>
      </c>
      <c r="K677" s="314" t="str">
        <f ca="1">IF(OR(AND(F669=1,N671="SI"),AND(COUNTIF(H677:J677,"CUMPLE")=2)),"CUMPLE","NO CUMPLE")</f>
        <v>CUMPLE</v>
      </c>
      <c r="L677" s="519"/>
      <c r="M677" s="519"/>
      <c r="N677" s="519"/>
      <c r="O677" s="833" t="str">
        <f ca="1">IF(ISNUMBER(F650),"",IF(AND(O676="NO CUMPLE",SUM(N657:N663)&lt;Q676),"EL PROPONENTE SE DEBE REQUERIR POR EXPERIENCIA MINIMA EXIGIDA",""))</f>
        <v/>
      </c>
      <c r="P677" s="833"/>
      <c r="Q677" s="833"/>
      <c r="R677" s="833"/>
      <c r="S677" s="833"/>
      <c r="T677" s="522"/>
      <c r="U677" s="523"/>
      <c r="V677" s="524"/>
      <c r="W677" s="284"/>
      <c r="X677" s="364" t="str">
        <f>IF(Y677=1,"PROPONENTE INDIVIDUAL","PROPONENTE PLURAL")</f>
        <v>PROPONENTE PLURAL</v>
      </c>
      <c r="Y677" s="276">
        <f>F669</f>
        <v>2</v>
      </c>
      <c r="Z677" s="277" t="str">
        <f ca="1">IF(OR(AND(Z671="SI APLICA",AA671="SI APLICA"),AND(Z672="SI APLICA",AA672="SI APLICA"),AND(Z673="SI APLICA",AA673="SI APLICA"),AND(Z674="SI APLICA",AA674="SI APLICA"),AND(Z675="SI APLICA",AA675="SI APLICA"),AND(Z676="SI APLICA",AA676="SI APLICA")),"SI APLICA","NO APLICA")</f>
        <v>SI APLICA</v>
      </c>
      <c r="AA677" s="278" t="str">
        <f ca="1">IF(OR(AND(AA671="SI APLICA",AB671="SI APLICA"),AND(AA672="SI APLICA",AB672="SI APLICA"),AND(AA673="SI APLICA",AB673="SI APLICA"),AND(AA674="SI APLICA",AB674="SI APLICA"),AND(AA675="SI APLICA",AB675="SI APLICA"),AND(AA676="SI APLICA",AB676="SI APLICA")),"SI APLICA","NO APLICA")</f>
        <v>SI APLICA</v>
      </c>
      <c r="AB677" s="278" t="str">
        <f ca="1">IF(COUNTIF(AB671:AB676,"SI APLICA")&gt;0,"SI APLICA","NO APLICA")</f>
        <v>SI APLICA</v>
      </c>
      <c r="AC677" s="28"/>
    </row>
    <row r="678" spans="1:29" ht="24.95" customHeight="1"/>
    <row r="679" spans="1:29" ht="24.95" customHeight="1"/>
    <row r="680" spans="1:29" s="41" customFormat="1" ht="24" thickBot="1">
      <c r="A680" s="34">
        <v>23</v>
      </c>
      <c r="B680" s="828" t="s">
        <v>355</v>
      </c>
      <c r="C680" s="828"/>
      <c r="D680" s="828"/>
      <c r="E680" s="35">
        <f>VLOOKUP(A680,PROPONENTES!$B$19:$E$108,2,FALSE)</f>
        <v>23</v>
      </c>
      <c r="F680" s="36" t="str">
        <f>VLOOKUP(A680,PROPONENTES!$B$19:$E$108,3,FALSE)</f>
        <v>VELNEC S.A</v>
      </c>
      <c r="G680" s="37"/>
      <c r="H680" s="37"/>
      <c r="I680" s="36"/>
      <c r="J680" s="36"/>
      <c r="K680" s="36"/>
      <c r="L680" s="36"/>
      <c r="M680" s="38"/>
      <c r="N680" s="38"/>
      <c r="O680" s="37"/>
      <c r="P680" s="37"/>
      <c r="Q680" s="39"/>
      <c r="R680" s="39"/>
      <c r="S680" s="39"/>
      <c r="T680" s="39"/>
      <c r="U680" s="40"/>
      <c r="Y680" s="52"/>
      <c r="Z680" s="52"/>
      <c r="AA680" s="52"/>
      <c r="AB680" s="28"/>
      <c r="AC680" s="28"/>
    </row>
    <row r="681" spans="1:29" s="27" customFormat="1" ht="24.75" customHeight="1">
      <c r="A681" s="22"/>
      <c r="B681" s="829" t="s">
        <v>356</v>
      </c>
      <c r="C681" s="501" t="s">
        <v>357</v>
      </c>
      <c r="D681" s="502" t="s">
        <v>358</v>
      </c>
      <c r="E681" s="502"/>
      <c r="F681" s="502" t="s">
        <v>359</v>
      </c>
      <c r="G681" s="503"/>
      <c r="H681" s="803" t="s">
        <v>360</v>
      </c>
      <c r="I681" s="831" t="s">
        <v>361</v>
      </c>
      <c r="J681" s="803" t="s">
        <v>362</v>
      </c>
      <c r="K681" s="803" t="s">
        <v>363</v>
      </c>
      <c r="L681" s="803" t="s">
        <v>364</v>
      </c>
      <c r="M681" s="803" t="s">
        <v>365</v>
      </c>
      <c r="N681" s="804" t="s">
        <v>366</v>
      </c>
      <c r="O681" s="805"/>
      <c r="P681" s="806" t="s">
        <v>367</v>
      </c>
      <c r="Q681" s="807"/>
      <c r="R681" s="784" t="s">
        <v>368</v>
      </c>
      <c r="S681" s="774"/>
      <c r="T681" s="798" t="s">
        <v>369</v>
      </c>
      <c r="U681" s="799"/>
      <c r="V681" s="800"/>
      <c r="X681" s="520"/>
      <c r="Y681" s="520"/>
    </row>
    <row r="682" spans="1:29" s="27" customFormat="1" ht="94.5" customHeight="1">
      <c r="A682" s="22"/>
      <c r="B682" s="830"/>
      <c r="C682" s="504" t="s">
        <v>370</v>
      </c>
      <c r="D682" s="505" t="s">
        <v>41</v>
      </c>
      <c r="E682" s="505" t="s">
        <v>371</v>
      </c>
      <c r="F682" s="505" t="s">
        <v>372</v>
      </c>
      <c r="G682" s="506" t="s">
        <v>373</v>
      </c>
      <c r="H682" s="793"/>
      <c r="I682" s="832"/>
      <c r="J682" s="793"/>
      <c r="K682" s="793"/>
      <c r="L682" s="793"/>
      <c r="M682" s="793"/>
      <c r="N682" s="504" t="s">
        <v>374</v>
      </c>
      <c r="O682" s="505" t="s">
        <v>375</v>
      </c>
      <c r="P682" s="801"/>
      <c r="Q682" s="802"/>
      <c r="R682" s="796"/>
      <c r="S682" s="797"/>
      <c r="T682" s="507" t="s">
        <v>376</v>
      </c>
      <c r="U682" s="508" t="s">
        <v>377</v>
      </c>
      <c r="V682" s="509" t="s">
        <v>378</v>
      </c>
      <c r="X682" s="521" t="s">
        <v>379</v>
      </c>
      <c r="Y682" s="521" t="s">
        <v>380</v>
      </c>
    </row>
    <row r="683" spans="1:29" s="27" customFormat="1" ht="15" customHeight="1">
      <c r="A683" s="22"/>
      <c r="B683" s="594"/>
      <c r="C683" s="595">
        <v>3</v>
      </c>
      <c r="D683" s="595">
        <v>4</v>
      </c>
      <c r="E683" s="595">
        <v>5</v>
      </c>
      <c r="F683" s="595">
        <v>6</v>
      </c>
      <c r="G683" s="595">
        <v>7</v>
      </c>
      <c r="H683" s="595">
        <v>8</v>
      </c>
      <c r="I683" s="595">
        <v>9</v>
      </c>
      <c r="J683" s="595">
        <v>10</v>
      </c>
      <c r="K683" s="595">
        <v>11</v>
      </c>
      <c r="L683" s="595">
        <v>12</v>
      </c>
      <c r="M683" s="595">
        <v>13</v>
      </c>
      <c r="N683" s="595">
        <v>14</v>
      </c>
      <c r="O683" s="595">
        <v>15</v>
      </c>
      <c r="P683" s="596">
        <v>16</v>
      </c>
      <c r="Q683" s="597">
        <v>17</v>
      </c>
      <c r="R683" s="596">
        <v>18</v>
      </c>
      <c r="S683" s="597">
        <v>19</v>
      </c>
      <c r="T683" s="598">
        <v>20</v>
      </c>
      <c r="U683" s="255">
        <v>21</v>
      </c>
      <c r="V683" s="599">
        <v>22</v>
      </c>
      <c r="X683" s="589"/>
      <c r="Y683" s="590"/>
    </row>
    <row r="684" spans="1:29" s="44" customFormat="1" ht="106.5" customHeight="1">
      <c r="A684" s="42" t="str">
        <f>"A"&amp;E680</f>
        <v>A23</v>
      </c>
      <c r="B684" s="605">
        <f>IF(C684&lt;&gt;"",B683+1,"")</f>
        <v>1</v>
      </c>
      <c r="C684" s="581" t="s">
        <v>569</v>
      </c>
      <c r="D684" s="581" t="s">
        <v>570</v>
      </c>
      <c r="E684" s="581" t="s">
        <v>571</v>
      </c>
      <c r="F684" s="581" t="s">
        <v>572</v>
      </c>
      <c r="G684" s="534">
        <v>0.5</v>
      </c>
      <c r="H684" s="534" t="s">
        <v>385</v>
      </c>
      <c r="I684" s="579" t="s">
        <v>384</v>
      </c>
      <c r="J684" s="580" t="str">
        <f>IF(I684="","",IF(I684="I",$F680,VLOOKUP(I684,$C700:$D705,2,0)))</f>
        <v>VELNEC S.A</v>
      </c>
      <c r="K684" s="535">
        <v>37347</v>
      </c>
      <c r="L684" s="535">
        <v>37911</v>
      </c>
      <c r="M684" s="536">
        <v>1277.3699999999999</v>
      </c>
      <c r="N684" s="232">
        <f t="shared" ref="N684:N693" si="133">IF(OR(G684="",M684=""),"",M684*G684)</f>
        <v>638.68499999999995</v>
      </c>
      <c r="O684" s="260">
        <f t="shared" ref="O684:O693" si="134">IF(OR(H684="",H684="NO",K684&lt;$Q$17,K684&gt;$R$17,K684="",M684="",N684=""),"",ROUND(N684,7))</f>
        <v>638.68499999999995</v>
      </c>
      <c r="P684" s="781"/>
      <c r="Q684" s="782"/>
      <c r="R684" s="767"/>
      <c r="S684" s="768"/>
      <c r="T684" s="538" t="s">
        <v>385</v>
      </c>
      <c r="U684" s="539">
        <v>65</v>
      </c>
      <c r="V684" s="540" t="s">
        <v>385</v>
      </c>
      <c r="X684" s="541" t="s">
        <v>386</v>
      </c>
      <c r="Y684" s="541" t="s">
        <v>387</v>
      </c>
    </row>
    <row r="685" spans="1:29" s="44" customFormat="1" ht="74.25" customHeight="1">
      <c r="A685" s="42" t="str">
        <f>"B"&amp;E680</f>
        <v>B23</v>
      </c>
      <c r="B685" s="605">
        <f t="shared" ref="B685:B693" si="135">IF(C685&lt;&gt;"",B684+1,"")</f>
        <v>2</v>
      </c>
      <c r="C685" s="581" t="s">
        <v>569</v>
      </c>
      <c r="D685" s="581" t="s">
        <v>573</v>
      </c>
      <c r="E685" s="581" t="s">
        <v>574</v>
      </c>
      <c r="F685" s="581" t="s">
        <v>384</v>
      </c>
      <c r="G685" s="534">
        <v>1</v>
      </c>
      <c r="H685" s="534" t="s">
        <v>385</v>
      </c>
      <c r="I685" s="579" t="s">
        <v>384</v>
      </c>
      <c r="J685" s="580" t="str">
        <f>IF(I685="","",IF(I685="I",$F680,VLOOKUP(I685,$C701:$D706,2,0)))</f>
        <v>VELNEC S.A</v>
      </c>
      <c r="K685" s="535">
        <v>36382</v>
      </c>
      <c r="L685" s="535">
        <v>36860</v>
      </c>
      <c r="M685" s="536">
        <v>397.12</v>
      </c>
      <c r="N685" s="232">
        <f t="shared" si="133"/>
        <v>397.12</v>
      </c>
      <c r="O685" s="260">
        <f t="shared" si="134"/>
        <v>397.12</v>
      </c>
      <c r="P685" s="781"/>
      <c r="Q685" s="782"/>
      <c r="R685" s="767"/>
      <c r="S685" s="768"/>
      <c r="T685" s="538" t="s">
        <v>385</v>
      </c>
      <c r="U685" s="539">
        <v>66</v>
      </c>
      <c r="V685" s="540" t="s">
        <v>385</v>
      </c>
      <c r="X685" s="541" t="s">
        <v>386</v>
      </c>
      <c r="Y685" s="541" t="s">
        <v>439</v>
      </c>
    </row>
    <row r="686" spans="1:29" s="44" customFormat="1" ht="76.5" customHeight="1">
      <c r="A686" s="42" t="str">
        <f>"C"&amp;E680</f>
        <v>C23</v>
      </c>
      <c r="B686" s="605">
        <f t="shared" si="135"/>
        <v>3</v>
      </c>
      <c r="C686" s="581" t="s">
        <v>569</v>
      </c>
      <c r="D686" s="581" t="s">
        <v>575</v>
      </c>
      <c r="E686" s="581" t="s">
        <v>576</v>
      </c>
      <c r="F686" s="581" t="s">
        <v>384</v>
      </c>
      <c r="G686" s="534">
        <v>1</v>
      </c>
      <c r="H686" s="534" t="s">
        <v>385</v>
      </c>
      <c r="I686" s="579" t="s">
        <v>384</v>
      </c>
      <c r="J686" s="580" t="str">
        <f>IF(I686="","",IF(I686="I",$F680,VLOOKUP(I686,$C701:$D706,2,0)))</f>
        <v>VELNEC S.A</v>
      </c>
      <c r="K686" s="535">
        <v>36389</v>
      </c>
      <c r="L686" s="535">
        <v>36785</v>
      </c>
      <c r="M686" s="536">
        <v>352.45</v>
      </c>
      <c r="N686" s="232">
        <f t="shared" si="133"/>
        <v>352.45</v>
      </c>
      <c r="O686" s="260">
        <f t="shared" si="134"/>
        <v>352.45</v>
      </c>
      <c r="P686" s="781"/>
      <c r="Q686" s="782"/>
      <c r="R686" s="767"/>
      <c r="S686" s="768"/>
      <c r="T686" s="538" t="s">
        <v>385</v>
      </c>
      <c r="U686" s="539">
        <v>67</v>
      </c>
      <c r="V686" s="540" t="s">
        <v>385</v>
      </c>
      <c r="X686" s="541" t="s">
        <v>386</v>
      </c>
      <c r="Y686" s="541" t="s">
        <v>439</v>
      </c>
    </row>
    <row r="687" spans="1:29" s="44" customFormat="1" ht="24.95" customHeight="1">
      <c r="A687" s="42" t="str">
        <f>"D"&amp;E680</f>
        <v>D23</v>
      </c>
      <c r="B687" s="605" t="str">
        <f t="shared" si="135"/>
        <v/>
      </c>
      <c r="C687" s="581"/>
      <c r="D687" s="581"/>
      <c r="E687" s="581"/>
      <c r="F687" s="581"/>
      <c r="G687" s="534"/>
      <c r="H687" s="534"/>
      <c r="I687" s="579"/>
      <c r="J687" s="580" t="str">
        <f>IF(I687="","",IF(I687="I",$F680,VLOOKUP(I687,$C701:$D706,2,0)))</f>
        <v/>
      </c>
      <c r="K687" s="535"/>
      <c r="L687" s="535"/>
      <c r="M687" s="536"/>
      <c r="N687" s="232" t="str">
        <f t="shared" si="133"/>
        <v/>
      </c>
      <c r="O687" s="260" t="str">
        <f t="shared" si="134"/>
        <v/>
      </c>
      <c r="P687" s="781"/>
      <c r="Q687" s="782"/>
      <c r="R687" s="767"/>
      <c r="S687" s="768"/>
      <c r="T687" s="538"/>
      <c r="U687" s="539"/>
      <c r="V687" s="540"/>
      <c r="X687" s="541"/>
      <c r="Y687" s="541"/>
    </row>
    <row r="688" spans="1:29" s="44" customFormat="1" ht="24.95" customHeight="1">
      <c r="A688" s="42" t="str">
        <f>"E"&amp;E680</f>
        <v>E23</v>
      </c>
      <c r="B688" s="605" t="str">
        <f t="shared" si="135"/>
        <v/>
      </c>
      <c r="C688" s="581"/>
      <c r="D688" s="581"/>
      <c r="E688" s="581"/>
      <c r="F688" s="581"/>
      <c r="G688" s="534"/>
      <c r="H688" s="534"/>
      <c r="I688" s="579"/>
      <c r="J688" s="580" t="str">
        <f>IF(I688="","",IF(I688="I",$F680,VLOOKUP(I688,$C701:$D706,2,0)))</f>
        <v/>
      </c>
      <c r="K688" s="535"/>
      <c r="L688" s="535"/>
      <c r="M688" s="536"/>
      <c r="N688" s="232" t="str">
        <f t="shared" si="133"/>
        <v/>
      </c>
      <c r="O688" s="260" t="str">
        <f t="shared" si="134"/>
        <v/>
      </c>
      <c r="P688" s="781"/>
      <c r="Q688" s="782"/>
      <c r="R688" s="767"/>
      <c r="S688" s="768"/>
      <c r="T688" s="538"/>
      <c r="U688" s="539"/>
      <c r="V688" s="540"/>
      <c r="X688" s="541"/>
      <c r="Y688" s="541"/>
    </row>
    <row r="689" spans="1:29" s="44" customFormat="1" ht="24.95" customHeight="1">
      <c r="A689" s="42" t="str">
        <f>"F"&amp;E680</f>
        <v>F23</v>
      </c>
      <c r="B689" s="605" t="str">
        <f t="shared" si="135"/>
        <v/>
      </c>
      <c r="C689" s="581"/>
      <c r="D689" s="581"/>
      <c r="E689" s="581"/>
      <c r="F689" s="581"/>
      <c r="G689" s="534"/>
      <c r="H689" s="534"/>
      <c r="I689" s="579"/>
      <c r="J689" s="580" t="str">
        <f>IF(I689="","",IF(I689="I",$F680,VLOOKUP(I689,$C701:$D706,2,0)))</f>
        <v/>
      </c>
      <c r="K689" s="535"/>
      <c r="L689" s="535"/>
      <c r="M689" s="536"/>
      <c r="N689" s="232" t="str">
        <f t="shared" si="133"/>
        <v/>
      </c>
      <c r="O689" s="260" t="str">
        <f t="shared" si="134"/>
        <v/>
      </c>
      <c r="P689" s="781"/>
      <c r="Q689" s="782"/>
      <c r="R689" s="767"/>
      <c r="S689" s="768"/>
      <c r="T689" s="538"/>
      <c r="U689" s="539"/>
      <c r="V689" s="540"/>
      <c r="X689" s="541"/>
      <c r="Y689" s="541"/>
    </row>
    <row r="690" spans="1:29" s="44" customFormat="1" ht="24.95" customHeight="1">
      <c r="A690" s="42" t="str">
        <f>"G"&amp;E680</f>
        <v>G23</v>
      </c>
      <c r="B690" s="605" t="str">
        <f t="shared" si="135"/>
        <v/>
      </c>
      <c r="C690" s="581"/>
      <c r="D690" s="581"/>
      <c r="E690" s="581"/>
      <c r="F690" s="581"/>
      <c r="G690" s="534"/>
      <c r="H690" s="534"/>
      <c r="I690" s="579"/>
      <c r="J690" s="580" t="str">
        <f>IF(I690="","",IF(I690="I",$F680,VLOOKUP(I690,$C701:$D706,2,0)))</f>
        <v/>
      </c>
      <c r="K690" s="535"/>
      <c r="L690" s="535"/>
      <c r="M690" s="536"/>
      <c r="N690" s="43" t="str">
        <f t="shared" si="133"/>
        <v/>
      </c>
      <c r="O690" s="260" t="str">
        <f t="shared" si="134"/>
        <v/>
      </c>
      <c r="P690" s="781"/>
      <c r="Q690" s="782"/>
      <c r="R690" s="767"/>
      <c r="S690" s="768"/>
      <c r="T690" s="538"/>
      <c r="U690" s="539"/>
      <c r="V690" s="540"/>
      <c r="X690" s="541"/>
      <c r="Y690" s="541"/>
    </row>
    <row r="691" spans="1:29" s="44" customFormat="1" ht="24.95" customHeight="1">
      <c r="A691" s="42" t="str">
        <f>"H"&amp;E680</f>
        <v>H23</v>
      </c>
      <c r="B691" s="605" t="str">
        <f t="shared" si="135"/>
        <v/>
      </c>
      <c r="C691" s="581"/>
      <c r="D691" s="581"/>
      <c r="E691" s="581"/>
      <c r="F691" s="581"/>
      <c r="G691" s="534"/>
      <c r="H691" s="534"/>
      <c r="I691" s="579"/>
      <c r="J691" s="580" t="str">
        <f>IF(I691="","",IF(I691="I",$F680,VLOOKUP(I691,$C701:$D706,2,0)))</f>
        <v/>
      </c>
      <c r="K691" s="535"/>
      <c r="L691" s="535"/>
      <c r="M691" s="537"/>
      <c r="N691" s="43" t="str">
        <f t="shared" si="133"/>
        <v/>
      </c>
      <c r="O691" s="260" t="str">
        <f t="shared" si="134"/>
        <v/>
      </c>
      <c r="P691" s="781"/>
      <c r="Q691" s="782"/>
      <c r="R691" s="767"/>
      <c r="S691" s="768"/>
      <c r="T691" s="538"/>
      <c r="U691" s="539"/>
      <c r="V691" s="540"/>
      <c r="X691" s="541"/>
      <c r="Y691" s="541"/>
    </row>
    <row r="692" spans="1:29" s="44" customFormat="1" ht="24.95" customHeight="1">
      <c r="A692" s="42" t="str">
        <f>"I"&amp;E680</f>
        <v>I23</v>
      </c>
      <c r="B692" s="605" t="str">
        <f t="shared" si="135"/>
        <v/>
      </c>
      <c r="C692" s="581"/>
      <c r="D692" s="581"/>
      <c r="E692" s="581"/>
      <c r="F692" s="581"/>
      <c r="G692" s="534"/>
      <c r="H692" s="534"/>
      <c r="I692" s="579"/>
      <c r="J692" s="580" t="str">
        <f>IF(I692="","",IF(I692="I",$F680,VLOOKUP(I692,$C701:$D706,2,0)))</f>
        <v/>
      </c>
      <c r="K692" s="535"/>
      <c r="L692" s="535"/>
      <c r="M692" s="537"/>
      <c r="N692" s="43" t="str">
        <f t="shared" si="133"/>
        <v/>
      </c>
      <c r="O692" s="260" t="str">
        <f t="shared" si="134"/>
        <v/>
      </c>
      <c r="P692" s="781"/>
      <c r="Q692" s="782"/>
      <c r="R692" s="767"/>
      <c r="S692" s="768"/>
      <c r="T692" s="538"/>
      <c r="U692" s="539"/>
      <c r="V692" s="540"/>
      <c r="X692" s="541"/>
      <c r="Y692" s="541"/>
    </row>
    <row r="693" spans="1:29" s="44" customFormat="1" ht="24.95" customHeight="1" thickBot="1">
      <c r="A693" s="42" t="str">
        <f>"J"&amp;E680</f>
        <v>J23</v>
      </c>
      <c r="B693" s="612" t="str">
        <f t="shared" si="135"/>
        <v/>
      </c>
      <c r="C693" s="582"/>
      <c r="D693" s="582"/>
      <c r="E693" s="582"/>
      <c r="F693" s="582"/>
      <c r="G693" s="583"/>
      <c r="H693" s="583"/>
      <c r="I693" s="584"/>
      <c r="J693" s="585" t="str">
        <f>IF(I693="","",IF(I693="I",$F680,VLOOKUP(I693,$C701:$D706,2,0)))</f>
        <v/>
      </c>
      <c r="K693" s="586"/>
      <c r="L693" s="586"/>
      <c r="M693" s="587"/>
      <c r="N693" s="43" t="str">
        <f t="shared" si="133"/>
        <v/>
      </c>
      <c r="O693" s="260" t="str">
        <f t="shared" si="134"/>
        <v/>
      </c>
      <c r="P693" s="781"/>
      <c r="Q693" s="782"/>
      <c r="R693" s="767"/>
      <c r="S693" s="768"/>
      <c r="T693" s="538"/>
      <c r="U693" s="539"/>
      <c r="V693" s="540"/>
      <c r="X693" s="541"/>
      <c r="Y693" s="541"/>
    </row>
    <row r="694" spans="1:29" s="27" customFormat="1" ht="12" customHeight="1" thickBot="1">
      <c r="A694" s="42"/>
      <c r="B694" s="45"/>
      <c r="C694" s="46"/>
      <c r="D694" s="46"/>
      <c r="E694" s="46"/>
      <c r="F694" s="46"/>
      <c r="G694" s="46"/>
      <c r="H694" s="606"/>
      <c r="I694" s="46"/>
      <c r="J694" s="46"/>
      <c r="K694" s="46"/>
      <c r="L694" s="46"/>
      <c r="M694" s="46"/>
      <c r="N694" s="46"/>
      <c r="O694" s="259"/>
      <c r="P694" s="46"/>
      <c r="Q694" s="46"/>
      <c r="R694" s="259"/>
      <c r="S694" s="46"/>
      <c r="T694" s="46"/>
      <c r="U694" s="47"/>
      <c r="V694" s="48"/>
      <c r="X694" s="592"/>
      <c r="Y694" s="593"/>
      <c r="AB694" s="378"/>
    </row>
    <row r="695" spans="1:29" s="27" customFormat="1" ht="17.25" customHeight="1" thickBot="1">
      <c r="A695" s="42" t="str">
        <f>"Z"&amp;E680</f>
        <v>Z23</v>
      </c>
      <c r="B695" s="510"/>
      <c r="C695" s="511"/>
      <c r="D695" s="511"/>
      <c r="E695" s="511"/>
      <c r="F695" s="511"/>
      <c r="G695" s="511"/>
      <c r="H695" s="511"/>
      <c r="I695" s="511"/>
      <c r="J695" s="511"/>
      <c r="K695" s="511"/>
      <c r="L695" s="511"/>
      <c r="M695" s="511"/>
      <c r="N695" s="437" t="s">
        <v>388</v>
      </c>
      <c r="O695" s="438">
        <f>IF(COUNTIF(O684:O693,"")&gt;9,0,SUM(O684:O693)/(COUNTIF(H684:H693,"SI")))</f>
        <v>462.75166666666661</v>
      </c>
      <c r="P695" s="511"/>
      <c r="Q695" s="511"/>
      <c r="R695" s="530"/>
      <c r="S695" s="530"/>
      <c r="T695" s="531"/>
      <c r="U695" s="532"/>
      <c r="V695" s="533"/>
      <c r="W695" s="285"/>
      <c r="X695" s="613" t="e">
        <f>COUNTIF(#REF!,"")-COUNTIF(#REF!,"CUMPLE")-1</f>
        <v>#REF!</v>
      </c>
      <c r="Y695" s="591"/>
      <c r="AB695" s="28"/>
    </row>
    <row r="696" spans="1:29" ht="17.25" customHeight="1">
      <c r="B696" s="50"/>
      <c r="C696" s="50"/>
      <c r="D696" s="50"/>
      <c r="E696" s="50"/>
      <c r="F696" s="50"/>
      <c r="G696" s="51"/>
      <c r="H696" s="51"/>
      <c r="I696" s="51"/>
      <c r="J696" s="51"/>
      <c r="K696" s="51"/>
      <c r="L696" s="51"/>
      <c r="M696" s="51"/>
      <c r="N696" s="51"/>
      <c r="O696" s="51"/>
      <c r="P696" s="51"/>
      <c r="Q696" s="51"/>
      <c r="R696" s="51"/>
      <c r="S696" s="51"/>
      <c r="T696" s="51"/>
      <c r="U696" s="51"/>
      <c r="V696" s="51"/>
      <c r="W696" s="51"/>
      <c r="X696" s="608"/>
      <c r="Y696" s="51"/>
      <c r="Z696" s="51"/>
      <c r="AA696" s="51"/>
      <c r="AB696" s="51"/>
      <c r="AC696" s="50"/>
    </row>
    <row r="697" spans="1:29" s="27" customFormat="1" ht="16.5" customHeight="1" thickBot="1">
      <c r="A697" s="22"/>
      <c r="B697" s="783" t="s">
        <v>389</v>
      </c>
      <c r="C697" s="783"/>
      <c r="D697" s="783"/>
      <c r="E697" s="783"/>
      <c r="F697" s="783"/>
      <c r="G697" s="783"/>
      <c r="H697" s="783"/>
      <c r="I697" s="783"/>
      <c r="J697" s="783"/>
      <c r="K697" s="783"/>
      <c r="L697" s="783"/>
      <c r="M697" s="783"/>
      <c r="N697" s="783"/>
      <c r="O697" s="783"/>
      <c r="P697" s="783"/>
      <c r="Q697" s="783"/>
      <c r="R697" s="783"/>
      <c r="S697" s="783"/>
      <c r="T697" s="783"/>
      <c r="U697" s="783"/>
      <c r="V697" s="783"/>
      <c r="W697" s="286"/>
      <c r="X697" s="607"/>
      <c r="Y697" s="52"/>
      <c r="Z697" s="52"/>
      <c r="AA697" s="52"/>
      <c r="AB697" s="28"/>
      <c r="AC697" s="28"/>
    </row>
    <row r="698" spans="1:29" s="30" customFormat="1" ht="22.5" customHeight="1">
      <c r="A698" s="112" t="str">
        <f>"K"&amp;E680</f>
        <v>K23</v>
      </c>
      <c r="B698" s="790" t="s">
        <v>390</v>
      </c>
      <c r="C698" s="772" t="s">
        <v>391</v>
      </c>
      <c r="D698" s="773"/>
      <c r="E698" s="773"/>
      <c r="F698" s="773"/>
      <c r="G698" s="773"/>
      <c r="H698" s="773"/>
      <c r="I698" s="773"/>
      <c r="J698" s="773"/>
      <c r="K698" s="773"/>
      <c r="L698" s="773"/>
      <c r="M698" s="774"/>
      <c r="N698" s="525"/>
      <c r="O698" s="588"/>
      <c r="P698" s="772" t="s">
        <v>392</v>
      </c>
      <c r="Q698" s="773"/>
      <c r="R698" s="773"/>
      <c r="S698" s="774"/>
      <c r="T698" s="784" t="s">
        <v>393</v>
      </c>
      <c r="U698" s="774"/>
      <c r="V698" s="811"/>
      <c r="W698" s="284"/>
      <c r="X698" s="778" t="s">
        <v>394</v>
      </c>
      <c r="Y698" s="779"/>
      <c r="Z698" s="779"/>
      <c r="AA698" s="779" t="s">
        <v>395</v>
      </c>
      <c r="AB698" s="808" t="s">
        <v>396</v>
      </c>
      <c r="AC698" s="28"/>
    </row>
    <row r="699" spans="1:29" s="30" customFormat="1" ht="22.5" customHeight="1">
      <c r="A699" s="112" t="str">
        <f>"L"&amp;E680</f>
        <v>L23</v>
      </c>
      <c r="B699" s="791"/>
      <c r="C699" s="769" t="s">
        <v>397</v>
      </c>
      <c r="D699" s="770"/>
      <c r="E699" s="771"/>
      <c r="F699" s="512">
        <f>IF(VLOOKUP(E680,PROPONENTES!$C$19:$E$108,3,0)="","",VLOOKUP(E680,PROPONENTES!$C$19:$E$108,3,0))</f>
        <v>1</v>
      </c>
      <c r="G699" s="824" t="s">
        <v>398</v>
      </c>
      <c r="H699" s="793" t="s">
        <v>399</v>
      </c>
      <c r="I699" s="793"/>
      <c r="J699" s="769" t="s">
        <v>400</v>
      </c>
      <c r="K699" s="823"/>
      <c r="L699" s="513" t="s">
        <v>401</v>
      </c>
      <c r="M699" s="513"/>
      <c r="N699" s="526"/>
      <c r="O699" s="527"/>
      <c r="P699" s="775"/>
      <c r="Q699" s="776"/>
      <c r="R699" s="776"/>
      <c r="S699" s="777"/>
      <c r="T699" s="796"/>
      <c r="U699" s="797"/>
      <c r="V699" s="812"/>
      <c r="W699" s="284"/>
      <c r="X699" s="780" t="s">
        <v>402</v>
      </c>
      <c r="Y699" s="810" t="s">
        <v>403</v>
      </c>
      <c r="Z699" s="810"/>
      <c r="AA699" s="810"/>
      <c r="AB699" s="809"/>
      <c r="AC699" s="28"/>
    </row>
    <row r="700" spans="1:29" s="30" customFormat="1" ht="51.75" customHeight="1" thickBot="1">
      <c r="A700" s="112" t="str">
        <f>"M"&amp;E680</f>
        <v>M23</v>
      </c>
      <c r="B700" s="791"/>
      <c r="C700" s="770" t="s">
        <v>404</v>
      </c>
      <c r="D700" s="771"/>
      <c r="E700" s="514" t="s">
        <v>405</v>
      </c>
      <c r="F700" s="515" t="s">
        <v>406</v>
      </c>
      <c r="G700" s="824"/>
      <c r="H700" s="793"/>
      <c r="I700" s="793"/>
      <c r="J700" s="504" t="s">
        <v>407</v>
      </c>
      <c r="K700" s="516" t="s">
        <v>408</v>
      </c>
      <c r="L700" s="517" t="s">
        <v>409</v>
      </c>
      <c r="M700" s="517"/>
      <c r="N700" s="528" t="s">
        <v>410</v>
      </c>
      <c r="O700" s="529"/>
      <c r="P700" s="386"/>
      <c r="Q700" s="387" t="s">
        <v>411</v>
      </c>
      <c r="R700" s="388"/>
      <c r="S700" s="113">
        <f>COUNTIFS(H684:H693,"SI",O684:O693,"&gt;0")</f>
        <v>3</v>
      </c>
      <c r="T700" s="785"/>
      <c r="U700" s="787"/>
      <c r="V700" s="813"/>
      <c r="W700" s="284"/>
      <c r="X700" s="780"/>
      <c r="Y700" s="810"/>
      <c r="Z700" s="810"/>
      <c r="AA700" s="810"/>
      <c r="AB700" s="809"/>
      <c r="AC700" s="28"/>
    </row>
    <row r="701" spans="1:29" s="30" customFormat="1" ht="15.75" customHeight="1">
      <c r="A701" s="112" t="str">
        <f>"N"&amp;E680</f>
        <v>N23</v>
      </c>
      <c r="B701" s="791"/>
      <c r="C701" s="54">
        <v>1</v>
      </c>
      <c r="D701" s="100" t="str">
        <f>IF(AND(C701&lt;=F699,F699&gt;1,F699&lt;&gt;""),VLOOKUP(VALUE(E680&amp;","&amp;C701),INTEGRANTES!$D$19:$F$192,2,0),"")</f>
        <v/>
      </c>
      <c r="E701" s="107" t="str">
        <f>IF(D701&lt;&gt;"",VLOOKUP(VALUE(E680&amp;","&amp;C701),INTEGRANTES!$D$19:$F$192,3,0),"")</f>
        <v/>
      </c>
      <c r="F701" s="380" t="str">
        <f>IF(D701="","",IF(OR(SUMIF($J687:$J693,D701,$O687:$O693)=0,N701="NO"),"NO APORTA",SUMIF($J687:$J693,D701,$O687:$O693)))</f>
        <v/>
      </c>
      <c r="G701" s="380" t="str">
        <f>IF($D701="","",IF($F699&lt;=1,"",ROUND(POSMMLV*PORPO,2)))</f>
        <v/>
      </c>
      <c r="H701" s="765" t="str">
        <f>IF($D701="","",IF(OR(F701="NO APORTA",G701&gt;F701),"NO CUMPLE","CUMPLE"))</f>
        <v/>
      </c>
      <c r="I701" s="766"/>
      <c r="J701" s="108" t="str">
        <f>IF(D701="","",IF(OR(AND(SUMIF($J684:$J693,D701,$O684:$O693)&gt;=5%*POSMMLV,N701="SI"),AND(SUMIF($J684:$J693,D701,$O684:$O693)=0,E701&lt;=5%,N701="SI")),"CUMPLE","NO CUMPLE"))</f>
        <v/>
      </c>
      <c r="K701" s="105" t="str">
        <f>IF(OR(D701="",J701=""),"",IF(AND(J701="NO CUMPLE",F701="NO APORTA",E701&gt;5%),"EXP = 0 y PART &gt; 5%",IF(F701&lt;5%*Q706,"EXP &lt; 5%*PO","")))</f>
        <v/>
      </c>
      <c r="L701" s="389" t="str">
        <f>IF(OR(D701="",E701=""),"",IF(AND(E701&gt;=0.25,F701&lt;&gt;"NO APORTA",F701&gt;=$R706*0.25),"SI","NO"))</f>
        <v/>
      </c>
      <c r="M701" s="389"/>
      <c r="N701" s="468" t="s">
        <v>385</v>
      </c>
      <c r="O701" s="396">
        <f>COUNTIFS(O684:O693,"&gt;0",H684:H693,"SI")</f>
        <v>3</v>
      </c>
      <c r="P701" s="814" t="s">
        <v>139</v>
      </c>
      <c r="Q701" s="814"/>
      <c r="R701" s="817">
        <f>E680</f>
        <v>23</v>
      </c>
      <c r="S701" s="818"/>
      <c r="T701" s="784" t="s">
        <v>412</v>
      </c>
      <c r="U701" s="773"/>
      <c r="V701" s="774"/>
      <c r="W701" s="283"/>
      <c r="X701" s="542" t="str">
        <f>IF($F699=1,"NO APLICA",$D701)</f>
        <v>NO APLICA</v>
      </c>
      <c r="Y701" s="543" t="str">
        <f>IF(OR($F701="",$F701="NO APORTA",$R706=0,$X701="NO APLICA"),"",ROUND($F701/$Q706,2))</f>
        <v/>
      </c>
      <c r="Z701" s="544" t="str">
        <f>IF(Y707=1,"SI APLICA",IF(OR($X701="",$X701="NO APLICA",$F701="",$F701="NO APORTA"),"",IF(ROUND($F701/Q706,7)&gt;=0.4,"SI APLICA","NO APLICA")))</f>
        <v>SI APLICA</v>
      </c>
      <c r="AA701" s="543" t="s">
        <v>413</v>
      </c>
      <c r="AB701" s="540" t="str">
        <f>IF(COUNTIF(Z701:AA701,"SI APLICA")=2,"SI APLICA","")</f>
        <v>SI APLICA</v>
      </c>
      <c r="AC701" s="28"/>
    </row>
    <row r="702" spans="1:29" s="30" customFormat="1" ht="15.75" customHeight="1" thickBot="1">
      <c r="A702" s="112" t="str">
        <f>"O"&amp;E680</f>
        <v>O23</v>
      </c>
      <c r="B702" s="791"/>
      <c r="C702" s="54">
        <v>2</v>
      </c>
      <c r="D702" s="100" t="str">
        <f>IF(AND(C702&lt;=F699,F699&lt;&gt;""),VLOOKUP(VALUE(E680&amp;","&amp;C702),INTEGRANTES!$D$19:$F$192,2,0),"")</f>
        <v/>
      </c>
      <c r="E702" s="107" t="str">
        <f>IF(D702&lt;&gt;"",VLOOKUP(VALUE(E680&amp;","&amp;C702),INTEGRANTES!$D$19:$F$192,3,0),"")</f>
        <v/>
      </c>
      <c r="F702" s="380" t="str">
        <f>IF(D702="","",IF(OR(SUMIF($J687:$J693,D702,$O687:$O693)=0,N702="NO"),"NO APORTA",SUMIF($J687:$J693,D702,$O687:$O693)))</f>
        <v/>
      </c>
      <c r="G702" s="380" t="str">
        <f>IF($D702="","",IF($F699&lt;=1,"",ROUND(POSMMLV*PORPO,2)))</f>
        <v/>
      </c>
      <c r="H702" s="765" t="str">
        <f t="shared" ref="H702:H705" si="136">IF($D702="","",IF(OR(F702="NO APORTA",G702&gt;F702),"NO CUMPLE","CUMPLE"))</f>
        <v/>
      </c>
      <c r="I702" s="766"/>
      <c r="J702" s="108" t="str">
        <f>IF(D702="","",IF(OR(AND(SUMIF($J684:$J693,D702,$O684:$O693)&gt;=5%*POSMMLV,N702="SI"),AND(SUMIF($J684:$J693,D702,$O684:$O693)=0,E702&lt;=5%,N702="SI")),"CUMPLE","NO CUMPLE"))</f>
        <v/>
      </c>
      <c r="K702" s="105" t="str">
        <f>IF(OR(D702="",J702=""),"",IF(AND(J702="NO CUMPLE",F702="NO APORTA",E702&gt;5%),"EXP = 0 y PART &gt; 5%",IF(F702&lt;5%*Q706,"EXP &lt; 5%*PO","")))</f>
        <v/>
      </c>
      <c r="L702" s="389" t="str">
        <f>IF(OR(D702="",E702=""),"",IF(AND(E702&gt;=0.25,F702&lt;&gt;"NO APORTA",F702&gt;=$R706*0.25),"SI","NO"))</f>
        <v/>
      </c>
      <c r="M702" s="389"/>
      <c r="N702" s="468"/>
      <c r="O702" s="396"/>
      <c r="P702" s="815"/>
      <c r="Q702" s="815"/>
      <c r="R702" s="815"/>
      <c r="S702" s="819"/>
      <c r="T702" s="785"/>
      <c r="U702" s="786"/>
      <c r="V702" s="787"/>
      <c r="W702" s="283"/>
      <c r="X702" s="542" t="str">
        <f>IF($F699=1,"NO APLICA",$D702)</f>
        <v>NO APLICA</v>
      </c>
      <c r="Y702" s="543" t="str">
        <f>IF(OR($F702="",$F702="NO APORTA",$R706=0,$X702="NO APLICA"),"",ROUND($F702/$Q706,2))</f>
        <v/>
      </c>
      <c r="Z702" s="544"/>
      <c r="AA702" s="543"/>
      <c r="AB702" s="540" t="str">
        <f t="shared" ref="AB702" si="137">IF(COUNTIF(Z702:AA702,"SI APLICA")=2,"SI APLICA","")</f>
        <v/>
      </c>
      <c r="AC702" s="28"/>
    </row>
    <row r="703" spans="1:29" s="30" customFormat="1" ht="15.75" customHeight="1">
      <c r="A703" s="112" t="str">
        <f>"P"&amp;E680</f>
        <v>P23</v>
      </c>
      <c r="B703" s="791"/>
      <c r="C703" s="54">
        <v>3</v>
      </c>
      <c r="D703" s="100" t="str">
        <f>IF(AND(C703&lt;=F699,F699&lt;&gt;""),VLOOKUP(VALUE(E680&amp;","&amp;C703),INTEGRANTES!$D$19:$F$192,2,0),"")</f>
        <v/>
      </c>
      <c r="E703" s="107" t="str">
        <f>IF(D703&lt;&gt;"",VLOOKUP(VALUE(E680&amp;","&amp;C703),INTEGRANTES!$D$19:$F$192,3,0),"")</f>
        <v/>
      </c>
      <c r="F703" s="380" t="str">
        <f>IF(D703="","",IF(OR(SUMIF($J687:$J693,D703,$O687:$O693)=0,N703="NO"),"NO APORTA",SUMIF($J687:$J693,D703,$O687:$O693)))</f>
        <v/>
      </c>
      <c r="G703" s="380" t="str">
        <f>IF($D703="","",IF($F699&lt;=1,"",ROUND(POSMMLV*PORPO,2)))</f>
        <v/>
      </c>
      <c r="H703" s="765" t="str">
        <f t="shared" si="136"/>
        <v/>
      </c>
      <c r="I703" s="766"/>
      <c r="J703" s="108" t="str">
        <f>IF(D703="","",IF(OR(AND(SUMIF($J684:$J693,D703,$O684:$O693)&gt;=5%*POSMMLV,N703="SI"),AND(SUMIF($J684:$J693,D703,$O684:$O693)=0,E703&lt;=5%,N703="SI")),"CUMPLE","NO CUMPLE"))</f>
        <v/>
      </c>
      <c r="K703" s="105" t="str">
        <f>IF(OR(D703="",J703=""),"",IF(AND(J703="NO CUMPLE",F703="NO APORTA",E703&gt;5%),"EXP = 0 y PART &gt; 5%",IF(F703&lt;5%*Q706,"EXP &lt; 5%*PO","")))</f>
        <v/>
      </c>
      <c r="L703" s="389" t="str">
        <f>IF(OR(D703="",E703=""),"",IF(AND(E703&gt;=0.25,F703&lt;&gt;"NO APORTA",F703&gt;=$R706*0.25),"SI","NO"))</f>
        <v/>
      </c>
      <c r="M703" s="389"/>
      <c r="N703" s="468"/>
      <c r="O703" s="397"/>
      <c r="P703" s="816"/>
      <c r="Q703" s="816"/>
      <c r="R703" s="816"/>
      <c r="S703" s="820"/>
      <c r="T703" s="308"/>
      <c r="U703" s="308"/>
      <c r="V703" s="309"/>
      <c r="W703" s="284"/>
      <c r="X703" s="542" t="str">
        <f>IF($F699=1,"NO APLICA",$D703)</f>
        <v>NO APLICA</v>
      </c>
      <c r="Y703" s="543" t="str">
        <f>IF(OR($F703="",$F703="NO APORTA",$R706=0,$X703="NO APLICA"),"",ROUND($F703/$Q706,2))</f>
        <v/>
      </c>
      <c r="Z703" s="544"/>
      <c r="AA703" s="543"/>
      <c r="AB703" s="540" t="str">
        <f>IF(COUNTIF(Z703:AA703,"SI APLICA")=2,"SI APLICA","")</f>
        <v/>
      </c>
      <c r="AC703" s="28"/>
    </row>
    <row r="704" spans="1:29" s="30" customFormat="1" ht="15.75" customHeight="1">
      <c r="A704" s="112" t="str">
        <f>"Q"&amp;E680</f>
        <v>Q23</v>
      </c>
      <c r="B704" s="791"/>
      <c r="C704" s="54">
        <v>4</v>
      </c>
      <c r="D704" s="100" t="str">
        <f>IF(AND(C704&lt;=F699,F699&lt;&gt;""),VLOOKUP(VALUE(E680&amp;","&amp;C704),INTEGRANTES!$D$19:$F$192,2,0),"")</f>
        <v/>
      </c>
      <c r="E704" s="107" t="str">
        <f>IF(D704&lt;&gt;"",VLOOKUP(VALUE(E680&amp;","&amp;C704),INTEGRANTES!$D$19:$F$192,3,0),"")</f>
        <v/>
      </c>
      <c r="F704" s="380" t="str">
        <f>IF(D704="","",IF(OR(SUMIF($J687:$J693,D704,$O687:$O693)=0,N704="NO"),"NO APORTA",SUMIF($J687:$J693,D704,$O687:$O693)))</f>
        <v/>
      </c>
      <c r="G704" s="380" t="str">
        <f>IF($D704="","",IF($F699&lt;=1,"",ROUND(POSMMLV*PORPO,2)))</f>
        <v/>
      </c>
      <c r="H704" s="765" t="str">
        <f t="shared" si="136"/>
        <v/>
      </c>
      <c r="I704" s="766"/>
      <c r="J704" s="108" t="str">
        <f>IF(D704="","",IF(OR(AND(SUMIF($J684:$J693,D704,$O684:$O693)&gt;=5%*POSMMLV,N704="SI"),AND(SUMIF($J684:$J693,D704,$O684:$O693)=0,E704&lt;=5%,N704="SI")),"CUMPLE","NO CUMPLE"))</f>
        <v/>
      </c>
      <c r="K704" s="105" t="str">
        <f>IF(OR(D704="",J704=""),"",IF(AND(J704="NO CUMPLE",F704="NO APORTA",E704&gt;5%),"EXP = 0 y PART &gt; 5%",IF(F704&lt;5%*Q706,"EXP &lt; 5%*PO","")))</f>
        <v/>
      </c>
      <c r="L704" s="389" t="str">
        <f>IF(OR(D704="",E704=""),"",IF(AND(E704&gt;=0.25,F704&lt;&gt;"NO APORTA",F704&gt;=$R706*0.25),"SI","NO"))</f>
        <v/>
      </c>
      <c r="M704" s="389"/>
      <c r="N704" s="468"/>
      <c r="O704" s="788" t="s">
        <v>414</v>
      </c>
      <c r="P704" s="769" t="s">
        <v>415</v>
      </c>
      <c r="Q704" s="770"/>
      <c r="R704" s="770"/>
      <c r="S704" s="771"/>
      <c r="T704" s="284"/>
      <c r="U704" s="284"/>
      <c r="V704" s="310"/>
      <c r="W704" s="284"/>
      <c r="X704" s="542" t="str">
        <f>IF($F699=1,"NO APLICA",$D704)</f>
        <v>NO APLICA</v>
      </c>
      <c r="Y704" s="543" t="str">
        <f>IF(OR($F704="",$F704="NO APORTA",$R706=0,$X704="NO APLICA"),"",ROUND($F704/$Q706,2))</f>
        <v/>
      </c>
      <c r="Z704" s="544"/>
      <c r="AA704" s="543"/>
      <c r="AB704" s="540" t="str">
        <f t="shared" ref="AB704:AB705" si="138">IF(COUNTIF(Z704:AA704,"SI APLICA")=2,"SI APLICA","")</f>
        <v/>
      </c>
      <c r="AC704" s="28"/>
    </row>
    <row r="705" spans="1:29" s="30" customFormat="1" ht="17.25" customHeight="1">
      <c r="A705" s="112" t="str">
        <f>"R"&amp;E680</f>
        <v>R23</v>
      </c>
      <c r="B705" s="791"/>
      <c r="C705" s="54">
        <v>5</v>
      </c>
      <c r="D705" s="100" t="str">
        <f>IF(AND(C705&lt;=F699,F699&lt;&gt;""),VLOOKUP(VALUE(E680&amp;","&amp;C705),INTEGRANTES!$D$19:$F$192,2,0),"")</f>
        <v/>
      </c>
      <c r="E705" s="107" t="str">
        <f>IF(D705&lt;&gt;"",VLOOKUP(VALUE(E680&amp;","&amp;C705),INTEGRANTES!$D$19:$F$192,3,0),"")</f>
        <v/>
      </c>
      <c r="F705" s="380" t="str">
        <f>IF(D705="","",IF(OR(SUMIF($J687:$J693,D705,$O687:$O693)=0,N705="NO"),"NO APORTA",SUMIF($J687:$J693,D705,$O687:$O693)))</f>
        <v/>
      </c>
      <c r="G705" s="380" t="str">
        <f>IF($D705="","",IF($F699&lt;=1,"",ROUND(POSMMLV*PORPO,2)))</f>
        <v/>
      </c>
      <c r="H705" s="765" t="str">
        <f t="shared" si="136"/>
        <v/>
      </c>
      <c r="I705" s="766"/>
      <c r="J705" s="108" t="str">
        <f>IF(D705="","",IF(OR(AND(SUMIF($J684:$J693,D705,$O684:$O693)&gt;=5%*POSMMLV,N705="SI"),AND(SUMIF($J684:$J693,D705,$O684:$O693)=0,E705&lt;=5%,N705="SI")),"CUMPLE","NO CUMPLE"))</f>
        <v/>
      </c>
      <c r="K705" s="105" t="str">
        <f>IF(OR(D705="",J705=""),"",IF(AND(J705="NO CUMPLE",F705="NO APORTA",E705&gt;5%),"EXP = 0 y PART &gt; 5%",IF(F705&lt;5%*Q706,"EXP &lt; 5%*PO","")))</f>
        <v/>
      </c>
      <c r="L705" s="389" t="str">
        <f>IF(OR(D705="",E705=""),"",IF(AND(E705&gt;=0.25,F705&lt;&gt;"NO APORTA",F705&gt;=$R706*0.25),"SI","NO"))</f>
        <v/>
      </c>
      <c r="M705" s="389"/>
      <c r="N705" s="468"/>
      <c r="O705" s="789"/>
      <c r="P705" s="504" t="s">
        <v>416</v>
      </c>
      <c r="Q705" s="504" t="s">
        <v>417</v>
      </c>
      <c r="R705" s="793" t="s">
        <v>418</v>
      </c>
      <c r="S705" s="793"/>
      <c r="T705" s="284"/>
      <c r="U705" s="284"/>
      <c r="V705" s="310"/>
      <c r="W705" s="284"/>
      <c r="X705" s="542" t="str">
        <f>IF($F699=1,"NO APLICA",$D705)</f>
        <v>NO APLICA</v>
      </c>
      <c r="Y705" s="543" t="str">
        <f>IF(OR($F705="",$F705="NO APORTA",$R706=0,$X705="NO APLICA"),"",ROUND($F705/$Q706,2))</f>
        <v/>
      </c>
      <c r="Z705" s="544"/>
      <c r="AA705" s="543"/>
      <c r="AB705" s="540" t="str">
        <f t="shared" si="138"/>
        <v/>
      </c>
      <c r="AC705" s="28"/>
    </row>
    <row r="706" spans="1:29" s="30" customFormat="1" ht="16.5" customHeight="1" thickBot="1">
      <c r="A706" s="112" t="str">
        <f>"S"&amp;E680</f>
        <v>S23</v>
      </c>
      <c r="B706" s="791"/>
      <c r="C706" s="109">
        <v>6</v>
      </c>
      <c r="D706" s="110" t="str">
        <f>IF(AND(C706&lt;=F699,F699&lt;&gt;""),VLOOKUP(VALUE(E680&amp;","&amp;C706),INTEGRANTES!$D$19:$F$192,2,0),"")</f>
        <v/>
      </c>
      <c r="E706" s="111" t="str">
        <f>IF(D706&lt;&gt;"",VLOOKUP(VALUE(E680&amp;","&amp;C706),INTEGRANTES!$D$19:$F$192,3,0),"")</f>
        <v/>
      </c>
      <c r="F706" s="380" t="str">
        <f>IF(D706="","",IF(OR(SUMIF($J687:$J693,D706,$O687:$O693)=0,N706="NO"),"NO APORTA",SUMIF($J687:$J693,D706,$O687:$O693)))</f>
        <v/>
      </c>
      <c r="G706" s="380" t="str">
        <f>IF($D706="","",IF($F699&lt;=1,"",ROUND(POSMMLV*PORPO,2)))</f>
        <v/>
      </c>
      <c r="H706" s="765" t="str">
        <f>IF($D706="","",IF(OR(F706="NO APORTA",G706&gt;F706),"NO CUMPLE","CUMPLE"))</f>
        <v/>
      </c>
      <c r="I706" s="766"/>
      <c r="J706" s="108" t="str">
        <f>IF(D706="","",IF(OR(AND(SUMIF($J684:$J693,D706,$O684:$O693)&gt;=5%*POSMMLV,N706="SI"),AND(SUMIF($J684:$J693,D706,$O684:$O693)=0,E706&lt;=5%,N706="SI")),"CUMPLE","NO CUMPLE"))</f>
        <v/>
      </c>
      <c r="K706" s="105" t="str">
        <f>IF(OR(D706="",J706=""),"",IF(AND(J706="NO CUMPLE",F706="NO APORTA",E706&gt;5%),"EXP = 0 y PART &gt; 5%",IF(F706&lt;5%*Q706,"EXP &lt; 5%*PO","")))</f>
        <v/>
      </c>
      <c r="L706" s="389" t="str">
        <f>IF(OR(D706="",E706=""),"",IF(AND(E706&gt;=0.25,F706&lt;&gt;"NO APORTA",F706&gt;=$R706*0.25),"SI","NO"))</f>
        <v/>
      </c>
      <c r="M706" s="389"/>
      <c r="N706" s="468"/>
      <c r="O706" s="403" t="str">
        <f ca="1">IF(R706&gt;=Q706,"CUMPLE","NO CUMPLE")</f>
        <v>CUMPLE</v>
      </c>
      <c r="P706" s="312">
        <f>NUMMOD</f>
        <v>1</v>
      </c>
      <c r="Q706" s="313">
        <f ca="1">IF(P706="","",ROUND(VLOOKUP(P706,PRESUPUESTOS!$B$16:$L$16,9,FALSE),7))</f>
        <v>300</v>
      </c>
      <c r="R706" s="834">
        <f>IF(OR(COUNTIF(O684:O693,"")&gt;9,S700&lt;NUMMINCONT),0,SUM(O684:O693))</f>
        <v>1388.2549999999999</v>
      </c>
      <c r="S706" s="834"/>
      <c r="T706" s="284"/>
      <c r="U706" s="284"/>
      <c r="V706" s="310"/>
      <c r="W706" s="284"/>
      <c r="X706" s="545" t="str">
        <f>IF($F699=1,"NO APLICA",$D706)</f>
        <v>NO APLICA</v>
      </c>
      <c r="Y706" s="543" t="str">
        <f>IF(OR($F706="",$F706="NO APORTA",$R706=0,$X706="NO APLICA"),"",ROUND($F706/$Q706,2))</f>
        <v/>
      </c>
      <c r="Z706" s="544"/>
      <c r="AA706" s="546"/>
      <c r="AB706" s="540" t="str">
        <f>IF(COUNTIF(Z706:AA706,"SI APLICA")=2,"SI APLICA","")</f>
        <v/>
      </c>
      <c r="AC706" s="28"/>
    </row>
    <row r="707" spans="1:29" s="30" customFormat="1" ht="16.5" customHeight="1" thickBot="1">
      <c r="A707" s="112" t="str">
        <f>"T"&amp;E680</f>
        <v>T23</v>
      </c>
      <c r="B707" s="792"/>
      <c r="C707" s="821" t="s">
        <v>419</v>
      </c>
      <c r="D707" s="822"/>
      <c r="E707" s="822"/>
      <c r="F707" s="518"/>
      <c r="G707" s="519"/>
      <c r="H707" s="794" t="str">
        <f>IF(OR($F699="",SUM(E701:E706)=0),"",IF(COUNTIF(H701:H706,"CUMPLE")&gt;=1,"CUMPLE","NO CUMPLE"))</f>
        <v/>
      </c>
      <c r="I707" s="795"/>
      <c r="J707" s="314" t="str">
        <f>IF(COUNTIF(J701:J706,"")&gt;5,"",IF(COUNTIF(J701:J706,"NO CUMPLE")&gt;0,"NO CUMPLE","CUMPLE"))</f>
        <v/>
      </c>
      <c r="K707" s="314" t="str">
        <f>IF(OR(AND(F699=1,N701="SI"),AND(COUNTIF(H707:J707,"CUMPLE")=2)),"CUMPLE","NO CUMPLE")</f>
        <v>CUMPLE</v>
      </c>
      <c r="L707" s="519"/>
      <c r="M707" s="519"/>
      <c r="N707" s="519"/>
      <c r="O707" s="833" t="str">
        <f ca="1">IF(ISNUMBER(F680),"",IF(AND(O706="NO CUMPLE",SUM(N687:N693)&lt;Q706),"EL PROPONENTE SE DEBE REQUERIR POR EXPERIENCIA MINIMA EXIGIDA",""))</f>
        <v/>
      </c>
      <c r="P707" s="833"/>
      <c r="Q707" s="833"/>
      <c r="R707" s="833"/>
      <c r="S707" s="833"/>
      <c r="T707" s="522"/>
      <c r="U707" s="523"/>
      <c r="V707" s="524"/>
      <c r="W707" s="284"/>
      <c r="X707" s="364" t="str">
        <f>IF(Y707=1,"PROPONENTE INDIVIDUAL","PROPONENTE PLURAL")</f>
        <v>PROPONENTE INDIVIDUAL</v>
      </c>
      <c r="Y707" s="276">
        <f>F699</f>
        <v>1</v>
      </c>
      <c r="Z707" s="277" t="str">
        <f>IF(OR(AND(Z701="SI APLICA",AA701="SI APLICA"),AND(Z702="SI APLICA",AA702="SI APLICA"),AND(Z703="SI APLICA",AA703="SI APLICA"),AND(Z704="SI APLICA",AA704="SI APLICA"),AND(Z705="SI APLICA",AA705="SI APLICA"),AND(Z706="SI APLICA",AA706="SI APLICA")),"SI APLICA","NO APLICA")</f>
        <v>SI APLICA</v>
      </c>
      <c r="AA707" s="278" t="str">
        <f>IF(OR(AND(AA701="SI APLICA",AB701="SI APLICA"),AND(AA702="SI APLICA",AB702="SI APLICA"),AND(AA703="SI APLICA",AB703="SI APLICA"),AND(AA704="SI APLICA",AB704="SI APLICA"),AND(AA705="SI APLICA",AB705="SI APLICA"),AND(AA706="SI APLICA",AB706="SI APLICA")),"SI APLICA","NO APLICA")</f>
        <v>SI APLICA</v>
      </c>
      <c r="AB707" s="278" t="str">
        <f>IF(COUNTIF(AB701:AB706,"SI APLICA")&gt;0,"SI APLICA","NO APLICA")</f>
        <v>SI APLICA</v>
      </c>
      <c r="AC707" s="28"/>
    </row>
    <row r="708" spans="1:29" ht="24.95" customHeight="1"/>
    <row r="709" spans="1:29" ht="24.95" customHeight="1"/>
    <row r="710" spans="1:29" s="41" customFormat="1" ht="24" thickBot="1">
      <c r="A710" s="34">
        <v>24</v>
      </c>
      <c r="B710" s="828" t="s">
        <v>355</v>
      </c>
      <c r="C710" s="828"/>
      <c r="D710" s="828"/>
      <c r="E710" s="35">
        <f>VLOOKUP(A710,PROPONENTES!$B$19:$E$108,2,FALSE)</f>
        <v>24</v>
      </c>
      <c r="F710" s="36" t="str">
        <f>VLOOKUP(A710,PROPONENTES!$B$19:$E$108,3,FALSE)</f>
        <v>ARQUITECTOS  INGENIEROS CONSTRUCTORES S.A.S</v>
      </c>
      <c r="G710" s="37"/>
      <c r="H710" s="37"/>
      <c r="I710" s="36"/>
      <c r="J710" s="36"/>
      <c r="K710" s="36"/>
      <c r="L710" s="36"/>
      <c r="M710" s="38"/>
      <c r="N710" s="38"/>
      <c r="O710" s="37"/>
      <c r="P710" s="37"/>
      <c r="Q710" s="39"/>
      <c r="R710" s="39"/>
      <c r="S710" s="39"/>
      <c r="T710" s="39"/>
      <c r="U710" s="40"/>
      <c r="Y710" s="52"/>
      <c r="Z710" s="52"/>
      <c r="AA710" s="52"/>
      <c r="AB710" s="28"/>
      <c r="AC710" s="28"/>
    </row>
    <row r="711" spans="1:29" s="27" customFormat="1" ht="24.75" customHeight="1">
      <c r="A711" s="22"/>
      <c r="B711" s="829" t="s">
        <v>356</v>
      </c>
      <c r="C711" s="501" t="s">
        <v>357</v>
      </c>
      <c r="D711" s="502" t="s">
        <v>358</v>
      </c>
      <c r="E711" s="502"/>
      <c r="F711" s="502" t="s">
        <v>359</v>
      </c>
      <c r="G711" s="503"/>
      <c r="H711" s="803" t="s">
        <v>360</v>
      </c>
      <c r="I711" s="831" t="s">
        <v>361</v>
      </c>
      <c r="J711" s="803" t="s">
        <v>362</v>
      </c>
      <c r="K711" s="803" t="s">
        <v>363</v>
      </c>
      <c r="L711" s="803" t="s">
        <v>364</v>
      </c>
      <c r="M711" s="803" t="s">
        <v>365</v>
      </c>
      <c r="N711" s="804" t="s">
        <v>366</v>
      </c>
      <c r="O711" s="805"/>
      <c r="P711" s="806" t="s">
        <v>367</v>
      </c>
      <c r="Q711" s="807"/>
      <c r="R711" s="784" t="s">
        <v>368</v>
      </c>
      <c r="S711" s="774"/>
      <c r="T711" s="798" t="s">
        <v>369</v>
      </c>
      <c r="U711" s="799"/>
      <c r="V711" s="800"/>
      <c r="X711" s="520"/>
      <c r="Y711" s="520"/>
    </row>
    <row r="712" spans="1:29" s="27" customFormat="1" ht="94.5" customHeight="1">
      <c r="A712" s="22"/>
      <c r="B712" s="830"/>
      <c r="C712" s="504" t="s">
        <v>370</v>
      </c>
      <c r="D712" s="505" t="s">
        <v>41</v>
      </c>
      <c r="E712" s="505" t="s">
        <v>371</v>
      </c>
      <c r="F712" s="505" t="s">
        <v>372</v>
      </c>
      <c r="G712" s="506" t="s">
        <v>373</v>
      </c>
      <c r="H712" s="793"/>
      <c r="I712" s="832"/>
      <c r="J712" s="793"/>
      <c r="K712" s="793"/>
      <c r="L712" s="793"/>
      <c r="M712" s="793"/>
      <c r="N712" s="504" t="s">
        <v>374</v>
      </c>
      <c r="O712" s="505" t="s">
        <v>375</v>
      </c>
      <c r="P712" s="801"/>
      <c r="Q712" s="802"/>
      <c r="R712" s="796"/>
      <c r="S712" s="797"/>
      <c r="T712" s="507" t="s">
        <v>376</v>
      </c>
      <c r="U712" s="508" t="s">
        <v>377</v>
      </c>
      <c r="V712" s="509" t="s">
        <v>378</v>
      </c>
      <c r="X712" s="521" t="s">
        <v>379</v>
      </c>
      <c r="Y712" s="521" t="s">
        <v>380</v>
      </c>
    </row>
    <row r="713" spans="1:29" s="27" customFormat="1" ht="15" customHeight="1">
      <c r="A713" s="22"/>
      <c r="B713" s="594"/>
      <c r="C713" s="595">
        <v>3</v>
      </c>
      <c r="D713" s="595">
        <v>4</v>
      </c>
      <c r="E713" s="595">
        <v>5</v>
      </c>
      <c r="F713" s="595">
        <v>6</v>
      </c>
      <c r="G713" s="595">
        <v>7</v>
      </c>
      <c r="H713" s="595">
        <v>8</v>
      </c>
      <c r="I713" s="595">
        <v>9</v>
      </c>
      <c r="J713" s="595">
        <v>10</v>
      </c>
      <c r="K713" s="595">
        <v>11</v>
      </c>
      <c r="L713" s="595">
        <v>12</v>
      </c>
      <c r="M713" s="595">
        <v>13</v>
      </c>
      <c r="N713" s="595">
        <v>14</v>
      </c>
      <c r="O713" s="595">
        <v>15</v>
      </c>
      <c r="P713" s="596">
        <v>16</v>
      </c>
      <c r="Q713" s="597">
        <v>17</v>
      </c>
      <c r="R713" s="596">
        <v>18</v>
      </c>
      <c r="S713" s="597">
        <v>19</v>
      </c>
      <c r="T713" s="598">
        <v>20</v>
      </c>
      <c r="U713" s="255">
        <v>21</v>
      </c>
      <c r="V713" s="599">
        <v>22</v>
      </c>
      <c r="X713" s="589"/>
      <c r="Y713" s="590"/>
    </row>
    <row r="714" spans="1:29" s="44" customFormat="1" ht="89.25">
      <c r="A714" s="42" t="str">
        <f>"A"&amp;E710</f>
        <v>A24</v>
      </c>
      <c r="B714" s="605">
        <f>IF(C714&lt;&gt;"",B713+1,"")</f>
        <v>1</v>
      </c>
      <c r="C714" s="581" t="s">
        <v>577</v>
      </c>
      <c r="D714" s="581" t="s">
        <v>578</v>
      </c>
      <c r="E714" s="581" t="s">
        <v>579</v>
      </c>
      <c r="F714" s="581" t="s">
        <v>580</v>
      </c>
      <c r="G714" s="534">
        <v>1</v>
      </c>
      <c r="H714" s="534" t="s">
        <v>385</v>
      </c>
      <c r="I714" s="579" t="s">
        <v>384</v>
      </c>
      <c r="J714" s="580" t="str">
        <f>IF(I714="","",IF(I714="I",$F710,VLOOKUP(I714,$C731:$D736,2,0)))</f>
        <v>ARQUITECTOS  INGENIEROS CONSTRUCTORES S.A.S</v>
      </c>
      <c r="K714" s="535">
        <v>42425</v>
      </c>
      <c r="L714" s="535">
        <v>42628</v>
      </c>
      <c r="M714" s="536">
        <v>284.27999999999997</v>
      </c>
      <c r="N714" s="232">
        <f t="shared" ref="N714:N723" si="139">IF(OR(G714="",M714=""),"",M714*G714)</f>
        <v>284.27999999999997</v>
      </c>
      <c r="O714" s="260">
        <f t="shared" ref="O714:O723" si="140">IF(OR(H714="",H714="NO",K714&lt;$Q$17,K714&gt;$R$17,K714="",M714="",N714=""),"",ROUND(N714,7))</f>
        <v>284.27999999999997</v>
      </c>
      <c r="P714" s="781"/>
      <c r="Q714" s="782"/>
      <c r="R714" s="767"/>
      <c r="S714" s="768"/>
      <c r="T714" s="538" t="s">
        <v>385</v>
      </c>
      <c r="U714" s="539">
        <v>34</v>
      </c>
      <c r="V714" s="540" t="s">
        <v>385</v>
      </c>
      <c r="X714" s="541" t="s">
        <v>386</v>
      </c>
      <c r="Y714" s="541" t="s">
        <v>439</v>
      </c>
    </row>
    <row r="715" spans="1:29" s="44" customFormat="1" ht="89.25">
      <c r="A715" s="42" t="str">
        <f>"B"&amp;E710</f>
        <v>B24</v>
      </c>
      <c r="B715" s="605">
        <f t="shared" ref="B715:B723" si="141">IF(C715&lt;&gt;"",B714+1,"")</f>
        <v>2</v>
      </c>
      <c r="C715" s="581" t="s">
        <v>581</v>
      </c>
      <c r="D715" s="581" t="s">
        <v>582</v>
      </c>
      <c r="E715" s="581" t="s">
        <v>583</v>
      </c>
      <c r="F715" s="581" t="s">
        <v>580</v>
      </c>
      <c r="G715" s="534">
        <v>1</v>
      </c>
      <c r="H715" s="534" t="s">
        <v>385</v>
      </c>
      <c r="I715" s="579" t="s">
        <v>384</v>
      </c>
      <c r="J715" s="580" t="str">
        <f>IF(I715="","",IF(I715="I",$F710,VLOOKUP(I715,$C731:$D736,2,0)))</f>
        <v>ARQUITECTOS  INGENIEROS CONSTRUCTORES S.A.S</v>
      </c>
      <c r="K715" s="535">
        <v>40123</v>
      </c>
      <c r="L715" s="535">
        <v>40305</v>
      </c>
      <c r="M715" s="536">
        <v>356.23</v>
      </c>
      <c r="N715" s="232">
        <f t="shared" si="139"/>
        <v>356.23</v>
      </c>
      <c r="O715" s="260">
        <f t="shared" si="140"/>
        <v>356.23</v>
      </c>
      <c r="P715" s="781"/>
      <c r="Q715" s="782"/>
      <c r="R715" s="767"/>
      <c r="S715" s="768"/>
      <c r="T715" s="538" t="s">
        <v>385</v>
      </c>
      <c r="U715" s="539">
        <v>36</v>
      </c>
      <c r="V715" s="540" t="s">
        <v>385</v>
      </c>
      <c r="X715" s="541" t="s">
        <v>386</v>
      </c>
      <c r="Y715" s="541" t="s">
        <v>439</v>
      </c>
    </row>
    <row r="716" spans="1:29" s="44" customFormat="1" ht="24.95" customHeight="1">
      <c r="A716" s="42" t="str">
        <f>"C"&amp;E710</f>
        <v>C24</v>
      </c>
      <c r="B716" s="605" t="str">
        <f t="shared" si="141"/>
        <v/>
      </c>
      <c r="C716" s="581"/>
      <c r="D716" s="581"/>
      <c r="E716" s="581"/>
      <c r="F716" s="581"/>
      <c r="G716" s="534"/>
      <c r="H716" s="534"/>
      <c r="I716" s="579"/>
      <c r="J716" s="580" t="str">
        <f>IF(I716="","",IF(I716="I",$F710,VLOOKUP(I716,$C731:$D736,2,0)))</f>
        <v/>
      </c>
      <c r="K716" s="535"/>
      <c r="L716" s="535"/>
      <c r="M716" s="536"/>
      <c r="N716" s="232" t="str">
        <f t="shared" si="139"/>
        <v/>
      </c>
      <c r="O716" s="260" t="str">
        <f t="shared" si="140"/>
        <v/>
      </c>
      <c r="P716" s="781"/>
      <c r="Q716" s="782"/>
      <c r="R716" s="767"/>
      <c r="S716" s="768"/>
      <c r="T716" s="538"/>
      <c r="U716" s="539"/>
      <c r="V716" s="540"/>
      <c r="X716" s="541"/>
      <c r="Y716" s="541"/>
    </row>
    <row r="717" spans="1:29" s="44" customFormat="1" ht="24.95" customHeight="1">
      <c r="A717" s="42" t="str">
        <f>"D"&amp;E710</f>
        <v>D24</v>
      </c>
      <c r="B717" s="605" t="str">
        <f t="shared" si="141"/>
        <v/>
      </c>
      <c r="C717" s="581"/>
      <c r="D717" s="581"/>
      <c r="E717" s="581"/>
      <c r="F717" s="581"/>
      <c r="G717" s="534"/>
      <c r="H717" s="534"/>
      <c r="I717" s="579"/>
      <c r="J717" s="580" t="str">
        <f>IF(I717="","",IF(I717="I",$F710,VLOOKUP(I717,$C731:$D736,2,0)))</f>
        <v/>
      </c>
      <c r="K717" s="535"/>
      <c r="L717" s="535"/>
      <c r="M717" s="536"/>
      <c r="N717" s="232" t="str">
        <f t="shared" si="139"/>
        <v/>
      </c>
      <c r="O717" s="260" t="str">
        <f t="shared" si="140"/>
        <v/>
      </c>
      <c r="P717" s="781"/>
      <c r="Q717" s="782"/>
      <c r="R717" s="767"/>
      <c r="S717" s="768"/>
      <c r="T717" s="538"/>
      <c r="U717" s="539"/>
      <c r="V717" s="540"/>
      <c r="X717" s="541"/>
      <c r="Y717" s="541"/>
    </row>
    <row r="718" spans="1:29" s="44" customFormat="1" ht="24.95" customHeight="1">
      <c r="A718" s="42" t="str">
        <f>"E"&amp;E710</f>
        <v>E24</v>
      </c>
      <c r="B718" s="605" t="str">
        <f t="shared" si="141"/>
        <v/>
      </c>
      <c r="C718" s="581"/>
      <c r="D718" s="581"/>
      <c r="E718" s="581"/>
      <c r="F718" s="581"/>
      <c r="G718" s="534"/>
      <c r="H718" s="534"/>
      <c r="I718" s="579"/>
      <c r="J718" s="580" t="str">
        <f>IF(I718="","",IF(I718="I",$F710,VLOOKUP(I718,$C731:$D736,2,0)))</f>
        <v/>
      </c>
      <c r="K718" s="535"/>
      <c r="L718" s="535"/>
      <c r="M718" s="536"/>
      <c r="N718" s="232" t="str">
        <f t="shared" si="139"/>
        <v/>
      </c>
      <c r="O718" s="260" t="str">
        <f t="shared" si="140"/>
        <v/>
      </c>
      <c r="P718" s="781"/>
      <c r="Q718" s="782"/>
      <c r="R718" s="767"/>
      <c r="S718" s="768"/>
      <c r="T718" s="538"/>
      <c r="U718" s="539"/>
      <c r="V718" s="540"/>
      <c r="X718" s="541"/>
      <c r="Y718" s="541"/>
    </row>
    <row r="719" spans="1:29" s="44" customFormat="1" ht="24.95" customHeight="1">
      <c r="A719" s="42" t="str">
        <f>"F"&amp;E710</f>
        <v>F24</v>
      </c>
      <c r="B719" s="605" t="str">
        <f t="shared" si="141"/>
        <v/>
      </c>
      <c r="C719" s="581"/>
      <c r="D719" s="581"/>
      <c r="E719" s="581"/>
      <c r="F719" s="581"/>
      <c r="G719" s="534"/>
      <c r="H719" s="534"/>
      <c r="I719" s="579"/>
      <c r="J719" s="580" t="str">
        <f>IF(I719="","",IF(I719="I",$F710,VLOOKUP(I719,$C731:$D736,2,0)))</f>
        <v/>
      </c>
      <c r="K719" s="535"/>
      <c r="L719" s="535"/>
      <c r="M719" s="536"/>
      <c r="N719" s="232" t="str">
        <f t="shared" si="139"/>
        <v/>
      </c>
      <c r="O719" s="260" t="str">
        <f t="shared" si="140"/>
        <v/>
      </c>
      <c r="P719" s="781"/>
      <c r="Q719" s="782"/>
      <c r="R719" s="767"/>
      <c r="S719" s="768"/>
      <c r="T719" s="538"/>
      <c r="U719" s="539"/>
      <c r="V719" s="540"/>
      <c r="X719" s="541"/>
      <c r="Y719" s="541"/>
    </row>
    <row r="720" spans="1:29" s="44" customFormat="1" ht="24.95" customHeight="1">
      <c r="A720" s="42" t="str">
        <f>"G"&amp;E710</f>
        <v>G24</v>
      </c>
      <c r="B720" s="605" t="str">
        <f t="shared" si="141"/>
        <v/>
      </c>
      <c r="C720" s="581"/>
      <c r="D720" s="581"/>
      <c r="E720" s="581"/>
      <c r="F720" s="581"/>
      <c r="G720" s="534"/>
      <c r="H720" s="534"/>
      <c r="I720" s="579"/>
      <c r="J720" s="580" t="str">
        <f>IF(I720="","",IF(I720="I",$F710,VLOOKUP(I720,$C731:$D736,2,0)))</f>
        <v/>
      </c>
      <c r="K720" s="535"/>
      <c r="L720" s="535"/>
      <c r="M720" s="536"/>
      <c r="N720" s="43" t="str">
        <f t="shared" si="139"/>
        <v/>
      </c>
      <c r="O720" s="260" t="str">
        <f t="shared" si="140"/>
        <v/>
      </c>
      <c r="P720" s="781"/>
      <c r="Q720" s="782"/>
      <c r="R720" s="767"/>
      <c r="S720" s="768"/>
      <c r="T720" s="538"/>
      <c r="U720" s="539"/>
      <c r="V720" s="540"/>
      <c r="X720" s="541"/>
      <c r="Y720" s="541"/>
    </row>
    <row r="721" spans="1:29" s="44" customFormat="1" ht="24.95" customHeight="1">
      <c r="A721" s="42" t="str">
        <f>"H"&amp;E710</f>
        <v>H24</v>
      </c>
      <c r="B721" s="605" t="str">
        <f t="shared" si="141"/>
        <v/>
      </c>
      <c r="C721" s="581"/>
      <c r="D721" s="581"/>
      <c r="E721" s="581"/>
      <c r="F721" s="581"/>
      <c r="G721" s="534"/>
      <c r="H721" s="534"/>
      <c r="I721" s="579"/>
      <c r="J721" s="580" t="str">
        <f>IF(I721="","",IF(I721="I",$F710,VLOOKUP(I721,$C731:$D736,2,0)))</f>
        <v/>
      </c>
      <c r="K721" s="535"/>
      <c r="L721" s="535"/>
      <c r="M721" s="537"/>
      <c r="N721" s="43" t="str">
        <f t="shared" si="139"/>
        <v/>
      </c>
      <c r="O721" s="260" t="str">
        <f t="shared" si="140"/>
        <v/>
      </c>
      <c r="P721" s="781"/>
      <c r="Q721" s="782"/>
      <c r="R721" s="767"/>
      <c r="S721" s="768"/>
      <c r="T721" s="538"/>
      <c r="U721" s="539"/>
      <c r="V721" s="540"/>
      <c r="X721" s="541"/>
      <c r="Y721" s="541"/>
    </row>
    <row r="722" spans="1:29" s="44" customFormat="1" ht="24.95" customHeight="1">
      <c r="A722" s="42" t="str">
        <f>"I"&amp;E710</f>
        <v>I24</v>
      </c>
      <c r="B722" s="605" t="str">
        <f t="shared" si="141"/>
        <v/>
      </c>
      <c r="C722" s="581"/>
      <c r="D722" s="581"/>
      <c r="E722" s="581"/>
      <c r="F722" s="581"/>
      <c r="G722" s="534"/>
      <c r="H722" s="534"/>
      <c r="I722" s="579"/>
      <c r="J722" s="580" t="str">
        <f>IF(I722="","",IF(I722="I",$F710,VLOOKUP(I722,$C731:$D736,2,0)))</f>
        <v/>
      </c>
      <c r="K722" s="535"/>
      <c r="L722" s="535"/>
      <c r="M722" s="537"/>
      <c r="N722" s="43" t="str">
        <f t="shared" si="139"/>
        <v/>
      </c>
      <c r="O722" s="260" t="str">
        <f t="shared" si="140"/>
        <v/>
      </c>
      <c r="P722" s="781"/>
      <c r="Q722" s="782"/>
      <c r="R722" s="767"/>
      <c r="S722" s="768"/>
      <c r="T722" s="538"/>
      <c r="U722" s="539"/>
      <c r="V722" s="540"/>
      <c r="X722" s="541"/>
      <c r="Y722" s="541"/>
    </row>
    <row r="723" spans="1:29" s="44" customFormat="1" ht="24.95" customHeight="1" thickBot="1">
      <c r="A723" s="42" t="str">
        <f>"J"&amp;E710</f>
        <v>J24</v>
      </c>
      <c r="B723" s="612" t="str">
        <f t="shared" si="141"/>
        <v/>
      </c>
      <c r="C723" s="582"/>
      <c r="D723" s="582"/>
      <c r="E723" s="582"/>
      <c r="F723" s="582"/>
      <c r="G723" s="583"/>
      <c r="H723" s="583"/>
      <c r="I723" s="584"/>
      <c r="J723" s="585" t="str">
        <f>IF(I723="","",IF(I723="I",$F710,VLOOKUP(I723,$C731:$D736,2,0)))</f>
        <v/>
      </c>
      <c r="K723" s="586"/>
      <c r="L723" s="586"/>
      <c r="M723" s="587"/>
      <c r="N723" s="43" t="str">
        <f t="shared" si="139"/>
        <v/>
      </c>
      <c r="O723" s="260" t="str">
        <f t="shared" si="140"/>
        <v/>
      </c>
      <c r="P723" s="781"/>
      <c r="Q723" s="782"/>
      <c r="R723" s="767"/>
      <c r="S723" s="768"/>
      <c r="T723" s="538"/>
      <c r="U723" s="539"/>
      <c r="V723" s="540"/>
      <c r="X723" s="541"/>
      <c r="Y723" s="541"/>
    </row>
    <row r="724" spans="1:29" s="27" customFormat="1" ht="12" customHeight="1" thickBot="1">
      <c r="A724" s="42"/>
      <c r="B724" s="45"/>
      <c r="C724" s="46"/>
      <c r="D724" s="46"/>
      <c r="E724" s="46"/>
      <c r="F724" s="46"/>
      <c r="G724" s="46"/>
      <c r="H724" s="606"/>
      <c r="I724" s="46"/>
      <c r="J724" s="46"/>
      <c r="K724" s="46"/>
      <c r="L724" s="46"/>
      <c r="M724" s="46"/>
      <c r="N724" s="46"/>
      <c r="O724" s="259"/>
      <c r="P724" s="46"/>
      <c r="Q724" s="46"/>
      <c r="R724" s="259"/>
      <c r="S724" s="46"/>
      <c r="T724" s="46"/>
      <c r="U724" s="47"/>
      <c r="V724" s="48"/>
      <c r="X724" s="592"/>
      <c r="Y724" s="593"/>
      <c r="AB724" s="378"/>
    </row>
    <row r="725" spans="1:29" s="27" customFormat="1" ht="17.25" customHeight="1" thickBot="1">
      <c r="A725" s="42" t="str">
        <f>"Z"&amp;E710</f>
        <v>Z24</v>
      </c>
      <c r="B725" s="510"/>
      <c r="C725" s="511"/>
      <c r="D725" s="511"/>
      <c r="E725" s="511"/>
      <c r="F725" s="511"/>
      <c r="G725" s="511"/>
      <c r="H725" s="511"/>
      <c r="I725" s="511"/>
      <c r="J725" s="511"/>
      <c r="K725" s="511"/>
      <c r="L725" s="511"/>
      <c r="M725" s="511"/>
      <c r="N725" s="437" t="s">
        <v>388</v>
      </c>
      <c r="O725" s="438">
        <f>IF(COUNTIF(O714:O723,"")&gt;9,0,SUM(O714:O723)/(COUNTIF(H714:H723,"SI")))</f>
        <v>320.255</v>
      </c>
      <c r="P725" s="511"/>
      <c r="Q725" s="511"/>
      <c r="R725" s="530"/>
      <c r="S725" s="530"/>
      <c r="T725" s="531"/>
      <c r="U725" s="532"/>
      <c r="V725" s="533"/>
      <c r="W725" s="285"/>
      <c r="X725" s="613" t="e">
        <f>COUNTIF(#REF!,"")-COUNTIF(#REF!,"CUMPLE")-1</f>
        <v>#REF!</v>
      </c>
      <c r="Y725" s="591"/>
      <c r="AB725" s="28"/>
    </row>
    <row r="726" spans="1:29" ht="17.25" customHeight="1">
      <c r="B726" s="50"/>
      <c r="C726" s="50"/>
      <c r="D726" s="50"/>
      <c r="E726" s="50"/>
      <c r="F726" s="50"/>
      <c r="G726" s="51"/>
      <c r="H726" s="51"/>
      <c r="I726" s="51"/>
      <c r="J726" s="51"/>
      <c r="K726" s="51"/>
      <c r="L726" s="51"/>
      <c r="M726" s="51"/>
      <c r="N726" s="51"/>
      <c r="O726" s="51"/>
      <c r="P726" s="51"/>
      <c r="Q726" s="51"/>
      <c r="R726" s="51"/>
      <c r="S726" s="51"/>
      <c r="T726" s="51"/>
      <c r="U726" s="51"/>
      <c r="V726" s="51"/>
      <c r="W726" s="51"/>
      <c r="X726" s="608"/>
      <c r="Y726" s="51"/>
      <c r="Z726" s="51"/>
      <c r="AA726" s="51"/>
      <c r="AB726" s="51"/>
      <c r="AC726" s="50"/>
    </row>
    <row r="727" spans="1:29" s="27" customFormat="1" ht="16.5" customHeight="1" thickBot="1">
      <c r="A727" s="22"/>
      <c r="B727" s="783" t="s">
        <v>389</v>
      </c>
      <c r="C727" s="783"/>
      <c r="D727" s="783"/>
      <c r="E727" s="783"/>
      <c r="F727" s="783"/>
      <c r="G727" s="783"/>
      <c r="H727" s="783"/>
      <c r="I727" s="783"/>
      <c r="J727" s="783"/>
      <c r="K727" s="783"/>
      <c r="L727" s="783"/>
      <c r="M727" s="783"/>
      <c r="N727" s="783"/>
      <c r="O727" s="783"/>
      <c r="P727" s="783"/>
      <c r="Q727" s="783"/>
      <c r="R727" s="783"/>
      <c r="S727" s="783"/>
      <c r="T727" s="783"/>
      <c r="U727" s="783"/>
      <c r="V727" s="783"/>
      <c r="W727" s="286"/>
      <c r="X727" s="607"/>
      <c r="Y727" s="52"/>
      <c r="Z727" s="52"/>
      <c r="AA727" s="52"/>
      <c r="AB727" s="28"/>
      <c r="AC727" s="28"/>
    </row>
    <row r="728" spans="1:29" s="30" customFormat="1" ht="22.5" customHeight="1">
      <c r="A728" s="112" t="str">
        <f>"K"&amp;E710</f>
        <v>K24</v>
      </c>
      <c r="B728" s="790" t="s">
        <v>390</v>
      </c>
      <c r="C728" s="772" t="s">
        <v>391</v>
      </c>
      <c r="D728" s="773"/>
      <c r="E728" s="773"/>
      <c r="F728" s="773"/>
      <c r="G728" s="773"/>
      <c r="H728" s="773"/>
      <c r="I728" s="773"/>
      <c r="J728" s="773"/>
      <c r="K728" s="773"/>
      <c r="L728" s="773"/>
      <c r="M728" s="774"/>
      <c r="N728" s="525"/>
      <c r="O728" s="588"/>
      <c r="P728" s="772" t="s">
        <v>392</v>
      </c>
      <c r="Q728" s="773"/>
      <c r="R728" s="773"/>
      <c r="S728" s="774"/>
      <c r="T728" s="784" t="s">
        <v>393</v>
      </c>
      <c r="U728" s="774"/>
      <c r="V728" s="811"/>
      <c r="W728" s="284"/>
      <c r="X728" s="778" t="s">
        <v>394</v>
      </c>
      <c r="Y728" s="779"/>
      <c r="Z728" s="779"/>
      <c r="AA728" s="779" t="s">
        <v>395</v>
      </c>
      <c r="AB728" s="808" t="s">
        <v>396</v>
      </c>
      <c r="AC728" s="28"/>
    </row>
    <row r="729" spans="1:29" s="30" customFormat="1" ht="22.5" customHeight="1">
      <c r="A729" s="112" t="str">
        <f>"L"&amp;E710</f>
        <v>L24</v>
      </c>
      <c r="B729" s="791"/>
      <c r="C729" s="769" t="s">
        <v>397</v>
      </c>
      <c r="D729" s="770"/>
      <c r="E729" s="771"/>
      <c r="F729" s="512">
        <f>IF(VLOOKUP(E710,PROPONENTES!$C$19:$E$108,3,0)="","",VLOOKUP(E710,PROPONENTES!$C$19:$E$108,3,0))</f>
        <v>1</v>
      </c>
      <c r="G729" s="824" t="s">
        <v>398</v>
      </c>
      <c r="H729" s="793" t="s">
        <v>399</v>
      </c>
      <c r="I729" s="793"/>
      <c r="J729" s="769" t="s">
        <v>400</v>
      </c>
      <c r="K729" s="823"/>
      <c r="L729" s="513" t="s">
        <v>401</v>
      </c>
      <c r="M729" s="513"/>
      <c r="N729" s="526"/>
      <c r="O729" s="527"/>
      <c r="P729" s="775"/>
      <c r="Q729" s="776"/>
      <c r="R729" s="776"/>
      <c r="S729" s="777"/>
      <c r="T729" s="796"/>
      <c r="U729" s="797"/>
      <c r="V729" s="812"/>
      <c r="W729" s="284"/>
      <c r="X729" s="780" t="s">
        <v>402</v>
      </c>
      <c r="Y729" s="810" t="s">
        <v>403</v>
      </c>
      <c r="Z729" s="810"/>
      <c r="AA729" s="810"/>
      <c r="AB729" s="809"/>
      <c r="AC729" s="28"/>
    </row>
    <row r="730" spans="1:29" s="30" customFormat="1" ht="51.75" customHeight="1" thickBot="1">
      <c r="A730" s="112" t="str">
        <f>"M"&amp;E710</f>
        <v>M24</v>
      </c>
      <c r="B730" s="791"/>
      <c r="C730" s="770" t="s">
        <v>404</v>
      </c>
      <c r="D730" s="771"/>
      <c r="E730" s="514" t="s">
        <v>405</v>
      </c>
      <c r="F730" s="515" t="s">
        <v>406</v>
      </c>
      <c r="G730" s="824"/>
      <c r="H730" s="793"/>
      <c r="I730" s="793"/>
      <c r="J730" s="504" t="s">
        <v>407</v>
      </c>
      <c r="K730" s="516" t="s">
        <v>408</v>
      </c>
      <c r="L730" s="517" t="s">
        <v>409</v>
      </c>
      <c r="M730" s="517"/>
      <c r="N730" s="528" t="s">
        <v>410</v>
      </c>
      <c r="O730" s="529"/>
      <c r="P730" s="386"/>
      <c r="Q730" s="387" t="s">
        <v>411</v>
      </c>
      <c r="R730" s="388"/>
      <c r="S730" s="113">
        <f>COUNTIFS(H714:H723,"SI",O714:O723,"&gt;0")</f>
        <v>2</v>
      </c>
      <c r="T730" s="785"/>
      <c r="U730" s="787"/>
      <c r="V730" s="813"/>
      <c r="W730" s="284"/>
      <c r="X730" s="780"/>
      <c r="Y730" s="810"/>
      <c r="Z730" s="810"/>
      <c r="AA730" s="810"/>
      <c r="AB730" s="809"/>
      <c r="AC730" s="28"/>
    </row>
    <row r="731" spans="1:29" s="30" customFormat="1" ht="15.75" customHeight="1">
      <c r="A731" s="112" t="str">
        <f>"N"&amp;E710</f>
        <v>N24</v>
      </c>
      <c r="B731" s="791"/>
      <c r="C731" s="54">
        <v>1</v>
      </c>
      <c r="D731" s="100" t="str">
        <f>IF(AND(C731&lt;=F729,F729&gt;1,F729&lt;&gt;""),VLOOKUP(VALUE(E710&amp;","&amp;C731),INTEGRANTES!$D$19:$F$192,2,0),"")</f>
        <v/>
      </c>
      <c r="E731" s="107" t="str">
        <f>IF(D731&lt;&gt;"",VLOOKUP(VALUE(E710&amp;","&amp;C731),INTEGRANTES!$D$19:$F$192,3,0),"")</f>
        <v/>
      </c>
      <c r="F731" s="380" t="str">
        <f>IF(D731="","",IF(OR(SUMIF($J717:$J723,D731,$O717:$O723)=0,N731="NO"),"NO APORTA",SUMIF($J717:$J723,D731,$O717:$O723)))</f>
        <v/>
      </c>
      <c r="G731" s="380" t="str">
        <f>IF($D731="","",IF($F729&lt;=1,"",ROUND(POSMMLV*PORPO,2)))</f>
        <v/>
      </c>
      <c r="H731" s="765" t="str">
        <f>IF($D731="","",IF(OR(F731="NO APORTA",G731&gt;F731),"NO CUMPLE","CUMPLE"))</f>
        <v/>
      </c>
      <c r="I731" s="766"/>
      <c r="J731" s="108" t="str">
        <f>IF(D731="","",IF(OR(AND(SUMIF($J714:$J723,D731,$O714:$O723)&gt;=5%*POSMMLV,N731="SI"),AND(SUMIF($J714:$J723,D731,$O714:$O723)=0,E731&lt;=5%,N731="SI")),"CUMPLE","NO CUMPLE"))</f>
        <v/>
      </c>
      <c r="K731" s="105"/>
      <c r="L731" s="389" t="str">
        <f>IF(OR(D731="",E731=""),"",IF(AND(E731&gt;=0.25,F731&lt;&gt;"NO APORTA",F731&gt;=$R736*0.25),"SI","NO"))</f>
        <v/>
      </c>
      <c r="M731" s="389"/>
      <c r="N731" s="468" t="s">
        <v>385</v>
      </c>
      <c r="O731" s="396">
        <f>COUNTIFS(O714:O723,"&gt;0",H714:H723,"SI")</f>
        <v>2</v>
      </c>
      <c r="P731" s="814" t="s">
        <v>139</v>
      </c>
      <c r="Q731" s="814"/>
      <c r="R731" s="817">
        <f>E710</f>
        <v>24</v>
      </c>
      <c r="S731" s="818"/>
      <c r="T731" s="784" t="s">
        <v>412</v>
      </c>
      <c r="U731" s="773"/>
      <c r="V731" s="774"/>
      <c r="W731" s="283"/>
      <c r="X731" s="542" t="str">
        <f>IF($F729=1,"NO APLICA",$D731)</f>
        <v>NO APLICA</v>
      </c>
      <c r="Y731" s="543" t="str">
        <f>IF(OR($F731="",$F731="NO APORTA",$R736=0,$X731="NO APLICA"),"",ROUND($F731/$Q736,2))</f>
        <v/>
      </c>
      <c r="Z731" s="544" t="str">
        <f>IF(Y737=1,"SI APLICA",IF(OR($X731="",$X731="NO APLICA",$F731="",$F731="NO APORTA"),"",IF(ROUND($F731/Q736,7)&gt;=0.4,"SI APLICA","NO APLICA")))</f>
        <v>SI APLICA</v>
      </c>
      <c r="AA731" s="543" t="s">
        <v>413</v>
      </c>
      <c r="AB731" s="540" t="str">
        <f>IF(COUNTIF(Z731:AA731,"SI APLICA")=2,"SI APLICA","")</f>
        <v>SI APLICA</v>
      </c>
      <c r="AC731" s="28"/>
    </row>
    <row r="732" spans="1:29" s="30" customFormat="1" ht="15.75" customHeight="1" thickBot="1">
      <c r="A732" s="112" t="str">
        <f>"O"&amp;E710</f>
        <v>O24</v>
      </c>
      <c r="B732" s="791"/>
      <c r="C732" s="54">
        <v>2</v>
      </c>
      <c r="D732" s="100" t="str">
        <f>IF(AND(C732&lt;=F729,F729&lt;&gt;""),VLOOKUP(VALUE(E710&amp;","&amp;C732),INTEGRANTES!$D$19:$F$192,2,0),"")</f>
        <v/>
      </c>
      <c r="E732" s="107" t="str">
        <f>IF(D732&lt;&gt;"",VLOOKUP(VALUE(E710&amp;","&amp;C732),INTEGRANTES!$D$19:$F$192,3,0),"")</f>
        <v/>
      </c>
      <c r="F732" s="380" t="str">
        <f>IF(D732="","",IF(OR(SUMIF($J717:$J723,D732,$O717:$O723)=0,N732="NO"),"NO APORTA",SUMIF($J717:$J723,D732,$O717:$O723)))</f>
        <v/>
      </c>
      <c r="G732" s="380" t="str">
        <f>IF($D732="","",IF($F729&lt;=1,"",ROUND(POSMMLV*PORPO,2)))</f>
        <v/>
      </c>
      <c r="H732" s="765" t="str">
        <f t="shared" ref="H732:H735" si="142">IF($D732="","",IF(OR(F732="NO APORTA",G732&gt;F732),"NO CUMPLE","CUMPLE"))</f>
        <v/>
      </c>
      <c r="I732" s="766"/>
      <c r="J732" s="108" t="str">
        <f>IF(D732="","",IF(OR(AND(SUMIF($J714:$J723,D732,$O714:$O723)&gt;=5%*POSMMLV,N732="SI"),AND(SUMIF($J714:$J723,D732,$O714:$O723)=0,E732&lt;=5%,N732="SI")),"CUMPLE","NO CUMPLE"))</f>
        <v/>
      </c>
      <c r="K732" s="105" t="str">
        <f>IF(OR(D732="",J732=""),"",IF(AND(J732="NO CUMPLE",F732="NO APORTA",E732&gt;5%),"EXP = 0 y PART &gt; 5%",IF(F732&lt;5%*Q736,"EXP &lt; 5%*PO","")))</f>
        <v/>
      </c>
      <c r="L732" s="389" t="str">
        <f>IF(OR(D732="",E732=""),"",IF(AND(E732&gt;=0.25,F732&lt;&gt;"NO APORTA",F732&gt;=$R736*0.25),"SI","NO"))</f>
        <v/>
      </c>
      <c r="M732" s="389"/>
      <c r="N732" s="468"/>
      <c r="O732" s="396"/>
      <c r="P732" s="815"/>
      <c r="Q732" s="815"/>
      <c r="R732" s="815"/>
      <c r="S732" s="819"/>
      <c r="T732" s="785"/>
      <c r="U732" s="786"/>
      <c r="V732" s="787"/>
      <c r="W732" s="283"/>
      <c r="X732" s="542" t="str">
        <f>IF($F729=1,"NO APLICA",$D732)</f>
        <v>NO APLICA</v>
      </c>
      <c r="Y732" s="543" t="str">
        <f>IF(OR($F732="",$F732="NO APORTA",$R736=0,$X732="NO APLICA"),"",ROUND($F732/$Q736,2))</f>
        <v/>
      </c>
      <c r="Z732" s="544"/>
      <c r="AA732" s="543"/>
      <c r="AB732" s="540" t="str">
        <f t="shared" ref="AB732" si="143">IF(COUNTIF(Z732:AA732,"SI APLICA")=2,"SI APLICA","")</f>
        <v/>
      </c>
      <c r="AC732" s="28"/>
    </row>
    <row r="733" spans="1:29" s="30" customFormat="1" ht="15.75" customHeight="1">
      <c r="A733" s="112" t="str">
        <f>"P"&amp;E710</f>
        <v>P24</v>
      </c>
      <c r="B733" s="791"/>
      <c r="C733" s="54">
        <v>3</v>
      </c>
      <c r="D733" s="100" t="str">
        <f>IF(AND(C733&lt;=F729,F729&lt;&gt;""),VLOOKUP(VALUE(E710&amp;","&amp;C733),INTEGRANTES!$D$19:$F$192,2,0),"")</f>
        <v/>
      </c>
      <c r="E733" s="107" t="str">
        <f>IF(D733&lt;&gt;"",VLOOKUP(VALUE(E710&amp;","&amp;C733),INTEGRANTES!$D$19:$F$192,3,0),"")</f>
        <v/>
      </c>
      <c r="F733" s="380" t="str">
        <f>IF(D733="","",IF(OR(SUMIF($J717:$J723,D733,$O717:$O723)=0,N733="NO"),"NO APORTA",SUMIF($J717:$J723,D733,$O717:$O723)))</f>
        <v/>
      </c>
      <c r="G733" s="380" t="str">
        <f>IF($D733="","",IF($F729&lt;=1,"",ROUND(POSMMLV*PORPO,2)))</f>
        <v/>
      </c>
      <c r="H733" s="765" t="str">
        <f t="shared" si="142"/>
        <v/>
      </c>
      <c r="I733" s="766"/>
      <c r="J733" s="108" t="str">
        <f>IF(D733="","",IF(OR(AND(SUMIF($J714:$J723,D733,$O714:$O723)&gt;=5%*POSMMLV,N733="SI"),AND(SUMIF($J714:$J723,D733,$O714:$O723)=0,E733&lt;=5%,N733="SI")),"CUMPLE","NO CUMPLE"))</f>
        <v/>
      </c>
      <c r="K733" s="105" t="str">
        <f>IF(OR(D733="",J733=""),"",IF(AND(J733="NO CUMPLE",F733="NO APORTA",E733&gt;5%),"EXP = 0 y PART &gt; 5%",IF(F733&lt;5%*Q736,"EXP &lt; 5%*PO","")))</f>
        <v/>
      </c>
      <c r="L733" s="389" t="str">
        <f>IF(OR(D733="",E733=""),"",IF(AND(E733&gt;=0.25,F733&lt;&gt;"NO APORTA",F733&gt;=$R736*0.25),"SI","NO"))</f>
        <v/>
      </c>
      <c r="M733" s="389"/>
      <c r="N733" s="468"/>
      <c r="O733" s="397"/>
      <c r="P733" s="816"/>
      <c r="Q733" s="816"/>
      <c r="R733" s="816"/>
      <c r="S733" s="820"/>
      <c r="T733" s="308"/>
      <c r="U733" s="308"/>
      <c r="V733" s="309"/>
      <c r="W733" s="284"/>
      <c r="X733" s="542" t="str">
        <f>IF($F729=1,"NO APLICA",$D733)</f>
        <v>NO APLICA</v>
      </c>
      <c r="Y733" s="543" t="str">
        <f>IF(OR($F733="",$F733="NO APORTA",$R736=0,$X733="NO APLICA"),"",ROUND($F733/$Q736,2))</f>
        <v/>
      </c>
      <c r="Z733" s="544"/>
      <c r="AA733" s="543"/>
      <c r="AB733" s="540" t="str">
        <f>IF(COUNTIF(Z733:AA733,"SI APLICA")=2,"SI APLICA","")</f>
        <v/>
      </c>
      <c r="AC733" s="28"/>
    </row>
    <row r="734" spans="1:29" s="30" customFormat="1" ht="15.75" customHeight="1">
      <c r="A734" s="112" t="str">
        <f>"Q"&amp;E710</f>
        <v>Q24</v>
      </c>
      <c r="B734" s="791"/>
      <c r="C734" s="54">
        <v>4</v>
      </c>
      <c r="D734" s="100" t="str">
        <f>IF(AND(C734&lt;=F729,F729&lt;&gt;""),VLOOKUP(VALUE(E710&amp;","&amp;C734),INTEGRANTES!$D$19:$F$192,2,0),"")</f>
        <v/>
      </c>
      <c r="E734" s="107" t="str">
        <f>IF(D734&lt;&gt;"",VLOOKUP(VALUE(E710&amp;","&amp;C734),INTEGRANTES!$D$19:$F$192,3,0),"")</f>
        <v/>
      </c>
      <c r="F734" s="380" t="str">
        <f>IF(D734="","",IF(OR(SUMIF($J717:$J723,D734,$O717:$O723)=0,N734="NO"),"NO APORTA",SUMIF($J717:$J723,D734,$O717:$O723)))</f>
        <v/>
      </c>
      <c r="G734" s="380" t="str">
        <f>IF($D734="","",IF($F729&lt;=1,"",ROUND(POSMMLV*PORPO,2)))</f>
        <v/>
      </c>
      <c r="H734" s="765" t="str">
        <f t="shared" si="142"/>
        <v/>
      </c>
      <c r="I734" s="766"/>
      <c r="J734" s="108" t="str">
        <f>IF(D734="","",IF(OR(AND(SUMIF($J714:$J723,D734,$O714:$O723)&gt;=5%*POSMMLV,N734="SI"),AND(SUMIF($J714:$J723,D734,$O714:$O723)=0,E734&lt;=5%,N734="SI")),"CUMPLE","NO CUMPLE"))</f>
        <v/>
      </c>
      <c r="K734" s="105" t="str">
        <f>IF(OR(D734="",J734=""),"",IF(AND(J734="NO CUMPLE",F734="NO APORTA",E734&gt;5%),"EXP = 0 y PART &gt; 5%",IF(F734&lt;5%*Q736,"EXP &lt; 5%*PO","")))</f>
        <v/>
      </c>
      <c r="L734" s="389" t="str">
        <f>IF(OR(D734="",E734=""),"",IF(AND(E734&gt;=0.25,F734&lt;&gt;"NO APORTA",F734&gt;=$R736*0.25),"SI","NO"))</f>
        <v/>
      </c>
      <c r="M734" s="389"/>
      <c r="N734" s="468"/>
      <c r="O734" s="788" t="s">
        <v>414</v>
      </c>
      <c r="P734" s="769" t="s">
        <v>415</v>
      </c>
      <c r="Q734" s="770"/>
      <c r="R734" s="770"/>
      <c r="S734" s="771"/>
      <c r="T734" s="284"/>
      <c r="U734" s="284"/>
      <c r="V734" s="310"/>
      <c r="W734" s="284"/>
      <c r="X734" s="542" t="str">
        <f>IF($F729=1,"NO APLICA",$D734)</f>
        <v>NO APLICA</v>
      </c>
      <c r="Y734" s="543" t="str">
        <f>IF(OR($F734="",$F734="NO APORTA",$R736=0,$X734="NO APLICA"),"",ROUND($F734/$Q736,2))</f>
        <v/>
      </c>
      <c r="Z734" s="544"/>
      <c r="AA734" s="543"/>
      <c r="AB734" s="540" t="str">
        <f t="shared" ref="AB734:AB735" si="144">IF(COUNTIF(Z734:AA734,"SI APLICA")=2,"SI APLICA","")</f>
        <v/>
      </c>
      <c r="AC734" s="28"/>
    </row>
    <row r="735" spans="1:29" s="30" customFormat="1" ht="27.75" customHeight="1">
      <c r="A735" s="112" t="str">
        <f>"R"&amp;E710</f>
        <v>R24</v>
      </c>
      <c r="B735" s="791"/>
      <c r="C735" s="54">
        <v>5</v>
      </c>
      <c r="D735" s="100" t="str">
        <f>IF(AND(C735&lt;=F729,F729&lt;&gt;""),VLOOKUP(VALUE(E710&amp;","&amp;C735),INTEGRANTES!$D$19:$F$192,2,0),"")</f>
        <v/>
      </c>
      <c r="E735" s="107" t="str">
        <f>IF(D735&lt;&gt;"",VLOOKUP(VALUE(E710&amp;","&amp;C735),INTEGRANTES!$D$19:$F$192,3,0),"")</f>
        <v/>
      </c>
      <c r="F735" s="380" t="str">
        <f>IF(D735="","",IF(OR(SUMIF($J717:$J723,D735,$O717:$O723)=0,N735="NO"),"NO APORTA",SUMIF($J717:$J723,D735,$O717:$O723)))</f>
        <v/>
      </c>
      <c r="G735" s="380" t="str">
        <f>IF($D735="","",IF($F729&lt;=1,"",ROUND(POSMMLV*PORPO,2)))</f>
        <v/>
      </c>
      <c r="H735" s="765" t="str">
        <f t="shared" si="142"/>
        <v/>
      </c>
      <c r="I735" s="766"/>
      <c r="J735" s="108" t="str">
        <f>IF(D735="","",IF(OR(AND(SUMIF($J714:$J723,D735,$O714:$O723)&gt;=5%*POSMMLV,N735="SI"),AND(SUMIF($J714:$J723,D735,$O714:$O723)=0,E735&lt;=5%,N735="SI")),"CUMPLE","NO CUMPLE"))</f>
        <v/>
      </c>
      <c r="K735" s="105" t="str">
        <f>IF(OR(D735="",J735=""),"",IF(AND(J735="NO CUMPLE",F735="NO APORTA",E735&gt;5%),"EXP = 0 y PART &gt; 5%",IF(F735&lt;5%*Q736,"EXP &lt; 5%*PO","")))</f>
        <v/>
      </c>
      <c r="L735" s="389" t="str">
        <f>IF(OR(D735="",E735=""),"",IF(AND(E735&gt;=0.25,F735&lt;&gt;"NO APORTA",F735&gt;=$R736*0.25),"SI","NO"))</f>
        <v/>
      </c>
      <c r="M735" s="389"/>
      <c r="N735" s="468"/>
      <c r="O735" s="789"/>
      <c r="P735" s="504" t="s">
        <v>416</v>
      </c>
      <c r="Q735" s="504" t="s">
        <v>417</v>
      </c>
      <c r="R735" s="793" t="s">
        <v>418</v>
      </c>
      <c r="S735" s="793"/>
      <c r="T735" s="284"/>
      <c r="U735" s="284"/>
      <c r="V735" s="310"/>
      <c r="W735" s="284"/>
      <c r="X735" s="542" t="str">
        <f>IF($F729=1,"NO APLICA",$D735)</f>
        <v>NO APLICA</v>
      </c>
      <c r="Y735" s="543" t="str">
        <f>IF(OR($F735="",$F735="NO APORTA",$R736=0,$X735="NO APLICA"),"",ROUND($F735/$Q736,2))</f>
        <v/>
      </c>
      <c r="Z735" s="544"/>
      <c r="AA735" s="543"/>
      <c r="AB735" s="540" t="str">
        <f t="shared" si="144"/>
        <v/>
      </c>
      <c r="AC735" s="28"/>
    </row>
    <row r="736" spans="1:29" s="30" customFormat="1" ht="16.5" customHeight="1" thickBot="1">
      <c r="A736" s="112" t="str">
        <f>"S"&amp;E710</f>
        <v>S24</v>
      </c>
      <c r="B736" s="791"/>
      <c r="C736" s="109">
        <v>6</v>
      </c>
      <c r="D736" s="110" t="str">
        <f>IF(AND(C736&lt;=F729,F729&lt;&gt;""),VLOOKUP(VALUE(E710&amp;","&amp;C736),INTEGRANTES!$D$19:$F$192,2,0),"")</f>
        <v/>
      </c>
      <c r="E736" s="111" t="str">
        <f>IF(D736&lt;&gt;"",VLOOKUP(VALUE(E710&amp;","&amp;C736),INTEGRANTES!$D$19:$F$192,3,0),"")</f>
        <v/>
      </c>
      <c r="F736" s="380" t="str">
        <f>IF(D736="","",IF(OR(SUMIF($J717:$J723,D736,$O717:$O723)=0,N736="NO"),"NO APORTA",SUMIF($J717:$J723,D736,$O717:$O723)))</f>
        <v/>
      </c>
      <c r="G736" s="380" t="str">
        <f>IF($D736="","",IF($F729&lt;=1,"",ROUND(POSMMLV*PORPO,2)))</f>
        <v/>
      </c>
      <c r="H736" s="765" t="str">
        <f>IF($D736="","",IF(OR(F736="NO APORTA",G736&gt;F736),"NO CUMPLE","CUMPLE"))</f>
        <v/>
      </c>
      <c r="I736" s="766"/>
      <c r="J736" s="108" t="str">
        <f>IF(D736="","",IF(OR(AND(SUMIF($J714:$J723,D736,$O714:$O723)&gt;=5%*POSMMLV,N736="SI"),AND(SUMIF($J714:$J723,D736,$O714:$O723)=0,E736&lt;=5%,N736="SI")),"CUMPLE","NO CUMPLE"))</f>
        <v/>
      </c>
      <c r="K736" s="105" t="str">
        <f>IF(OR(D736="",J736=""),"",IF(AND(J736="NO CUMPLE",F736="NO APORTA",E736&gt;5%),"EXP = 0 y PART &gt; 5%",IF(F736&lt;5%*Q736,"EXP &lt; 5%*PO","")))</f>
        <v/>
      </c>
      <c r="L736" s="389" t="str">
        <f>IF(OR(D736="",E736=""),"",IF(AND(E736&gt;=0.25,F736&lt;&gt;"NO APORTA",F736&gt;=$R736*0.25),"SI","NO"))</f>
        <v/>
      </c>
      <c r="M736" s="389"/>
      <c r="N736" s="468"/>
      <c r="O736" s="403" t="str">
        <f ca="1">IF(R736&gt;=Q736,"CUMPLE","NO CUMPLE")</f>
        <v>CUMPLE</v>
      </c>
      <c r="P736" s="312">
        <f>NUMMOD</f>
        <v>1</v>
      </c>
      <c r="Q736" s="313">
        <f ca="1">IF(P736="","",ROUND(VLOOKUP(P736,PRESUPUESTOS!$B$16:$L$16,9,FALSE),7))</f>
        <v>300</v>
      </c>
      <c r="R736" s="834">
        <f>IF(OR(COUNTIF(O714:O723,"")&gt;9,S730&lt;NUMMINCONT),0,SUM(O714:O723))</f>
        <v>640.51</v>
      </c>
      <c r="S736" s="834"/>
      <c r="T736" s="284"/>
      <c r="U736" s="284"/>
      <c r="V736" s="310"/>
      <c r="W736" s="284"/>
      <c r="X736" s="545" t="str">
        <f>IF($F729=1,"NO APLICA",$D736)</f>
        <v>NO APLICA</v>
      </c>
      <c r="Y736" s="543" t="str">
        <f>IF(OR($F736="",$F736="NO APORTA",$R736=0,$X736="NO APLICA"),"",ROUND($F736/$Q736,2))</f>
        <v/>
      </c>
      <c r="Z736" s="544"/>
      <c r="AA736" s="546"/>
      <c r="AB736" s="540" t="str">
        <f>IF(COUNTIF(Z736:AA736,"SI APLICA")=2,"SI APLICA","")</f>
        <v/>
      </c>
      <c r="AC736" s="28"/>
    </row>
    <row r="737" spans="1:29" s="30" customFormat="1" ht="16.5" customHeight="1" thickBot="1">
      <c r="A737" s="112" t="str">
        <f>"T"&amp;E710</f>
        <v>T24</v>
      </c>
      <c r="B737" s="792"/>
      <c r="C737" s="821" t="s">
        <v>419</v>
      </c>
      <c r="D737" s="822"/>
      <c r="E737" s="822"/>
      <c r="F737" s="518"/>
      <c r="G737" s="519"/>
      <c r="H737" s="794" t="str">
        <f>IF(OR($F729="",SUM(E731:E736)=0),"",IF(COUNTIF(H731:H736,"CUMPLE")&gt;=1,"CUMPLE","NO CUMPLE"))</f>
        <v/>
      </c>
      <c r="I737" s="795"/>
      <c r="J737" s="314" t="str">
        <f>IF(COUNTIF(J731:J736,"")&gt;5,"",IF(COUNTIF(J731:J736,"NO CUMPLE")&gt;0,"NO CUMPLE","CUMPLE"))</f>
        <v/>
      </c>
      <c r="K737" s="314" t="str">
        <f>IF(OR(AND(F729=1,N731="SI"),AND(COUNTIF(H737:J737,"CUMPLE")=2)),"CUMPLE","NO CUMPLE")</f>
        <v>CUMPLE</v>
      </c>
      <c r="L737" s="519"/>
      <c r="M737" s="519"/>
      <c r="N737" s="519"/>
      <c r="O737" s="833" t="str">
        <f ca="1">IF(ISNUMBER(F710),"",IF(AND(O736="NO CUMPLE",SUM(N717:N723)&lt;Q736),"EL PROPONENTE SE DEBE REQUERIR POR EXPERIENCIA MINIMA EXIGIDA",""))</f>
        <v/>
      </c>
      <c r="P737" s="833"/>
      <c r="Q737" s="833"/>
      <c r="R737" s="833"/>
      <c r="S737" s="833"/>
      <c r="T737" s="522"/>
      <c r="U737" s="523"/>
      <c r="V737" s="524"/>
      <c r="W737" s="284"/>
      <c r="X737" s="364" t="str">
        <f>IF(Y737=1,"PROPONENTE INDIVIDUAL","PROPONENTE PLURAL")</f>
        <v>PROPONENTE INDIVIDUAL</v>
      </c>
      <c r="Y737" s="276">
        <f>F729</f>
        <v>1</v>
      </c>
      <c r="Z737" s="277" t="str">
        <f>IF(OR(AND(Z731="SI APLICA",AA731="SI APLICA"),AND(Z732="SI APLICA",AA732="SI APLICA"),AND(Z733="SI APLICA",AA733="SI APLICA"),AND(Z734="SI APLICA",AA734="SI APLICA"),AND(Z735="SI APLICA",AA735="SI APLICA"),AND(Z736="SI APLICA",AA736="SI APLICA")),"SI APLICA","NO APLICA")</f>
        <v>SI APLICA</v>
      </c>
      <c r="AA737" s="278" t="str">
        <f>IF(OR(AND(AA731="SI APLICA",AB731="SI APLICA"),AND(AA732="SI APLICA",AB732="SI APLICA"),AND(AA733="SI APLICA",AB733="SI APLICA"),AND(AA734="SI APLICA",AB734="SI APLICA"),AND(AA735="SI APLICA",AB735="SI APLICA"),AND(AA736="SI APLICA",AB736="SI APLICA")),"SI APLICA","NO APLICA")</f>
        <v>SI APLICA</v>
      </c>
      <c r="AB737" s="278" t="str">
        <f>IF(COUNTIF(AB731:AB736,"SI APLICA")&gt;0,"SI APLICA","NO APLICA")</f>
        <v>SI APLICA</v>
      </c>
      <c r="AC737" s="28"/>
    </row>
    <row r="738" spans="1:29" ht="24.95" customHeight="1"/>
    <row r="739" spans="1:29" ht="24.95" customHeight="1"/>
    <row r="740" spans="1:29" s="41" customFormat="1" ht="24" thickBot="1">
      <c r="A740" s="34">
        <v>25</v>
      </c>
      <c r="B740" s="828" t="s">
        <v>355</v>
      </c>
      <c r="C740" s="828"/>
      <c r="D740" s="828"/>
      <c r="E740" s="35">
        <f>VLOOKUP(A740,PROPONENTES!$B$19:$E$108,2,FALSE)</f>
        <v>25</v>
      </c>
      <c r="F740" s="36" t="str">
        <f>VLOOKUP(A740,PROPONENTES!$B$19:$E$108,3,FALSE)</f>
        <v>CONSORCIO RUTA TOLIMA 1</v>
      </c>
      <c r="G740" s="37"/>
      <c r="H740" s="37"/>
      <c r="I740" s="36"/>
      <c r="J740" s="36"/>
      <c r="K740" s="36"/>
      <c r="L740" s="36"/>
      <c r="M740" s="38"/>
      <c r="N740" s="38"/>
      <c r="O740" s="37"/>
      <c r="P740" s="37"/>
      <c r="Q740" s="39"/>
      <c r="R740" s="39"/>
      <c r="S740" s="39"/>
      <c r="T740" s="39"/>
      <c r="U740" s="40"/>
      <c r="Y740" s="52"/>
      <c r="Z740" s="52"/>
      <c r="AA740" s="52"/>
      <c r="AB740" s="28"/>
      <c r="AC740" s="28"/>
    </row>
    <row r="741" spans="1:29" s="27" customFormat="1" ht="24.75" customHeight="1">
      <c r="A741" s="22"/>
      <c r="B741" s="829" t="s">
        <v>356</v>
      </c>
      <c r="C741" s="501" t="s">
        <v>357</v>
      </c>
      <c r="D741" s="502" t="s">
        <v>358</v>
      </c>
      <c r="E741" s="502"/>
      <c r="F741" s="502" t="s">
        <v>359</v>
      </c>
      <c r="G741" s="503"/>
      <c r="H741" s="803" t="s">
        <v>360</v>
      </c>
      <c r="I741" s="831" t="s">
        <v>361</v>
      </c>
      <c r="J741" s="803" t="s">
        <v>362</v>
      </c>
      <c r="K741" s="803" t="s">
        <v>363</v>
      </c>
      <c r="L741" s="803" t="s">
        <v>364</v>
      </c>
      <c r="M741" s="803" t="s">
        <v>365</v>
      </c>
      <c r="N741" s="804" t="s">
        <v>366</v>
      </c>
      <c r="O741" s="805"/>
      <c r="P741" s="806" t="s">
        <v>367</v>
      </c>
      <c r="Q741" s="807"/>
      <c r="R741" s="784" t="s">
        <v>368</v>
      </c>
      <c r="S741" s="774"/>
      <c r="T741" s="798" t="s">
        <v>369</v>
      </c>
      <c r="U741" s="799"/>
      <c r="V741" s="800"/>
      <c r="X741" s="520"/>
      <c r="Y741" s="520"/>
    </row>
    <row r="742" spans="1:29" s="27" customFormat="1" ht="94.5" customHeight="1">
      <c r="A742" s="22"/>
      <c r="B742" s="830"/>
      <c r="C742" s="504" t="s">
        <v>370</v>
      </c>
      <c r="D742" s="505" t="s">
        <v>41</v>
      </c>
      <c r="E742" s="505" t="s">
        <v>371</v>
      </c>
      <c r="F742" s="505" t="s">
        <v>372</v>
      </c>
      <c r="G742" s="506" t="s">
        <v>373</v>
      </c>
      <c r="H742" s="793"/>
      <c r="I742" s="832"/>
      <c r="J742" s="793"/>
      <c r="K742" s="793"/>
      <c r="L742" s="793"/>
      <c r="M742" s="793"/>
      <c r="N742" s="504" t="s">
        <v>374</v>
      </c>
      <c r="O742" s="505" t="s">
        <v>375</v>
      </c>
      <c r="P742" s="801"/>
      <c r="Q742" s="802"/>
      <c r="R742" s="796"/>
      <c r="S742" s="797"/>
      <c r="T742" s="507" t="s">
        <v>376</v>
      </c>
      <c r="U742" s="508" t="s">
        <v>377</v>
      </c>
      <c r="V742" s="509" t="s">
        <v>378</v>
      </c>
      <c r="X742" s="521" t="s">
        <v>379</v>
      </c>
      <c r="Y742" s="521" t="s">
        <v>380</v>
      </c>
    </row>
    <row r="743" spans="1:29" s="27" customFormat="1" ht="15" customHeight="1">
      <c r="A743" s="22"/>
      <c r="B743" s="594"/>
      <c r="C743" s="595">
        <v>3</v>
      </c>
      <c r="D743" s="595">
        <v>4</v>
      </c>
      <c r="E743" s="595">
        <v>5</v>
      </c>
      <c r="F743" s="595">
        <v>6</v>
      </c>
      <c r="G743" s="595">
        <v>7</v>
      </c>
      <c r="H743" s="595">
        <v>8</v>
      </c>
      <c r="I743" s="595">
        <v>9</v>
      </c>
      <c r="J743" s="595">
        <v>10</v>
      </c>
      <c r="K743" s="595">
        <v>11</v>
      </c>
      <c r="L743" s="595">
        <v>12</v>
      </c>
      <c r="M743" s="595">
        <v>13</v>
      </c>
      <c r="N743" s="595">
        <v>14</v>
      </c>
      <c r="O743" s="595">
        <v>15</v>
      </c>
      <c r="P743" s="596">
        <v>16</v>
      </c>
      <c r="Q743" s="597">
        <v>17</v>
      </c>
      <c r="R743" s="596">
        <v>18</v>
      </c>
      <c r="S743" s="597">
        <v>19</v>
      </c>
      <c r="T743" s="598">
        <v>20</v>
      </c>
      <c r="U743" s="255">
        <v>21</v>
      </c>
      <c r="V743" s="599">
        <v>22</v>
      </c>
      <c r="X743" s="589"/>
      <c r="Y743" s="590"/>
    </row>
    <row r="744" spans="1:29" s="44" customFormat="1" ht="24.95" customHeight="1">
      <c r="A744" s="42" t="str">
        <f>"A"&amp;E740</f>
        <v>A25</v>
      </c>
      <c r="B744" s="605">
        <f>IF(C744&lt;&gt;"",B743+1,"")</f>
        <v>1</v>
      </c>
      <c r="C744" s="581" t="s">
        <v>584</v>
      </c>
      <c r="D744" s="581" t="s">
        <v>585</v>
      </c>
      <c r="E744" s="581" t="s">
        <v>586</v>
      </c>
      <c r="F744" s="581" t="s">
        <v>580</v>
      </c>
      <c r="G744" s="534">
        <v>1</v>
      </c>
      <c r="H744" s="534" t="s">
        <v>385</v>
      </c>
      <c r="I744" s="579">
        <v>1</v>
      </c>
      <c r="J744" s="580" t="str">
        <f>IF(I744="","",IF(I744="I",$F740,VLOOKUP(I744,$C761:$D766,2,0)))</f>
        <v>CARLOS FERNANDO ANGEL PEREA</v>
      </c>
      <c r="K744" s="535">
        <v>37648</v>
      </c>
      <c r="L744" s="535">
        <v>37495</v>
      </c>
      <c r="M744" s="536">
        <v>692.55</v>
      </c>
      <c r="N744" s="232">
        <f t="shared" ref="N744:N753" si="145">IF(OR(G744="",M744=""),"",M744*G744)</f>
        <v>692.55</v>
      </c>
      <c r="O744" s="629">
        <f t="shared" ref="O744:O753" si="146">IF(OR(H744="",H744="NO",K744&lt;$Q$17,K744&gt;$R$17,K744="",M744="",N744=""),"",ROUND(N744,7))</f>
        <v>692.55</v>
      </c>
      <c r="P744" s="781"/>
      <c r="Q744" s="782"/>
      <c r="R744" s="767"/>
      <c r="S744" s="768"/>
      <c r="T744" s="538" t="s">
        <v>385</v>
      </c>
      <c r="U744" s="539">
        <v>20</v>
      </c>
      <c r="V744" s="540" t="s">
        <v>385</v>
      </c>
      <c r="X744" s="541" t="s">
        <v>449</v>
      </c>
      <c r="Y744" s="541" t="s">
        <v>387</v>
      </c>
    </row>
    <row r="745" spans="1:29" s="44" customFormat="1" ht="36.75" customHeight="1">
      <c r="A745" s="42" t="str">
        <f>"B"&amp;E740</f>
        <v>B25</v>
      </c>
      <c r="B745" s="605">
        <f t="shared" ref="B745:B753" si="147">IF(C745&lt;&gt;"",B744+1,"")</f>
        <v>2</v>
      </c>
      <c r="C745" s="581" t="s">
        <v>584</v>
      </c>
      <c r="D745" s="581" t="s">
        <v>587</v>
      </c>
      <c r="E745" s="581" t="s">
        <v>588</v>
      </c>
      <c r="F745" s="581" t="s">
        <v>572</v>
      </c>
      <c r="G745" s="534">
        <v>0.25</v>
      </c>
      <c r="H745" s="534" t="s">
        <v>385</v>
      </c>
      <c r="I745" s="579">
        <v>1</v>
      </c>
      <c r="J745" s="580" t="str">
        <f>IF(I745="","",IF(I745="I",$F740,VLOOKUP(I745,$C761:$D766,2,0)))</f>
        <v>CARLOS FERNANDO ANGEL PEREA</v>
      </c>
      <c r="K745" s="535">
        <v>38657</v>
      </c>
      <c r="L745" s="535">
        <v>40158</v>
      </c>
      <c r="M745" s="536">
        <v>5264.34</v>
      </c>
      <c r="N745" s="232">
        <f t="shared" si="145"/>
        <v>1316.085</v>
      </c>
      <c r="O745" s="629">
        <f t="shared" si="146"/>
        <v>1316.085</v>
      </c>
      <c r="P745" s="781"/>
      <c r="Q745" s="782"/>
      <c r="R745" s="767"/>
      <c r="S745" s="768"/>
      <c r="T745" s="538" t="s">
        <v>385</v>
      </c>
      <c r="U745" s="539">
        <v>32</v>
      </c>
      <c r="V745" s="540" t="s">
        <v>385</v>
      </c>
      <c r="X745" s="541" t="s">
        <v>449</v>
      </c>
      <c r="Y745" s="541" t="s">
        <v>387</v>
      </c>
    </row>
    <row r="746" spans="1:29" s="44" customFormat="1" ht="32.25" customHeight="1">
      <c r="A746" s="42" t="str">
        <f>"C"&amp;E740</f>
        <v>C25</v>
      </c>
      <c r="B746" s="605">
        <f t="shared" si="147"/>
        <v>3</v>
      </c>
      <c r="C746" s="581" t="s">
        <v>584</v>
      </c>
      <c r="D746" s="581" t="s">
        <v>589</v>
      </c>
      <c r="E746" s="581" t="s">
        <v>590</v>
      </c>
      <c r="F746" s="581" t="s">
        <v>572</v>
      </c>
      <c r="G746" s="534">
        <v>0.5</v>
      </c>
      <c r="H746" s="534" t="s">
        <v>385</v>
      </c>
      <c r="I746" s="579">
        <v>3</v>
      </c>
      <c r="J746" s="580" t="str">
        <f>IF(I746="","",IF(I746="I",$F740,VLOOKUP(I746,$C761:$D766,2,0)))</f>
        <v>OCTAVIO GUILLERMO BENAVIDES BURBANO</v>
      </c>
      <c r="K746" s="535">
        <v>38307</v>
      </c>
      <c r="L746" s="535">
        <v>38427</v>
      </c>
      <c r="M746" s="536">
        <v>294.33</v>
      </c>
      <c r="N746" s="232">
        <f t="shared" si="145"/>
        <v>147.16499999999999</v>
      </c>
      <c r="O746" s="629">
        <f t="shared" si="146"/>
        <v>147.16499999999999</v>
      </c>
      <c r="P746" s="781"/>
      <c r="Q746" s="782"/>
      <c r="R746" s="767"/>
      <c r="S746" s="768"/>
      <c r="T746" s="538" t="s">
        <v>385</v>
      </c>
      <c r="U746" s="539">
        <v>14</v>
      </c>
      <c r="V746" s="540" t="s">
        <v>385</v>
      </c>
      <c r="X746" s="541" t="s">
        <v>446</v>
      </c>
      <c r="Y746" s="541" t="s">
        <v>387</v>
      </c>
    </row>
    <row r="747" spans="1:29" s="44" customFormat="1" ht="30.75" customHeight="1">
      <c r="A747" s="42" t="str">
        <f>"D"&amp;E740</f>
        <v>D25</v>
      </c>
      <c r="B747" s="605">
        <f t="shared" si="147"/>
        <v>4</v>
      </c>
      <c r="C747" s="581" t="s">
        <v>584</v>
      </c>
      <c r="D747" s="581" t="s">
        <v>591</v>
      </c>
      <c r="E747" s="581" t="s">
        <v>592</v>
      </c>
      <c r="F747" s="581" t="s">
        <v>572</v>
      </c>
      <c r="G747" s="534">
        <v>0.9</v>
      </c>
      <c r="H747" s="534" t="s">
        <v>385</v>
      </c>
      <c r="I747" s="579">
        <v>3</v>
      </c>
      <c r="J747" s="580" t="str">
        <f>IF(I747="","",IF(I747="I",$F740,VLOOKUP(I747,$C761:$D766,2,0)))</f>
        <v>OCTAVIO GUILLERMO BENAVIDES BURBANO</v>
      </c>
      <c r="K747" s="535">
        <v>41185</v>
      </c>
      <c r="L747" s="535">
        <v>41305</v>
      </c>
      <c r="M747" s="536">
        <v>58.02</v>
      </c>
      <c r="N747" s="232">
        <f t="shared" si="145"/>
        <v>52.218000000000004</v>
      </c>
      <c r="O747" s="629">
        <f t="shared" si="146"/>
        <v>52.218000000000004</v>
      </c>
      <c r="P747" s="781"/>
      <c r="Q747" s="782"/>
      <c r="R747" s="767"/>
      <c r="S747" s="768"/>
      <c r="T747" s="538" t="s">
        <v>385</v>
      </c>
      <c r="U747" s="539">
        <v>22</v>
      </c>
      <c r="V747" s="540" t="s">
        <v>385</v>
      </c>
      <c r="X747" s="541" t="s">
        <v>449</v>
      </c>
      <c r="Y747" s="541" t="s">
        <v>387</v>
      </c>
    </row>
    <row r="748" spans="1:29" s="44" customFormat="1" ht="90.75" customHeight="1">
      <c r="A748" s="42" t="str">
        <f>"E"&amp;E740</f>
        <v>E25</v>
      </c>
      <c r="B748" s="605">
        <f t="shared" si="147"/>
        <v>5</v>
      </c>
      <c r="C748" s="581" t="s">
        <v>584</v>
      </c>
      <c r="D748" s="581" t="s">
        <v>593</v>
      </c>
      <c r="E748" s="581" t="s">
        <v>594</v>
      </c>
      <c r="F748" s="581" t="s">
        <v>572</v>
      </c>
      <c r="G748" s="628">
        <v>0.05</v>
      </c>
      <c r="H748" s="534" t="s">
        <v>385</v>
      </c>
      <c r="I748" s="579">
        <v>3</v>
      </c>
      <c r="J748" s="580" t="str">
        <f>IF(I748="","",IF(I748="I",$F740,VLOOKUP(I748,$C761:$D766,2,0)))</f>
        <v>OCTAVIO GUILLERMO BENAVIDES BURBANO</v>
      </c>
      <c r="K748" s="535">
        <v>43073</v>
      </c>
      <c r="L748" s="535">
        <v>43403</v>
      </c>
      <c r="M748" s="536">
        <v>677.56</v>
      </c>
      <c r="N748" s="232">
        <f t="shared" si="145"/>
        <v>33.878</v>
      </c>
      <c r="O748" s="629">
        <f t="shared" si="146"/>
        <v>33.878</v>
      </c>
      <c r="P748" s="781"/>
      <c r="Q748" s="782"/>
      <c r="R748" s="767"/>
      <c r="S748" s="768"/>
      <c r="T748" s="538" t="s">
        <v>385</v>
      </c>
      <c r="U748" s="539">
        <v>38</v>
      </c>
      <c r="V748" s="540" t="s">
        <v>385</v>
      </c>
      <c r="X748" s="541" t="s">
        <v>423</v>
      </c>
      <c r="Y748" s="541" t="s">
        <v>435</v>
      </c>
    </row>
    <row r="749" spans="1:29" s="44" customFormat="1" ht="87" customHeight="1">
      <c r="A749" s="42" t="str">
        <f>"F"&amp;E740</f>
        <v>F25</v>
      </c>
      <c r="B749" s="605">
        <f t="shared" si="147"/>
        <v>6</v>
      </c>
      <c r="C749" s="581" t="s">
        <v>584</v>
      </c>
      <c r="D749" s="581" t="s">
        <v>593</v>
      </c>
      <c r="E749" s="581" t="s">
        <v>594</v>
      </c>
      <c r="F749" s="581" t="s">
        <v>572</v>
      </c>
      <c r="G749" s="534">
        <v>0.35</v>
      </c>
      <c r="H749" s="534" t="s">
        <v>385</v>
      </c>
      <c r="I749" s="579">
        <v>2</v>
      </c>
      <c r="J749" s="580" t="str">
        <f>IF(I749="","",IF(I749="I",$F740,VLOOKUP(I749,$C761:$D766,2,0)))</f>
        <v>INEXPOTRANS SAS</v>
      </c>
      <c r="K749" s="535">
        <v>43073</v>
      </c>
      <c r="L749" s="535">
        <v>43403</v>
      </c>
      <c r="M749" s="536">
        <v>677.56</v>
      </c>
      <c r="N749" s="232">
        <f t="shared" si="145"/>
        <v>237.14599999999996</v>
      </c>
      <c r="O749" s="629">
        <f t="shared" si="146"/>
        <v>237.14599999999999</v>
      </c>
      <c r="P749" s="781"/>
      <c r="Q749" s="782"/>
      <c r="R749" s="767"/>
      <c r="S749" s="768"/>
      <c r="T749" s="538" t="s">
        <v>385</v>
      </c>
      <c r="U749" s="539">
        <v>22</v>
      </c>
      <c r="V749" s="540" t="s">
        <v>385</v>
      </c>
      <c r="X749" s="541" t="s">
        <v>423</v>
      </c>
      <c r="Y749" s="541" t="s">
        <v>435</v>
      </c>
    </row>
    <row r="750" spans="1:29" s="44" customFormat="1" ht="24.95" customHeight="1">
      <c r="A750" s="42" t="str">
        <f>"G"&amp;E740</f>
        <v>G25</v>
      </c>
      <c r="B750" s="605" t="str">
        <f t="shared" si="147"/>
        <v/>
      </c>
      <c r="C750" s="581"/>
      <c r="D750" s="581"/>
      <c r="E750" s="581"/>
      <c r="F750" s="581"/>
      <c r="G750" s="534"/>
      <c r="H750" s="534"/>
      <c r="I750" s="579"/>
      <c r="J750" s="580" t="str">
        <f>IF(I750="","",IF(I750="I",$F740,VLOOKUP(I750,$C761:$D766,2,0)))</f>
        <v/>
      </c>
      <c r="K750" s="535"/>
      <c r="L750" s="535"/>
      <c r="M750" s="536"/>
      <c r="N750" s="43" t="str">
        <f t="shared" si="145"/>
        <v/>
      </c>
      <c r="O750" s="260" t="str">
        <f t="shared" si="146"/>
        <v/>
      </c>
      <c r="P750" s="781"/>
      <c r="Q750" s="782"/>
      <c r="R750" s="767"/>
      <c r="S750" s="768"/>
      <c r="T750" s="538"/>
      <c r="U750" s="539"/>
      <c r="V750" s="540"/>
      <c r="X750" s="541"/>
      <c r="Y750" s="541"/>
    </row>
    <row r="751" spans="1:29" s="44" customFormat="1" ht="24.95" customHeight="1">
      <c r="A751" s="42" t="str">
        <f>"H"&amp;E740</f>
        <v>H25</v>
      </c>
      <c r="B751" s="605" t="str">
        <f t="shared" si="147"/>
        <v/>
      </c>
      <c r="C751" s="581"/>
      <c r="D751" s="581"/>
      <c r="E751" s="581"/>
      <c r="F751" s="581"/>
      <c r="G751" s="534"/>
      <c r="H751" s="534"/>
      <c r="I751" s="579"/>
      <c r="J751" s="580" t="str">
        <f>IF(I751="","",IF(I751="I",$F740,VLOOKUP(I751,$C761:$D766,2,0)))</f>
        <v/>
      </c>
      <c r="K751" s="535"/>
      <c r="L751" s="535"/>
      <c r="M751" s="537"/>
      <c r="N751" s="43" t="str">
        <f t="shared" si="145"/>
        <v/>
      </c>
      <c r="O751" s="260" t="str">
        <f t="shared" si="146"/>
        <v/>
      </c>
      <c r="P751" s="781"/>
      <c r="Q751" s="782"/>
      <c r="R751" s="767"/>
      <c r="S751" s="768"/>
      <c r="T751" s="538"/>
      <c r="U751" s="539"/>
      <c r="V751" s="540"/>
      <c r="X751" s="541"/>
      <c r="Y751" s="541"/>
    </row>
    <row r="752" spans="1:29" s="44" customFormat="1" ht="24.95" customHeight="1">
      <c r="A752" s="42" t="str">
        <f>"I"&amp;E740</f>
        <v>I25</v>
      </c>
      <c r="B752" s="605" t="str">
        <f t="shared" si="147"/>
        <v/>
      </c>
      <c r="C752" s="581"/>
      <c r="D752" s="581"/>
      <c r="E752" s="581"/>
      <c r="F752" s="581"/>
      <c r="G752" s="534"/>
      <c r="H752" s="534"/>
      <c r="I752" s="579"/>
      <c r="J752" s="580" t="str">
        <f>IF(I752="","",IF(I752="I",$F740,VLOOKUP(I752,$C761:$D766,2,0)))</f>
        <v/>
      </c>
      <c r="K752" s="535"/>
      <c r="L752" s="535"/>
      <c r="M752" s="537"/>
      <c r="N752" s="43" t="str">
        <f t="shared" si="145"/>
        <v/>
      </c>
      <c r="O752" s="260" t="str">
        <f t="shared" si="146"/>
        <v/>
      </c>
      <c r="P752" s="781"/>
      <c r="Q752" s="782"/>
      <c r="R752" s="767"/>
      <c r="S752" s="768"/>
      <c r="T752" s="538"/>
      <c r="U752" s="539"/>
      <c r="V752" s="540"/>
      <c r="X752" s="541"/>
      <c r="Y752" s="541"/>
    </row>
    <row r="753" spans="1:29" s="44" customFormat="1" ht="24.95" customHeight="1" thickBot="1">
      <c r="A753" s="42" t="str">
        <f>"J"&amp;E740</f>
        <v>J25</v>
      </c>
      <c r="B753" s="612" t="str">
        <f t="shared" si="147"/>
        <v/>
      </c>
      <c r="C753" s="582"/>
      <c r="D753" s="582"/>
      <c r="E753" s="582"/>
      <c r="F753" s="582"/>
      <c r="G753" s="583"/>
      <c r="H753" s="583"/>
      <c r="I753" s="584"/>
      <c r="J753" s="585" t="str">
        <f>IF(I753="","",IF(I753="I",$F740,VLOOKUP(I753,$C761:$D766,2,0)))</f>
        <v/>
      </c>
      <c r="K753" s="586"/>
      <c r="L753" s="586"/>
      <c r="M753" s="587"/>
      <c r="N753" s="43" t="str">
        <f t="shared" si="145"/>
        <v/>
      </c>
      <c r="O753" s="260" t="str">
        <f t="shared" si="146"/>
        <v/>
      </c>
      <c r="P753" s="781"/>
      <c r="Q753" s="782"/>
      <c r="R753" s="767"/>
      <c r="S753" s="768"/>
      <c r="T753" s="538"/>
      <c r="U753" s="539"/>
      <c r="V753" s="540"/>
      <c r="X753" s="541"/>
      <c r="Y753" s="541"/>
    </row>
    <row r="754" spans="1:29" s="27" customFormat="1" ht="12" customHeight="1" thickBot="1">
      <c r="A754" s="42"/>
      <c r="B754" s="45"/>
      <c r="C754" s="46"/>
      <c r="D754" s="46"/>
      <c r="E754" s="46"/>
      <c r="F754" s="46"/>
      <c r="G754" s="46"/>
      <c r="H754" s="606"/>
      <c r="I754" s="46"/>
      <c r="J754" s="46"/>
      <c r="K754" s="46"/>
      <c r="L754" s="46"/>
      <c r="M754" s="46"/>
      <c r="N754" s="46"/>
      <c r="O754" s="259"/>
      <c r="P754" s="46"/>
      <c r="Q754" s="46"/>
      <c r="R754" s="259"/>
      <c r="S754" s="46"/>
      <c r="T754" s="46"/>
      <c r="U754" s="47"/>
      <c r="V754" s="48"/>
      <c r="X754" s="592"/>
      <c r="Y754" s="593"/>
      <c r="AB754" s="378"/>
    </row>
    <row r="755" spans="1:29" s="27" customFormat="1" ht="17.25" customHeight="1" thickBot="1">
      <c r="A755" s="42" t="str">
        <f>"Z"&amp;E740</f>
        <v>Z25</v>
      </c>
      <c r="B755" s="510"/>
      <c r="C755" s="511"/>
      <c r="D755" s="511"/>
      <c r="E755" s="511"/>
      <c r="F755" s="511"/>
      <c r="G755" s="511"/>
      <c r="H755" s="511"/>
      <c r="I755" s="511"/>
      <c r="J755" s="511"/>
      <c r="K755" s="511"/>
      <c r="L755" s="511"/>
      <c r="M755" s="511"/>
      <c r="N755" s="437" t="s">
        <v>388</v>
      </c>
      <c r="O755" s="438">
        <f>IF(COUNTIF(O744:O753,"")&gt;9,0,SUM(O744:O753)/(COUNTIF(H744:H753,"SI")))</f>
        <v>413.17366666666675</v>
      </c>
      <c r="P755" s="511"/>
      <c r="Q755" s="511"/>
      <c r="R755" s="530"/>
      <c r="S755" s="530"/>
      <c r="T755" s="531"/>
      <c r="U755" s="532"/>
      <c r="V755" s="533"/>
      <c r="W755" s="285"/>
      <c r="X755" s="613" t="e">
        <f>COUNTIF(#REF!,"")-COUNTIF(#REF!,"CUMPLE")-1</f>
        <v>#REF!</v>
      </c>
      <c r="Y755" s="591"/>
      <c r="AB755" s="28"/>
    </row>
    <row r="756" spans="1:29" ht="17.25" customHeight="1">
      <c r="B756" s="50"/>
      <c r="C756" s="50"/>
      <c r="D756" s="50"/>
      <c r="E756" s="50"/>
      <c r="F756" s="50"/>
      <c r="G756" s="51"/>
      <c r="H756" s="51"/>
      <c r="I756" s="51"/>
      <c r="J756" s="51"/>
      <c r="K756" s="51"/>
      <c r="L756" s="51"/>
      <c r="M756" s="51"/>
      <c r="N756" s="51"/>
      <c r="O756" s="51"/>
      <c r="P756" s="51"/>
      <c r="Q756" s="51"/>
      <c r="R756" s="51"/>
      <c r="S756" s="51"/>
      <c r="T756" s="51"/>
      <c r="U756" s="51"/>
      <c r="V756" s="51"/>
      <c r="W756" s="51"/>
      <c r="X756" s="608"/>
      <c r="Y756" s="51"/>
      <c r="Z756" s="51"/>
      <c r="AA756" s="51"/>
      <c r="AB756" s="51"/>
      <c r="AC756" s="50"/>
    </row>
    <row r="757" spans="1:29" s="27" customFormat="1" ht="16.5" customHeight="1" thickBot="1">
      <c r="A757" s="22"/>
      <c r="B757" s="783" t="s">
        <v>389</v>
      </c>
      <c r="C757" s="783"/>
      <c r="D757" s="783"/>
      <c r="E757" s="783"/>
      <c r="F757" s="783"/>
      <c r="G757" s="783"/>
      <c r="H757" s="783"/>
      <c r="I757" s="783"/>
      <c r="J757" s="783"/>
      <c r="K757" s="783"/>
      <c r="L757" s="783"/>
      <c r="M757" s="783"/>
      <c r="N757" s="783"/>
      <c r="O757" s="783"/>
      <c r="P757" s="783"/>
      <c r="Q757" s="783"/>
      <c r="R757" s="783"/>
      <c r="S757" s="783"/>
      <c r="T757" s="783"/>
      <c r="U757" s="783"/>
      <c r="V757" s="783"/>
      <c r="W757" s="286"/>
      <c r="X757" s="607"/>
      <c r="Y757" s="52"/>
      <c r="Z757" s="52"/>
      <c r="AA757" s="52"/>
      <c r="AB757" s="28"/>
      <c r="AC757" s="28"/>
    </row>
    <row r="758" spans="1:29" s="30" customFormat="1" ht="22.5" customHeight="1">
      <c r="A758" s="112" t="str">
        <f>"K"&amp;E740</f>
        <v>K25</v>
      </c>
      <c r="B758" s="790" t="s">
        <v>390</v>
      </c>
      <c r="C758" s="772" t="s">
        <v>391</v>
      </c>
      <c r="D758" s="773"/>
      <c r="E758" s="773"/>
      <c r="F758" s="773"/>
      <c r="G758" s="773"/>
      <c r="H758" s="773"/>
      <c r="I758" s="773"/>
      <c r="J758" s="773"/>
      <c r="K758" s="773"/>
      <c r="L758" s="773"/>
      <c r="M758" s="774"/>
      <c r="N758" s="525"/>
      <c r="O758" s="588"/>
      <c r="P758" s="772" t="s">
        <v>392</v>
      </c>
      <c r="Q758" s="773"/>
      <c r="R758" s="773"/>
      <c r="S758" s="774"/>
      <c r="T758" s="784" t="s">
        <v>393</v>
      </c>
      <c r="U758" s="774"/>
      <c r="V758" s="811"/>
      <c r="W758" s="284"/>
      <c r="X758" s="778" t="s">
        <v>394</v>
      </c>
      <c r="Y758" s="779"/>
      <c r="Z758" s="779"/>
      <c r="AA758" s="779" t="s">
        <v>395</v>
      </c>
      <c r="AB758" s="808" t="s">
        <v>396</v>
      </c>
      <c r="AC758" s="28"/>
    </row>
    <row r="759" spans="1:29" s="30" customFormat="1" ht="22.5" customHeight="1">
      <c r="A759" s="112" t="str">
        <f>"L"&amp;E740</f>
        <v>L25</v>
      </c>
      <c r="B759" s="791"/>
      <c r="C759" s="769" t="s">
        <v>397</v>
      </c>
      <c r="D759" s="770"/>
      <c r="E759" s="771"/>
      <c r="F759" s="512">
        <f>IF(VLOOKUP(E740,PROPONENTES!$C$19:$E$108,3,0)="","",VLOOKUP(E740,PROPONENTES!$C$19:$E$108,3,0))</f>
        <v>3</v>
      </c>
      <c r="G759" s="824" t="s">
        <v>398</v>
      </c>
      <c r="H759" s="793" t="s">
        <v>399</v>
      </c>
      <c r="I759" s="793"/>
      <c r="J759" s="769" t="s">
        <v>400</v>
      </c>
      <c r="K759" s="823"/>
      <c r="L759" s="513" t="s">
        <v>401</v>
      </c>
      <c r="M759" s="513"/>
      <c r="N759" s="526"/>
      <c r="O759" s="527"/>
      <c r="P759" s="775"/>
      <c r="Q759" s="776"/>
      <c r="R759" s="776"/>
      <c r="S759" s="777"/>
      <c r="T759" s="796"/>
      <c r="U759" s="797"/>
      <c r="V759" s="812"/>
      <c r="W759" s="284"/>
      <c r="X759" s="780" t="s">
        <v>402</v>
      </c>
      <c r="Y759" s="810" t="s">
        <v>403</v>
      </c>
      <c r="Z759" s="810"/>
      <c r="AA759" s="810"/>
      <c r="AB759" s="809"/>
      <c r="AC759" s="28"/>
    </row>
    <row r="760" spans="1:29" s="30" customFormat="1" ht="51.75" customHeight="1" thickBot="1">
      <c r="A760" s="112" t="str">
        <f>"M"&amp;E740</f>
        <v>M25</v>
      </c>
      <c r="B760" s="791"/>
      <c r="C760" s="770" t="s">
        <v>404</v>
      </c>
      <c r="D760" s="771"/>
      <c r="E760" s="514" t="s">
        <v>405</v>
      </c>
      <c r="F760" s="515" t="s">
        <v>406</v>
      </c>
      <c r="G760" s="824"/>
      <c r="H760" s="793"/>
      <c r="I760" s="793"/>
      <c r="J760" s="504" t="s">
        <v>407</v>
      </c>
      <c r="K760" s="516" t="s">
        <v>408</v>
      </c>
      <c r="L760" s="517" t="s">
        <v>409</v>
      </c>
      <c r="M760" s="517"/>
      <c r="N760" s="528" t="s">
        <v>410</v>
      </c>
      <c r="O760" s="529"/>
      <c r="P760" s="386"/>
      <c r="Q760" s="387" t="s">
        <v>411</v>
      </c>
      <c r="R760" s="388"/>
      <c r="S760" s="113">
        <f>COUNTIFS(H744:H753,"SI",O744:O753,"&gt;0")</f>
        <v>6</v>
      </c>
      <c r="T760" s="785"/>
      <c r="U760" s="787"/>
      <c r="V760" s="813"/>
      <c r="W760" s="284"/>
      <c r="X760" s="780"/>
      <c r="Y760" s="810"/>
      <c r="Z760" s="810"/>
      <c r="AA760" s="810"/>
      <c r="AB760" s="809"/>
      <c r="AC760" s="28"/>
    </row>
    <row r="761" spans="1:29" s="30" customFormat="1" ht="26.25" customHeight="1">
      <c r="A761" s="112" t="str">
        <f>"N"&amp;E740</f>
        <v>N25</v>
      </c>
      <c r="B761" s="791"/>
      <c r="C761" s="54">
        <v>1</v>
      </c>
      <c r="D761" s="100" t="str">
        <f>IF(AND(C761&lt;=F759,F759&gt;1,F759&lt;&gt;""),VLOOKUP(VALUE(E740&amp;","&amp;C761),INTEGRANTES!$D$19:$F$192,2,0),"")</f>
        <v>CARLOS FERNANDO ANGEL PEREA</v>
      </c>
      <c r="E761" s="107">
        <f>IF(D761&lt;&gt;"",VLOOKUP(VALUE(E740&amp;","&amp;C761),INTEGRANTES!$D$19:$F$192,3,0),"")</f>
        <v>0.35</v>
      </c>
      <c r="F761" s="630">
        <f>IF(D761="","",IF(OR(SUMIF($J744:$J750,D761,$O744:$O750)=0,N761="NO"),"NO APORTA",SUMIF($J744:$J753,D761,$O744:$O753)))</f>
        <v>2008.635</v>
      </c>
      <c r="G761" s="630">
        <f ca="1">IF($D761="","",IF($F759&lt;=1,"",ROUND(POSMMLV*PORPO,2)))</f>
        <v>150</v>
      </c>
      <c r="H761" s="765" t="str">
        <f ca="1">IF($D761="","",IF(OR(F761="NO APORTA",G761&gt;F761),"NO CUMPLE","CUMPLE"))</f>
        <v>CUMPLE</v>
      </c>
      <c r="I761" s="766"/>
      <c r="J761" s="108" t="str">
        <f ca="1">IF(D761="","",IF(OR(AND(SUMIF($J744:$J753,D761,$O744:$O753)&gt;=5%*POSMMLV,N761="SI"),AND(SUMIF($J744:$J753,D761,$O744:$O753)=0,E761&lt;=5%,N761="SI")),"CUMPLE","NO CUMPLE"))</f>
        <v>CUMPLE</v>
      </c>
      <c r="K761" s="105" t="str">
        <f ca="1">IF(OR(D761="",J761=""),"",IF(AND(J761="NO CUMPLE",F761="NO APORTA",E761&gt;5%),"EXP = 0 y PART &gt; 5%",IF(F761&lt;5%*Q766,"EXP &lt; 5%*PO","")))</f>
        <v/>
      </c>
      <c r="L761" s="389" t="str">
        <f>IF(OR(D761="",E761=""),"",IF(AND(E761&gt;=0.25,F761&lt;&gt;"NO APORTA",F761&gt;=$R766*0.25),"SI","NO"))</f>
        <v>SI</v>
      </c>
      <c r="M761" s="389"/>
      <c r="N761" s="468" t="s">
        <v>385</v>
      </c>
      <c r="O761" s="396">
        <f>COUNTIFS(O744:O753,"&gt;0",H744:H753,"SI")</f>
        <v>6</v>
      </c>
      <c r="P761" s="814" t="s">
        <v>139</v>
      </c>
      <c r="Q761" s="814"/>
      <c r="R761" s="817">
        <f>E740</f>
        <v>25</v>
      </c>
      <c r="S761" s="818"/>
      <c r="T761" s="784" t="s">
        <v>412</v>
      </c>
      <c r="U761" s="773"/>
      <c r="V761" s="774"/>
      <c r="W761" s="283"/>
      <c r="X761" s="542" t="str">
        <f>IF($F759=1,"NO APLICA",$D761)</f>
        <v>CARLOS FERNANDO ANGEL PEREA</v>
      </c>
      <c r="Y761" s="543">
        <f ca="1">IF(OR($F761="",$F761="NO APORTA",$R766=0,$X761="NO APLICA"),"",ROUND($F761/$Q766,2))</f>
        <v>6.7</v>
      </c>
      <c r="Z761" s="544" t="str">
        <f ca="1">IF(Y767=1,"SI APLICA",IF(OR($X761="",$X761="NO APLICA",$F761="",$F761="NO APORTA"),"",IF(ROUND($F761/Q766,7)&gt;=0.4,"SI APLICA","NO APLICA")))</f>
        <v>SI APLICA</v>
      </c>
      <c r="AA761" s="543" t="s">
        <v>516</v>
      </c>
      <c r="AB761" s="540" t="str">
        <f ca="1">IF(COUNTIF(Z761:AA761,"SI APLICA")=2,"SI APLICA","")</f>
        <v/>
      </c>
      <c r="AC761" s="28"/>
    </row>
    <row r="762" spans="1:29" s="30" customFormat="1" ht="15.75" customHeight="1" thickBot="1">
      <c r="A762" s="112" t="str">
        <f>"O"&amp;E740</f>
        <v>O25</v>
      </c>
      <c r="B762" s="791"/>
      <c r="C762" s="54">
        <v>2</v>
      </c>
      <c r="D762" s="100" t="str">
        <f>IF(AND(C762&lt;=F759,F759&lt;&gt;""),VLOOKUP(VALUE(E740&amp;","&amp;C762),INTEGRANTES!$D$19:$F$192,2,0),"")</f>
        <v>INEXPOTRANS SAS</v>
      </c>
      <c r="E762" s="107">
        <f>IF(D762&lt;&gt;"",VLOOKUP(VALUE(E740&amp;","&amp;C762),INTEGRANTES!$D$19:$F$192,3,0),"")</f>
        <v>0.6</v>
      </c>
      <c r="F762" s="630">
        <f ca="1">IF(D762="","",IF(OR(SUMIF($J744:$J751,D762,$O744:$O750)=0,N762="NO"),"NO APORTA",SUMIF($J744:$J753,D762,$O744:$O753)))</f>
        <v>237.14599999999999</v>
      </c>
      <c r="G762" s="630">
        <f ca="1">IF($D762="","",IF($F759&lt;=1,"",ROUND(POSMMLV*PORPO,2)))</f>
        <v>150</v>
      </c>
      <c r="H762" s="765" t="str">
        <f t="shared" ref="H762:H765" ca="1" si="148">IF($D762="","",IF(OR(F762="NO APORTA",G762&gt;F762),"NO CUMPLE","CUMPLE"))</f>
        <v>CUMPLE</v>
      </c>
      <c r="I762" s="766"/>
      <c r="J762" s="108" t="str">
        <f ca="1">IF(D762="","",IF(OR(AND(SUMIF($J744:$J753,D762,$O744:$O753)&gt;=5%*POSMMLV,N762="SI"),AND(SUMIF($J744:$J753,D762,$O744:$O753)=0,E762&lt;=5%,N762="SI")),"CUMPLE","NO CUMPLE"))</f>
        <v>CUMPLE</v>
      </c>
      <c r="K762" s="105" t="str">
        <f ca="1">IF(OR(D762="",J762=""),"",IF(AND(J762="NO CUMPLE",F762="NO APORTA",E762&gt;5%),"EXP = 0 y PART &gt; 5%",IF(F762&lt;5%*Q766,"EXP &lt; 5%*PO","")))</f>
        <v/>
      </c>
      <c r="L762" s="389" t="str">
        <f ca="1">IF(OR(D762="",E762=""),"",IF(AND(E762&gt;=0.25,F762&lt;&gt;"NO APORTA",F762&gt;=$R766*0.25),"SI","NO"))</f>
        <v>NO</v>
      </c>
      <c r="M762" s="389"/>
      <c r="N762" s="468" t="s">
        <v>385</v>
      </c>
      <c r="O762" s="396"/>
      <c r="P762" s="815"/>
      <c r="Q762" s="815"/>
      <c r="R762" s="815"/>
      <c r="S762" s="819"/>
      <c r="T762" s="785"/>
      <c r="U762" s="786"/>
      <c r="V762" s="787"/>
      <c r="W762" s="283"/>
      <c r="X762" s="542" t="str">
        <f>IF($F759=1,"NO APLICA",$D762)</f>
        <v>INEXPOTRANS SAS</v>
      </c>
      <c r="Y762" s="543">
        <f ca="1">IF(OR($F762="",$F762="NO APORTA",$R766=0,$X762="NO APLICA"),"",ROUND($F762/$Q766,2))</f>
        <v>0.79</v>
      </c>
      <c r="Z762" s="544" t="str">
        <f ca="1">IF(Y767=1,"SI APLICA",IF(OR($X762="",$X762="NO APLICA",$F762="",$F762="NO APORTA"),"",IF(ROUND($F762/Q766,7)&gt;=0.4,"SI APLICA","NO APLICA")))</f>
        <v>SI APLICA</v>
      </c>
      <c r="AA762" s="543" t="s">
        <v>413</v>
      </c>
      <c r="AB762" s="540" t="str">
        <f t="shared" ref="AB762" ca="1" si="149">IF(COUNTIF(Z762:AA762,"SI APLICA")=2,"SI APLICA","")</f>
        <v>SI APLICA</v>
      </c>
      <c r="AC762" s="28"/>
    </row>
    <row r="763" spans="1:29" s="30" customFormat="1" ht="25.5" customHeight="1">
      <c r="A763" s="112" t="str">
        <f>"P"&amp;E740</f>
        <v>P25</v>
      </c>
      <c r="B763" s="791"/>
      <c r="C763" s="54">
        <v>3</v>
      </c>
      <c r="D763" s="100" t="str">
        <f>IF(AND(C763&lt;=F759,F759&lt;&gt;""),VLOOKUP(VALUE(E740&amp;","&amp;C763),INTEGRANTES!$D$19:$F$192,2,0),"")</f>
        <v>OCTAVIO GUILLERMO BENAVIDES BURBANO</v>
      </c>
      <c r="E763" s="107">
        <f>IF(D763&lt;&gt;"",VLOOKUP(VALUE(E740&amp;","&amp;C763),INTEGRANTES!$D$19:$F$192,3,0),"")</f>
        <v>0.05</v>
      </c>
      <c r="F763" s="630">
        <f>IF(D763="","",IF(OR(SUMIF($J744:$J750,D763,$O744:$O750)=0,N763="NO"),"NO APORTA",SUMIF($J744:$J753,D763,$O744:$O753)))</f>
        <v>233.26099999999997</v>
      </c>
      <c r="G763" s="630">
        <f ca="1">IF($D763="","",IF($F759&lt;=1,"",ROUND(POSMMLV*PORPO,2)))</f>
        <v>150</v>
      </c>
      <c r="H763" s="765" t="str">
        <f t="shared" ca="1" si="148"/>
        <v>CUMPLE</v>
      </c>
      <c r="I763" s="766"/>
      <c r="J763" s="108" t="str">
        <f ca="1">IF(D763="","",IF(OR(AND(SUMIF($J744:$J753,D763,$O744:$O753)&gt;=5%*POSMMLV,N763="SI"),AND(SUMIF($J744:$J753,D763,$O744:$O753)=0,E763&lt;=5%,N763="SI")),"CUMPLE","NO CUMPLE"))</f>
        <v>CUMPLE</v>
      </c>
      <c r="K763" s="105" t="str">
        <f ca="1">IF(OR(D763="",J763=""),"",IF(AND(J763="NO CUMPLE",F763="NO APORTA",E763&gt;5%),"EXP = 0 y PART &gt; 5%",IF(F763&lt;5%*Q766,"EXP &lt; 5%*PO","")))</f>
        <v/>
      </c>
      <c r="L763" s="389" t="str">
        <f>IF(OR(D763="",E763=""),"",IF(AND(E763&gt;=0.25,F763&lt;&gt;"NO APORTA",F763&gt;=$R766*0.25),"SI","NO"))</f>
        <v>NO</v>
      </c>
      <c r="M763" s="389"/>
      <c r="N763" s="468" t="s">
        <v>385</v>
      </c>
      <c r="O763" s="397"/>
      <c r="P763" s="816"/>
      <c r="Q763" s="816"/>
      <c r="R763" s="816"/>
      <c r="S763" s="820"/>
      <c r="T763" s="308"/>
      <c r="U763" s="308"/>
      <c r="V763" s="309"/>
      <c r="W763" s="284"/>
      <c r="X763" s="542" t="str">
        <f>IF($F759=1,"NO APLICA",$D763)</f>
        <v>OCTAVIO GUILLERMO BENAVIDES BURBANO</v>
      </c>
      <c r="Y763" s="543">
        <f ca="1">IF(OR($F763="",$F763="NO APORTA",$R766=0,$X763="NO APLICA"),"",ROUND($F763/$Q766,2))</f>
        <v>0.78</v>
      </c>
      <c r="Z763" s="544" t="str">
        <f ca="1">IF(Y767=1,"SI APLICA",IF(OR($X763="",$X763="NO APLICA",$F763="",$F763="NO APORTA"),"",IF(ROUND($F763/Q766,7)&gt;=0.4,"SI APLICA","NO APLICA")))</f>
        <v>SI APLICA</v>
      </c>
      <c r="AA763" s="543" t="s">
        <v>516</v>
      </c>
      <c r="AB763" s="540" t="str">
        <f ca="1">IF(COUNTIF(Z763:AA763,"SI APLICA")=2,"SI APLICA","")</f>
        <v/>
      </c>
      <c r="AC763" s="28"/>
    </row>
    <row r="764" spans="1:29" s="30" customFormat="1" ht="15.75" customHeight="1">
      <c r="A764" s="112" t="str">
        <f>"Q"&amp;E740</f>
        <v>Q25</v>
      </c>
      <c r="B764" s="791"/>
      <c r="C764" s="54">
        <v>4</v>
      </c>
      <c r="D764" s="100" t="str">
        <f>IF(AND(C764&lt;=F759,F759&lt;&gt;""),VLOOKUP(VALUE(E740&amp;","&amp;C764),INTEGRANTES!$D$19:$F$192,2,0),"")</f>
        <v/>
      </c>
      <c r="E764" s="107" t="str">
        <f>IF(D764&lt;&gt;"",VLOOKUP(VALUE(E740&amp;","&amp;C764),INTEGRANTES!$D$19:$F$192,3,0),"")</f>
        <v/>
      </c>
      <c r="F764" s="380" t="str">
        <f>IF(D764="","",IF(OR(SUMIF($J747:$J753,D764,$O747:$O753)=0,N764="NO"),"NO APORTA",SUMIF($J747:$J753,D764,$O747:$O753)))</f>
        <v/>
      </c>
      <c r="G764" s="380" t="str">
        <f>IF($D764="","",IF($F759&lt;=1,"",ROUND(POSMMLV*PORPO,2)))</f>
        <v/>
      </c>
      <c r="H764" s="765" t="str">
        <f t="shared" si="148"/>
        <v/>
      </c>
      <c r="I764" s="766"/>
      <c r="J764" s="108" t="str">
        <f>IF(D764="","",IF(OR(AND(SUMIF($J744:$J753,D764,$O744:$O753)&gt;=5%*POSMMLV,N764="SI"),AND(SUMIF($J744:$J753,D764,$O744:$O753)=0,E764&lt;=5%,N764="SI")),"CUMPLE","NO CUMPLE"))</f>
        <v/>
      </c>
      <c r="K764" s="105" t="str">
        <f>IF(OR(D764="",J764=""),"",IF(AND(J764="NO CUMPLE",F764="NO APORTA",E764&gt;5%),"EXP = 0 y PART &gt; 5%",IF(F764&lt;5%*Q766,"EXP &lt; 5%*PO","")))</f>
        <v/>
      </c>
      <c r="L764" s="389" t="str">
        <f>IF(OR(D764="",E764=""),"",IF(AND(E764&gt;=0.25,F764&lt;&gt;"NO APORTA",F764&gt;=$R766*0.25),"SI","NO"))</f>
        <v/>
      </c>
      <c r="M764" s="389"/>
      <c r="N764" s="468"/>
      <c r="O764" s="788" t="s">
        <v>414</v>
      </c>
      <c r="P764" s="769" t="s">
        <v>415</v>
      </c>
      <c r="Q764" s="770"/>
      <c r="R764" s="770"/>
      <c r="S764" s="771"/>
      <c r="T764" s="284"/>
      <c r="U764" s="284"/>
      <c r="V764" s="310"/>
      <c r="W764" s="284"/>
      <c r="X764" s="542" t="str">
        <f>IF($F759=1,"NO APLICA",$D764)</f>
        <v/>
      </c>
      <c r="Y764" s="543" t="str">
        <f>IF(OR($F764="",$F764="NO APORTA",$R766=0,$X764="NO APLICA"),"",ROUND($F764/$Q766,2))</f>
        <v/>
      </c>
      <c r="Z764" s="544" t="str">
        <f>IF(Y767=1,"SI APLICA",IF(OR($X764="",$X764="NO APLICA",$F764="",$F764="NO APORTA"),"",IF(ROUND($F764/Q766,7)&gt;=0.4,"SI APLICA","NO APLICA")))</f>
        <v/>
      </c>
      <c r="AA764" s="543"/>
      <c r="AB764" s="540" t="str">
        <f t="shared" ref="AB764:AB765" si="150">IF(COUNTIF(Z764:AA764,"SI APLICA")=2,"SI APLICA","")</f>
        <v/>
      </c>
      <c r="AC764" s="28"/>
    </row>
    <row r="765" spans="1:29" s="30" customFormat="1" ht="17.25" customHeight="1">
      <c r="A765" s="112" t="str">
        <f>"R"&amp;E740</f>
        <v>R25</v>
      </c>
      <c r="B765" s="791"/>
      <c r="C765" s="54">
        <v>5</v>
      </c>
      <c r="D765" s="100" t="str">
        <f>IF(AND(C765&lt;=F759,F759&lt;&gt;""),VLOOKUP(VALUE(E740&amp;","&amp;C765),INTEGRANTES!$D$19:$F$192,2,0),"")</f>
        <v/>
      </c>
      <c r="E765" s="107" t="str">
        <f>IF(D765&lt;&gt;"",VLOOKUP(VALUE(E740&amp;","&amp;C765),INTEGRANTES!$D$19:$F$192,3,0),"")</f>
        <v/>
      </c>
      <c r="F765" s="380" t="str">
        <f>IF(D765="","",IF(OR(SUMIF($J747:$J753,D765,$O747:$O753)=0,N765="NO"),"NO APORTA",SUMIF($J747:$J753,D765,$O747:$O753)))</f>
        <v/>
      </c>
      <c r="G765" s="380" t="str">
        <f>IF($D765="","",IF($F759&lt;=1,"",ROUND(POSMMLV*PORPO,2)))</f>
        <v/>
      </c>
      <c r="H765" s="765" t="str">
        <f t="shared" si="148"/>
        <v/>
      </c>
      <c r="I765" s="766"/>
      <c r="J765" s="108" t="str">
        <f>IF(D765="","",IF(OR(AND(SUMIF($J744:$J753,D765,$O744:$O753)&gt;=5%*POSMMLV,N765="SI"),AND(SUMIF($J744:$J753,D765,$O744:$O753)=0,E765&lt;=5%,N765="SI")),"CUMPLE","NO CUMPLE"))</f>
        <v/>
      </c>
      <c r="K765" s="105" t="str">
        <f>IF(OR(D765="",J765=""),"",IF(AND(J765="NO CUMPLE",F765="NO APORTA",E765&gt;5%),"EXP = 0 y PART &gt; 5%",IF(F765&lt;5%*Q766,"EXP &lt; 5%*PO","")))</f>
        <v/>
      </c>
      <c r="L765" s="389" t="str">
        <f>IF(OR(D765="",E765=""),"",IF(AND(E765&gt;=0.25,F765&lt;&gt;"NO APORTA",F765&gt;=$R766*0.25),"SI","NO"))</f>
        <v/>
      </c>
      <c r="M765" s="389"/>
      <c r="N765" s="468"/>
      <c r="O765" s="789"/>
      <c r="P765" s="504" t="s">
        <v>416</v>
      </c>
      <c r="Q765" s="504" t="s">
        <v>417</v>
      </c>
      <c r="R765" s="793" t="s">
        <v>418</v>
      </c>
      <c r="S765" s="793"/>
      <c r="T765" s="284"/>
      <c r="U765" s="284"/>
      <c r="V765" s="310"/>
      <c r="W765" s="284"/>
      <c r="X765" s="542" t="str">
        <f>IF($F759=1,"NO APLICA",$D765)</f>
        <v/>
      </c>
      <c r="Y765" s="543" t="str">
        <f>IF(OR($F765="",$F765="NO APORTA",$R766=0,$X765="NO APLICA"),"",ROUND($F765/$Q766,2))</f>
        <v/>
      </c>
      <c r="Z765" s="544" t="str">
        <f>IF(Y767=1,"SI APLICA",IF(OR($X765="",$X765="NO APLICA",$F765="",$F765="NO APORTA"),"",IF(ROUND($F765/Q766,7)&gt;=0.4,"SI APLICA","NO APLICA")))</f>
        <v/>
      </c>
      <c r="AA765" s="543"/>
      <c r="AB765" s="540" t="str">
        <f t="shared" si="150"/>
        <v/>
      </c>
      <c r="AC765" s="28"/>
    </row>
    <row r="766" spans="1:29" s="30" customFormat="1" ht="16.5" customHeight="1" thickBot="1">
      <c r="A766" s="112" t="str">
        <f>"S"&amp;E740</f>
        <v>S25</v>
      </c>
      <c r="B766" s="791"/>
      <c r="C766" s="109">
        <v>6</v>
      </c>
      <c r="D766" s="110" t="str">
        <f>IF(AND(C766&lt;=F759,F759&lt;&gt;""),VLOOKUP(VALUE(E740&amp;","&amp;C766),INTEGRANTES!$D$19:$F$192,2,0),"")</f>
        <v/>
      </c>
      <c r="E766" s="111" t="str">
        <f>IF(D766&lt;&gt;"",VLOOKUP(VALUE(E740&amp;","&amp;C766),INTEGRANTES!$D$19:$F$192,3,0),"")</f>
        <v/>
      </c>
      <c r="F766" s="380" t="str">
        <f>IF(D766="","",IF(OR(SUMIF($J747:$J753,D766,$O747:$O753)=0,N766="NO"),"NO APORTA",SUMIF($J747:$J753,D766,$O747:$O753)))</f>
        <v/>
      </c>
      <c r="G766" s="380" t="str">
        <f>IF($D766="","",IF($F759&lt;=1,"",ROUND(POSMMLV*PORPO,2)))</f>
        <v/>
      </c>
      <c r="H766" s="765" t="str">
        <f>IF($D766="","",IF(OR(F766="NO APORTA",G766&gt;F766),"NO CUMPLE","CUMPLE"))</f>
        <v/>
      </c>
      <c r="I766" s="766"/>
      <c r="J766" s="108" t="str">
        <f>IF(D766="","",IF(OR(AND(SUMIF($J744:$J753,D766,$O744:$O753)&gt;=5%*POSMMLV,N766="SI"),AND(SUMIF($J744:$J753,D766,$O744:$O753)=0,E766&lt;=5%,N766="SI")),"CUMPLE","NO CUMPLE"))</f>
        <v/>
      </c>
      <c r="K766" s="105" t="str">
        <f>IF(OR(D766="",J766=""),"",IF(AND(J766="NO CUMPLE",F766="NO APORTA",E766&gt;5%),"EXP = 0 y PART &gt; 5%",IF(F766&lt;5%*Q766,"EXP &lt; 5%*PO","")))</f>
        <v/>
      </c>
      <c r="L766" s="389" t="str">
        <f>IF(OR(D766="",E766=""),"",IF(AND(E766&gt;=0.25,F766&lt;&gt;"NO APORTA",F766&gt;=$R766*0.25),"SI","NO"))</f>
        <v/>
      </c>
      <c r="M766" s="389"/>
      <c r="N766" s="468"/>
      <c r="O766" s="403" t="str">
        <f ca="1">IF(R766&gt;=Q766,"CUMPLE","NO CUMPLE")</f>
        <v>CUMPLE</v>
      </c>
      <c r="P766" s="312">
        <f>NUMMOD</f>
        <v>1</v>
      </c>
      <c r="Q766" s="313">
        <f ca="1">IF(P766="","",ROUND(VLOOKUP(P766,PRESUPUESTOS!$B$16:$L$16,9,FALSE),7))</f>
        <v>300</v>
      </c>
      <c r="R766" s="834">
        <f>IF(OR(COUNTIF(O744:O753,"")&gt;9,S760&lt;NUMMINCONT),0,SUM(O744:O753))</f>
        <v>2479.0420000000004</v>
      </c>
      <c r="S766" s="834"/>
      <c r="T766" s="284"/>
      <c r="U766" s="284"/>
      <c r="V766" s="310"/>
      <c r="W766" s="284"/>
      <c r="X766" s="545" t="str">
        <f>IF($F759=1,"NO APLICA",$D766)</f>
        <v/>
      </c>
      <c r="Y766" s="543" t="str">
        <f>IF(OR($F766="",$F766="NO APORTA",$R766=0,$X766="NO APLICA"),"",ROUND($F766/$Q766,2))</f>
        <v/>
      </c>
      <c r="Z766" s="544" t="str">
        <f>IF(Y767=1,"SI APLICA",IF(OR($X766="",$X766="NO APLICA",$F766="",$F766="NO APORTA"),"",IF(ROUND($F766/Q766,7)&gt;=0.4,"SI APLICA","NO APLICA")))</f>
        <v/>
      </c>
      <c r="AA766" s="546"/>
      <c r="AB766" s="540" t="str">
        <f>IF(COUNTIF(Z766:AA766,"SI APLICA")=2,"SI APLICA","")</f>
        <v/>
      </c>
      <c r="AC766" s="28"/>
    </row>
    <row r="767" spans="1:29" s="30" customFormat="1" ht="16.5" customHeight="1" thickBot="1">
      <c r="A767" s="112" t="str">
        <f>"T"&amp;E740</f>
        <v>T25</v>
      </c>
      <c r="B767" s="792"/>
      <c r="C767" s="821" t="s">
        <v>419</v>
      </c>
      <c r="D767" s="822"/>
      <c r="E767" s="822"/>
      <c r="F767" s="518"/>
      <c r="G767" s="519"/>
      <c r="H767" s="794" t="str">
        <f ca="1">IF(OR($F759="",SUM(E761:E766)=0),"",IF(COUNTIF(H761:H766,"CUMPLE")&gt;=1,"CUMPLE","NO CUMPLE"))</f>
        <v>CUMPLE</v>
      </c>
      <c r="I767" s="795"/>
      <c r="J767" s="314" t="str">
        <f ca="1">IF(COUNTIF(J761:J766,"")&gt;5,"",IF(COUNTIF(J761:J766,"NO CUMPLE")&gt;0,"NO CUMPLE","CUMPLE"))</f>
        <v>CUMPLE</v>
      </c>
      <c r="K767" s="314" t="str">
        <f ca="1">IF(OR(AND(F759=1,N761="SI"),AND(COUNTIF(H767:J767,"CUMPLE")=2)),"CUMPLE","NO CUMPLE")</f>
        <v>CUMPLE</v>
      </c>
      <c r="L767" s="519"/>
      <c r="M767" s="519"/>
      <c r="N767" s="519"/>
      <c r="O767" s="833" t="str">
        <f ca="1">IF(ISNUMBER(F740),"",IF(AND(O766="NO CUMPLE",SUM(N747:N753)&lt;Q766),"EL PROPONENTE SE DEBE REQUERIR POR EXPERIENCIA MINIMA EXIGIDA",""))</f>
        <v/>
      </c>
      <c r="P767" s="833"/>
      <c r="Q767" s="833"/>
      <c r="R767" s="833"/>
      <c r="S767" s="833"/>
      <c r="T767" s="522"/>
      <c r="U767" s="523"/>
      <c r="V767" s="524"/>
      <c r="W767" s="284"/>
      <c r="X767" s="364" t="str">
        <f>IF(Y767=1,"PROPONENTE INDIVIDUAL","PROPONENTE PLURAL")</f>
        <v>PROPONENTE PLURAL</v>
      </c>
      <c r="Y767" s="276">
        <f>F759</f>
        <v>3</v>
      </c>
      <c r="Z767" s="277" t="str">
        <f ca="1">IF(OR(AND(Z761="SI APLICA",AA761="SI APLICA"),AND(Z762="SI APLICA",AA762="SI APLICA"),AND(Z763="SI APLICA",AA763="SI APLICA"),AND(Z764="SI APLICA",AA764="SI APLICA"),AND(Z765="SI APLICA",AA765="SI APLICA"),AND(Z766="SI APLICA",AA766="SI APLICA")),"SI APLICA","NO APLICA")</f>
        <v>SI APLICA</v>
      </c>
      <c r="AA767" s="278" t="str">
        <f ca="1">IF(OR(AND(AA761="SI APLICA",AB761="SI APLICA"),AND(AA762="SI APLICA",AB762="SI APLICA"),AND(AA763="SI APLICA",AB763="SI APLICA"),AND(AA764="SI APLICA",AB764="SI APLICA"),AND(AA765="SI APLICA",AB765="SI APLICA"),AND(AA766="SI APLICA",AB766="SI APLICA")),"SI APLICA","NO APLICA")</f>
        <v>SI APLICA</v>
      </c>
      <c r="AB767" s="278" t="str">
        <f ca="1">IF(COUNTIF(AB761:AB766,"SI APLICA")&gt;0,"SI APLICA","NO APLICA")</f>
        <v>SI APLICA</v>
      </c>
      <c r="AC767" s="28"/>
    </row>
    <row r="768" spans="1:29" ht="24.95" customHeight="1"/>
    <row r="769" spans="1:29" ht="24.95" customHeight="1"/>
    <row r="770" spans="1:29" s="41" customFormat="1" ht="24" thickBot="1">
      <c r="A770" s="34">
        <v>26</v>
      </c>
      <c r="B770" s="828" t="s">
        <v>355</v>
      </c>
      <c r="C770" s="828"/>
      <c r="D770" s="828"/>
      <c r="E770" s="35">
        <f>VLOOKUP(A770,PROPONENTES!$B$19:$E$108,2,FALSE)</f>
        <v>26</v>
      </c>
      <c r="F770" s="36" t="str">
        <f>VLOOKUP(A770,PROPONENTES!$B$19:$E$108,3,FALSE)</f>
        <v>INGENIEROS CONSTRUCTORES Y ASESORES SAS</v>
      </c>
      <c r="G770" s="37"/>
      <c r="H770" s="37"/>
      <c r="I770" s="36"/>
      <c r="J770" s="36"/>
      <c r="K770" s="36"/>
      <c r="L770" s="36"/>
      <c r="M770" s="38"/>
      <c r="N770" s="38"/>
      <c r="O770" s="37"/>
      <c r="P770" s="37"/>
      <c r="Q770" s="39"/>
      <c r="R770" s="39"/>
      <c r="S770" s="39"/>
      <c r="T770" s="39"/>
      <c r="U770" s="40"/>
      <c r="Y770" s="52"/>
      <c r="Z770" s="52"/>
      <c r="AA770" s="52"/>
      <c r="AB770" s="28"/>
      <c r="AC770" s="28"/>
    </row>
    <row r="771" spans="1:29" s="27" customFormat="1" ht="24.75" customHeight="1">
      <c r="A771" s="22"/>
      <c r="B771" s="829" t="s">
        <v>356</v>
      </c>
      <c r="C771" s="501" t="s">
        <v>357</v>
      </c>
      <c r="D771" s="502" t="s">
        <v>358</v>
      </c>
      <c r="E771" s="502"/>
      <c r="F771" s="502" t="s">
        <v>359</v>
      </c>
      <c r="G771" s="503"/>
      <c r="H771" s="803" t="s">
        <v>360</v>
      </c>
      <c r="I771" s="831" t="s">
        <v>361</v>
      </c>
      <c r="J771" s="803" t="s">
        <v>362</v>
      </c>
      <c r="K771" s="803" t="s">
        <v>363</v>
      </c>
      <c r="L771" s="803" t="s">
        <v>364</v>
      </c>
      <c r="M771" s="803" t="s">
        <v>365</v>
      </c>
      <c r="N771" s="804" t="s">
        <v>366</v>
      </c>
      <c r="O771" s="805"/>
      <c r="P771" s="806" t="s">
        <v>367</v>
      </c>
      <c r="Q771" s="807"/>
      <c r="R771" s="784" t="s">
        <v>368</v>
      </c>
      <c r="S771" s="774"/>
      <c r="T771" s="798" t="s">
        <v>369</v>
      </c>
      <c r="U771" s="799"/>
      <c r="V771" s="800"/>
      <c r="X771" s="520"/>
      <c r="Y771" s="520"/>
    </row>
    <row r="772" spans="1:29" s="27" customFormat="1" ht="94.5" customHeight="1">
      <c r="A772" s="22"/>
      <c r="B772" s="830"/>
      <c r="C772" s="504" t="s">
        <v>370</v>
      </c>
      <c r="D772" s="505" t="s">
        <v>41</v>
      </c>
      <c r="E772" s="505" t="s">
        <v>371</v>
      </c>
      <c r="F772" s="505" t="s">
        <v>372</v>
      </c>
      <c r="G772" s="506" t="s">
        <v>373</v>
      </c>
      <c r="H772" s="793"/>
      <c r="I772" s="832"/>
      <c r="J772" s="793"/>
      <c r="K772" s="793"/>
      <c r="L772" s="793"/>
      <c r="M772" s="793"/>
      <c r="N772" s="504" t="s">
        <v>374</v>
      </c>
      <c r="O772" s="505" t="s">
        <v>375</v>
      </c>
      <c r="P772" s="801"/>
      <c r="Q772" s="802"/>
      <c r="R772" s="796"/>
      <c r="S772" s="797"/>
      <c r="T772" s="507" t="s">
        <v>376</v>
      </c>
      <c r="U772" s="508" t="s">
        <v>377</v>
      </c>
      <c r="V772" s="509" t="s">
        <v>378</v>
      </c>
      <c r="X772" s="521" t="s">
        <v>379</v>
      </c>
      <c r="Y772" s="521" t="s">
        <v>380</v>
      </c>
    </row>
    <row r="773" spans="1:29" s="27" customFormat="1" ht="15" customHeight="1">
      <c r="A773" s="22"/>
      <c r="B773" s="594"/>
      <c r="C773" s="595">
        <v>3</v>
      </c>
      <c r="D773" s="595">
        <v>4</v>
      </c>
      <c r="E773" s="595">
        <v>5</v>
      </c>
      <c r="F773" s="595">
        <v>6</v>
      </c>
      <c r="G773" s="595">
        <v>7</v>
      </c>
      <c r="H773" s="595">
        <v>8</v>
      </c>
      <c r="I773" s="595">
        <v>9</v>
      </c>
      <c r="J773" s="595">
        <v>10</v>
      </c>
      <c r="K773" s="595">
        <v>11</v>
      </c>
      <c r="L773" s="595">
        <v>12</v>
      </c>
      <c r="M773" s="595">
        <v>13</v>
      </c>
      <c r="N773" s="595">
        <v>14</v>
      </c>
      <c r="O773" s="595">
        <v>15</v>
      </c>
      <c r="P773" s="596">
        <v>16</v>
      </c>
      <c r="Q773" s="597">
        <v>17</v>
      </c>
      <c r="R773" s="596">
        <v>18</v>
      </c>
      <c r="S773" s="597">
        <v>19</v>
      </c>
      <c r="T773" s="598">
        <v>20</v>
      </c>
      <c r="U773" s="255">
        <v>21</v>
      </c>
      <c r="V773" s="599">
        <v>22</v>
      </c>
      <c r="X773" s="589"/>
      <c r="Y773" s="590"/>
    </row>
    <row r="774" spans="1:29" s="44" customFormat="1" ht="49.5" customHeight="1">
      <c r="A774" s="42" t="str">
        <f>"A"&amp;E770</f>
        <v>A26</v>
      </c>
      <c r="B774" s="605">
        <v>1</v>
      </c>
      <c r="C774" s="581" t="s">
        <v>595</v>
      </c>
      <c r="D774" s="581" t="s">
        <v>596</v>
      </c>
      <c r="E774" s="581" t="s">
        <v>597</v>
      </c>
      <c r="F774" s="581" t="s">
        <v>580</v>
      </c>
      <c r="G774" s="534">
        <v>1</v>
      </c>
      <c r="H774" s="534" t="s">
        <v>385</v>
      </c>
      <c r="I774" s="579" t="s">
        <v>384</v>
      </c>
      <c r="J774" s="580" t="str">
        <f>IF(I774="","",IF(I774="I",$F770,VLOOKUP(I774,$C791:$D796,2,0)))</f>
        <v>INGENIEROS CONSTRUCTORES Y ASESORES SAS</v>
      </c>
      <c r="K774" s="535">
        <v>44130</v>
      </c>
      <c r="L774" s="535">
        <v>44649</v>
      </c>
      <c r="M774" s="536">
        <v>435.76</v>
      </c>
      <c r="N774" s="232">
        <f t="shared" ref="N774:N783" si="151">IF(OR(G774="",M774=""),"",M774*G774)</f>
        <v>435.76</v>
      </c>
      <c r="O774" s="629">
        <f t="shared" ref="O774:O783" si="152">IF(OR(H774="",H774="NO",K774&lt;$Q$17,K774&gt;$R$17,K774="",M774="",N774=""),"",ROUND(N774,7))</f>
        <v>435.76</v>
      </c>
      <c r="P774" s="781"/>
      <c r="Q774" s="782"/>
      <c r="R774" s="767"/>
      <c r="S774" s="768"/>
      <c r="T774" s="538" t="s">
        <v>385</v>
      </c>
      <c r="U774" s="539">
        <v>73</v>
      </c>
      <c r="V774" s="540" t="s">
        <v>385</v>
      </c>
      <c r="X774" s="541" t="s">
        <v>449</v>
      </c>
      <c r="Y774" s="541" t="s">
        <v>387</v>
      </c>
    </row>
    <row r="775" spans="1:29" s="44" customFormat="1" ht="24.95" customHeight="1">
      <c r="A775" s="42" t="str">
        <f>"B"&amp;E770</f>
        <v>B26</v>
      </c>
      <c r="B775" s="605" t="str">
        <f t="shared" ref="B775:B783" si="153">IF(C775&lt;&gt;"",B774+1,"")</f>
        <v/>
      </c>
      <c r="C775" s="581"/>
      <c r="D775" s="581"/>
      <c r="E775" s="581"/>
      <c r="F775" s="581"/>
      <c r="G775" s="534"/>
      <c r="H775" s="534"/>
      <c r="I775" s="579"/>
      <c r="J775" s="580" t="str">
        <f>IF(I775="","",IF(I775="I",$F770,VLOOKUP(I775,$C791:$D796,2,0)))</f>
        <v/>
      </c>
      <c r="K775" s="535"/>
      <c r="L775" s="535"/>
      <c r="M775" s="536"/>
      <c r="N775" s="232" t="str">
        <f t="shared" si="151"/>
        <v/>
      </c>
      <c r="O775" s="260" t="str">
        <f t="shared" si="152"/>
        <v/>
      </c>
      <c r="P775" s="781"/>
      <c r="Q775" s="782"/>
      <c r="R775" s="767"/>
      <c r="S775" s="768"/>
      <c r="T775" s="538"/>
      <c r="U775" s="539"/>
      <c r="V775" s="540"/>
      <c r="X775" s="541"/>
      <c r="Y775" s="541"/>
    </row>
    <row r="776" spans="1:29" s="44" customFormat="1" ht="24.95" customHeight="1">
      <c r="A776" s="42" t="str">
        <f>"C"&amp;E770</f>
        <v>C26</v>
      </c>
      <c r="B776" s="605" t="str">
        <f t="shared" si="153"/>
        <v/>
      </c>
      <c r="C776" s="581"/>
      <c r="D776" s="581"/>
      <c r="E776" s="581"/>
      <c r="F776" s="581"/>
      <c r="G776" s="534"/>
      <c r="H776" s="534"/>
      <c r="I776" s="579"/>
      <c r="J776" s="580" t="str">
        <f>IF(I776="","",IF(I776="I",$F770,VLOOKUP(I776,$C791:$D796,2,0)))</f>
        <v/>
      </c>
      <c r="K776" s="535"/>
      <c r="L776" s="535"/>
      <c r="M776" s="536"/>
      <c r="N776" s="232" t="str">
        <f t="shared" si="151"/>
        <v/>
      </c>
      <c r="O776" s="260" t="str">
        <f t="shared" si="152"/>
        <v/>
      </c>
      <c r="P776" s="781"/>
      <c r="Q776" s="782"/>
      <c r="R776" s="767"/>
      <c r="S776" s="768"/>
      <c r="T776" s="538"/>
      <c r="U776" s="539"/>
      <c r="V776" s="540"/>
      <c r="X776" s="541"/>
      <c r="Y776" s="541"/>
    </row>
    <row r="777" spans="1:29" s="44" customFormat="1" ht="24.95" customHeight="1">
      <c r="A777" s="42" t="str">
        <f>"D"&amp;E770</f>
        <v>D26</v>
      </c>
      <c r="B777" s="605" t="str">
        <f t="shared" si="153"/>
        <v/>
      </c>
      <c r="C777" s="581"/>
      <c r="D777" s="581"/>
      <c r="E777" s="581"/>
      <c r="F777" s="581"/>
      <c r="G777" s="534"/>
      <c r="H777" s="534"/>
      <c r="I777" s="579"/>
      <c r="J777" s="580" t="str">
        <f>IF(I777="","",IF(I777="I",$F770,VLOOKUP(I777,$C791:$D796,2,0)))</f>
        <v/>
      </c>
      <c r="K777" s="535"/>
      <c r="L777" s="535"/>
      <c r="M777" s="536"/>
      <c r="N777" s="232" t="str">
        <f t="shared" si="151"/>
        <v/>
      </c>
      <c r="O777" s="260" t="str">
        <f t="shared" si="152"/>
        <v/>
      </c>
      <c r="P777" s="781"/>
      <c r="Q777" s="782"/>
      <c r="R777" s="767"/>
      <c r="S777" s="768"/>
      <c r="T777" s="538"/>
      <c r="U777" s="539"/>
      <c r="V777" s="540"/>
      <c r="X777" s="541"/>
      <c r="Y777" s="541"/>
    </row>
    <row r="778" spans="1:29" s="44" customFormat="1" ht="24.95" customHeight="1">
      <c r="A778" s="42" t="str">
        <f>"E"&amp;E770</f>
        <v>E26</v>
      </c>
      <c r="B778" s="605" t="str">
        <f t="shared" si="153"/>
        <v/>
      </c>
      <c r="C778" s="581"/>
      <c r="D778" s="581"/>
      <c r="E778" s="581"/>
      <c r="F778" s="581"/>
      <c r="G778" s="534"/>
      <c r="H778" s="534"/>
      <c r="I778" s="579"/>
      <c r="J778" s="580" t="str">
        <f>IF(I778="","",IF(I778="I",$F770,VLOOKUP(I778,$C791:$D796,2,0)))</f>
        <v/>
      </c>
      <c r="K778" s="535"/>
      <c r="L778" s="535"/>
      <c r="M778" s="536"/>
      <c r="N778" s="232" t="str">
        <f t="shared" si="151"/>
        <v/>
      </c>
      <c r="O778" s="260" t="str">
        <f t="shared" si="152"/>
        <v/>
      </c>
      <c r="P778" s="781"/>
      <c r="Q778" s="782"/>
      <c r="R778" s="767"/>
      <c r="S778" s="768"/>
      <c r="T778" s="538"/>
      <c r="U778" s="539"/>
      <c r="V778" s="540"/>
      <c r="X778" s="541"/>
      <c r="Y778" s="541"/>
    </row>
    <row r="779" spans="1:29" s="44" customFormat="1" ht="24.95" customHeight="1">
      <c r="A779" s="42" t="str">
        <f>"F"&amp;E770</f>
        <v>F26</v>
      </c>
      <c r="B779" s="605" t="str">
        <f t="shared" si="153"/>
        <v/>
      </c>
      <c r="C779" s="581"/>
      <c r="D779" s="581"/>
      <c r="E779" s="581"/>
      <c r="F779" s="581"/>
      <c r="G779" s="534"/>
      <c r="H779" s="534"/>
      <c r="I779" s="579"/>
      <c r="J779" s="580" t="str">
        <f>IF(I779="","",IF(I779="I",$F770,VLOOKUP(I779,$C791:$D796,2,0)))</f>
        <v/>
      </c>
      <c r="K779" s="535"/>
      <c r="L779" s="535"/>
      <c r="M779" s="536"/>
      <c r="N779" s="232" t="str">
        <f t="shared" si="151"/>
        <v/>
      </c>
      <c r="O779" s="260" t="str">
        <f t="shared" si="152"/>
        <v/>
      </c>
      <c r="P779" s="781"/>
      <c r="Q779" s="782"/>
      <c r="R779" s="767"/>
      <c r="S779" s="768"/>
      <c r="T779" s="538"/>
      <c r="U779" s="539"/>
      <c r="V779" s="540"/>
      <c r="X779" s="541"/>
      <c r="Y779" s="541"/>
    </row>
    <row r="780" spans="1:29" s="44" customFormat="1" ht="24.95" customHeight="1">
      <c r="A780" s="42" t="str">
        <f>"G"&amp;E770</f>
        <v>G26</v>
      </c>
      <c r="B780" s="605" t="str">
        <f t="shared" si="153"/>
        <v/>
      </c>
      <c r="C780" s="581"/>
      <c r="D780" s="581"/>
      <c r="E780" s="581"/>
      <c r="F780" s="581"/>
      <c r="G780" s="534"/>
      <c r="H780" s="534"/>
      <c r="I780" s="579"/>
      <c r="J780" s="580" t="str">
        <f>IF(I780="","",IF(I780="I",$F770,VLOOKUP(I780,$C791:$D796,2,0)))</f>
        <v/>
      </c>
      <c r="K780" s="535"/>
      <c r="L780" s="535"/>
      <c r="M780" s="536"/>
      <c r="N780" s="43" t="str">
        <f t="shared" si="151"/>
        <v/>
      </c>
      <c r="O780" s="260" t="str">
        <f t="shared" si="152"/>
        <v/>
      </c>
      <c r="P780" s="781"/>
      <c r="Q780" s="782"/>
      <c r="R780" s="767"/>
      <c r="S780" s="768"/>
      <c r="T780" s="538"/>
      <c r="U780" s="539"/>
      <c r="V780" s="540"/>
      <c r="X780" s="541"/>
      <c r="Y780" s="541"/>
    </row>
    <row r="781" spans="1:29" s="44" customFormat="1" ht="24.95" customHeight="1">
      <c r="A781" s="42" t="str">
        <f>"H"&amp;E770</f>
        <v>H26</v>
      </c>
      <c r="B781" s="605" t="str">
        <f t="shared" si="153"/>
        <v/>
      </c>
      <c r="C781" s="581"/>
      <c r="D781" s="581"/>
      <c r="E781" s="581"/>
      <c r="F781" s="581"/>
      <c r="G781" s="534"/>
      <c r="H781" s="534"/>
      <c r="I781" s="579"/>
      <c r="J781" s="580" t="str">
        <f>IF(I781="","",IF(I781="I",$F770,VLOOKUP(I781,$C791:$D796,2,0)))</f>
        <v/>
      </c>
      <c r="K781" s="535"/>
      <c r="L781" s="535"/>
      <c r="M781" s="537"/>
      <c r="N781" s="43" t="str">
        <f t="shared" si="151"/>
        <v/>
      </c>
      <c r="O781" s="260" t="str">
        <f t="shared" si="152"/>
        <v/>
      </c>
      <c r="P781" s="781"/>
      <c r="Q781" s="782"/>
      <c r="R781" s="767"/>
      <c r="S781" s="768"/>
      <c r="T781" s="538"/>
      <c r="U781" s="539"/>
      <c r="V781" s="540"/>
      <c r="X781" s="541"/>
      <c r="Y781" s="541"/>
    </row>
    <row r="782" spans="1:29" s="44" customFormat="1" ht="24.95" customHeight="1">
      <c r="A782" s="42" t="str">
        <f>"I"&amp;E770</f>
        <v>I26</v>
      </c>
      <c r="B782" s="605" t="str">
        <f t="shared" si="153"/>
        <v/>
      </c>
      <c r="C782" s="581"/>
      <c r="D782" s="581"/>
      <c r="E782" s="581"/>
      <c r="F782" s="581"/>
      <c r="G782" s="534"/>
      <c r="H782" s="534"/>
      <c r="I782" s="579"/>
      <c r="J782" s="580" t="str">
        <f>IF(I782="","",IF(I782="I",$F770,VLOOKUP(I782,$C791:$D796,2,0)))</f>
        <v/>
      </c>
      <c r="K782" s="535"/>
      <c r="L782" s="535"/>
      <c r="M782" s="537"/>
      <c r="N782" s="43" t="str">
        <f t="shared" si="151"/>
        <v/>
      </c>
      <c r="O782" s="260" t="str">
        <f t="shared" si="152"/>
        <v/>
      </c>
      <c r="P782" s="781"/>
      <c r="Q782" s="782"/>
      <c r="R782" s="767"/>
      <c r="S782" s="768"/>
      <c r="T782" s="538"/>
      <c r="U782" s="539"/>
      <c r="V782" s="540"/>
      <c r="X782" s="541"/>
      <c r="Y782" s="541"/>
    </row>
    <row r="783" spans="1:29" s="44" customFormat="1" ht="24.95" customHeight="1" thickBot="1">
      <c r="A783" s="42" t="str">
        <f>"J"&amp;E770</f>
        <v>J26</v>
      </c>
      <c r="B783" s="612" t="str">
        <f t="shared" si="153"/>
        <v/>
      </c>
      <c r="C783" s="582"/>
      <c r="D783" s="582"/>
      <c r="E783" s="582"/>
      <c r="F783" s="582"/>
      <c r="G783" s="583"/>
      <c r="H783" s="583"/>
      <c r="I783" s="584"/>
      <c r="J783" s="585" t="str">
        <f>IF(I783="","",IF(I783="I",$F770,VLOOKUP(I783,$C791:$D796,2,0)))</f>
        <v/>
      </c>
      <c r="K783" s="586"/>
      <c r="L783" s="586"/>
      <c r="M783" s="587"/>
      <c r="N783" s="43" t="str">
        <f t="shared" si="151"/>
        <v/>
      </c>
      <c r="O783" s="260" t="str">
        <f t="shared" si="152"/>
        <v/>
      </c>
      <c r="P783" s="781"/>
      <c r="Q783" s="782"/>
      <c r="R783" s="767"/>
      <c r="S783" s="768"/>
      <c r="T783" s="538"/>
      <c r="U783" s="539"/>
      <c r="V783" s="540"/>
      <c r="X783" s="541"/>
      <c r="Y783" s="541"/>
    </row>
    <row r="784" spans="1:29" s="27" customFormat="1" ht="12" customHeight="1" thickBot="1">
      <c r="A784" s="42"/>
      <c r="B784" s="45"/>
      <c r="C784" s="46"/>
      <c r="D784" s="46"/>
      <c r="E784" s="46"/>
      <c r="F784" s="46"/>
      <c r="G784" s="46"/>
      <c r="H784" s="606"/>
      <c r="I784" s="46"/>
      <c r="J784" s="46"/>
      <c r="K784" s="46"/>
      <c r="L784" s="46"/>
      <c r="M784" s="46"/>
      <c r="N784" s="46"/>
      <c r="O784" s="259"/>
      <c r="P784" s="46"/>
      <c r="Q784" s="46"/>
      <c r="R784" s="259"/>
      <c r="S784" s="46"/>
      <c r="T784" s="46"/>
      <c r="U784" s="47"/>
      <c r="V784" s="48"/>
      <c r="X784" s="592"/>
      <c r="Y784" s="593"/>
      <c r="AB784" s="378"/>
    </row>
    <row r="785" spans="1:29" s="27" customFormat="1" ht="17.25" customHeight="1" thickBot="1">
      <c r="A785" s="42" t="str">
        <f>"Z"&amp;E770</f>
        <v>Z26</v>
      </c>
      <c r="B785" s="510"/>
      <c r="C785" s="511"/>
      <c r="D785" s="511"/>
      <c r="E785" s="511"/>
      <c r="F785" s="511"/>
      <c r="G785" s="511"/>
      <c r="H785" s="511"/>
      <c r="I785" s="511"/>
      <c r="J785" s="511"/>
      <c r="K785" s="511"/>
      <c r="L785" s="511"/>
      <c r="M785" s="511"/>
      <c r="N785" s="437" t="s">
        <v>388</v>
      </c>
      <c r="O785" s="438">
        <f>IF(COUNTIF(O774:O783,"")&gt;9,0,SUM(O774:O783)/(COUNTIF(H774:H783,"SI")))</f>
        <v>435.76</v>
      </c>
      <c r="P785" s="511"/>
      <c r="Q785" s="511"/>
      <c r="R785" s="530"/>
      <c r="S785" s="530"/>
      <c r="T785" s="531"/>
      <c r="U785" s="532"/>
      <c r="V785" s="533"/>
      <c r="W785" s="285"/>
      <c r="X785" s="613" t="e">
        <f>COUNTIF(#REF!,"")-COUNTIF(#REF!,"CUMPLE")-1</f>
        <v>#REF!</v>
      </c>
      <c r="Y785" s="591"/>
      <c r="AB785" s="28"/>
    </row>
    <row r="786" spans="1:29" ht="17.25" customHeight="1">
      <c r="B786" s="50"/>
      <c r="C786" s="50"/>
      <c r="D786" s="50"/>
      <c r="E786" s="50"/>
      <c r="F786" s="50"/>
      <c r="G786" s="51"/>
      <c r="H786" s="51"/>
      <c r="I786" s="51"/>
      <c r="J786" s="51"/>
      <c r="K786" s="51"/>
      <c r="L786" s="51"/>
      <c r="M786" s="51"/>
      <c r="N786" s="51"/>
      <c r="O786" s="51"/>
      <c r="P786" s="51"/>
      <c r="Q786" s="51"/>
      <c r="R786" s="51"/>
      <c r="S786" s="51"/>
      <c r="T786" s="51"/>
      <c r="U786" s="51"/>
      <c r="V786" s="51"/>
      <c r="W786" s="51"/>
      <c r="X786" s="608"/>
      <c r="Y786" s="51"/>
      <c r="Z786" s="51"/>
      <c r="AA786" s="51"/>
      <c r="AB786" s="51"/>
      <c r="AC786" s="50"/>
    </row>
    <row r="787" spans="1:29" s="27" customFormat="1" ht="16.5" customHeight="1" thickBot="1">
      <c r="A787" s="22"/>
      <c r="B787" s="783" t="s">
        <v>389</v>
      </c>
      <c r="C787" s="783"/>
      <c r="D787" s="783"/>
      <c r="E787" s="783"/>
      <c r="F787" s="783"/>
      <c r="G787" s="783"/>
      <c r="H787" s="783"/>
      <c r="I787" s="783"/>
      <c r="J787" s="783"/>
      <c r="K787" s="783"/>
      <c r="L787" s="783"/>
      <c r="M787" s="783"/>
      <c r="N787" s="783"/>
      <c r="O787" s="783"/>
      <c r="P787" s="783"/>
      <c r="Q787" s="783"/>
      <c r="R787" s="783"/>
      <c r="S787" s="783"/>
      <c r="T787" s="783"/>
      <c r="U787" s="783"/>
      <c r="V787" s="783"/>
      <c r="W787" s="286"/>
      <c r="X787" s="607"/>
      <c r="Y787" s="52"/>
      <c r="Z787" s="52"/>
      <c r="AA787" s="52"/>
      <c r="AB787" s="28"/>
      <c r="AC787" s="28"/>
    </row>
    <row r="788" spans="1:29" s="30" customFormat="1" ht="22.5" customHeight="1">
      <c r="A788" s="112" t="str">
        <f>"K"&amp;E770</f>
        <v>K26</v>
      </c>
      <c r="B788" s="790" t="s">
        <v>390</v>
      </c>
      <c r="C788" s="772" t="s">
        <v>391</v>
      </c>
      <c r="D788" s="773"/>
      <c r="E788" s="773"/>
      <c r="F788" s="773"/>
      <c r="G788" s="773"/>
      <c r="H788" s="773"/>
      <c r="I788" s="773"/>
      <c r="J788" s="773"/>
      <c r="K788" s="773"/>
      <c r="L788" s="773"/>
      <c r="M788" s="774"/>
      <c r="N788" s="525"/>
      <c r="O788" s="588"/>
      <c r="P788" s="772" t="s">
        <v>392</v>
      </c>
      <c r="Q788" s="773"/>
      <c r="R788" s="773"/>
      <c r="S788" s="774"/>
      <c r="T788" s="784" t="s">
        <v>393</v>
      </c>
      <c r="U788" s="774"/>
      <c r="V788" s="811"/>
      <c r="W788" s="284"/>
      <c r="X788" s="778" t="s">
        <v>394</v>
      </c>
      <c r="Y788" s="779"/>
      <c r="Z788" s="779"/>
      <c r="AA788" s="779" t="s">
        <v>395</v>
      </c>
      <c r="AB788" s="808" t="s">
        <v>396</v>
      </c>
      <c r="AC788" s="28"/>
    </row>
    <row r="789" spans="1:29" s="30" customFormat="1" ht="22.5" customHeight="1">
      <c r="A789" s="112" t="str">
        <f>"L"&amp;E770</f>
        <v>L26</v>
      </c>
      <c r="B789" s="791"/>
      <c r="C789" s="769" t="s">
        <v>397</v>
      </c>
      <c r="D789" s="770"/>
      <c r="E789" s="771"/>
      <c r="F789" s="512">
        <f>IF(VLOOKUP(E770,PROPONENTES!$C$19:$E$108,3,0)="","",VLOOKUP(E770,PROPONENTES!$C$19:$E$108,3,0))</f>
        <v>1</v>
      </c>
      <c r="G789" s="824" t="s">
        <v>398</v>
      </c>
      <c r="H789" s="793" t="s">
        <v>399</v>
      </c>
      <c r="I789" s="793"/>
      <c r="J789" s="769" t="s">
        <v>400</v>
      </c>
      <c r="K789" s="823"/>
      <c r="L789" s="513" t="s">
        <v>401</v>
      </c>
      <c r="M789" s="513"/>
      <c r="N789" s="526"/>
      <c r="O789" s="527"/>
      <c r="P789" s="775"/>
      <c r="Q789" s="776"/>
      <c r="R789" s="776"/>
      <c r="S789" s="777"/>
      <c r="T789" s="796"/>
      <c r="U789" s="797"/>
      <c r="V789" s="812"/>
      <c r="W789" s="284"/>
      <c r="X789" s="780" t="s">
        <v>402</v>
      </c>
      <c r="Y789" s="810" t="s">
        <v>403</v>
      </c>
      <c r="Z789" s="810"/>
      <c r="AA789" s="810"/>
      <c r="AB789" s="809"/>
      <c r="AC789" s="28"/>
    </row>
    <row r="790" spans="1:29" s="30" customFormat="1" ht="51.75" customHeight="1" thickBot="1">
      <c r="A790" s="112" t="str">
        <f>"M"&amp;E770</f>
        <v>M26</v>
      </c>
      <c r="B790" s="791"/>
      <c r="C790" s="770" t="s">
        <v>404</v>
      </c>
      <c r="D790" s="771"/>
      <c r="E790" s="514" t="s">
        <v>405</v>
      </c>
      <c r="F790" s="515" t="s">
        <v>406</v>
      </c>
      <c r="G790" s="824"/>
      <c r="H790" s="793"/>
      <c r="I790" s="793"/>
      <c r="J790" s="504" t="s">
        <v>407</v>
      </c>
      <c r="K790" s="516" t="s">
        <v>408</v>
      </c>
      <c r="L790" s="517" t="s">
        <v>409</v>
      </c>
      <c r="M790" s="517"/>
      <c r="N790" s="528" t="s">
        <v>410</v>
      </c>
      <c r="O790" s="529"/>
      <c r="P790" s="386"/>
      <c r="Q790" s="387" t="s">
        <v>411</v>
      </c>
      <c r="R790" s="388"/>
      <c r="S790" s="113">
        <f>COUNTIFS(H774:H783,"SI",O774:O783,"&gt;0")</f>
        <v>1</v>
      </c>
      <c r="T790" s="785"/>
      <c r="U790" s="787"/>
      <c r="V790" s="813"/>
      <c r="W790" s="284"/>
      <c r="X790" s="780"/>
      <c r="Y790" s="810"/>
      <c r="Z790" s="810"/>
      <c r="AA790" s="810"/>
      <c r="AB790" s="809"/>
      <c r="AC790" s="28"/>
    </row>
    <row r="791" spans="1:29" s="30" customFormat="1" ht="15.75" customHeight="1">
      <c r="A791" s="112" t="str">
        <f>"N"&amp;E770</f>
        <v>N26</v>
      </c>
      <c r="B791" s="791"/>
      <c r="C791" s="54">
        <v>1</v>
      </c>
      <c r="D791" s="100" t="str">
        <f>IF(AND(C791&lt;=F789,F789&gt;1,F789&lt;&gt;""),VLOOKUP(VALUE(E770&amp;","&amp;C791),INTEGRANTES!$D$19:$F$192,2,0),"")</f>
        <v/>
      </c>
      <c r="E791" s="107" t="str">
        <f>IF(D791&lt;&gt;"",VLOOKUP(VALUE(E770&amp;","&amp;C791),INTEGRANTES!$D$19:$F$192,3,0),"")</f>
        <v/>
      </c>
      <c r="F791" s="380" t="str">
        <f>IF(D791="","",IF(OR(SUMIF($J777:$J783,D791,$O777:$O783)=0,N791="NO"),"NO APORTA",SUMIF($J777:$J783,D791,$O777:$O783)))</f>
        <v/>
      </c>
      <c r="G791" s="380" t="str">
        <f>IF($D791="","",IF($F789&lt;=1,"",ROUND(POSMMLV*PORPO,2)))</f>
        <v/>
      </c>
      <c r="H791" s="765" t="str">
        <f>IF($D791="","",IF(OR(F791="NO APORTA",G791&gt;F791),"NO CUMPLE","CUMPLE"))</f>
        <v/>
      </c>
      <c r="I791" s="766"/>
      <c r="J791" s="108" t="str">
        <f>IF(D791="","",IF(OR(AND(SUMIF($J774:$J783,D791,$O774:$O783)&gt;=5%*POSMMLV,N791="SI"),AND(SUMIF($J774:$J783,D791,$O774:$O783)=0,E791&lt;=5%,N791="SI")),"CUMPLE","NO CUMPLE"))</f>
        <v/>
      </c>
      <c r="K791" s="105"/>
      <c r="L791" s="389" t="str">
        <f>IF(OR(D791="",E791=""),"",IF(AND(E791&gt;=0.25,F791&lt;&gt;"NO APORTA",F791&gt;=$R796*0.25),"SI","NO"))</f>
        <v/>
      </c>
      <c r="M791" s="389"/>
      <c r="N791" s="468" t="s">
        <v>385</v>
      </c>
      <c r="O791" s="396">
        <f>COUNTIFS(O774:O783,"&gt;0",H774:H783,"SI")</f>
        <v>1</v>
      </c>
      <c r="P791" s="814" t="s">
        <v>139</v>
      </c>
      <c r="Q791" s="814"/>
      <c r="R791" s="817">
        <f>E770</f>
        <v>26</v>
      </c>
      <c r="S791" s="818"/>
      <c r="T791" s="784" t="s">
        <v>412</v>
      </c>
      <c r="U791" s="773"/>
      <c r="V791" s="774"/>
      <c r="W791" s="283"/>
      <c r="X791" s="542" t="str">
        <f>IF($F789=1,"NO APLICA",$D791)</f>
        <v>NO APLICA</v>
      </c>
      <c r="Y791" s="543" t="str">
        <f>IF(OR($F791="",$F791="NO APORTA",$R796=0,$X791="NO APLICA"),"",ROUND($F791/$Q796,2))</f>
        <v/>
      </c>
      <c r="Z791" s="544" t="str">
        <f>IF(Y797=1,"SI APLICA",IF(OR($X791="",$X791="NO APLICA",$F791="",$F791="NO APORTA"),"",IF(ROUND($F791/Q796,7)&gt;=0.4,"SI APLICA","NO APLICA")))</f>
        <v>SI APLICA</v>
      </c>
      <c r="AA791" s="543" t="s">
        <v>413</v>
      </c>
      <c r="AB791" s="540" t="str">
        <f>IF(COUNTIF(Z791:AA791,"SI APLICA")=2,"SI APLICA","")</f>
        <v>SI APLICA</v>
      </c>
      <c r="AC791" s="28"/>
    </row>
    <row r="792" spans="1:29" s="30" customFormat="1" ht="15.75" customHeight="1" thickBot="1">
      <c r="A792" s="112" t="str">
        <f>"O"&amp;E770</f>
        <v>O26</v>
      </c>
      <c r="B792" s="791"/>
      <c r="C792" s="54">
        <v>2</v>
      </c>
      <c r="D792" s="100" t="str">
        <f>IF(AND(C792&lt;=F789,F789&lt;&gt;""),VLOOKUP(VALUE(E770&amp;","&amp;C792),INTEGRANTES!$D$19:$F$192,2,0),"")</f>
        <v/>
      </c>
      <c r="E792" s="107" t="str">
        <f>IF(D792&lt;&gt;"",VLOOKUP(VALUE(E770&amp;","&amp;C792),INTEGRANTES!$D$19:$F$192,3,0),"")</f>
        <v/>
      </c>
      <c r="F792" s="380" t="str">
        <f>IF(D792="","",IF(OR(SUMIF($J777:$J783,D792,$O777:$O783)=0,N792="NO"),"NO APORTA",SUMIF($J777:$J783,D792,$O777:$O783)))</f>
        <v/>
      </c>
      <c r="G792" s="380" t="str">
        <f>IF($D792="","",IF($F789&lt;=1,"",ROUND(POSMMLV*PORPO,2)))</f>
        <v/>
      </c>
      <c r="H792" s="765" t="str">
        <f t="shared" ref="H792:H795" si="154">IF($D792="","",IF(OR(F792="NO APORTA",G792&gt;F792),"NO CUMPLE","CUMPLE"))</f>
        <v/>
      </c>
      <c r="I792" s="766"/>
      <c r="J792" s="108" t="str">
        <f>IF(D792="","",IF(OR(AND(SUMIF($J774:$J783,D792,$O774:$O783)&gt;=5%*POSMMLV,N792="SI"),AND(SUMIF($J774:$J783,D792,$O774:$O783)=0,E792&lt;=5%,N792="SI")),"CUMPLE","NO CUMPLE"))</f>
        <v/>
      </c>
      <c r="K792" s="105" t="str">
        <f>IF(OR(D792="",J792=""),"",IF(AND(J792="NO CUMPLE",F792="NO APORTA",E792&gt;5%),"EXP = 0 y PART &gt; 5%",IF(F792&lt;5%*Q796,"EXP &lt; 5%*PO","")))</f>
        <v/>
      </c>
      <c r="L792" s="389" t="str">
        <f>IF(OR(D792="",E792=""),"",IF(AND(E792&gt;=0.25,F792&lt;&gt;"NO APORTA",F792&gt;=$R796*0.25),"SI","NO"))</f>
        <v/>
      </c>
      <c r="M792" s="389"/>
      <c r="N792" s="468"/>
      <c r="O792" s="396"/>
      <c r="P792" s="815"/>
      <c r="Q792" s="815"/>
      <c r="R792" s="815"/>
      <c r="S792" s="819"/>
      <c r="T792" s="785"/>
      <c r="U792" s="786"/>
      <c r="V792" s="787"/>
      <c r="W792" s="283"/>
      <c r="X792" s="542" t="str">
        <f>IF($F789=1,"NO APLICA",$D792)</f>
        <v>NO APLICA</v>
      </c>
      <c r="Y792" s="543" t="str">
        <f>IF(OR($F792="",$F792="NO APORTA",$R796=0,$X792="NO APLICA"),"",ROUND($F792/$Q796,2))</f>
        <v/>
      </c>
      <c r="Z792" s="544"/>
      <c r="AA792" s="543"/>
      <c r="AB792" s="540" t="str">
        <f t="shared" ref="AB792" si="155">IF(COUNTIF(Z792:AA792,"SI APLICA")=2,"SI APLICA","")</f>
        <v/>
      </c>
      <c r="AC792" s="28"/>
    </row>
    <row r="793" spans="1:29" s="30" customFormat="1" ht="15.75" customHeight="1">
      <c r="A793" s="112" t="str">
        <f>"P"&amp;E770</f>
        <v>P26</v>
      </c>
      <c r="B793" s="791"/>
      <c r="C793" s="54">
        <v>3</v>
      </c>
      <c r="D793" s="100" t="str">
        <f>IF(AND(C793&lt;=F789,F789&lt;&gt;""),VLOOKUP(VALUE(E770&amp;","&amp;C793),INTEGRANTES!$D$19:$F$192,2,0),"")</f>
        <v/>
      </c>
      <c r="E793" s="107" t="str">
        <f>IF(D793&lt;&gt;"",VLOOKUP(VALUE(E770&amp;","&amp;C793),INTEGRANTES!$D$19:$F$192,3,0),"")</f>
        <v/>
      </c>
      <c r="F793" s="380" t="str">
        <f>IF(D793="","",IF(OR(SUMIF($J777:$J783,D793,$O777:$O783)=0,N793="NO"),"NO APORTA",SUMIF($J777:$J783,D793,$O777:$O783)))</f>
        <v/>
      </c>
      <c r="G793" s="380" t="str">
        <f>IF($D793="","",IF($F789&lt;=1,"",ROUND(POSMMLV*PORPO,2)))</f>
        <v/>
      </c>
      <c r="H793" s="765" t="str">
        <f t="shared" si="154"/>
        <v/>
      </c>
      <c r="I793" s="766"/>
      <c r="J793" s="108" t="str">
        <f>IF(D793="","",IF(OR(AND(SUMIF($J774:$J783,D793,$O774:$O783)&gt;=5%*POSMMLV,N793="SI"),AND(SUMIF($J774:$J783,D793,$O774:$O783)=0,E793&lt;=5%,N793="SI")),"CUMPLE","NO CUMPLE"))</f>
        <v/>
      </c>
      <c r="K793" s="105" t="str">
        <f>IF(OR(D793="",J793=""),"",IF(AND(J793="NO CUMPLE",F793="NO APORTA",E793&gt;5%),"EXP = 0 y PART &gt; 5%",IF(F793&lt;5%*Q796,"EXP &lt; 5%*PO","")))</f>
        <v/>
      </c>
      <c r="L793" s="389" t="str">
        <f>IF(OR(D793="",E793=""),"",IF(AND(E793&gt;=0.25,F793&lt;&gt;"NO APORTA",F793&gt;=$R796*0.25),"SI","NO"))</f>
        <v/>
      </c>
      <c r="M793" s="389"/>
      <c r="N793" s="468"/>
      <c r="O793" s="397"/>
      <c r="P793" s="816"/>
      <c r="Q793" s="816"/>
      <c r="R793" s="816"/>
      <c r="S793" s="820"/>
      <c r="T793" s="308"/>
      <c r="U793" s="308"/>
      <c r="V793" s="309"/>
      <c r="W793" s="284"/>
      <c r="X793" s="542" t="str">
        <f>IF($F789=1,"NO APLICA",$D793)</f>
        <v>NO APLICA</v>
      </c>
      <c r="Y793" s="543" t="str">
        <f>IF(OR($F793="",$F793="NO APORTA",$R796=0,$X793="NO APLICA"),"",ROUND($F793/$Q796,2))</f>
        <v/>
      </c>
      <c r="Z793" s="544"/>
      <c r="AA793" s="543"/>
      <c r="AB793" s="540" t="str">
        <f>IF(COUNTIF(Z793:AA793,"SI APLICA")=2,"SI APLICA","")</f>
        <v/>
      </c>
      <c r="AC793" s="28"/>
    </row>
    <row r="794" spans="1:29" s="30" customFormat="1" ht="15.75" customHeight="1">
      <c r="A794" s="112" t="str">
        <f>"Q"&amp;E770</f>
        <v>Q26</v>
      </c>
      <c r="B794" s="791"/>
      <c r="C794" s="54">
        <v>4</v>
      </c>
      <c r="D794" s="100" t="str">
        <f>IF(AND(C794&lt;=F789,F789&lt;&gt;""),VLOOKUP(VALUE(E770&amp;","&amp;C794),INTEGRANTES!$D$19:$F$192,2,0),"")</f>
        <v/>
      </c>
      <c r="E794" s="107" t="str">
        <f>IF(D794&lt;&gt;"",VLOOKUP(VALUE(E770&amp;","&amp;C794),INTEGRANTES!$D$19:$F$192,3,0),"")</f>
        <v/>
      </c>
      <c r="F794" s="380" t="str">
        <f>IF(D794="","",IF(OR(SUMIF($J777:$J783,D794,$O777:$O783)=0,N794="NO"),"NO APORTA",SUMIF($J777:$J783,D794,$O777:$O783)))</f>
        <v/>
      </c>
      <c r="G794" s="380" t="str">
        <f>IF($D794="","",IF($F789&lt;=1,"",ROUND(POSMMLV*PORPO,2)))</f>
        <v/>
      </c>
      <c r="H794" s="765" t="str">
        <f t="shared" si="154"/>
        <v/>
      </c>
      <c r="I794" s="766"/>
      <c r="J794" s="108" t="str">
        <f>IF(D794="","",IF(OR(AND(SUMIF($J774:$J783,D794,$O774:$O783)&gt;=5%*POSMMLV,N794="SI"),AND(SUMIF($J774:$J783,D794,$O774:$O783)=0,E794&lt;=5%,N794="SI")),"CUMPLE","NO CUMPLE"))</f>
        <v/>
      </c>
      <c r="K794" s="105" t="str">
        <f>IF(OR(D794="",J794=""),"",IF(AND(J794="NO CUMPLE",F794="NO APORTA",E794&gt;5%),"EXP = 0 y PART &gt; 5%",IF(F794&lt;5%*Q796,"EXP &lt; 5%*PO","")))</f>
        <v/>
      </c>
      <c r="L794" s="389" t="str">
        <f>IF(OR(D794="",E794=""),"",IF(AND(E794&gt;=0.25,F794&lt;&gt;"NO APORTA",F794&gt;=$R796*0.25),"SI","NO"))</f>
        <v/>
      </c>
      <c r="M794" s="389"/>
      <c r="N794" s="468"/>
      <c r="O794" s="788" t="s">
        <v>414</v>
      </c>
      <c r="P794" s="769" t="s">
        <v>415</v>
      </c>
      <c r="Q794" s="770"/>
      <c r="R794" s="770"/>
      <c r="S794" s="771"/>
      <c r="T794" s="284"/>
      <c r="U794" s="284"/>
      <c r="V794" s="310"/>
      <c r="W794" s="284"/>
      <c r="X794" s="542" t="str">
        <f>IF($F789=1,"NO APLICA",$D794)</f>
        <v>NO APLICA</v>
      </c>
      <c r="Y794" s="543" t="str">
        <f>IF(OR($F794="",$F794="NO APORTA",$R796=0,$X794="NO APLICA"),"",ROUND($F794/$Q796,2))</f>
        <v/>
      </c>
      <c r="Z794" s="544"/>
      <c r="AA794" s="543"/>
      <c r="AB794" s="540" t="str">
        <f t="shared" ref="AB794:AB795" si="156">IF(COUNTIF(Z794:AA794,"SI APLICA")=2,"SI APLICA","")</f>
        <v/>
      </c>
      <c r="AC794" s="28"/>
    </row>
    <row r="795" spans="1:29" s="30" customFormat="1" ht="17.25" customHeight="1">
      <c r="A795" s="112" t="str">
        <f>"R"&amp;E770</f>
        <v>R26</v>
      </c>
      <c r="B795" s="791"/>
      <c r="C795" s="54">
        <v>5</v>
      </c>
      <c r="D795" s="100" t="str">
        <f>IF(AND(C795&lt;=F789,F789&lt;&gt;""),VLOOKUP(VALUE(E770&amp;","&amp;C795),INTEGRANTES!$D$19:$F$192,2,0),"")</f>
        <v/>
      </c>
      <c r="E795" s="107" t="str">
        <f>IF(D795&lt;&gt;"",VLOOKUP(VALUE(E770&amp;","&amp;C795),INTEGRANTES!$D$19:$F$192,3,0),"")</f>
        <v/>
      </c>
      <c r="F795" s="380" t="str">
        <f>IF(D795="","",IF(OR(SUMIF($J777:$J783,D795,$O777:$O783)=0,N795="NO"),"NO APORTA",SUMIF($J777:$J783,D795,$O777:$O783)))</f>
        <v/>
      </c>
      <c r="G795" s="380" t="str">
        <f>IF($D795="","",IF($F789&lt;=1,"",ROUND(POSMMLV*PORPO,2)))</f>
        <v/>
      </c>
      <c r="H795" s="765" t="str">
        <f t="shared" si="154"/>
        <v/>
      </c>
      <c r="I795" s="766"/>
      <c r="J795" s="108" t="str">
        <f>IF(D795="","",IF(OR(AND(SUMIF($J774:$J783,D795,$O774:$O783)&gt;=5%*POSMMLV,N795="SI"),AND(SUMIF($J774:$J783,D795,$O774:$O783)=0,E795&lt;=5%,N795="SI")),"CUMPLE","NO CUMPLE"))</f>
        <v/>
      </c>
      <c r="K795" s="105" t="str">
        <f>IF(OR(D795="",J795=""),"",IF(AND(J795="NO CUMPLE",F795="NO APORTA",E795&gt;5%),"EXP = 0 y PART &gt; 5%",IF(F795&lt;5%*Q796,"EXP &lt; 5%*PO","")))</f>
        <v/>
      </c>
      <c r="L795" s="389" t="str">
        <f>IF(OR(D795="",E795=""),"",IF(AND(E795&gt;=0.25,F795&lt;&gt;"NO APORTA",F795&gt;=$R796*0.25),"SI","NO"))</f>
        <v/>
      </c>
      <c r="M795" s="389"/>
      <c r="N795" s="468"/>
      <c r="O795" s="789"/>
      <c r="P795" s="504" t="s">
        <v>416</v>
      </c>
      <c r="Q795" s="504" t="s">
        <v>417</v>
      </c>
      <c r="R795" s="793" t="s">
        <v>418</v>
      </c>
      <c r="S795" s="793"/>
      <c r="T795" s="284"/>
      <c r="U795" s="284"/>
      <c r="V795" s="310"/>
      <c r="W795" s="284"/>
      <c r="X795" s="542" t="str">
        <f>IF($F789=1,"NO APLICA",$D795)</f>
        <v>NO APLICA</v>
      </c>
      <c r="Y795" s="543" t="str">
        <f>IF(OR($F795="",$F795="NO APORTA",$R796=0,$X795="NO APLICA"),"",ROUND($F795/$Q796,2))</f>
        <v/>
      </c>
      <c r="Z795" s="544"/>
      <c r="AA795" s="543"/>
      <c r="AB795" s="540" t="str">
        <f t="shared" si="156"/>
        <v/>
      </c>
      <c r="AC795" s="28"/>
    </row>
    <row r="796" spans="1:29" s="30" customFormat="1" ht="16.5" customHeight="1" thickBot="1">
      <c r="A796" s="112" t="str">
        <f>"S"&amp;E770</f>
        <v>S26</v>
      </c>
      <c r="B796" s="791"/>
      <c r="C796" s="109">
        <v>6</v>
      </c>
      <c r="D796" s="110" t="str">
        <f>IF(AND(C796&lt;=F789,F789&lt;&gt;""),VLOOKUP(VALUE(E770&amp;","&amp;C796),INTEGRANTES!$D$19:$F$192,2,0),"")</f>
        <v/>
      </c>
      <c r="E796" s="111" t="str">
        <f>IF(D796&lt;&gt;"",VLOOKUP(VALUE(E770&amp;","&amp;C796),INTEGRANTES!$D$19:$F$192,3,0),"")</f>
        <v/>
      </c>
      <c r="F796" s="380" t="str">
        <f>IF(D796="","",IF(OR(SUMIF($J777:$J783,D796,$O777:$O783)=0,N796="NO"),"NO APORTA",SUMIF($J777:$J783,D796,$O777:$O783)))</f>
        <v/>
      </c>
      <c r="G796" s="380" t="str">
        <f>IF($D796="","",IF($F789&lt;=1,"",ROUND(POSMMLV*PORPO,2)))</f>
        <v/>
      </c>
      <c r="H796" s="765" t="str">
        <f>IF($D796="","",IF(OR(F796="NO APORTA",G796&gt;F796),"NO CUMPLE","CUMPLE"))</f>
        <v/>
      </c>
      <c r="I796" s="766"/>
      <c r="J796" s="108" t="str">
        <f>IF(D796="","",IF(OR(AND(SUMIF($J774:$J783,D796,$O774:$O783)&gt;=5%*POSMMLV,N796="SI"),AND(SUMIF($J774:$J783,D796,$O774:$O783)=0,E796&lt;=5%,N796="SI")),"CUMPLE","NO CUMPLE"))</f>
        <v/>
      </c>
      <c r="K796" s="105" t="str">
        <f>IF(OR(D796="",J796=""),"",IF(AND(J796="NO CUMPLE",F796="NO APORTA",E796&gt;5%),"EXP = 0 y PART &gt; 5%",IF(F796&lt;5%*Q796,"EXP &lt; 5%*PO","")))</f>
        <v/>
      </c>
      <c r="L796" s="389" t="str">
        <f>IF(OR(D796="",E796=""),"",IF(AND(E796&gt;=0.25,F796&lt;&gt;"NO APORTA",F796&gt;=$R796*0.25),"SI","NO"))</f>
        <v/>
      </c>
      <c r="M796" s="389"/>
      <c r="N796" s="468"/>
      <c r="O796" s="403" t="str">
        <f ca="1">IF(R796&gt;=Q796,"CUMPLE","NO CUMPLE")</f>
        <v>CUMPLE</v>
      </c>
      <c r="P796" s="312">
        <f>NUMMOD</f>
        <v>1</v>
      </c>
      <c r="Q796" s="313">
        <f ca="1">IF(P796="","",ROUND(VLOOKUP(P796,PRESUPUESTOS!$B$16:$L$16,9,FALSE),7))</f>
        <v>300</v>
      </c>
      <c r="R796" s="834">
        <f>IF(OR(COUNTIF(O774:O783,"")&gt;9,S790&lt;NUMMINCONT),0,SUM(O774:O783))</f>
        <v>435.76</v>
      </c>
      <c r="S796" s="834"/>
      <c r="T796" s="284"/>
      <c r="U796" s="284"/>
      <c r="V796" s="310"/>
      <c r="W796" s="284"/>
      <c r="X796" s="545" t="str">
        <f>IF($F789=1,"NO APLICA",$D796)</f>
        <v>NO APLICA</v>
      </c>
      <c r="Y796" s="543" t="str">
        <f>IF(OR($F796="",$F796="NO APORTA",$R796=0,$X796="NO APLICA"),"",ROUND($F796/$Q796,2))</f>
        <v/>
      </c>
      <c r="Z796" s="544"/>
      <c r="AA796" s="546"/>
      <c r="AB796" s="540" t="str">
        <f>IF(COUNTIF(Z796:AA796,"SI APLICA")=2,"SI APLICA","")</f>
        <v/>
      </c>
      <c r="AC796" s="28"/>
    </row>
    <row r="797" spans="1:29" s="30" customFormat="1" ht="16.5" customHeight="1" thickBot="1">
      <c r="A797" s="112" t="str">
        <f>"T"&amp;E770</f>
        <v>T26</v>
      </c>
      <c r="B797" s="792"/>
      <c r="C797" s="821" t="s">
        <v>419</v>
      </c>
      <c r="D797" s="822"/>
      <c r="E797" s="822"/>
      <c r="F797" s="518"/>
      <c r="G797" s="519"/>
      <c r="H797" s="794" t="str">
        <f>IF(OR($F789="",SUM(E791:E796)=0),"",IF(COUNTIF(H791:H796,"CUMPLE")&gt;=1,"CUMPLE","NO CUMPLE"))</f>
        <v/>
      </c>
      <c r="I797" s="795"/>
      <c r="J797" s="314" t="str">
        <f>IF(COUNTIF(J791:J796,"")&gt;5,"",IF(COUNTIF(J791:J796,"NO CUMPLE")&gt;0,"NO CUMPLE","CUMPLE"))</f>
        <v/>
      </c>
      <c r="K797" s="314" t="str">
        <f>IF(OR(AND(F789=1,N791="SI"),AND(COUNTIF(H797:J797,"CUMPLE")=2)),"CUMPLE","NO CUMPLE")</f>
        <v>CUMPLE</v>
      </c>
      <c r="L797" s="519"/>
      <c r="M797" s="519"/>
      <c r="N797" s="519"/>
      <c r="O797" s="833" t="str">
        <f ca="1">IF(ISNUMBER(F770),"",IF(AND(O796="NO CUMPLE",SUM(N777:N783)&lt;Q796),"EL PROPONENTE SE DEBE REQUERIR POR EXPERIENCIA MINIMA EXIGIDA",""))</f>
        <v/>
      </c>
      <c r="P797" s="833"/>
      <c r="Q797" s="833"/>
      <c r="R797" s="833"/>
      <c r="S797" s="833"/>
      <c r="T797" s="522"/>
      <c r="U797" s="523"/>
      <c r="V797" s="524"/>
      <c r="W797" s="284"/>
      <c r="X797" s="364" t="str">
        <f>IF(Y797=1,"PROPONENTE INDIVIDUAL","PROPONENTE PLURAL")</f>
        <v>PROPONENTE INDIVIDUAL</v>
      </c>
      <c r="Y797" s="276">
        <f>F789</f>
        <v>1</v>
      </c>
      <c r="Z797" s="277" t="str">
        <f>IF(OR(AND(Z791="SI APLICA",AA791="SI APLICA"),AND(Z792="SI APLICA",AA792="SI APLICA"),AND(Z793="SI APLICA",AA793="SI APLICA"),AND(Z794="SI APLICA",AA794="SI APLICA"),AND(Z795="SI APLICA",AA795="SI APLICA"),AND(Z796="SI APLICA",AA796="SI APLICA")),"SI APLICA","NO APLICA")</f>
        <v>SI APLICA</v>
      </c>
      <c r="AA797" s="278" t="str">
        <f>IF(OR(AND(AA791="SI APLICA",AB791="SI APLICA"),AND(AA792="SI APLICA",AB792="SI APLICA"),AND(AA793="SI APLICA",AB793="SI APLICA"),AND(AA794="SI APLICA",AB794="SI APLICA"),AND(AA795="SI APLICA",AB795="SI APLICA"),AND(AA796="SI APLICA",AB796="SI APLICA")),"SI APLICA","NO APLICA")</f>
        <v>SI APLICA</v>
      </c>
      <c r="AB797" s="278" t="str">
        <f>IF(COUNTIF(AB791:AB796,"SI APLICA")&gt;0,"SI APLICA","NO APLICA")</f>
        <v>SI APLICA</v>
      </c>
      <c r="AC797" s="28"/>
    </row>
    <row r="798" spans="1:29" ht="24.95" customHeight="1"/>
    <row r="799" spans="1:29" ht="24.95" customHeight="1"/>
    <row r="800" spans="1:29" s="41" customFormat="1" ht="24" thickBot="1">
      <c r="A800" s="34">
        <v>27</v>
      </c>
      <c r="B800" s="828" t="s">
        <v>355</v>
      </c>
      <c r="C800" s="828"/>
      <c r="D800" s="828"/>
      <c r="E800" s="35">
        <f>VLOOKUP(A800,PROPONENTES!$B$19:$E$108,2,FALSE)</f>
        <v>27</v>
      </c>
      <c r="F800" s="36" t="str">
        <f>VLOOKUP(A800,PROPONENTES!$B$19:$E$108,3,FALSE)</f>
        <v>CONSULTORIA Y CONSTRUCCIONES DARLEV SAS</v>
      </c>
      <c r="G800" s="37"/>
      <c r="H800" s="37"/>
      <c r="I800" s="36"/>
      <c r="J800" s="36"/>
      <c r="K800" s="36"/>
      <c r="L800" s="36"/>
      <c r="M800" s="38"/>
      <c r="N800" s="38"/>
      <c r="O800" s="37"/>
      <c r="P800" s="37"/>
      <c r="Q800" s="39"/>
      <c r="R800" s="39"/>
      <c r="S800" s="39"/>
      <c r="T800" s="39"/>
      <c r="U800" s="40"/>
      <c r="Y800" s="52"/>
      <c r="Z800" s="52"/>
      <c r="AA800" s="52"/>
      <c r="AB800" s="28"/>
      <c r="AC800" s="28"/>
    </row>
    <row r="801" spans="1:29" s="27" customFormat="1" ht="24.75" customHeight="1">
      <c r="A801" s="22"/>
      <c r="B801" s="829" t="s">
        <v>356</v>
      </c>
      <c r="C801" s="501" t="s">
        <v>357</v>
      </c>
      <c r="D801" s="502" t="s">
        <v>358</v>
      </c>
      <c r="E801" s="502"/>
      <c r="F801" s="502" t="s">
        <v>359</v>
      </c>
      <c r="G801" s="503"/>
      <c r="H801" s="803" t="s">
        <v>360</v>
      </c>
      <c r="I801" s="831" t="s">
        <v>361</v>
      </c>
      <c r="J801" s="803" t="s">
        <v>362</v>
      </c>
      <c r="K801" s="803" t="s">
        <v>363</v>
      </c>
      <c r="L801" s="803" t="s">
        <v>364</v>
      </c>
      <c r="M801" s="803" t="s">
        <v>365</v>
      </c>
      <c r="N801" s="804" t="s">
        <v>366</v>
      </c>
      <c r="O801" s="805"/>
      <c r="P801" s="806" t="s">
        <v>367</v>
      </c>
      <c r="Q801" s="807"/>
      <c r="R801" s="784" t="s">
        <v>368</v>
      </c>
      <c r="S801" s="774"/>
      <c r="T801" s="798" t="s">
        <v>369</v>
      </c>
      <c r="U801" s="799"/>
      <c r="V801" s="800"/>
      <c r="X801" s="520"/>
      <c r="Y801" s="520"/>
    </row>
    <row r="802" spans="1:29" s="27" customFormat="1" ht="94.5" customHeight="1">
      <c r="A802" s="22"/>
      <c r="B802" s="830"/>
      <c r="C802" s="504" t="s">
        <v>370</v>
      </c>
      <c r="D802" s="505" t="s">
        <v>41</v>
      </c>
      <c r="E802" s="505" t="s">
        <v>371</v>
      </c>
      <c r="F802" s="505" t="s">
        <v>372</v>
      </c>
      <c r="G802" s="506" t="s">
        <v>373</v>
      </c>
      <c r="H802" s="793"/>
      <c r="I802" s="832"/>
      <c r="J802" s="793"/>
      <c r="K802" s="793"/>
      <c r="L802" s="793"/>
      <c r="M802" s="793"/>
      <c r="N802" s="504" t="s">
        <v>374</v>
      </c>
      <c r="O802" s="505" t="s">
        <v>375</v>
      </c>
      <c r="P802" s="801"/>
      <c r="Q802" s="802"/>
      <c r="R802" s="796"/>
      <c r="S802" s="797"/>
      <c r="T802" s="507" t="s">
        <v>376</v>
      </c>
      <c r="U802" s="508" t="s">
        <v>377</v>
      </c>
      <c r="V802" s="509" t="s">
        <v>378</v>
      </c>
      <c r="X802" s="521" t="s">
        <v>379</v>
      </c>
      <c r="Y802" s="521" t="s">
        <v>380</v>
      </c>
    </row>
    <row r="803" spans="1:29" s="27" customFormat="1" ht="15" customHeight="1">
      <c r="A803" s="22"/>
      <c r="B803" s="594"/>
      <c r="C803" s="595">
        <v>3</v>
      </c>
      <c r="D803" s="595">
        <v>4</v>
      </c>
      <c r="E803" s="595">
        <v>5</v>
      </c>
      <c r="F803" s="595">
        <v>6</v>
      </c>
      <c r="G803" s="595">
        <v>7</v>
      </c>
      <c r="H803" s="595">
        <v>8</v>
      </c>
      <c r="I803" s="595">
        <v>9</v>
      </c>
      <c r="J803" s="595">
        <v>10</v>
      </c>
      <c r="K803" s="595">
        <v>11</v>
      </c>
      <c r="L803" s="595">
        <v>12</v>
      </c>
      <c r="M803" s="595">
        <v>13</v>
      </c>
      <c r="N803" s="595">
        <v>14</v>
      </c>
      <c r="O803" s="595">
        <v>15</v>
      </c>
      <c r="P803" s="596">
        <v>16</v>
      </c>
      <c r="Q803" s="597">
        <v>17</v>
      </c>
      <c r="R803" s="596">
        <v>18</v>
      </c>
      <c r="S803" s="597">
        <v>19</v>
      </c>
      <c r="T803" s="598">
        <v>20</v>
      </c>
      <c r="U803" s="255">
        <v>21</v>
      </c>
      <c r="V803" s="599">
        <v>22</v>
      </c>
      <c r="X803" s="589"/>
      <c r="Y803" s="590"/>
    </row>
    <row r="804" spans="1:29" s="44" customFormat="1" ht="52.5" customHeight="1">
      <c r="A804" s="42" t="str">
        <f>"A"&amp;E800</f>
        <v>A27</v>
      </c>
      <c r="B804" s="605">
        <v>1</v>
      </c>
      <c r="C804" s="581" t="s">
        <v>584</v>
      </c>
      <c r="D804" s="581" t="s">
        <v>598</v>
      </c>
      <c r="E804" s="581" t="s">
        <v>599</v>
      </c>
      <c r="F804" s="581" t="s">
        <v>431</v>
      </c>
      <c r="G804" s="534">
        <v>0.23</v>
      </c>
      <c r="H804" s="534" t="s">
        <v>385</v>
      </c>
      <c r="I804" s="579" t="s">
        <v>384</v>
      </c>
      <c r="J804" s="580" t="str">
        <f>IF(I804="","",IF(I804="I",$F800,VLOOKUP(I804,$C821:$D826,2,0)))</f>
        <v>CONSULTORIA Y CONSTRUCCIONES DARLEV SAS</v>
      </c>
      <c r="K804" s="535">
        <v>38992</v>
      </c>
      <c r="L804" s="535">
        <v>39115</v>
      </c>
      <c r="M804" s="536">
        <v>272.42</v>
      </c>
      <c r="N804" s="232">
        <f t="shared" ref="N804:N813" si="157">IF(OR(G804="",M804=""),"",M804*G804)</f>
        <v>62.656600000000005</v>
      </c>
      <c r="O804" s="629">
        <f t="shared" ref="O804:O813" si="158">IF(OR(H804="",H804="NO",K804&lt;$Q$17,K804&gt;$R$17,K804="",M804="",N804=""),"",ROUND(N804,7))</f>
        <v>62.656599999999997</v>
      </c>
      <c r="P804" s="781"/>
      <c r="Q804" s="782"/>
      <c r="R804" s="767"/>
      <c r="S804" s="768"/>
      <c r="T804" s="538" t="s">
        <v>385</v>
      </c>
      <c r="U804" s="539">
        <v>1</v>
      </c>
      <c r="V804" s="540" t="s">
        <v>385</v>
      </c>
      <c r="X804" s="541" t="s">
        <v>449</v>
      </c>
      <c r="Y804" s="541" t="s">
        <v>387</v>
      </c>
    </row>
    <row r="805" spans="1:29" s="44" customFormat="1" ht="51" customHeight="1">
      <c r="A805" s="42" t="str">
        <f>"B"&amp;E800</f>
        <v>B27</v>
      </c>
      <c r="B805" s="605">
        <v>2</v>
      </c>
      <c r="C805" s="581" t="s">
        <v>584</v>
      </c>
      <c r="D805" s="581" t="s">
        <v>600</v>
      </c>
      <c r="E805" s="581" t="s">
        <v>601</v>
      </c>
      <c r="F805" s="581" t="s">
        <v>431</v>
      </c>
      <c r="G805" s="534">
        <v>0.6</v>
      </c>
      <c r="H805" s="534" t="s">
        <v>385</v>
      </c>
      <c r="I805" s="579" t="s">
        <v>384</v>
      </c>
      <c r="J805" s="580" t="str">
        <f>IF(I805="","",IF(I805="I",$F800,VLOOKUP(I805,$C821:$D826,2,0)))</f>
        <v>CONSULTORIA Y CONSTRUCCIONES DARLEV SAS</v>
      </c>
      <c r="K805" s="535">
        <v>41786</v>
      </c>
      <c r="L805" s="535">
        <v>42211</v>
      </c>
      <c r="M805" s="536">
        <v>1160.3900000000001</v>
      </c>
      <c r="N805" s="232">
        <f t="shared" si="157"/>
        <v>696.23400000000004</v>
      </c>
      <c r="O805" s="629">
        <f t="shared" si="158"/>
        <v>696.23400000000004</v>
      </c>
      <c r="P805" s="781"/>
      <c r="Q805" s="782"/>
      <c r="R805" s="767"/>
      <c r="S805" s="768"/>
      <c r="T805" s="538" t="s">
        <v>385</v>
      </c>
      <c r="U805" s="539">
        <v>17</v>
      </c>
      <c r="V805" s="540" t="s">
        <v>385</v>
      </c>
      <c r="X805" s="541" t="s">
        <v>423</v>
      </c>
      <c r="Y805" s="541" t="s">
        <v>435</v>
      </c>
    </row>
    <row r="806" spans="1:29" s="44" customFormat="1" ht="40.5" customHeight="1">
      <c r="A806" s="42" t="str">
        <f>"C"&amp;E800</f>
        <v>C27</v>
      </c>
      <c r="B806" s="605">
        <v>3</v>
      </c>
      <c r="C806" s="581" t="s">
        <v>584</v>
      </c>
      <c r="D806" s="581" t="s">
        <v>602</v>
      </c>
      <c r="E806" s="581" t="s">
        <v>603</v>
      </c>
      <c r="F806" s="581" t="s">
        <v>533</v>
      </c>
      <c r="G806" s="534">
        <v>0.23</v>
      </c>
      <c r="H806" s="534" t="s">
        <v>385</v>
      </c>
      <c r="I806" s="579" t="s">
        <v>384</v>
      </c>
      <c r="J806" s="580" t="str">
        <f>IF(I806="","",IF(I806="I",$F800,VLOOKUP(I806,$C821:$D826,2,0)))</f>
        <v>CONSULTORIA Y CONSTRUCCIONES DARLEV SAS</v>
      </c>
      <c r="K806" s="535">
        <v>39104</v>
      </c>
      <c r="L806" s="535">
        <v>39431</v>
      </c>
      <c r="M806" s="536">
        <v>797.84</v>
      </c>
      <c r="N806" s="232">
        <f t="shared" si="157"/>
        <v>183.50320000000002</v>
      </c>
      <c r="O806" s="629">
        <f t="shared" si="158"/>
        <v>183.50319999999999</v>
      </c>
      <c r="P806" s="781"/>
      <c r="Q806" s="782"/>
      <c r="R806" s="767"/>
      <c r="S806" s="768"/>
      <c r="T806" s="538" t="s">
        <v>385</v>
      </c>
      <c r="U806" s="539">
        <v>14</v>
      </c>
      <c r="V806" s="540" t="s">
        <v>385</v>
      </c>
      <c r="X806" s="541" t="s">
        <v>449</v>
      </c>
      <c r="Y806" s="541" t="s">
        <v>387</v>
      </c>
    </row>
    <row r="807" spans="1:29" s="44" customFormat="1" ht="38.25" customHeight="1">
      <c r="A807" s="42" t="str">
        <f>"D"&amp;E800</f>
        <v>D27</v>
      </c>
      <c r="B807" s="605">
        <v>4</v>
      </c>
      <c r="C807" s="581" t="s">
        <v>584</v>
      </c>
      <c r="D807" s="581" t="s">
        <v>604</v>
      </c>
      <c r="E807" s="581" t="s">
        <v>605</v>
      </c>
      <c r="F807" s="581" t="s">
        <v>533</v>
      </c>
      <c r="G807" s="534">
        <v>0.57999999999999996</v>
      </c>
      <c r="H807" s="534" t="s">
        <v>385</v>
      </c>
      <c r="I807" s="579" t="s">
        <v>384</v>
      </c>
      <c r="J807" s="580" t="str">
        <f>IF(I807="","",IF(I807="I",$F800,VLOOKUP(I807,$C821:$D826,2,0)))</f>
        <v>CONSULTORIA Y CONSTRUCCIONES DARLEV SAS</v>
      </c>
      <c r="K807" s="535">
        <v>39423</v>
      </c>
      <c r="L807" s="535">
        <v>39634</v>
      </c>
      <c r="M807" s="536">
        <v>394.51</v>
      </c>
      <c r="N807" s="232">
        <f t="shared" si="157"/>
        <v>228.81579999999997</v>
      </c>
      <c r="O807" s="629">
        <f t="shared" si="158"/>
        <v>228.8158</v>
      </c>
      <c r="P807" s="781"/>
      <c r="Q807" s="782"/>
      <c r="R807" s="767"/>
      <c r="S807" s="768"/>
      <c r="T807" s="538" t="s">
        <v>385</v>
      </c>
      <c r="U807" s="539">
        <v>3</v>
      </c>
      <c r="V807" s="540" t="s">
        <v>385</v>
      </c>
      <c r="X807" s="541" t="s">
        <v>449</v>
      </c>
      <c r="Y807" s="541" t="s">
        <v>387</v>
      </c>
    </row>
    <row r="808" spans="1:29" s="44" customFormat="1" ht="24.95" customHeight="1">
      <c r="A808" s="42" t="str">
        <f>"E"&amp;E800</f>
        <v>E27</v>
      </c>
      <c r="B808" s="605" t="str">
        <f t="shared" ref="B808:B813" si="159">IF(C808&lt;&gt;"",B807+1,"")</f>
        <v/>
      </c>
      <c r="C808" s="581"/>
      <c r="D808" s="581"/>
      <c r="E808" s="581"/>
      <c r="F808" s="581"/>
      <c r="G808" s="534"/>
      <c r="H808" s="534"/>
      <c r="I808" s="579"/>
      <c r="J808" s="580" t="str">
        <f>IF(I808="","",IF(I808="I",$F800,VLOOKUP(I808,$C821:$D826,2,0)))</f>
        <v/>
      </c>
      <c r="K808" s="535"/>
      <c r="L808" s="535"/>
      <c r="M808" s="536"/>
      <c r="N808" s="232" t="str">
        <f t="shared" si="157"/>
        <v/>
      </c>
      <c r="O808" s="260" t="str">
        <f t="shared" si="158"/>
        <v/>
      </c>
      <c r="P808" s="781"/>
      <c r="Q808" s="782"/>
      <c r="R808" s="767"/>
      <c r="S808" s="768"/>
      <c r="T808" s="538"/>
      <c r="U808" s="539"/>
      <c r="V808" s="540"/>
      <c r="X808" s="541"/>
      <c r="Y808" s="541"/>
    </row>
    <row r="809" spans="1:29" s="44" customFormat="1" ht="24.95" customHeight="1">
      <c r="A809" s="42" t="str">
        <f>"F"&amp;E800</f>
        <v>F27</v>
      </c>
      <c r="B809" s="605" t="str">
        <f t="shared" si="159"/>
        <v/>
      </c>
      <c r="C809" s="581"/>
      <c r="D809" s="581"/>
      <c r="E809" s="581"/>
      <c r="F809" s="581"/>
      <c r="G809" s="534"/>
      <c r="H809" s="534"/>
      <c r="I809" s="579"/>
      <c r="J809" s="580" t="str">
        <f>IF(I809="","",IF(I809="I",$F800,VLOOKUP(I809,$C821:$D826,2,0)))</f>
        <v/>
      </c>
      <c r="K809" s="535"/>
      <c r="L809" s="535"/>
      <c r="M809" s="536"/>
      <c r="N809" s="232" t="str">
        <f t="shared" si="157"/>
        <v/>
      </c>
      <c r="O809" s="260" t="str">
        <f t="shared" si="158"/>
        <v/>
      </c>
      <c r="P809" s="781"/>
      <c r="Q809" s="782"/>
      <c r="R809" s="767"/>
      <c r="S809" s="768"/>
      <c r="T809" s="538"/>
      <c r="U809" s="539"/>
      <c r="V809" s="540"/>
      <c r="X809" s="541"/>
      <c r="Y809" s="541"/>
    </row>
    <row r="810" spans="1:29" s="44" customFormat="1" ht="24.95" customHeight="1">
      <c r="A810" s="42" t="str">
        <f>"G"&amp;E800</f>
        <v>G27</v>
      </c>
      <c r="B810" s="605" t="str">
        <f t="shared" si="159"/>
        <v/>
      </c>
      <c r="C810" s="581"/>
      <c r="D810" s="581"/>
      <c r="E810" s="581"/>
      <c r="F810" s="581"/>
      <c r="G810" s="534"/>
      <c r="H810" s="534"/>
      <c r="I810" s="579"/>
      <c r="J810" s="580" t="str">
        <f>IF(I810="","",IF(I810="I",$F800,VLOOKUP(I810,$C821:$D826,2,0)))</f>
        <v/>
      </c>
      <c r="K810" s="535"/>
      <c r="L810" s="535"/>
      <c r="M810" s="536"/>
      <c r="N810" s="43" t="str">
        <f t="shared" si="157"/>
        <v/>
      </c>
      <c r="O810" s="260" t="str">
        <f t="shared" si="158"/>
        <v/>
      </c>
      <c r="P810" s="781"/>
      <c r="Q810" s="782"/>
      <c r="R810" s="767"/>
      <c r="S810" s="768"/>
      <c r="T810" s="538"/>
      <c r="U810" s="539"/>
      <c r="V810" s="540"/>
      <c r="X810" s="541"/>
      <c r="Y810" s="541"/>
    </row>
    <row r="811" spans="1:29" s="44" customFormat="1" ht="24.95" customHeight="1">
      <c r="A811" s="42" t="str">
        <f>"H"&amp;E800</f>
        <v>H27</v>
      </c>
      <c r="B811" s="605" t="str">
        <f t="shared" si="159"/>
        <v/>
      </c>
      <c r="C811" s="581"/>
      <c r="D811" s="581"/>
      <c r="E811" s="581"/>
      <c r="F811" s="581"/>
      <c r="G811" s="534"/>
      <c r="H811" s="534"/>
      <c r="I811" s="579"/>
      <c r="J811" s="580" t="str">
        <f>IF(I811="","",IF(I811="I",$F800,VLOOKUP(I811,$C821:$D826,2,0)))</f>
        <v/>
      </c>
      <c r="K811" s="535"/>
      <c r="L811" s="535"/>
      <c r="M811" s="537"/>
      <c r="N811" s="43" t="str">
        <f t="shared" si="157"/>
        <v/>
      </c>
      <c r="O811" s="260" t="str">
        <f t="shared" si="158"/>
        <v/>
      </c>
      <c r="P811" s="781"/>
      <c r="Q811" s="782"/>
      <c r="R811" s="767"/>
      <c r="S811" s="768"/>
      <c r="T811" s="538"/>
      <c r="U811" s="539"/>
      <c r="V811" s="540"/>
      <c r="X811" s="541"/>
      <c r="Y811" s="541"/>
    </row>
    <row r="812" spans="1:29" s="44" customFormat="1" ht="24.95" customHeight="1">
      <c r="A812" s="42" t="str">
        <f>"I"&amp;E800</f>
        <v>I27</v>
      </c>
      <c r="B812" s="605" t="str">
        <f t="shared" si="159"/>
        <v/>
      </c>
      <c r="C812" s="581"/>
      <c r="D812" s="581"/>
      <c r="E812" s="581"/>
      <c r="F812" s="581"/>
      <c r="G812" s="534"/>
      <c r="H812" s="534"/>
      <c r="I812" s="579"/>
      <c r="J812" s="580" t="str">
        <f>IF(I812="","",IF(I812="I",$F800,VLOOKUP(I812,$C821:$D826,2,0)))</f>
        <v/>
      </c>
      <c r="K812" s="535"/>
      <c r="L812" s="535"/>
      <c r="M812" s="537"/>
      <c r="N812" s="43" t="str">
        <f t="shared" si="157"/>
        <v/>
      </c>
      <c r="O812" s="260" t="str">
        <f t="shared" si="158"/>
        <v/>
      </c>
      <c r="P812" s="781"/>
      <c r="Q812" s="782"/>
      <c r="R812" s="767"/>
      <c r="S812" s="768"/>
      <c r="T812" s="538"/>
      <c r="U812" s="539"/>
      <c r="V812" s="540"/>
      <c r="X812" s="541"/>
      <c r="Y812" s="541"/>
    </row>
    <row r="813" spans="1:29" s="44" customFormat="1" ht="24.95" customHeight="1" thickBot="1">
      <c r="A813" s="42" t="str">
        <f>"J"&amp;E800</f>
        <v>J27</v>
      </c>
      <c r="B813" s="612" t="str">
        <f t="shared" si="159"/>
        <v/>
      </c>
      <c r="C813" s="582"/>
      <c r="D813" s="582"/>
      <c r="E813" s="582"/>
      <c r="F813" s="582"/>
      <c r="G813" s="583"/>
      <c r="H813" s="583"/>
      <c r="I813" s="584"/>
      <c r="J813" s="585" t="str">
        <f>IF(I813="","",IF(I813="I",$F800,VLOOKUP(I813,$C821:$D826,2,0)))</f>
        <v/>
      </c>
      <c r="K813" s="586"/>
      <c r="L813" s="586"/>
      <c r="M813" s="587"/>
      <c r="N813" s="43" t="str">
        <f t="shared" si="157"/>
        <v/>
      </c>
      <c r="O813" s="260" t="str">
        <f t="shared" si="158"/>
        <v/>
      </c>
      <c r="P813" s="781"/>
      <c r="Q813" s="782"/>
      <c r="R813" s="767"/>
      <c r="S813" s="768"/>
      <c r="T813" s="538"/>
      <c r="U813" s="539"/>
      <c r="V813" s="540"/>
      <c r="X813" s="541"/>
      <c r="Y813" s="541"/>
    </row>
    <row r="814" spans="1:29" s="27" customFormat="1" ht="12" customHeight="1" thickBot="1">
      <c r="A814" s="42"/>
      <c r="B814" s="45"/>
      <c r="C814" s="46"/>
      <c r="D814" s="46"/>
      <c r="E814" s="46"/>
      <c r="F814" s="46"/>
      <c r="G814" s="46"/>
      <c r="H814" s="606"/>
      <c r="I814" s="46"/>
      <c r="J814" s="46"/>
      <c r="K814" s="46"/>
      <c r="L814" s="46"/>
      <c r="M814" s="46"/>
      <c r="N814" s="46"/>
      <c r="O814" s="259"/>
      <c r="P814" s="46"/>
      <c r="Q814" s="46"/>
      <c r="R814" s="259"/>
      <c r="S814" s="46"/>
      <c r="T814" s="46"/>
      <c r="U814" s="47"/>
      <c r="V814" s="48"/>
      <c r="X814" s="592"/>
      <c r="Y814" s="593"/>
      <c r="AB814" s="378"/>
    </row>
    <row r="815" spans="1:29" s="27" customFormat="1" ht="17.25" customHeight="1" thickBot="1">
      <c r="A815" s="42" t="str">
        <f>"Z"&amp;E800</f>
        <v>Z27</v>
      </c>
      <c r="B815" s="510"/>
      <c r="C815" s="511"/>
      <c r="D815" s="511"/>
      <c r="E815" s="511"/>
      <c r="F815" s="511"/>
      <c r="G815" s="511"/>
      <c r="H815" s="511"/>
      <c r="I815" s="511"/>
      <c r="J815" s="511"/>
      <c r="K815" s="511"/>
      <c r="L815" s="511"/>
      <c r="M815" s="511"/>
      <c r="N815" s="437" t="s">
        <v>388</v>
      </c>
      <c r="O815" s="438">
        <f>IF(COUNTIF(O804:O813,"")&gt;9,0,SUM(O804:O813)/(COUNTIF(H804:H813,"SI")))</f>
        <v>292.80240000000003</v>
      </c>
      <c r="P815" s="511"/>
      <c r="Q815" s="511"/>
      <c r="R815" s="530"/>
      <c r="S815" s="530"/>
      <c r="T815" s="531"/>
      <c r="U815" s="532"/>
      <c r="V815" s="533"/>
      <c r="W815" s="285"/>
      <c r="X815" s="613" t="e">
        <f>COUNTIF(#REF!,"")-COUNTIF(#REF!,"CUMPLE")-1</f>
        <v>#REF!</v>
      </c>
      <c r="Y815" s="591"/>
      <c r="AB815" s="28"/>
    </row>
    <row r="816" spans="1:29" ht="17.25" customHeight="1">
      <c r="B816" s="50"/>
      <c r="C816" s="50"/>
      <c r="D816" s="50"/>
      <c r="E816" s="50"/>
      <c r="F816" s="50"/>
      <c r="G816" s="51"/>
      <c r="H816" s="51"/>
      <c r="I816" s="51"/>
      <c r="J816" s="51"/>
      <c r="K816" s="51"/>
      <c r="L816" s="51"/>
      <c r="M816" s="51"/>
      <c r="N816" s="51"/>
      <c r="O816" s="51"/>
      <c r="P816" s="51"/>
      <c r="Q816" s="51"/>
      <c r="R816" s="51"/>
      <c r="S816" s="51"/>
      <c r="T816" s="51"/>
      <c r="U816" s="51"/>
      <c r="V816" s="51"/>
      <c r="W816" s="51"/>
      <c r="X816" s="608"/>
      <c r="Y816" s="51"/>
      <c r="Z816" s="51"/>
      <c r="AA816" s="51"/>
      <c r="AB816" s="51"/>
      <c r="AC816" s="50"/>
    </row>
    <row r="817" spans="1:29" s="27" customFormat="1" ht="16.5" customHeight="1" thickBot="1">
      <c r="A817" s="22"/>
      <c r="B817" s="783" t="s">
        <v>389</v>
      </c>
      <c r="C817" s="783"/>
      <c r="D817" s="783"/>
      <c r="E817" s="783"/>
      <c r="F817" s="783"/>
      <c r="G817" s="783"/>
      <c r="H817" s="783"/>
      <c r="I817" s="783"/>
      <c r="J817" s="783"/>
      <c r="K817" s="783"/>
      <c r="L817" s="783"/>
      <c r="M817" s="783"/>
      <c r="N817" s="783"/>
      <c r="O817" s="783"/>
      <c r="P817" s="783"/>
      <c r="Q817" s="783"/>
      <c r="R817" s="783"/>
      <c r="S817" s="783"/>
      <c r="T817" s="783"/>
      <c r="U817" s="783"/>
      <c r="V817" s="783"/>
      <c r="W817" s="286"/>
      <c r="X817" s="607"/>
      <c r="Y817" s="52"/>
      <c r="Z817" s="52"/>
      <c r="AA817" s="52"/>
      <c r="AB817" s="28"/>
      <c r="AC817" s="28"/>
    </row>
    <row r="818" spans="1:29" s="30" customFormat="1" ht="22.5" customHeight="1">
      <c r="A818" s="112" t="str">
        <f>"K"&amp;E800</f>
        <v>K27</v>
      </c>
      <c r="B818" s="790" t="s">
        <v>390</v>
      </c>
      <c r="C818" s="772" t="s">
        <v>391</v>
      </c>
      <c r="D818" s="773"/>
      <c r="E818" s="773"/>
      <c r="F818" s="773"/>
      <c r="G818" s="773"/>
      <c r="H818" s="773"/>
      <c r="I818" s="773"/>
      <c r="J818" s="773"/>
      <c r="K818" s="773"/>
      <c r="L818" s="773"/>
      <c r="M818" s="774"/>
      <c r="N818" s="525"/>
      <c r="O818" s="588"/>
      <c r="P818" s="772" t="s">
        <v>392</v>
      </c>
      <c r="Q818" s="773"/>
      <c r="R818" s="773"/>
      <c r="S818" s="774"/>
      <c r="T818" s="784" t="s">
        <v>393</v>
      </c>
      <c r="U818" s="774"/>
      <c r="V818" s="811"/>
      <c r="W818" s="284"/>
      <c r="X818" s="778" t="s">
        <v>394</v>
      </c>
      <c r="Y818" s="779"/>
      <c r="Z818" s="779"/>
      <c r="AA818" s="779" t="s">
        <v>395</v>
      </c>
      <c r="AB818" s="808" t="s">
        <v>396</v>
      </c>
      <c r="AC818" s="28"/>
    </row>
    <row r="819" spans="1:29" s="30" customFormat="1" ht="22.5" customHeight="1">
      <c r="A819" s="112" t="str">
        <f>"L"&amp;E800</f>
        <v>L27</v>
      </c>
      <c r="B819" s="791"/>
      <c r="C819" s="769" t="s">
        <v>397</v>
      </c>
      <c r="D819" s="770"/>
      <c r="E819" s="771"/>
      <c r="F819" s="512">
        <f>IF(VLOOKUP(E800,PROPONENTES!$C$19:$E$108,3,0)="","",VLOOKUP(E800,PROPONENTES!$C$19:$E$108,3,0))</f>
        <v>1</v>
      </c>
      <c r="G819" s="824" t="s">
        <v>398</v>
      </c>
      <c r="H819" s="793" t="s">
        <v>399</v>
      </c>
      <c r="I819" s="793"/>
      <c r="J819" s="769" t="s">
        <v>400</v>
      </c>
      <c r="K819" s="823"/>
      <c r="L819" s="513" t="s">
        <v>401</v>
      </c>
      <c r="M819" s="513"/>
      <c r="N819" s="526"/>
      <c r="O819" s="527"/>
      <c r="P819" s="775"/>
      <c r="Q819" s="776"/>
      <c r="R819" s="776"/>
      <c r="S819" s="777"/>
      <c r="T819" s="796"/>
      <c r="U819" s="797"/>
      <c r="V819" s="812"/>
      <c r="W819" s="284"/>
      <c r="X819" s="780" t="s">
        <v>402</v>
      </c>
      <c r="Y819" s="810" t="s">
        <v>403</v>
      </c>
      <c r="Z819" s="810"/>
      <c r="AA819" s="810"/>
      <c r="AB819" s="809"/>
      <c r="AC819" s="28"/>
    </row>
    <row r="820" spans="1:29" s="30" customFormat="1" ht="51.75" customHeight="1" thickBot="1">
      <c r="A820" s="112" t="str">
        <f>"M"&amp;E800</f>
        <v>M27</v>
      </c>
      <c r="B820" s="791"/>
      <c r="C820" s="770" t="s">
        <v>404</v>
      </c>
      <c r="D820" s="771"/>
      <c r="E820" s="514" t="s">
        <v>405</v>
      </c>
      <c r="F820" s="515" t="s">
        <v>406</v>
      </c>
      <c r="G820" s="824"/>
      <c r="H820" s="793"/>
      <c r="I820" s="793"/>
      <c r="J820" s="504" t="s">
        <v>407</v>
      </c>
      <c r="K820" s="516" t="s">
        <v>408</v>
      </c>
      <c r="L820" s="517" t="s">
        <v>409</v>
      </c>
      <c r="M820" s="517"/>
      <c r="N820" s="528" t="s">
        <v>410</v>
      </c>
      <c r="O820" s="529"/>
      <c r="P820" s="386"/>
      <c r="Q820" s="387" t="s">
        <v>411</v>
      </c>
      <c r="R820" s="388"/>
      <c r="S820" s="113">
        <f>COUNTIFS(H804:H813,"SI",O804:O813,"&gt;0")</f>
        <v>4</v>
      </c>
      <c r="T820" s="785"/>
      <c r="U820" s="787"/>
      <c r="V820" s="813"/>
      <c r="W820" s="284"/>
      <c r="X820" s="780"/>
      <c r="Y820" s="810"/>
      <c r="Z820" s="810"/>
      <c r="AA820" s="810"/>
      <c r="AB820" s="809"/>
      <c r="AC820" s="28"/>
    </row>
    <row r="821" spans="1:29" s="30" customFormat="1" ht="15.75" customHeight="1">
      <c r="A821" s="112" t="str">
        <f>"N"&amp;E800</f>
        <v>N27</v>
      </c>
      <c r="B821" s="791"/>
      <c r="C821" s="54">
        <v>1</v>
      </c>
      <c r="D821" s="100" t="str">
        <f>IF(AND(C821&lt;=F819,F819&gt;1,F819&lt;&gt;""),VLOOKUP(VALUE(E800&amp;","&amp;C821),INTEGRANTES!$D$19:$F$192,2,0),"")</f>
        <v/>
      </c>
      <c r="E821" s="107" t="str">
        <f>IF(D821&lt;&gt;"",VLOOKUP(VALUE(E800&amp;","&amp;C821),INTEGRANTES!$D$19:$F$192,3,0),"")</f>
        <v/>
      </c>
      <c r="F821" s="380" t="str">
        <f>IF(D821="","",IF(OR(SUMIF($J807:$J813,D821,$O807:$O813)=0,N821="NO"),"NO APORTA",SUMIF($J807:$J813,D821,$O807:$O813)))</f>
        <v/>
      </c>
      <c r="G821" s="380" t="str">
        <f>IF($D821="","",IF($F819&lt;=1,"",ROUND(POSMMLV*PORPO,2)))</f>
        <v/>
      </c>
      <c r="H821" s="765" t="str">
        <f>IF($D821="","",IF(OR(F821="NO APORTA",G821&gt;F821),"NO CUMPLE","CUMPLE"))</f>
        <v/>
      </c>
      <c r="I821" s="766"/>
      <c r="J821" s="108" t="str">
        <f>IF(D821="","",IF(OR(AND(SUMIF($J804:$J813,D821,$O804:$O813)&gt;=5%*POSMMLV,N821="SI"),AND(SUMIF($J804:$J813,D821,$O804:$O813)=0,E821&lt;=5%,N821="SI")),"CUMPLE","NO CUMPLE"))</f>
        <v/>
      </c>
      <c r="K821" s="105" t="str">
        <f>IF(OR(D821="",J821=""),"",IF(AND(J821="NO CUMPLE",F821="NO APORTA",E821&gt;5%),"EXP = 0 y PART &gt; 5%",IF(F821&lt;5%*Q826,"EXP &lt; 5%*PO","")))</f>
        <v/>
      </c>
      <c r="L821" s="389" t="str">
        <f>IF(OR(D821="",E821=""),"",IF(AND(E821&gt;=0.25,F821&lt;&gt;"NO APORTA",F821&gt;=$R826*0.25),"SI","NO"))</f>
        <v/>
      </c>
      <c r="M821" s="389"/>
      <c r="N821" s="468" t="s">
        <v>385</v>
      </c>
      <c r="O821" s="396">
        <f>COUNTIFS(O804:O813,"&gt;0",H804:H813,"SI")</f>
        <v>4</v>
      </c>
      <c r="P821" s="814" t="s">
        <v>139</v>
      </c>
      <c r="Q821" s="814"/>
      <c r="R821" s="817">
        <f>E800</f>
        <v>27</v>
      </c>
      <c r="S821" s="818"/>
      <c r="T821" s="784" t="s">
        <v>412</v>
      </c>
      <c r="U821" s="773"/>
      <c r="V821" s="774"/>
      <c r="W821" s="283"/>
      <c r="X821" s="542" t="str">
        <f>IF($F819=1,"NO APLICA",$D821)</f>
        <v>NO APLICA</v>
      </c>
      <c r="Y821" s="543" t="str">
        <f>IF(OR($F821="",$F821="NO APORTA",$R826=0,$X821="NO APLICA"),"",ROUND($F821/$Q826,2))</f>
        <v/>
      </c>
      <c r="Z821" s="544" t="str">
        <f>IF(Y827=1,"SI APLICA",IF(OR($X821="",$X821="NO APLICA",$F821="",$F821="NO APORTA"),"",IF(ROUND($F821/Q826,7)&gt;=0.4,"SI APLICA","NO APLICA")))</f>
        <v>SI APLICA</v>
      </c>
      <c r="AA821" s="543" t="s">
        <v>413</v>
      </c>
      <c r="AB821" s="540" t="str">
        <f>IF(COUNTIF(Z821:AA821,"SI APLICA")=2,"SI APLICA","")</f>
        <v>SI APLICA</v>
      </c>
      <c r="AC821" s="28"/>
    </row>
    <row r="822" spans="1:29" s="30" customFormat="1" ht="15.75" customHeight="1" thickBot="1">
      <c r="A822" s="112" t="str">
        <f>"O"&amp;E800</f>
        <v>O27</v>
      </c>
      <c r="B822" s="791"/>
      <c r="C822" s="54">
        <v>2</v>
      </c>
      <c r="D822" s="100" t="str">
        <f>IF(AND(C822&lt;=F819,F819&lt;&gt;""),VLOOKUP(VALUE(E800&amp;","&amp;C822),INTEGRANTES!$D$19:$F$192,2,0),"")</f>
        <v/>
      </c>
      <c r="E822" s="107" t="str">
        <f>IF(D822&lt;&gt;"",VLOOKUP(VALUE(E800&amp;","&amp;C822),INTEGRANTES!$D$19:$F$192,3,0),"")</f>
        <v/>
      </c>
      <c r="F822" s="380" t="str">
        <f>IF(D822="","",IF(OR(SUMIF($J807:$J813,D822,$O807:$O813)=0,N822="NO"),"NO APORTA",SUMIF($J807:$J813,D822,$O807:$O813)))</f>
        <v/>
      </c>
      <c r="G822" s="380" t="str">
        <f>IF($D822="","",IF($F819&lt;=1,"",ROUND(POSMMLV*PORPO,2)))</f>
        <v/>
      </c>
      <c r="H822" s="765" t="str">
        <f t="shared" ref="H822:H825" si="160">IF($D822="","",IF(OR(F822="NO APORTA",G822&gt;F822),"NO CUMPLE","CUMPLE"))</f>
        <v/>
      </c>
      <c r="I822" s="766"/>
      <c r="J822" s="108" t="str">
        <f>IF(D822="","",IF(OR(AND(SUMIF($J804:$J813,D822,$O804:$O813)&gt;=5%*POSMMLV,N822="SI"),AND(SUMIF($J804:$J813,D822,$O804:$O813)=0,E822&lt;=5%,N822="SI")),"CUMPLE","NO CUMPLE"))</f>
        <v/>
      </c>
      <c r="K822" s="105" t="str">
        <f>IF(OR(D822="",J822=""),"",IF(AND(J822="NO CUMPLE",F822="NO APORTA",E822&gt;5%),"EXP = 0 y PART &gt; 5%",IF(F822&lt;5%*Q826,"EXP &lt; 5%*PO","")))</f>
        <v/>
      </c>
      <c r="L822" s="389" t="str">
        <f>IF(OR(D822="",E822=""),"",IF(AND(E822&gt;=0.25,F822&lt;&gt;"NO APORTA",F822&gt;=$R826*0.25),"SI","NO"))</f>
        <v/>
      </c>
      <c r="M822" s="389"/>
      <c r="N822" s="468"/>
      <c r="O822" s="396"/>
      <c r="P822" s="815"/>
      <c r="Q822" s="815"/>
      <c r="R822" s="815"/>
      <c r="S822" s="819"/>
      <c r="T822" s="785"/>
      <c r="U822" s="786"/>
      <c r="V822" s="787"/>
      <c r="W822" s="283"/>
      <c r="X822" s="542" t="str">
        <f>IF($F819=1,"NO APLICA",$D822)</f>
        <v>NO APLICA</v>
      </c>
      <c r="Y822" s="543" t="str">
        <f>IF(OR($F822="",$F822="NO APORTA",$R826=0,$X822="NO APLICA"),"",ROUND($F822/$Q826,2))</f>
        <v/>
      </c>
      <c r="Z822" s="544"/>
      <c r="AA822" s="543"/>
      <c r="AB822" s="540" t="str">
        <f t="shared" ref="AB822" si="161">IF(COUNTIF(Z822:AA822,"SI APLICA")=2,"SI APLICA","")</f>
        <v/>
      </c>
      <c r="AC822" s="28"/>
    </row>
    <row r="823" spans="1:29" s="30" customFormat="1" ht="15.75" customHeight="1">
      <c r="A823" s="112" t="str">
        <f>"P"&amp;E800</f>
        <v>P27</v>
      </c>
      <c r="B823" s="791"/>
      <c r="C823" s="54">
        <v>3</v>
      </c>
      <c r="D823" s="100" t="str">
        <f>IF(AND(C823&lt;=F819,F819&lt;&gt;""),VLOOKUP(VALUE(E800&amp;","&amp;C823),INTEGRANTES!$D$19:$F$192,2,0),"")</f>
        <v/>
      </c>
      <c r="E823" s="107" t="str">
        <f>IF(D823&lt;&gt;"",VLOOKUP(VALUE(E800&amp;","&amp;C823),INTEGRANTES!$D$19:$F$192,3,0),"")</f>
        <v/>
      </c>
      <c r="F823" s="380" t="str">
        <f>IF(D823="","",IF(OR(SUMIF($J807:$J813,D823,$O807:$O813)=0,N823="NO"),"NO APORTA",SUMIF($J807:$J813,D823,$O807:$O813)))</f>
        <v/>
      </c>
      <c r="G823" s="380" t="str">
        <f>IF($D823="","",IF($F819&lt;=1,"",ROUND(POSMMLV*PORPO,2)))</f>
        <v/>
      </c>
      <c r="H823" s="765" t="str">
        <f t="shared" si="160"/>
        <v/>
      </c>
      <c r="I823" s="766"/>
      <c r="J823" s="108" t="str">
        <f>IF(D823="","",IF(OR(AND(SUMIF($J804:$J813,D823,$O804:$O813)&gt;=5%*POSMMLV,N823="SI"),AND(SUMIF($J804:$J813,D823,$O804:$O813)=0,E823&lt;=5%,N823="SI")),"CUMPLE","NO CUMPLE"))</f>
        <v/>
      </c>
      <c r="K823" s="105" t="str">
        <f>IF(OR(D823="",J823=""),"",IF(AND(J823="NO CUMPLE",F823="NO APORTA",E823&gt;5%),"EXP = 0 y PART &gt; 5%",IF(F823&lt;5%*Q826,"EXP &lt; 5%*PO","")))</f>
        <v/>
      </c>
      <c r="L823" s="389" t="str">
        <f>IF(OR(D823="",E823=""),"",IF(AND(E823&gt;=0.25,F823&lt;&gt;"NO APORTA",F823&gt;=$R826*0.25),"SI","NO"))</f>
        <v/>
      </c>
      <c r="M823" s="389"/>
      <c r="N823" s="468"/>
      <c r="O823" s="397"/>
      <c r="P823" s="816"/>
      <c r="Q823" s="816"/>
      <c r="R823" s="816"/>
      <c r="S823" s="820"/>
      <c r="T823" s="308"/>
      <c r="U823" s="308"/>
      <c r="V823" s="309"/>
      <c r="W823" s="284"/>
      <c r="X823" s="542" t="str">
        <f>IF($F819=1,"NO APLICA",$D823)</f>
        <v>NO APLICA</v>
      </c>
      <c r="Y823" s="543" t="str">
        <f>IF(OR($F823="",$F823="NO APORTA",$R826=0,$X823="NO APLICA"),"",ROUND($F823/$Q826,2))</f>
        <v/>
      </c>
      <c r="Z823" s="544"/>
      <c r="AA823" s="543"/>
      <c r="AB823" s="540" t="str">
        <f>IF(COUNTIF(Z823:AA823,"SI APLICA")=2,"SI APLICA","")</f>
        <v/>
      </c>
      <c r="AC823" s="28"/>
    </row>
    <row r="824" spans="1:29" s="30" customFormat="1" ht="15.75" customHeight="1">
      <c r="A824" s="112" t="str">
        <f>"Q"&amp;E800</f>
        <v>Q27</v>
      </c>
      <c r="B824" s="791"/>
      <c r="C824" s="54">
        <v>4</v>
      </c>
      <c r="D824" s="100" t="str">
        <f>IF(AND(C824&lt;=F819,F819&lt;&gt;""),VLOOKUP(VALUE(E800&amp;","&amp;C824),INTEGRANTES!$D$19:$F$192,2,0),"")</f>
        <v/>
      </c>
      <c r="E824" s="107" t="str">
        <f>IF(D824&lt;&gt;"",VLOOKUP(VALUE(E800&amp;","&amp;C824),INTEGRANTES!$D$19:$F$192,3,0),"")</f>
        <v/>
      </c>
      <c r="F824" s="380" t="str">
        <f>IF(D824="","",IF(OR(SUMIF($J807:$J813,D824,$O807:$O813)=0,N824="NO"),"NO APORTA",SUMIF($J807:$J813,D824,$O807:$O813)))</f>
        <v/>
      </c>
      <c r="G824" s="380" t="str">
        <f>IF($D824="","",IF($F819&lt;=1,"",ROUND(POSMMLV*PORPO,2)))</f>
        <v/>
      </c>
      <c r="H824" s="765" t="str">
        <f t="shared" si="160"/>
        <v/>
      </c>
      <c r="I824" s="766"/>
      <c r="J824" s="108" t="str">
        <f>IF(D824="","",IF(OR(AND(SUMIF($J804:$J813,D824,$O804:$O813)&gt;=5%*POSMMLV,N824="SI"),AND(SUMIF($J804:$J813,D824,$O804:$O813)=0,E824&lt;=5%,N824="SI")),"CUMPLE","NO CUMPLE"))</f>
        <v/>
      </c>
      <c r="K824" s="105" t="str">
        <f>IF(OR(D824="",J824=""),"",IF(AND(J824="NO CUMPLE",F824="NO APORTA",E824&gt;5%),"EXP = 0 y PART &gt; 5%",IF(F824&lt;5%*Q826,"EXP &lt; 5%*PO","")))</f>
        <v/>
      </c>
      <c r="L824" s="389" t="str">
        <f>IF(OR(D824="",E824=""),"",IF(AND(E824&gt;=0.25,F824&lt;&gt;"NO APORTA",F824&gt;=$R826*0.25),"SI","NO"))</f>
        <v/>
      </c>
      <c r="M824" s="389"/>
      <c r="N824" s="468"/>
      <c r="O824" s="788" t="s">
        <v>414</v>
      </c>
      <c r="P824" s="769" t="s">
        <v>415</v>
      </c>
      <c r="Q824" s="770"/>
      <c r="R824" s="770"/>
      <c r="S824" s="771"/>
      <c r="T824" s="284"/>
      <c r="U824" s="284"/>
      <c r="V824" s="310"/>
      <c r="W824" s="284"/>
      <c r="X824" s="542" t="str">
        <f>IF($F819=1,"NO APLICA",$D824)</f>
        <v>NO APLICA</v>
      </c>
      <c r="Y824" s="543" t="str">
        <f>IF(OR($F824="",$F824="NO APORTA",$R826=0,$X824="NO APLICA"),"",ROUND($F824/$Q826,2))</f>
        <v/>
      </c>
      <c r="Z824" s="544"/>
      <c r="AA824" s="543"/>
      <c r="AB824" s="540" t="str">
        <f t="shared" ref="AB824:AB825" si="162">IF(COUNTIF(Z824:AA824,"SI APLICA")=2,"SI APLICA","")</f>
        <v/>
      </c>
      <c r="AC824" s="28"/>
    </row>
    <row r="825" spans="1:29" s="30" customFormat="1" ht="17.25" customHeight="1">
      <c r="A825" s="112" t="str">
        <f>"R"&amp;E800</f>
        <v>R27</v>
      </c>
      <c r="B825" s="791"/>
      <c r="C825" s="54">
        <v>5</v>
      </c>
      <c r="D825" s="100" t="str">
        <f>IF(AND(C825&lt;=F819,F819&lt;&gt;""),VLOOKUP(VALUE(E800&amp;","&amp;C825),INTEGRANTES!$D$19:$F$192,2,0),"")</f>
        <v/>
      </c>
      <c r="E825" s="107" t="str">
        <f>IF(D825&lt;&gt;"",VLOOKUP(VALUE(E800&amp;","&amp;C825),INTEGRANTES!$D$19:$F$192,3,0),"")</f>
        <v/>
      </c>
      <c r="F825" s="380" t="str">
        <f>IF(D825="","",IF(OR(SUMIF($J807:$J813,D825,$O807:$O813)=0,N825="NO"),"NO APORTA",SUMIF($J807:$J813,D825,$O807:$O813)))</f>
        <v/>
      </c>
      <c r="G825" s="380" t="str">
        <f>IF($D825="","",IF($F819&lt;=1,"",ROUND(POSMMLV*PORPO,2)))</f>
        <v/>
      </c>
      <c r="H825" s="765" t="str">
        <f t="shared" si="160"/>
        <v/>
      </c>
      <c r="I825" s="766"/>
      <c r="J825" s="108" t="str">
        <f>IF(D825="","",IF(OR(AND(SUMIF($J804:$J813,D825,$O804:$O813)&gt;=5%*POSMMLV,N825="SI"),AND(SUMIF($J804:$J813,D825,$O804:$O813)=0,E825&lt;=5%,N825="SI")),"CUMPLE","NO CUMPLE"))</f>
        <v/>
      </c>
      <c r="K825" s="105" t="str">
        <f>IF(OR(D825="",J825=""),"",IF(AND(J825="NO CUMPLE",F825="NO APORTA",E825&gt;5%),"EXP = 0 y PART &gt; 5%",IF(F825&lt;5%*Q826,"EXP &lt; 5%*PO","")))</f>
        <v/>
      </c>
      <c r="L825" s="389" t="str">
        <f>IF(OR(D825="",E825=""),"",IF(AND(E825&gt;=0.25,F825&lt;&gt;"NO APORTA",F825&gt;=$R826*0.25),"SI","NO"))</f>
        <v/>
      </c>
      <c r="M825" s="389"/>
      <c r="N825" s="468"/>
      <c r="O825" s="789"/>
      <c r="P825" s="504" t="s">
        <v>416</v>
      </c>
      <c r="Q825" s="504" t="s">
        <v>417</v>
      </c>
      <c r="R825" s="793" t="s">
        <v>418</v>
      </c>
      <c r="S825" s="793"/>
      <c r="T825" s="284"/>
      <c r="U825" s="284"/>
      <c r="V825" s="310"/>
      <c r="W825" s="284"/>
      <c r="X825" s="542" t="str">
        <f>IF($F819=1,"NO APLICA",$D825)</f>
        <v>NO APLICA</v>
      </c>
      <c r="Y825" s="543" t="str">
        <f>IF(OR($F825="",$F825="NO APORTA",$R826=0,$X825="NO APLICA"),"",ROUND($F825/$Q826,2))</f>
        <v/>
      </c>
      <c r="Z825" s="544"/>
      <c r="AA825" s="543"/>
      <c r="AB825" s="540" t="str">
        <f t="shared" si="162"/>
        <v/>
      </c>
      <c r="AC825" s="28"/>
    </row>
    <row r="826" spans="1:29" s="30" customFormat="1" ht="16.5" customHeight="1" thickBot="1">
      <c r="A826" s="112" t="str">
        <f>"S"&amp;E800</f>
        <v>S27</v>
      </c>
      <c r="B826" s="791"/>
      <c r="C826" s="109">
        <v>6</v>
      </c>
      <c r="D826" s="110" t="str">
        <f>IF(AND(C826&lt;=F819,F819&lt;&gt;""),VLOOKUP(VALUE(E800&amp;","&amp;C826),INTEGRANTES!$D$19:$F$192,2,0),"")</f>
        <v/>
      </c>
      <c r="E826" s="111" t="str">
        <f>IF(D826&lt;&gt;"",VLOOKUP(VALUE(E800&amp;","&amp;C826),INTEGRANTES!$D$19:$F$192,3,0),"")</f>
        <v/>
      </c>
      <c r="F826" s="380" t="str">
        <f>IF(D826="","",IF(OR(SUMIF($J807:$J813,D826,$O807:$O813)=0,N826="NO"),"NO APORTA",SUMIF($J807:$J813,D826,$O807:$O813)))</f>
        <v/>
      </c>
      <c r="G826" s="380" t="str">
        <f>IF($D826="","",IF($F819&lt;=1,"",ROUND(POSMMLV*PORPO,2)))</f>
        <v/>
      </c>
      <c r="H826" s="765" t="str">
        <f>IF($D826="","",IF(OR(F826="NO APORTA",G826&gt;F826),"NO CUMPLE","CUMPLE"))</f>
        <v/>
      </c>
      <c r="I826" s="766"/>
      <c r="J826" s="108" t="str">
        <f>IF(D826="","",IF(OR(AND(SUMIF($J804:$J813,D826,$O804:$O813)&gt;=5%*POSMMLV,N826="SI"),AND(SUMIF($J804:$J813,D826,$O804:$O813)=0,E826&lt;=5%,N826="SI")),"CUMPLE","NO CUMPLE"))</f>
        <v/>
      </c>
      <c r="K826" s="105" t="str">
        <f>IF(OR(D826="",J826=""),"",IF(AND(J826="NO CUMPLE",F826="NO APORTA",E826&gt;5%),"EXP = 0 y PART &gt; 5%",IF(F826&lt;5%*Q826,"EXP &lt; 5%*PO","")))</f>
        <v/>
      </c>
      <c r="L826" s="389" t="str">
        <f>IF(OR(D826="",E826=""),"",IF(AND(E826&gt;=0.25,F826&lt;&gt;"NO APORTA",F826&gt;=$R826*0.25),"SI","NO"))</f>
        <v/>
      </c>
      <c r="M826" s="389"/>
      <c r="N826" s="468"/>
      <c r="O826" s="403" t="str">
        <f ca="1">IF(R826&gt;=Q826,"CUMPLE","NO CUMPLE")</f>
        <v>CUMPLE</v>
      </c>
      <c r="P826" s="312">
        <f>NUMMOD</f>
        <v>1</v>
      </c>
      <c r="Q826" s="313">
        <f ca="1">IF(P826="","",ROUND(VLOOKUP(P826,PRESUPUESTOS!$B$16:$L$16,9,FALSE),7))</f>
        <v>300</v>
      </c>
      <c r="R826" s="834">
        <f>IF(OR(COUNTIF(O804:O813,"")&gt;9,S820&lt;NUMMINCONT),0,SUM(O804:O813))</f>
        <v>1171.2096000000001</v>
      </c>
      <c r="S826" s="834"/>
      <c r="T826" s="284"/>
      <c r="U826" s="284"/>
      <c r="V826" s="310"/>
      <c r="W826" s="284"/>
      <c r="X826" s="545" t="str">
        <f>IF($F819=1,"NO APLICA",$D826)</f>
        <v>NO APLICA</v>
      </c>
      <c r="Y826" s="543" t="str">
        <f>IF(OR($F826="",$F826="NO APORTA",$R826=0,$X826="NO APLICA"),"",ROUND($F826/$Q826,2))</f>
        <v/>
      </c>
      <c r="Z826" s="544"/>
      <c r="AA826" s="546"/>
      <c r="AB826" s="540" t="str">
        <f>IF(COUNTIF(Z826:AA826,"SI APLICA")=2,"SI APLICA","")</f>
        <v/>
      </c>
      <c r="AC826" s="28"/>
    </row>
    <row r="827" spans="1:29" s="30" customFormat="1" ht="16.5" customHeight="1" thickBot="1">
      <c r="A827" s="112" t="str">
        <f>"T"&amp;E800</f>
        <v>T27</v>
      </c>
      <c r="B827" s="792"/>
      <c r="C827" s="821" t="s">
        <v>419</v>
      </c>
      <c r="D827" s="822"/>
      <c r="E827" s="822"/>
      <c r="F827" s="518"/>
      <c r="G827" s="519"/>
      <c r="H827" s="794" t="str">
        <f>IF(OR($F819="",SUM(E821:E826)=0),"",IF(COUNTIF(H821:H826,"CUMPLE")&gt;=1,"CUMPLE","NO CUMPLE"))</f>
        <v/>
      </c>
      <c r="I827" s="795"/>
      <c r="J827" s="314" t="str">
        <f>IF(COUNTIF(J821:J826,"")&gt;5,"",IF(COUNTIF(J821:J826,"NO CUMPLE")&gt;0,"NO CUMPLE","CUMPLE"))</f>
        <v/>
      </c>
      <c r="K827" s="314" t="str">
        <f>IF(OR(AND(F819=1,N821="SI"),AND(COUNTIF(H827:J827,"CUMPLE")=2)),"CUMPLE","NO CUMPLE")</f>
        <v>CUMPLE</v>
      </c>
      <c r="L827" s="519"/>
      <c r="M827" s="519"/>
      <c r="N827" s="519"/>
      <c r="O827" s="833" t="str">
        <f ca="1">IF(ISNUMBER(F800),"",IF(AND(O826="NO CUMPLE",SUM(N807:N813)&lt;Q826),"EL PROPONENTE SE DEBE REQUERIR POR EXPERIENCIA MINIMA EXIGIDA",""))</f>
        <v/>
      </c>
      <c r="P827" s="833"/>
      <c r="Q827" s="833"/>
      <c r="R827" s="833"/>
      <c r="S827" s="833"/>
      <c r="T827" s="522"/>
      <c r="U827" s="523"/>
      <c r="V827" s="524"/>
      <c r="W827" s="284"/>
      <c r="X827" s="364" t="str">
        <f>IF(Y827=1,"PROPONENTE INDIVIDUAL","PROPONENTE PLURAL")</f>
        <v>PROPONENTE INDIVIDUAL</v>
      </c>
      <c r="Y827" s="276">
        <f>F819</f>
        <v>1</v>
      </c>
      <c r="Z827" s="277" t="str">
        <f>IF(OR(AND(Z821="SI APLICA",AA821="SI APLICA"),AND(Z822="SI APLICA",AA822="SI APLICA"),AND(Z823="SI APLICA",AA823="SI APLICA"),AND(Z824="SI APLICA",AA824="SI APLICA"),AND(Z825="SI APLICA",AA825="SI APLICA"),AND(Z826="SI APLICA",AA826="SI APLICA")),"SI APLICA","NO APLICA")</f>
        <v>SI APLICA</v>
      </c>
      <c r="AA827" s="278" t="str">
        <f>IF(OR(AND(AA821="SI APLICA",AB821="SI APLICA"),AND(AA822="SI APLICA",AB822="SI APLICA"),AND(AA823="SI APLICA",AB823="SI APLICA"),AND(AA824="SI APLICA",AB824="SI APLICA"),AND(AA825="SI APLICA",AB825="SI APLICA"),AND(AA826="SI APLICA",AB826="SI APLICA")),"SI APLICA","NO APLICA")</f>
        <v>SI APLICA</v>
      </c>
      <c r="AB827" s="278" t="str">
        <f>IF(COUNTIF(AB821:AB826,"SI APLICA")&gt;0,"SI APLICA","NO APLICA")</f>
        <v>SI APLICA</v>
      </c>
      <c r="AC827" s="28"/>
    </row>
    <row r="828" spans="1:29" ht="24.95" customHeight="1"/>
    <row r="829" spans="1:29" ht="24.95" customHeight="1"/>
    <row r="830" spans="1:29" s="41" customFormat="1" ht="24" thickBot="1">
      <c r="A830" s="34">
        <v>28</v>
      </c>
      <c r="B830" s="828" t="s">
        <v>355</v>
      </c>
      <c r="C830" s="828"/>
      <c r="D830" s="828"/>
      <c r="E830" s="35">
        <f>VLOOKUP(A830,PROPONENTES!$B$19:$E$108,2,FALSE)</f>
        <v>28</v>
      </c>
      <c r="F830" s="36" t="str">
        <f>VLOOKUP(A830,PROPONENTES!$B$19:$E$108,3,FALSE)</f>
        <v>CONSORCIO TOLIMA</v>
      </c>
      <c r="G830" s="37"/>
      <c r="H830" s="37"/>
      <c r="I830" s="36"/>
      <c r="J830" s="36"/>
      <c r="K830" s="36"/>
      <c r="L830" s="36"/>
      <c r="M830" s="38"/>
      <c r="N830" s="38"/>
      <c r="O830" s="37"/>
      <c r="P830" s="37"/>
      <c r="Q830" s="39"/>
      <c r="R830" s="39"/>
      <c r="S830" s="39"/>
      <c r="T830" s="39"/>
      <c r="U830" s="40"/>
      <c r="Y830" s="52"/>
      <c r="Z830" s="52"/>
      <c r="AA830" s="52"/>
      <c r="AB830" s="28"/>
      <c r="AC830" s="28"/>
    </row>
    <row r="831" spans="1:29" s="27" customFormat="1" ht="24.75" customHeight="1">
      <c r="A831" s="22"/>
      <c r="B831" s="829" t="s">
        <v>356</v>
      </c>
      <c r="C831" s="501" t="s">
        <v>357</v>
      </c>
      <c r="D831" s="502" t="s">
        <v>358</v>
      </c>
      <c r="E831" s="502"/>
      <c r="F831" s="502" t="s">
        <v>359</v>
      </c>
      <c r="G831" s="503"/>
      <c r="H831" s="803" t="s">
        <v>360</v>
      </c>
      <c r="I831" s="831" t="s">
        <v>361</v>
      </c>
      <c r="J831" s="803" t="s">
        <v>362</v>
      </c>
      <c r="K831" s="803" t="s">
        <v>363</v>
      </c>
      <c r="L831" s="803" t="s">
        <v>364</v>
      </c>
      <c r="M831" s="803" t="s">
        <v>365</v>
      </c>
      <c r="N831" s="804" t="s">
        <v>366</v>
      </c>
      <c r="O831" s="805"/>
      <c r="P831" s="806" t="s">
        <v>367</v>
      </c>
      <c r="Q831" s="807"/>
      <c r="R831" s="784" t="s">
        <v>368</v>
      </c>
      <c r="S831" s="774"/>
      <c r="T831" s="798" t="s">
        <v>369</v>
      </c>
      <c r="U831" s="799"/>
      <c r="V831" s="800"/>
      <c r="X831" s="520"/>
      <c r="Y831" s="520"/>
    </row>
    <row r="832" spans="1:29" s="27" customFormat="1" ht="94.5" customHeight="1">
      <c r="A832" s="22"/>
      <c r="B832" s="830"/>
      <c r="C832" s="504" t="s">
        <v>370</v>
      </c>
      <c r="D832" s="505" t="s">
        <v>41</v>
      </c>
      <c r="E832" s="505" t="s">
        <v>371</v>
      </c>
      <c r="F832" s="505" t="s">
        <v>372</v>
      </c>
      <c r="G832" s="506" t="s">
        <v>373</v>
      </c>
      <c r="H832" s="793"/>
      <c r="I832" s="832"/>
      <c r="J832" s="793"/>
      <c r="K832" s="793"/>
      <c r="L832" s="793"/>
      <c r="M832" s="793"/>
      <c r="N832" s="504" t="s">
        <v>374</v>
      </c>
      <c r="O832" s="505" t="s">
        <v>375</v>
      </c>
      <c r="P832" s="801"/>
      <c r="Q832" s="802"/>
      <c r="R832" s="796"/>
      <c r="S832" s="797"/>
      <c r="T832" s="507" t="s">
        <v>376</v>
      </c>
      <c r="U832" s="508" t="s">
        <v>377</v>
      </c>
      <c r="V832" s="509" t="s">
        <v>378</v>
      </c>
      <c r="X832" s="521" t="s">
        <v>379</v>
      </c>
      <c r="Y832" s="521" t="s">
        <v>380</v>
      </c>
    </row>
    <row r="833" spans="1:29" s="27" customFormat="1" ht="15" customHeight="1">
      <c r="A833" s="22"/>
      <c r="B833" s="594"/>
      <c r="C833" s="595">
        <v>3</v>
      </c>
      <c r="D833" s="595">
        <v>4</v>
      </c>
      <c r="E833" s="595">
        <v>5</v>
      </c>
      <c r="F833" s="595">
        <v>6</v>
      </c>
      <c r="G833" s="595">
        <v>7</v>
      </c>
      <c r="H833" s="595">
        <v>8</v>
      </c>
      <c r="I833" s="595">
        <v>9</v>
      </c>
      <c r="J833" s="595">
        <v>10</v>
      </c>
      <c r="K833" s="595">
        <v>11</v>
      </c>
      <c r="L833" s="595">
        <v>12</v>
      </c>
      <c r="M833" s="595">
        <v>13</v>
      </c>
      <c r="N833" s="595">
        <v>14</v>
      </c>
      <c r="O833" s="595">
        <v>15</v>
      </c>
      <c r="P833" s="596">
        <v>16</v>
      </c>
      <c r="Q833" s="597">
        <v>17</v>
      </c>
      <c r="R833" s="596">
        <v>18</v>
      </c>
      <c r="S833" s="597">
        <v>19</v>
      </c>
      <c r="T833" s="598">
        <v>20</v>
      </c>
      <c r="U833" s="255">
        <v>21</v>
      </c>
      <c r="V833" s="599">
        <v>22</v>
      </c>
      <c r="X833" s="589"/>
      <c r="Y833" s="590"/>
    </row>
    <row r="834" spans="1:29" s="44" customFormat="1" ht="144" customHeight="1">
      <c r="A834" s="42" t="str">
        <f>"A"&amp;E830</f>
        <v>A28</v>
      </c>
      <c r="B834" s="605">
        <f>IF(C834&lt;&gt;"",B833+1,"")</f>
        <v>1</v>
      </c>
      <c r="C834" s="581" t="s">
        <v>606</v>
      </c>
      <c r="D834" s="581" t="s">
        <v>607</v>
      </c>
      <c r="E834" s="581" t="s">
        <v>608</v>
      </c>
      <c r="F834" s="581" t="s">
        <v>431</v>
      </c>
      <c r="G834" s="534">
        <v>0.35</v>
      </c>
      <c r="H834" s="534" t="s">
        <v>385</v>
      </c>
      <c r="I834" s="579">
        <v>1</v>
      </c>
      <c r="J834" s="580" t="str">
        <f>IF(I834="","",IF(I834="I",$F830,VLOOKUP(I834,$C851:$D856,2,0)))</f>
        <v>INVERSIONES INCO SAS</v>
      </c>
      <c r="K834" s="535">
        <v>43766</v>
      </c>
      <c r="L834" s="535">
        <v>44036</v>
      </c>
      <c r="M834" s="536">
        <v>444.32</v>
      </c>
      <c r="N834" s="232">
        <f t="shared" ref="N834:N835" si="163">IF(OR(G834="",M834=""),"",M834*G834)</f>
        <v>155.512</v>
      </c>
      <c r="O834" s="637">
        <f t="shared" ref="O834:O835" si="164">IF(OR(H834="",H834="NO",K834&lt;$Q$17,K834&gt;$R$17,K834="",M834="",N834=""),"",ROUND(N834,7))</f>
        <v>155.512</v>
      </c>
      <c r="P834" s="781"/>
      <c r="Q834" s="782"/>
      <c r="R834" s="767" t="s">
        <v>609</v>
      </c>
      <c r="S834" s="768"/>
      <c r="T834" s="538" t="s">
        <v>385</v>
      </c>
      <c r="U834" s="539">
        <v>19</v>
      </c>
      <c r="V834" s="540" t="s">
        <v>385</v>
      </c>
      <c r="X834" s="541" t="s">
        <v>386</v>
      </c>
      <c r="Y834" s="541" t="s">
        <v>435</v>
      </c>
    </row>
    <row r="835" spans="1:29" s="44" customFormat="1" ht="48" customHeight="1">
      <c r="A835" s="42" t="str">
        <f>"B"&amp;E830</f>
        <v>B28</v>
      </c>
      <c r="B835" s="605">
        <f t="shared" ref="B835:B843" si="165">IF(C835&lt;&gt;"",B834+1,"")</f>
        <v>2</v>
      </c>
      <c r="C835" s="581" t="s">
        <v>606</v>
      </c>
      <c r="D835" s="581" t="s">
        <v>610</v>
      </c>
      <c r="E835" s="581" t="s">
        <v>611</v>
      </c>
      <c r="F835" s="581" t="s">
        <v>431</v>
      </c>
      <c r="G835" s="534">
        <v>0.64</v>
      </c>
      <c r="H835" s="534" t="s">
        <v>385</v>
      </c>
      <c r="I835" s="579">
        <v>2</v>
      </c>
      <c r="J835" s="580" t="str">
        <f>IF(I835="","",IF(I835="I",$F829,VLOOKUP(I835,$C850:$D855,2,0)))</f>
        <v>MANUEL IGNACIO ZARATE ROJAS</v>
      </c>
      <c r="K835" s="535">
        <v>43269</v>
      </c>
      <c r="L835" s="535">
        <v>43670</v>
      </c>
      <c r="M835" s="536">
        <v>952.18</v>
      </c>
      <c r="N835" s="232">
        <f t="shared" si="163"/>
        <v>609.39519999999993</v>
      </c>
      <c r="O835" s="637">
        <f t="shared" si="164"/>
        <v>609.39520000000005</v>
      </c>
      <c r="P835" s="781"/>
      <c r="Q835" s="782"/>
      <c r="R835" s="767"/>
      <c r="S835" s="768"/>
      <c r="T835" s="538" t="s">
        <v>385</v>
      </c>
      <c r="U835" s="539">
        <v>85</v>
      </c>
      <c r="V835" s="540" t="s">
        <v>385</v>
      </c>
      <c r="X835" s="541" t="s">
        <v>386</v>
      </c>
      <c r="Y835" s="541" t="s">
        <v>435</v>
      </c>
    </row>
    <row r="836" spans="1:29" s="44" customFormat="1" ht="24.95" customHeight="1">
      <c r="A836" s="42" t="str">
        <f>"C"&amp;E830</f>
        <v>C28</v>
      </c>
      <c r="B836" s="605" t="str">
        <f t="shared" si="165"/>
        <v/>
      </c>
      <c r="C836" s="581"/>
      <c r="D836" s="581"/>
      <c r="E836" s="581"/>
      <c r="F836" s="581"/>
      <c r="G836" s="534"/>
      <c r="H836" s="534"/>
      <c r="I836" s="579"/>
      <c r="J836" s="580" t="str">
        <f>IF(I836="","",IF(I836="I",$F830,VLOOKUP(I836,$C851:$D856,2,0)))</f>
        <v/>
      </c>
      <c r="K836" s="535"/>
      <c r="L836" s="535"/>
      <c r="M836" s="536"/>
      <c r="N836" s="232" t="str">
        <f t="shared" ref="N836:N843" si="166">IF(OR(G836="",M836=""),"",M836*G836)</f>
        <v/>
      </c>
      <c r="O836" s="260" t="str">
        <f t="shared" ref="O836:O843" si="167">IF(OR(H836="",H836="NO",K836&lt;$Q$17,K836&gt;$R$17,K836="",M836="",N836=""),"",ROUND(N836,7))</f>
        <v/>
      </c>
      <c r="P836" s="781"/>
      <c r="Q836" s="782"/>
      <c r="R836" s="767"/>
      <c r="S836" s="768"/>
      <c r="T836" s="538"/>
      <c r="U836" s="539"/>
      <c r="V836" s="540"/>
      <c r="X836" s="541"/>
      <c r="Y836" s="541"/>
    </row>
    <row r="837" spans="1:29" s="44" customFormat="1" ht="24.95" customHeight="1">
      <c r="A837" s="42" t="str">
        <f>"D"&amp;E830</f>
        <v>D28</v>
      </c>
      <c r="B837" s="605" t="str">
        <f t="shared" si="165"/>
        <v/>
      </c>
      <c r="C837" s="581"/>
      <c r="D837" s="581"/>
      <c r="E837" s="581"/>
      <c r="F837" s="581"/>
      <c r="G837" s="534"/>
      <c r="H837" s="534"/>
      <c r="I837" s="579"/>
      <c r="J837" s="580" t="str">
        <f>IF(I837="","",IF(I837="I",$F830,VLOOKUP(I837,$C851:$D856,2,0)))</f>
        <v/>
      </c>
      <c r="K837" s="535"/>
      <c r="L837" s="535"/>
      <c r="M837" s="536"/>
      <c r="N837" s="232" t="str">
        <f t="shared" si="166"/>
        <v/>
      </c>
      <c r="O837" s="260" t="str">
        <f t="shared" si="167"/>
        <v/>
      </c>
      <c r="P837" s="781"/>
      <c r="Q837" s="782"/>
      <c r="R837" s="767"/>
      <c r="S837" s="768"/>
      <c r="T837" s="538"/>
      <c r="U837" s="539"/>
      <c r="V837" s="540"/>
      <c r="X837" s="541"/>
      <c r="Y837" s="541"/>
    </row>
    <row r="838" spans="1:29" s="44" customFormat="1" ht="24.95" customHeight="1">
      <c r="A838" s="42" t="str">
        <f>"E"&amp;E830</f>
        <v>E28</v>
      </c>
      <c r="B838" s="605" t="str">
        <f t="shared" si="165"/>
        <v/>
      </c>
      <c r="C838" s="581"/>
      <c r="D838" s="581"/>
      <c r="E838" s="581"/>
      <c r="F838" s="581"/>
      <c r="G838" s="534"/>
      <c r="H838" s="534"/>
      <c r="I838" s="579"/>
      <c r="J838" s="580" t="str">
        <f>IF(I838="","",IF(I838="I",$F830,VLOOKUP(I838,$C851:$D856,2,0)))</f>
        <v/>
      </c>
      <c r="K838" s="535"/>
      <c r="L838" s="535"/>
      <c r="M838" s="536"/>
      <c r="N838" s="232" t="str">
        <f t="shared" si="166"/>
        <v/>
      </c>
      <c r="O838" s="260" t="str">
        <f t="shared" si="167"/>
        <v/>
      </c>
      <c r="P838" s="781"/>
      <c r="Q838" s="782"/>
      <c r="R838" s="767"/>
      <c r="S838" s="768"/>
      <c r="T838" s="538"/>
      <c r="U838" s="539"/>
      <c r="V838" s="540"/>
      <c r="X838" s="541"/>
      <c r="Y838" s="541"/>
    </row>
    <row r="839" spans="1:29" s="44" customFormat="1" ht="24.95" customHeight="1">
      <c r="A839" s="42" t="str">
        <f>"F"&amp;E830</f>
        <v>F28</v>
      </c>
      <c r="B839" s="605" t="str">
        <f t="shared" si="165"/>
        <v/>
      </c>
      <c r="C839" s="581"/>
      <c r="D839" s="581"/>
      <c r="E839" s="581"/>
      <c r="F839" s="581"/>
      <c r="G839" s="534"/>
      <c r="H839" s="534"/>
      <c r="I839" s="579"/>
      <c r="J839" s="580" t="str">
        <f>IF(I839="","",IF(I839="I",$F830,VLOOKUP(I839,$C851:$D856,2,0)))</f>
        <v/>
      </c>
      <c r="K839" s="535"/>
      <c r="L839" s="535"/>
      <c r="M839" s="536"/>
      <c r="N839" s="232" t="str">
        <f t="shared" si="166"/>
        <v/>
      </c>
      <c r="O839" s="260" t="str">
        <f t="shared" si="167"/>
        <v/>
      </c>
      <c r="P839" s="781"/>
      <c r="Q839" s="782"/>
      <c r="R839" s="767"/>
      <c r="S839" s="768"/>
      <c r="T839" s="538"/>
      <c r="U839" s="539"/>
      <c r="V839" s="540"/>
      <c r="X839" s="541"/>
      <c r="Y839" s="541"/>
    </row>
    <row r="840" spans="1:29" s="44" customFormat="1" ht="24.95" customHeight="1">
      <c r="A840" s="42" t="str">
        <f>"G"&amp;E830</f>
        <v>G28</v>
      </c>
      <c r="B840" s="605" t="str">
        <f t="shared" si="165"/>
        <v/>
      </c>
      <c r="C840" s="581"/>
      <c r="D840" s="581"/>
      <c r="E840" s="581"/>
      <c r="F840" s="581"/>
      <c r="G840" s="534"/>
      <c r="H840" s="534"/>
      <c r="I840" s="579"/>
      <c r="J840" s="580" t="str">
        <f>IF(I840="","",IF(I840="I",$F830,VLOOKUP(I840,$C851:$D856,2,0)))</f>
        <v/>
      </c>
      <c r="K840" s="535"/>
      <c r="L840" s="535"/>
      <c r="M840" s="536"/>
      <c r="N840" s="43" t="str">
        <f t="shared" si="166"/>
        <v/>
      </c>
      <c r="O840" s="260" t="str">
        <f t="shared" si="167"/>
        <v/>
      </c>
      <c r="P840" s="781"/>
      <c r="Q840" s="782"/>
      <c r="R840" s="767"/>
      <c r="S840" s="768"/>
      <c r="T840" s="538"/>
      <c r="U840" s="539"/>
      <c r="V840" s="540"/>
      <c r="X840" s="541"/>
      <c r="Y840" s="541"/>
    </row>
    <row r="841" spans="1:29" s="44" customFormat="1" ht="24.95" customHeight="1">
      <c r="A841" s="42" t="str">
        <f>"H"&amp;E830</f>
        <v>H28</v>
      </c>
      <c r="B841" s="605" t="str">
        <f t="shared" si="165"/>
        <v/>
      </c>
      <c r="C841" s="581"/>
      <c r="D841" s="581"/>
      <c r="E841" s="581"/>
      <c r="F841" s="581"/>
      <c r="G841" s="534"/>
      <c r="H841" s="534"/>
      <c r="I841" s="579"/>
      <c r="J841" s="580" t="str">
        <f>IF(I841="","",IF(I841="I",$F830,VLOOKUP(I841,$C851:$D856,2,0)))</f>
        <v/>
      </c>
      <c r="K841" s="535"/>
      <c r="L841" s="535"/>
      <c r="M841" s="537"/>
      <c r="N841" s="43" t="str">
        <f t="shared" si="166"/>
        <v/>
      </c>
      <c r="O841" s="260" t="str">
        <f t="shared" si="167"/>
        <v/>
      </c>
      <c r="P841" s="781"/>
      <c r="Q841" s="782"/>
      <c r="R841" s="767"/>
      <c r="S841" s="768"/>
      <c r="T841" s="538"/>
      <c r="U841" s="539"/>
      <c r="V841" s="540"/>
      <c r="X841" s="541"/>
      <c r="Y841" s="541"/>
    </row>
    <row r="842" spans="1:29" s="44" customFormat="1" ht="24.95" customHeight="1">
      <c r="A842" s="42" t="str">
        <f>"I"&amp;E830</f>
        <v>I28</v>
      </c>
      <c r="B842" s="605" t="str">
        <f t="shared" si="165"/>
        <v/>
      </c>
      <c r="C842" s="581"/>
      <c r="D842" s="581"/>
      <c r="E842" s="581"/>
      <c r="F842" s="581"/>
      <c r="G842" s="534"/>
      <c r="H842" s="534"/>
      <c r="I842" s="579"/>
      <c r="J842" s="580" t="str">
        <f>IF(I842="","",IF(I842="I",$F830,VLOOKUP(I842,$C851:$D856,2,0)))</f>
        <v/>
      </c>
      <c r="K842" s="535"/>
      <c r="L842" s="535"/>
      <c r="M842" s="537"/>
      <c r="N842" s="43" t="str">
        <f t="shared" si="166"/>
        <v/>
      </c>
      <c r="O842" s="260" t="str">
        <f t="shared" si="167"/>
        <v/>
      </c>
      <c r="P842" s="781"/>
      <c r="Q842" s="782"/>
      <c r="R842" s="767"/>
      <c r="S842" s="768"/>
      <c r="T842" s="538"/>
      <c r="U842" s="539"/>
      <c r="V842" s="540"/>
      <c r="X842" s="541"/>
      <c r="Y842" s="541"/>
    </row>
    <row r="843" spans="1:29" s="44" customFormat="1" ht="24.95" customHeight="1" thickBot="1">
      <c r="A843" s="42" t="str">
        <f>"J"&amp;E830</f>
        <v>J28</v>
      </c>
      <c r="B843" s="612" t="str">
        <f t="shared" si="165"/>
        <v/>
      </c>
      <c r="C843" s="582"/>
      <c r="D843" s="582"/>
      <c r="E843" s="582"/>
      <c r="F843" s="582"/>
      <c r="G843" s="583"/>
      <c r="H843" s="583"/>
      <c r="I843" s="584"/>
      <c r="J843" s="585" t="str">
        <f>IF(I843="","",IF(I843="I",$F830,VLOOKUP(I843,$C851:$D856,2,0)))</f>
        <v/>
      </c>
      <c r="K843" s="586"/>
      <c r="L843" s="586"/>
      <c r="M843" s="587"/>
      <c r="N843" s="43" t="str">
        <f t="shared" si="166"/>
        <v/>
      </c>
      <c r="O843" s="260" t="str">
        <f t="shared" si="167"/>
        <v/>
      </c>
      <c r="P843" s="781"/>
      <c r="Q843" s="782"/>
      <c r="R843" s="767"/>
      <c r="S843" s="768"/>
      <c r="T843" s="538"/>
      <c r="U843" s="539"/>
      <c r="V843" s="540"/>
      <c r="X843" s="541"/>
      <c r="Y843" s="541"/>
    </row>
    <row r="844" spans="1:29" s="27" customFormat="1" ht="12" customHeight="1" thickBot="1">
      <c r="A844" s="42"/>
      <c r="B844" s="45"/>
      <c r="C844" s="46"/>
      <c r="D844" s="46"/>
      <c r="E844" s="46"/>
      <c r="F844" s="46"/>
      <c r="G844" s="46"/>
      <c r="H844" s="606"/>
      <c r="I844" s="46"/>
      <c r="J844" s="46"/>
      <c r="K844" s="46"/>
      <c r="L844" s="46"/>
      <c r="M844" s="46"/>
      <c r="N844" s="46"/>
      <c r="O844" s="259"/>
      <c r="P844" s="46"/>
      <c r="Q844" s="46"/>
      <c r="R844" s="259"/>
      <c r="S844" s="46"/>
      <c r="T844" s="46"/>
      <c r="U844" s="47"/>
      <c r="V844" s="48"/>
      <c r="X844" s="592"/>
      <c r="Y844" s="593"/>
      <c r="AB844" s="378"/>
    </row>
    <row r="845" spans="1:29" s="27" customFormat="1" ht="17.25" customHeight="1" thickBot="1">
      <c r="A845" s="42" t="str">
        <f>"Z"&amp;E830</f>
        <v>Z28</v>
      </c>
      <c r="B845" s="510"/>
      <c r="C845" s="511"/>
      <c r="D845" s="511"/>
      <c r="E845" s="511"/>
      <c r="F845" s="511"/>
      <c r="G845" s="511"/>
      <c r="H845" s="511"/>
      <c r="I845" s="511"/>
      <c r="J845" s="511"/>
      <c r="K845" s="511"/>
      <c r="L845" s="511"/>
      <c r="M845" s="511"/>
      <c r="N845" s="437" t="s">
        <v>388</v>
      </c>
      <c r="O845" s="438">
        <f>IF(COUNTIF(O834:O843,"")&gt;9,0,SUM(O834:O843)/(COUNTIF(H834:H843,"SI")))</f>
        <v>382.45360000000005</v>
      </c>
      <c r="P845" s="511"/>
      <c r="Q845" s="511"/>
      <c r="R845" s="530"/>
      <c r="S845" s="530"/>
      <c r="T845" s="531"/>
      <c r="U845" s="532"/>
      <c r="V845" s="533"/>
      <c r="W845" s="285"/>
      <c r="X845" s="613" t="e">
        <f>COUNTIF(#REF!,"")-COUNTIF(#REF!,"CUMPLE")-1</f>
        <v>#REF!</v>
      </c>
      <c r="Y845" s="591"/>
      <c r="AB845" s="28"/>
    </row>
    <row r="846" spans="1:29" ht="17.25" customHeight="1">
      <c r="B846" s="50"/>
      <c r="C846" s="50"/>
      <c r="D846" s="50"/>
      <c r="E846" s="50"/>
      <c r="F846" s="50"/>
      <c r="G846" s="51"/>
      <c r="H846" s="51"/>
      <c r="I846" s="51"/>
      <c r="J846" s="51"/>
      <c r="K846" s="51"/>
      <c r="L846" s="51"/>
      <c r="M846" s="51"/>
      <c r="N846" s="51"/>
      <c r="O846" s="51"/>
      <c r="P846" s="51"/>
      <c r="Q846" s="51"/>
      <c r="R846" s="51"/>
      <c r="S846" s="51"/>
      <c r="T846" s="51"/>
      <c r="U846" s="51"/>
      <c r="V846" s="51"/>
      <c r="W846" s="51"/>
      <c r="X846" s="608"/>
      <c r="Y846" s="51"/>
      <c r="Z846" s="51"/>
      <c r="AA846" s="51"/>
      <c r="AB846" s="51"/>
      <c r="AC846" s="50"/>
    </row>
    <row r="847" spans="1:29" s="27" customFormat="1" ht="16.5" customHeight="1" thickBot="1">
      <c r="A847" s="22"/>
      <c r="B847" s="783" t="s">
        <v>389</v>
      </c>
      <c r="C847" s="783"/>
      <c r="D847" s="783"/>
      <c r="E847" s="783"/>
      <c r="F847" s="783"/>
      <c r="G847" s="783"/>
      <c r="H847" s="783"/>
      <c r="I847" s="783"/>
      <c r="J847" s="783"/>
      <c r="K847" s="783"/>
      <c r="L847" s="783"/>
      <c r="M847" s="783"/>
      <c r="N847" s="783"/>
      <c r="O847" s="783"/>
      <c r="P847" s="783"/>
      <c r="Q847" s="783"/>
      <c r="R847" s="783"/>
      <c r="S847" s="783"/>
      <c r="T847" s="783"/>
      <c r="U847" s="783"/>
      <c r="V847" s="783"/>
      <c r="W847" s="286"/>
      <c r="X847" s="607"/>
      <c r="Y847" s="52"/>
      <c r="Z847" s="52"/>
      <c r="AA847" s="52"/>
      <c r="AB847" s="28"/>
      <c r="AC847" s="28"/>
    </row>
    <row r="848" spans="1:29" s="30" customFormat="1" ht="22.5" customHeight="1">
      <c r="A848" s="112" t="str">
        <f>"K"&amp;E830</f>
        <v>K28</v>
      </c>
      <c r="B848" s="790" t="s">
        <v>390</v>
      </c>
      <c r="C848" s="772" t="s">
        <v>391</v>
      </c>
      <c r="D848" s="773"/>
      <c r="E848" s="773"/>
      <c r="F848" s="773"/>
      <c r="G848" s="773"/>
      <c r="H848" s="773"/>
      <c r="I848" s="773"/>
      <c r="J848" s="773"/>
      <c r="K848" s="773"/>
      <c r="L848" s="773"/>
      <c r="M848" s="774"/>
      <c r="N848" s="525"/>
      <c r="O848" s="588"/>
      <c r="P848" s="772" t="s">
        <v>392</v>
      </c>
      <c r="Q848" s="773"/>
      <c r="R848" s="773"/>
      <c r="S848" s="774"/>
      <c r="T848" s="784" t="s">
        <v>393</v>
      </c>
      <c r="U848" s="774"/>
      <c r="V848" s="811"/>
      <c r="W848" s="284"/>
      <c r="X848" s="778" t="s">
        <v>394</v>
      </c>
      <c r="Y848" s="779"/>
      <c r="Z848" s="779"/>
      <c r="AA848" s="779" t="s">
        <v>395</v>
      </c>
      <c r="AB848" s="808" t="s">
        <v>396</v>
      </c>
      <c r="AC848" s="28"/>
    </row>
    <row r="849" spans="1:29" s="30" customFormat="1" ht="22.5" customHeight="1">
      <c r="A849" s="112" t="str">
        <f>"L"&amp;E830</f>
        <v>L28</v>
      </c>
      <c r="B849" s="791"/>
      <c r="C849" s="769" t="s">
        <v>397</v>
      </c>
      <c r="D849" s="770"/>
      <c r="E849" s="771"/>
      <c r="F849" s="512">
        <f>IF(VLOOKUP(E830,PROPONENTES!$C$19:$E$108,3,0)="","",VLOOKUP(E830,PROPONENTES!$C$19:$E$108,3,0))</f>
        <v>2</v>
      </c>
      <c r="G849" s="824" t="s">
        <v>398</v>
      </c>
      <c r="H849" s="793" t="s">
        <v>399</v>
      </c>
      <c r="I849" s="793"/>
      <c r="J849" s="769" t="s">
        <v>400</v>
      </c>
      <c r="K849" s="823"/>
      <c r="L849" s="513" t="s">
        <v>401</v>
      </c>
      <c r="M849" s="513"/>
      <c r="N849" s="526"/>
      <c r="O849" s="527"/>
      <c r="P849" s="775"/>
      <c r="Q849" s="776"/>
      <c r="R849" s="776"/>
      <c r="S849" s="777"/>
      <c r="T849" s="796"/>
      <c r="U849" s="797"/>
      <c r="V849" s="812"/>
      <c r="W849" s="284"/>
      <c r="X849" s="780" t="s">
        <v>402</v>
      </c>
      <c r="Y849" s="810" t="s">
        <v>403</v>
      </c>
      <c r="Z849" s="810"/>
      <c r="AA849" s="810"/>
      <c r="AB849" s="809"/>
      <c r="AC849" s="28"/>
    </row>
    <row r="850" spans="1:29" s="30" customFormat="1" ht="51.75" customHeight="1" thickBot="1">
      <c r="A850" s="112" t="str">
        <f>"M"&amp;E830</f>
        <v>M28</v>
      </c>
      <c r="B850" s="791"/>
      <c r="C850" s="770" t="s">
        <v>404</v>
      </c>
      <c r="D850" s="771"/>
      <c r="E850" s="514" t="s">
        <v>405</v>
      </c>
      <c r="F850" s="515" t="s">
        <v>406</v>
      </c>
      <c r="G850" s="824"/>
      <c r="H850" s="793"/>
      <c r="I850" s="793"/>
      <c r="J850" s="504" t="s">
        <v>407</v>
      </c>
      <c r="K850" s="516" t="s">
        <v>408</v>
      </c>
      <c r="L850" s="517" t="s">
        <v>409</v>
      </c>
      <c r="M850" s="517"/>
      <c r="N850" s="528" t="s">
        <v>410</v>
      </c>
      <c r="O850" s="529"/>
      <c r="P850" s="386"/>
      <c r="Q850" s="387" t="s">
        <v>411</v>
      </c>
      <c r="R850" s="388"/>
      <c r="S850" s="113">
        <f>COUNTIFS(H834:H843,"SI",O834:O843,"&gt;0")</f>
        <v>2</v>
      </c>
      <c r="T850" s="785"/>
      <c r="U850" s="787"/>
      <c r="V850" s="813"/>
      <c r="W850" s="284"/>
      <c r="X850" s="780"/>
      <c r="Y850" s="810"/>
      <c r="Z850" s="810"/>
      <c r="AA850" s="810"/>
      <c r="AB850" s="809"/>
      <c r="AC850" s="28"/>
    </row>
    <row r="851" spans="1:29" s="30" customFormat="1" ht="15.75" customHeight="1">
      <c r="A851" s="112" t="str">
        <f>"N"&amp;E830</f>
        <v>N28</v>
      </c>
      <c r="B851" s="791"/>
      <c r="C851" s="54">
        <v>1</v>
      </c>
      <c r="D851" s="100" t="str">
        <f>IF(AND(C851&lt;=F849,F849&gt;1,F849&lt;&gt;""),VLOOKUP(VALUE(E830&amp;","&amp;C851),INTEGRANTES!$D$19:$F$192,2,0),"")</f>
        <v>INVERSIONES INCO SAS</v>
      </c>
      <c r="E851" s="107">
        <f>IF(D851&lt;&gt;"",VLOOKUP(VALUE(E830&amp;","&amp;C851),INTEGRANTES!$D$19:$F$192,3,0),"")</f>
        <v>0.95</v>
      </c>
      <c r="F851" s="380">
        <f>IF(D851="","",IF(OR(SUMIF($J834:$J843,D851,$O834:$O843)=0,N851="NO"),"NO APORTA",SUMIF($J834:$J843,D851,$O834:$O843)))</f>
        <v>155.512</v>
      </c>
      <c r="G851" s="380">
        <f ca="1">IF($D851="","",IF($F849&lt;=1,"",ROUND(POSMMLV*PORPO,2)))</f>
        <v>150</v>
      </c>
      <c r="H851" s="765" t="str">
        <f ca="1">IF($D851="","",IF(OR(F851="NO APORTA",G851&gt;F851),"NO CUMPLE","CUMPLE"))</f>
        <v>CUMPLE</v>
      </c>
      <c r="I851" s="766"/>
      <c r="J851" s="108" t="str">
        <f ca="1">IF(D851="","",IF(OR(AND(SUMIF($J834:$J843,D851,$O834:$O843)&gt;=5%*POSMMLV,N851="SI"),AND(SUMIF($J834:$J843,D851,$O834:$O843)=0,E851&lt;=5%,N851="SI")),"CUMPLE","NO CUMPLE"))</f>
        <v>CUMPLE</v>
      </c>
      <c r="K851" s="105" t="str">
        <f ca="1">IF(OR(D851="",J851=""),"",IF(AND(J851="NO CUMPLE",F851="NO APORTA",E851&gt;5%),"EXP = 0 y PART &gt; 5%",IF(F851&lt;5%*Q856,"EXP &lt; 5%*PO","")))</f>
        <v/>
      </c>
      <c r="L851" s="389" t="str">
        <f>IF(OR(D851="",E851=""),"",IF(AND(E851&gt;=0.25,F851&lt;&gt;"NO APORTA",F851&gt;=$R856*0.25),"SI","NO"))</f>
        <v>NO</v>
      </c>
      <c r="M851" s="389"/>
      <c r="N851" s="468" t="s">
        <v>385</v>
      </c>
      <c r="O851" s="396">
        <f>COUNTIFS(O834:O843,"&gt;0",H834:H843,"SI")</f>
        <v>2</v>
      </c>
      <c r="P851" s="814" t="s">
        <v>139</v>
      </c>
      <c r="Q851" s="814"/>
      <c r="R851" s="817">
        <f>E830</f>
        <v>28</v>
      </c>
      <c r="S851" s="818"/>
      <c r="T851" s="784" t="s">
        <v>412</v>
      </c>
      <c r="U851" s="773"/>
      <c r="V851" s="774"/>
      <c r="W851" s="283"/>
      <c r="X851" s="542" t="str">
        <f>IF($F849=1,"NO APLICA",$D851)</f>
        <v>INVERSIONES INCO SAS</v>
      </c>
      <c r="Y851" s="543">
        <f ca="1">IF(OR($F851="",$F851="NO APORTA",$R856=0,$X851="NO APLICA"),"",ROUND($F851/$Q856,2))</f>
        <v>0.52</v>
      </c>
      <c r="Z851" s="544" t="str">
        <f ca="1">IF(Y857=1,"SI APLICA",IF(OR($X851="",$X851="NO APLICA",$F851="",$F851="NO APORTA"),"",IF(ROUND($F851/Q856,7)&gt;=0.4,"SI APLICA","NO APLICA")))</f>
        <v>SI APLICA</v>
      </c>
      <c r="AA851" s="543" t="s">
        <v>516</v>
      </c>
      <c r="AB851" s="540" t="str">
        <f ca="1">IF(COUNTIF(Z851:AA851,"SI APLICA")=2,"SI APLICA","")</f>
        <v/>
      </c>
      <c r="AC851" s="28"/>
    </row>
    <row r="852" spans="1:29" s="30" customFormat="1" ht="27" customHeight="1" thickBot="1">
      <c r="A852" s="112" t="str">
        <f>"O"&amp;E830</f>
        <v>O28</v>
      </c>
      <c r="B852" s="791"/>
      <c r="C852" s="54">
        <v>2</v>
      </c>
      <c r="D852" s="100" t="str">
        <f>IF(AND(C852&lt;=F849,F849&lt;&gt;""),VLOOKUP(VALUE(E830&amp;","&amp;C852),INTEGRANTES!$D$19:$F$192,2,0),"")</f>
        <v>MANUEL IGNACIO ZARATE ROJAS</v>
      </c>
      <c r="E852" s="107">
        <f>IF(D852&lt;&gt;"",VLOOKUP(VALUE(E830&amp;","&amp;C852),INTEGRANTES!$D$19:$F$192,3,0),"")</f>
        <v>0.05</v>
      </c>
      <c r="F852" s="380">
        <f>IF(D852="","",IF(OR(SUMIF($J834:$J843,D852,$O834:$O843)=0,N852="NO"),"NO APORTA",SUMIF($J834:$J843,D852,$O834:$O843)))</f>
        <v>609.39520000000005</v>
      </c>
      <c r="G852" s="380">
        <f ca="1">IF($D852="","",IF($F849&lt;=1,"",ROUND(POSMMLV*PORPO,2)))</f>
        <v>150</v>
      </c>
      <c r="H852" s="765" t="str">
        <f t="shared" ref="H852:H855" ca="1" si="168">IF($D852="","",IF(OR(F852="NO APORTA",G852&gt;F852),"NO CUMPLE","CUMPLE"))</f>
        <v>CUMPLE</v>
      </c>
      <c r="I852" s="766"/>
      <c r="J852" s="108" t="str">
        <f ca="1">IF(D852="","",IF(OR(AND(SUMIF($J834:$J843,D852,$O834:$O843)&gt;=5%*POSMMLV,N852="SI"),AND(SUMIF($J834:$J843,D852,$O834:$O843)=0,E852&lt;=5%,N852="SI")),"CUMPLE","NO CUMPLE"))</f>
        <v>CUMPLE</v>
      </c>
      <c r="K852" s="105" t="str">
        <f ca="1">IF(OR(D852="",J852=""),"",IF(AND(J852="NO CUMPLE",F852="NO APORTA",E852&gt;5%),"EXP = 0 y PART &gt; 5%",IF(F852&lt;5%*Q856,"EXP &lt; 5%*PO","")))</f>
        <v/>
      </c>
      <c r="L852" s="389" t="str">
        <f>IF(OR(D852="",E852=""),"",IF(AND(E852&gt;=0.25,F852&lt;&gt;"NO APORTA",F852&gt;=$R856*0.25),"SI","NO"))</f>
        <v>NO</v>
      </c>
      <c r="M852" s="389"/>
      <c r="N852" s="468" t="s">
        <v>385</v>
      </c>
      <c r="O852" s="396"/>
      <c r="P852" s="815"/>
      <c r="Q852" s="815"/>
      <c r="R852" s="815"/>
      <c r="S852" s="819"/>
      <c r="T852" s="785"/>
      <c r="U852" s="786"/>
      <c r="V852" s="787"/>
      <c r="W852" s="283"/>
      <c r="X852" s="542" t="str">
        <f>IF($F849=1,"NO APLICA",$D852)</f>
        <v>MANUEL IGNACIO ZARATE ROJAS</v>
      </c>
      <c r="Y852" s="543">
        <f ca="1">IF(OR($F852="",$F852="NO APORTA",$R856=0,$X852="NO APLICA"),"",ROUND($F852/$Q856,2))</f>
        <v>2.0299999999999998</v>
      </c>
      <c r="Z852" s="544" t="str">
        <f ca="1">IF(Y857=1,"SI APLICA",IF(OR($X852="",$X852="NO APLICA",$F852="",$F852="NO APORTA"),"",IF(ROUND($F852/Q856,7)&gt;=0.4,"SI APLICA","NO APLICA")))</f>
        <v>SI APLICA</v>
      </c>
      <c r="AA852" s="543" t="s">
        <v>516</v>
      </c>
      <c r="AB852" s="540" t="str">
        <f t="shared" ref="AB852" ca="1" si="169">IF(COUNTIF(Z852:AA852,"SI APLICA")=2,"SI APLICA","")</f>
        <v/>
      </c>
      <c r="AC852" s="28"/>
    </row>
    <row r="853" spans="1:29" s="30" customFormat="1" ht="15.75" customHeight="1">
      <c r="A853" s="112" t="str">
        <f>"P"&amp;E830</f>
        <v>P28</v>
      </c>
      <c r="B853" s="791"/>
      <c r="C853" s="54">
        <v>3</v>
      </c>
      <c r="D853" s="100" t="str">
        <f>IF(AND(C853&lt;=F849,F849&lt;&gt;""),VLOOKUP(VALUE(E830&amp;","&amp;C853),INTEGRANTES!$D$19:$F$192,2,0),"")</f>
        <v/>
      </c>
      <c r="E853" s="107" t="str">
        <f>IF(D853&lt;&gt;"",VLOOKUP(VALUE(E830&amp;","&amp;C853),INTEGRANTES!$D$19:$F$192,3,0),"")</f>
        <v/>
      </c>
      <c r="F853" s="380" t="str">
        <f>IF(D853="","",IF(OR(SUMIF($J837:$J843,D853,$O837:$O843)=0,N853="NO"),"NO APORTA",SUMIF($J837:$J843,D853,$O837:$O843)))</f>
        <v/>
      </c>
      <c r="G853" s="380" t="str">
        <f>IF($D853="","",IF($F849&lt;=1,"",ROUND(POSMMLV*PORPO,2)))</f>
        <v/>
      </c>
      <c r="H853" s="765" t="str">
        <f t="shared" si="168"/>
        <v/>
      </c>
      <c r="I853" s="766"/>
      <c r="J853" s="108" t="str">
        <f>IF(D853="","",IF(OR(AND(SUMIF($J834:$J843,D853,$O834:$O843)&gt;=5%*POSMMLV,N853="SI"),AND(SUMIF($J834:$J843,D853,$O834:$O843)=0,E853&lt;=5%,N853="SI")),"CUMPLE","NO CUMPLE"))</f>
        <v/>
      </c>
      <c r="K853" s="105" t="str">
        <f>IF(OR(D853="",J853=""),"",IF(AND(J853="NO CUMPLE",F853="NO APORTA",E853&gt;5%),"EXP = 0 y PART &gt; 5%",IF(F853&lt;5%*Q856,"EXP &lt; 5%*PO","")))</f>
        <v/>
      </c>
      <c r="L853" s="389" t="str">
        <f>IF(OR(D853="",E853=""),"",IF(AND(E853&gt;=0.25,F853&lt;&gt;"NO APORTA",F853&gt;=$R856*0.25),"SI","NO"))</f>
        <v/>
      </c>
      <c r="M853" s="389"/>
      <c r="N853" s="468"/>
      <c r="O853" s="397"/>
      <c r="P853" s="816"/>
      <c r="Q853" s="816"/>
      <c r="R853" s="816"/>
      <c r="S853" s="820"/>
      <c r="T853" s="835"/>
      <c r="U853" s="835"/>
      <c r="V853" s="836"/>
      <c r="W853" s="284"/>
      <c r="X853" s="542" t="str">
        <f>IF($F849=1,"NO APLICA",$D853)</f>
        <v/>
      </c>
      <c r="Y853" s="543" t="str">
        <f>IF(OR($F853="",$F853="NO APORTA",$R856=0,$X853="NO APLICA"),"",ROUND($F853/$Q856,2))</f>
        <v/>
      </c>
      <c r="Z853" s="544" t="str">
        <f>IF(Y857=1,"SI APLICA",IF(OR($X853="",$X853="NO APLICA",$F853="",$F853="NO APORTA"),"",IF(ROUND($F853/Q856,7)&gt;=0.4,"SI APLICA","NO APLICA")))</f>
        <v/>
      </c>
      <c r="AA853" s="543"/>
      <c r="AB853" s="540" t="str">
        <f>IF(COUNTIF(Z853:AA853,"SI APLICA")=2,"SI APLICA","")</f>
        <v/>
      </c>
      <c r="AC853" s="28"/>
    </row>
    <row r="854" spans="1:29" s="30" customFormat="1" ht="15.75" customHeight="1">
      <c r="A854" s="112" t="str">
        <f>"Q"&amp;E830</f>
        <v>Q28</v>
      </c>
      <c r="B854" s="791"/>
      <c r="C854" s="54">
        <v>4</v>
      </c>
      <c r="D854" s="100" t="str">
        <f>IF(AND(C854&lt;=F849,F849&lt;&gt;""),VLOOKUP(VALUE(E830&amp;","&amp;C854),INTEGRANTES!$D$19:$F$192,2,0),"")</f>
        <v/>
      </c>
      <c r="E854" s="107" t="str">
        <f>IF(D854&lt;&gt;"",VLOOKUP(VALUE(E830&amp;","&amp;C854),INTEGRANTES!$D$19:$F$192,3,0),"")</f>
        <v/>
      </c>
      <c r="F854" s="380" t="str">
        <f>IF(D854="","",IF(OR(SUMIF($J837:$J843,D854,$O837:$O843)=0,N854="NO"),"NO APORTA",SUMIF($J837:$J843,D854,$O837:$O843)))</f>
        <v/>
      </c>
      <c r="G854" s="380" t="str">
        <f>IF($D854="","",IF($F849&lt;=1,"",ROUND(POSMMLV*PORPO,2)))</f>
        <v/>
      </c>
      <c r="H854" s="765" t="str">
        <f t="shared" si="168"/>
        <v/>
      </c>
      <c r="I854" s="766"/>
      <c r="J854" s="108" t="str">
        <f>IF(D854="","",IF(OR(AND(SUMIF($J834:$J843,D854,$O834:$O843)&gt;=5%*POSMMLV,N854="SI"),AND(SUMIF($J834:$J843,D854,$O834:$O843)=0,E854&lt;=5%,N854="SI")),"CUMPLE","NO CUMPLE"))</f>
        <v/>
      </c>
      <c r="K854" s="105" t="str">
        <f>IF(OR(D854="",J854=""),"",IF(AND(J854="NO CUMPLE",F854="NO APORTA",E854&gt;5%),"EXP = 0 y PART &gt; 5%",IF(F854&lt;5%*Q856,"EXP &lt; 5%*PO","")))</f>
        <v/>
      </c>
      <c r="L854" s="389" t="str">
        <f>IF(OR(D854="",E854=""),"",IF(AND(E854&gt;=0.25,F854&lt;&gt;"NO APORTA",F854&gt;=$R856*0.25),"SI","NO"))</f>
        <v/>
      </c>
      <c r="M854" s="389"/>
      <c r="N854" s="468"/>
      <c r="O854" s="788" t="s">
        <v>414</v>
      </c>
      <c r="P854" s="769" t="s">
        <v>415</v>
      </c>
      <c r="Q854" s="770"/>
      <c r="R854" s="770"/>
      <c r="S854" s="771"/>
      <c r="T854" s="837"/>
      <c r="U854" s="837"/>
      <c r="V854" s="838"/>
      <c r="W854" s="284"/>
      <c r="X854" s="542" t="str">
        <f>IF($F849=1,"NO APLICA",$D854)</f>
        <v/>
      </c>
      <c r="Y854" s="543" t="str">
        <f>IF(OR($F854="",$F854="NO APORTA",$R856=0,$X854="NO APLICA"),"",ROUND($F854/$Q856,2))</f>
        <v/>
      </c>
      <c r="Z854" s="544" t="str">
        <f>IF(Y857=1,"SI APLICA",IF(OR($X854="",$X854="NO APLICA",$F854="",$F854="NO APORTA"),"",IF(ROUND($F854/Q856,7)&gt;=0.4,"SI APLICA","NO APLICA")))</f>
        <v/>
      </c>
      <c r="AA854" s="543"/>
      <c r="AB854" s="540" t="str">
        <f t="shared" ref="AB854:AB855" si="170">IF(COUNTIF(Z854:AA854,"SI APLICA")=2,"SI APLICA","")</f>
        <v/>
      </c>
      <c r="AC854" s="28"/>
    </row>
    <row r="855" spans="1:29" s="30" customFormat="1" ht="17.25" customHeight="1">
      <c r="A855" s="112" t="str">
        <f>"R"&amp;E830</f>
        <v>R28</v>
      </c>
      <c r="B855" s="791"/>
      <c r="C855" s="54">
        <v>5</v>
      </c>
      <c r="D855" s="100" t="str">
        <f>IF(AND(C855&lt;=F849,F849&lt;&gt;""),VLOOKUP(VALUE(E830&amp;","&amp;C855),INTEGRANTES!$D$19:$F$192,2,0),"")</f>
        <v/>
      </c>
      <c r="E855" s="107" t="str">
        <f>IF(D855&lt;&gt;"",VLOOKUP(VALUE(E830&amp;","&amp;C855),INTEGRANTES!$D$19:$F$192,3,0),"")</f>
        <v/>
      </c>
      <c r="F855" s="380" t="str">
        <f>IF(D855="","",IF(OR(SUMIF($J837:$J843,D855,$O837:$O843)=0,N855="NO"),"NO APORTA",SUMIF($J837:$J843,D855,$O837:$O843)))</f>
        <v/>
      </c>
      <c r="G855" s="380" t="str">
        <f>IF($D855="","",IF($F849&lt;=1,"",ROUND(POSMMLV*PORPO,2)))</f>
        <v/>
      </c>
      <c r="H855" s="765" t="str">
        <f t="shared" si="168"/>
        <v/>
      </c>
      <c r="I855" s="766"/>
      <c r="J855" s="108" t="str">
        <f>IF(D855="","",IF(OR(AND(SUMIF($J834:$J843,D855,$O834:$O843)&gt;=5%*POSMMLV,N855="SI"),AND(SUMIF($J834:$J843,D855,$O834:$O843)=0,E855&lt;=5%,N855="SI")),"CUMPLE","NO CUMPLE"))</f>
        <v/>
      </c>
      <c r="K855" s="105" t="str">
        <f>IF(OR(D855="",J855=""),"",IF(AND(J855="NO CUMPLE",F855="NO APORTA",E855&gt;5%),"EXP = 0 y PART &gt; 5%",IF(F855&lt;5%*Q856,"EXP &lt; 5%*PO","")))</f>
        <v/>
      </c>
      <c r="L855" s="389" t="str">
        <f>IF(OR(D855="",E855=""),"",IF(AND(E855&gt;=0.25,F855&lt;&gt;"NO APORTA",F855&gt;=$R856*0.25),"SI","NO"))</f>
        <v/>
      </c>
      <c r="M855" s="389"/>
      <c r="N855" s="468"/>
      <c r="O855" s="789"/>
      <c r="P855" s="504" t="s">
        <v>416</v>
      </c>
      <c r="Q855" s="504" t="s">
        <v>417</v>
      </c>
      <c r="R855" s="793" t="s">
        <v>418</v>
      </c>
      <c r="S855" s="793"/>
      <c r="T855" s="837"/>
      <c r="U855" s="837"/>
      <c r="V855" s="838"/>
      <c r="W855" s="284"/>
      <c r="X855" s="542" t="str">
        <f>IF($F849=1,"NO APLICA",$D855)</f>
        <v/>
      </c>
      <c r="Y855" s="543" t="str">
        <f>IF(OR($F855="",$F855="NO APORTA",$R856=0,$X855="NO APLICA"),"",ROUND($F855/$Q856,2))</f>
        <v/>
      </c>
      <c r="Z855" s="544" t="str">
        <f>IF(Y857=1,"SI APLICA",IF(OR($X855="",$X855="NO APLICA",$F855="",$F855="NO APORTA"),"",IF(ROUND($F855/Q856,7)&gt;=0.4,"SI APLICA","NO APLICA")))</f>
        <v/>
      </c>
      <c r="AA855" s="543"/>
      <c r="AB855" s="540" t="str">
        <f t="shared" si="170"/>
        <v/>
      </c>
      <c r="AC855" s="28"/>
    </row>
    <row r="856" spans="1:29" s="30" customFormat="1" ht="16.5" customHeight="1" thickBot="1">
      <c r="A856" s="112" t="str">
        <f>"S"&amp;E830</f>
        <v>S28</v>
      </c>
      <c r="B856" s="791"/>
      <c r="C856" s="109">
        <v>6</v>
      </c>
      <c r="D856" s="110" t="str">
        <f>IF(AND(C856&lt;=F849,F849&lt;&gt;""),VLOOKUP(VALUE(E830&amp;","&amp;C856),INTEGRANTES!$D$19:$F$192,2,0),"")</f>
        <v/>
      </c>
      <c r="E856" s="111" t="str">
        <f>IF(D856&lt;&gt;"",VLOOKUP(VALUE(E830&amp;","&amp;C856),INTEGRANTES!$D$19:$F$192,3,0),"")</f>
        <v/>
      </c>
      <c r="F856" s="380" t="str">
        <f>IF(D856="","",IF(OR(SUMIF($J837:$J843,D856,$O837:$O843)=0,N856="NO"),"NO APORTA",SUMIF($J837:$J843,D856,$O837:$O843)))</f>
        <v/>
      </c>
      <c r="G856" s="380" t="str">
        <f>IF($D856="","",IF($F849&lt;=1,"",ROUND(POSMMLV*PORPO,2)))</f>
        <v/>
      </c>
      <c r="H856" s="765" t="str">
        <f>IF($D856="","",IF(OR(F856="NO APORTA",G856&gt;F856),"NO CUMPLE","CUMPLE"))</f>
        <v/>
      </c>
      <c r="I856" s="766"/>
      <c r="J856" s="108" t="str">
        <f>IF(D856="","",IF(OR(AND(SUMIF($J834:$J843,D856,$O834:$O843)&gt;=5%*POSMMLV,N856="SI"),AND(SUMIF($J834:$J843,D856,$O834:$O843)=0,E856&lt;=5%,N856="SI")),"CUMPLE","NO CUMPLE"))</f>
        <v/>
      </c>
      <c r="K856" s="105" t="str">
        <f>IF(OR(D856="",J856=""),"",IF(AND(J856="NO CUMPLE",F856="NO APORTA",E856&gt;5%),"EXP = 0 y PART &gt; 5%",IF(F856&lt;5%*Q856,"EXP &lt; 5%*PO","")))</f>
        <v/>
      </c>
      <c r="L856" s="389" t="str">
        <f>IF(OR(D856="",E856=""),"",IF(AND(E856&gt;=0.25,F856&lt;&gt;"NO APORTA",F856&gt;=$R856*0.25),"SI","NO"))</f>
        <v/>
      </c>
      <c r="M856" s="389"/>
      <c r="N856" s="468"/>
      <c r="O856" s="403" t="str">
        <f ca="1">IF(R856&gt;=Q856,"CUMPLE","NO CUMPLE")</f>
        <v>CUMPLE</v>
      </c>
      <c r="P856" s="312">
        <f>NUMMOD</f>
        <v>1</v>
      </c>
      <c r="Q856" s="313">
        <f ca="1">IF(P856="","",ROUND(VLOOKUP(P856,PRESUPUESTOS!$B$16:$L$16,9,FALSE),7))</f>
        <v>300</v>
      </c>
      <c r="R856" s="834">
        <f>IF(OR(COUNTIF(O834:O843,"")&gt;9,S850&lt;NUMMINCONT),0,SUM(O834:O843))</f>
        <v>764.9072000000001</v>
      </c>
      <c r="S856" s="834"/>
      <c r="T856" s="839"/>
      <c r="U856" s="839"/>
      <c r="V856" s="840"/>
      <c r="W856" s="284"/>
      <c r="X856" s="545" t="str">
        <f>IF($F849=1,"NO APLICA",$D856)</f>
        <v/>
      </c>
      <c r="Y856" s="543" t="str">
        <f>IF(OR($F856="",$F856="NO APORTA",$R856=0,$X856="NO APLICA"),"",ROUND($F856/$Q856,2))</f>
        <v/>
      </c>
      <c r="Z856" s="544" t="str">
        <f>IF(Y857=1,"SI APLICA",IF(OR($X856="",$X856="NO APLICA",$F856="",$F856="NO APORTA"),"",IF(ROUND($F856/Q856,7)&gt;=0.4,"SI APLICA","NO APLICA")))</f>
        <v/>
      </c>
      <c r="AA856" s="546"/>
      <c r="AB856" s="540" t="str">
        <f>IF(COUNTIF(Z856:AA856,"SI APLICA")=2,"SI APLICA","")</f>
        <v/>
      </c>
      <c r="AC856" s="28"/>
    </row>
    <row r="857" spans="1:29" s="30" customFormat="1" ht="16.5" customHeight="1" thickBot="1">
      <c r="A857" s="112" t="str">
        <f>"T"&amp;E830</f>
        <v>T28</v>
      </c>
      <c r="B857" s="792"/>
      <c r="C857" s="821" t="s">
        <v>419</v>
      </c>
      <c r="D857" s="822"/>
      <c r="E857" s="822"/>
      <c r="F857" s="518"/>
      <c r="G857" s="519"/>
      <c r="H857" s="794" t="str">
        <f ca="1">IF(OR($F849="",SUM(E851:E856)=0),"",IF(COUNTIF(H851:H856,"CUMPLE")&gt;=1,"CUMPLE","NO CUMPLE"))</f>
        <v>CUMPLE</v>
      </c>
      <c r="I857" s="795"/>
      <c r="J857" s="314" t="str">
        <f ca="1">IF(COUNTIF(J851:J856,"")&gt;5,"",IF(COUNTIF(J851:J856,"NO CUMPLE")&gt;0,"NO CUMPLE","CUMPLE"))</f>
        <v>CUMPLE</v>
      </c>
      <c r="K857" s="314" t="str">
        <f ca="1">IF(OR(AND(F849=1,N851="SI"),AND(COUNTIF(H857:J857,"CUMPLE")=2)),"CUMPLE","NO CUMPLE")</f>
        <v>CUMPLE</v>
      </c>
      <c r="L857" s="519"/>
      <c r="M857" s="519"/>
      <c r="N857" s="519"/>
      <c r="O857" s="833" t="str">
        <f ca="1">IF(ISNUMBER(F830),"",IF(AND(O856="NO CUMPLE",SUM(N837:N843)&lt;Q856),"EL PROPONENTE SE DEBE REQUERIR POR EXPERIENCIA MINIMA EXIGIDA",""))</f>
        <v/>
      </c>
      <c r="P857" s="833"/>
      <c r="Q857" s="833"/>
      <c r="R857" s="833"/>
      <c r="S857" s="833"/>
      <c r="T857" s="522"/>
      <c r="U857" s="523"/>
      <c r="V857" s="524"/>
      <c r="W857" s="284"/>
      <c r="X857" s="364" t="str">
        <f>IF(Y857=1,"PROPONENTE INDIVIDUAL","PROPONENTE PLURAL")</f>
        <v>PROPONENTE PLURAL</v>
      </c>
      <c r="Y857" s="276">
        <f>F849</f>
        <v>2</v>
      </c>
      <c r="Z857" s="277" t="str">
        <f ca="1">IF(OR(AND(Z851="SI APLICA",AA851="SI APLICA"),AND(Z852="SI APLICA",AA852="SI APLICA"),AND(Z853="SI APLICA",AA853="SI APLICA"),AND(Z854="SI APLICA",AA854="SI APLICA"),AND(Z855="SI APLICA",AA855="SI APLICA"),AND(Z856="SI APLICA",AA856="SI APLICA")),"SI APLICA","NO APLICA")</f>
        <v>NO APLICA</v>
      </c>
      <c r="AA857" s="278" t="str">
        <f ca="1">IF(OR(AND(AA851="SI APLICA",AB851="SI APLICA"),AND(AA852="SI APLICA",AB852="SI APLICA"),AND(AA853="SI APLICA",AB853="SI APLICA"),AND(AA854="SI APLICA",AB854="SI APLICA"),AND(AA855="SI APLICA",AB855="SI APLICA"),AND(AA856="SI APLICA",AB856="SI APLICA")),"SI APLICA","NO APLICA")</f>
        <v>NO APLICA</v>
      </c>
      <c r="AB857" s="278" t="str">
        <f ca="1">IF(COUNTIF(AB851:AB856,"SI APLICA")&gt;0,"SI APLICA","NO APLICA")</f>
        <v>NO APLICA</v>
      </c>
      <c r="AC857" s="28"/>
    </row>
    <row r="858" spans="1:29" ht="24.95" customHeight="1"/>
    <row r="859" spans="1:29" ht="24.95" customHeight="1"/>
    <row r="860" spans="1:29" s="41" customFormat="1" ht="24" thickBot="1">
      <c r="A860" s="34">
        <v>29</v>
      </c>
      <c r="B860" s="828" t="s">
        <v>355</v>
      </c>
      <c r="C860" s="828"/>
      <c r="D860" s="828"/>
      <c r="E860" s="35">
        <f>VLOOKUP(A860,PROPONENTES!$B$19:$E$108,2,FALSE)</f>
        <v>29</v>
      </c>
      <c r="F860" s="36" t="str">
        <f>VLOOKUP(A860,PROPONENTES!$B$19:$E$108,3,FALSE)</f>
        <v>CONSORCIO MT 2022 TOLIMA</v>
      </c>
      <c r="G860" s="37"/>
      <c r="H860" s="37"/>
      <c r="I860" s="36"/>
      <c r="J860" s="36"/>
      <c r="K860" s="36"/>
      <c r="L860" s="36"/>
      <c r="M860" s="38"/>
      <c r="N860" s="38"/>
      <c r="O860" s="37"/>
      <c r="P860" s="37"/>
      <c r="Q860" s="39"/>
      <c r="R860" s="39"/>
      <c r="S860" s="39"/>
      <c r="T860" s="39"/>
      <c r="U860" s="40"/>
      <c r="Y860" s="52"/>
      <c r="Z860" s="52"/>
      <c r="AA860" s="52"/>
      <c r="AB860" s="28"/>
      <c r="AC860" s="28"/>
    </row>
    <row r="861" spans="1:29" s="27" customFormat="1" ht="24.75" customHeight="1">
      <c r="A861" s="22"/>
      <c r="B861" s="829" t="s">
        <v>356</v>
      </c>
      <c r="C861" s="501" t="s">
        <v>357</v>
      </c>
      <c r="D861" s="502" t="s">
        <v>358</v>
      </c>
      <c r="E861" s="502"/>
      <c r="F861" s="502" t="s">
        <v>359</v>
      </c>
      <c r="G861" s="503"/>
      <c r="H861" s="803" t="s">
        <v>360</v>
      </c>
      <c r="I861" s="831" t="s">
        <v>361</v>
      </c>
      <c r="J861" s="803" t="s">
        <v>362</v>
      </c>
      <c r="K861" s="803" t="s">
        <v>363</v>
      </c>
      <c r="L861" s="803" t="s">
        <v>364</v>
      </c>
      <c r="M861" s="803" t="s">
        <v>365</v>
      </c>
      <c r="N861" s="804" t="s">
        <v>366</v>
      </c>
      <c r="O861" s="805"/>
      <c r="P861" s="806" t="s">
        <v>367</v>
      </c>
      <c r="Q861" s="807"/>
      <c r="R861" s="784" t="s">
        <v>368</v>
      </c>
      <c r="S861" s="774"/>
      <c r="T861" s="798" t="s">
        <v>369</v>
      </c>
      <c r="U861" s="799"/>
      <c r="V861" s="800"/>
      <c r="X861" s="520"/>
      <c r="Y861" s="520"/>
    </row>
    <row r="862" spans="1:29" s="27" customFormat="1" ht="94.5" customHeight="1">
      <c r="A862" s="22"/>
      <c r="B862" s="830"/>
      <c r="C862" s="504" t="s">
        <v>370</v>
      </c>
      <c r="D862" s="505" t="s">
        <v>41</v>
      </c>
      <c r="E862" s="505" t="s">
        <v>371</v>
      </c>
      <c r="F862" s="505" t="s">
        <v>372</v>
      </c>
      <c r="G862" s="506" t="s">
        <v>373</v>
      </c>
      <c r="H862" s="793"/>
      <c r="I862" s="832"/>
      <c r="J862" s="793"/>
      <c r="K862" s="793"/>
      <c r="L862" s="793"/>
      <c r="M862" s="793"/>
      <c r="N862" s="504" t="s">
        <v>374</v>
      </c>
      <c r="O862" s="505" t="s">
        <v>375</v>
      </c>
      <c r="P862" s="801"/>
      <c r="Q862" s="802"/>
      <c r="R862" s="796"/>
      <c r="S862" s="797"/>
      <c r="T862" s="507" t="s">
        <v>376</v>
      </c>
      <c r="U862" s="508" t="s">
        <v>377</v>
      </c>
      <c r="V862" s="509" t="s">
        <v>378</v>
      </c>
      <c r="X862" s="521" t="s">
        <v>379</v>
      </c>
      <c r="Y862" s="521" t="s">
        <v>380</v>
      </c>
    </row>
    <row r="863" spans="1:29" s="27" customFormat="1" ht="15" customHeight="1">
      <c r="A863" s="22"/>
      <c r="B863" s="594"/>
      <c r="C863" s="595">
        <v>3</v>
      </c>
      <c r="D863" s="595">
        <v>4</v>
      </c>
      <c r="E863" s="595">
        <v>5</v>
      </c>
      <c r="F863" s="595">
        <v>6</v>
      </c>
      <c r="G863" s="595">
        <v>7</v>
      </c>
      <c r="H863" s="595">
        <v>8</v>
      </c>
      <c r="I863" s="595">
        <v>9</v>
      </c>
      <c r="J863" s="595">
        <v>10</v>
      </c>
      <c r="K863" s="595">
        <v>11</v>
      </c>
      <c r="L863" s="595">
        <v>12</v>
      </c>
      <c r="M863" s="595">
        <v>13</v>
      </c>
      <c r="N863" s="595">
        <v>14</v>
      </c>
      <c r="O863" s="595">
        <v>15</v>
      </c>
      <c r="P863" s="596">
        <v>16</v>
      </c>
      <c r="Q863" s="597">
        <v>17</v>
      </c>
      <c r="R863" s="596">
        <v>18</v>
      </c>
      <c r="S863" s="597">
        <v>19</v>
      </c>
      <c r="T863" s="598">
        <v>20</v>
      </c>
      <c r="U863" s="255">
        <v>21</v>
      </c>
      <c r="V863" s="599">
        <v>22</v>
      </c>
      <c r="X863" s="589"/>
      <c r="Y863" s="590"/>
    </row>
    <row r="864" spans="1:29" s="44" customFormat="1" ht="57" customHeight="1">
      <c r="A864" s="42" t="str">
        <f>"A"&amp;E860</f>
        <v>A29</v>
      </c>
      <c r="B864" s="605">
        <f>IF(C864&lt;&gt;"",B863+1,"")</f>
        <v>1</v>
      </c>
      <c r="C864" s="581" t="s">
        <v>612</v>
      </c>
      <c r="D864" s="581" t="s">
        <v>613</v>
      </c>
      <c r="E864" s="581" t="s">
        <v>614</v>
      </c>
      <c r="F864" s="581" t="s">
        <v>533</v>
      </c>
      <c r="G864" s="534">
        <v>0.73</v>
      </c>
      <c r="H864" s="534" t="s">
        <v>385</v>
      </c>
      <c r="I864" s="579">
        <v>1</v>
      </c>
      <c r="J864" s="580" t="str">
        <f>IF(I864="","",IF(I864="I",$F860,VLOOKUP(I864,$C881:$D886,2,0)))</f>
        <v>ALFREDO JOSE LEPESQUEUR MARTINEZ</v>
      </c>
      <c r="K864" s="535">
        <v>41912</v>
      </c>
      <c r="L864" s="535">
        <v>42628</v>
      </c>
      <c r="M864" s="536">
        <v>6038.39</v>
      </c>
      <c r="N864" s="232">
        <f t="shared" ref="N864:N873" si="171">IF(OR(G864="",M864=""),"",M864*G864)</f>
        <v>4408.0246999999999</v>
      </c>
      <c r="O864" s="637">
        <f t="shared" ref="O864:O873" si="172">IF(OR(H864="",H864="NO",K864&lt;$Q$17,K864&gt;$R$17,K864="",M864="",N864=""),"",ROUND(N864,7))</f>
        <v>4408.0246999999999</v>
      </c>
      <c r="P864" s="781"/>
      <c r="Q864" s="782"/>
      <c r="R864" s="767"/>
      <c r="S864" s="768"/>
      <c r="T864" s="538" t="s">
        <v>385</v>
      </c>
      <c r="U864" s="539">
        <v>22</v>
      </c>
      <c r="V864" s="540" t="s">
        <v>385</v>
      </c>
      <c r="X864" s="541" t="s">
        <v>516</v>
      </c>
      <c r="Y864" s="541" t="s">
        <v>439</v>
      </c>
    </row>
    <row r="865" spans="1:29" s="44" customFormat="1" ht="36.75" customHeight="1">
      <c r="A865" s="42" t="str">
        <f>"B"&amp;E860</f>
        <v>B29</v>
      </c>
      <c r="B865" s="605">
        <f t="shared" ref="B865:B873" si="173">IF(C865&lt;&gt;"",B864+1,"")</f>
        <v>2</v>
      </c>
      <c r="C865" s="581" t="s">
        <v>615</v>
      </c>
      <c r="D865" s="581" t="s">
        <v>616</v>
      </c>
      <c r="E865" s="581" t="s">
        <v>617</v>
      </c>
      <c r="F865" s="581" t="s">
        <v>431</v>
      </c>
      <c r="G865" s="534">
        <v>0.5</v>
      </c>
      <c r="H865" s="534" t="s">
        <v>385</v>
      </c>
      <c r="I865" s="579">
        <v>1</v>
      </c>
      <c r="J865" s="580" t="str">
        <f>IF(I865="","",IF(I865="I",$F860,VLOOKUP(I865,$C881:$D886,2,0)))</f>
        <v>ALFREDO JOSE LEPESQUEUR MARTINEZ</v>
      </c>
      <c r="K865" s="535">
        <v>42234</v>
      </c>
      <c r="L865" s="535">
        <v>42649</v>
      </c>
      <c r="M865" s="536">
        <v>1340.41</v>
      </c>
      <c r="N865" s="232">
        <f t="shared" si="171"/>
        <v>670.20500000000004</v>
      </c>
      <c r="O865" s="637">
        <f t="shared" si="172"/>
        <v>670.20500000000004</v>
      </c>
      <c r="P865" s="781"/>
      <c r="Q865" s="782"/>
      <c r="R865" s="767"/>
      <c r="S865" s="768"/>
      <c r="T865" s="538" t="s">
        <v>385</v>
      </c>
      <c r="U865" s="539">
        <v>21</v>
      </c>
      <c r="V865" s="540" t="s">
        <v>385</v>
      </c>
      <c r="X865" s="541" t="s">
        <v>386</v>
      </c>
      <c r="Y865" s="541" t="s">
        <v>435</v>
      </c>
    </row>
    <row r="866" spans="1:29" s="44" customFormat="1" ht="84.75" customHeight="1">
      <c r="A866" s="42" t="str">
        <f>"C"&amp;E860</f>
        <v>C29</v>
      </c>
      <c r="B866" s="605">
        <f t="shared" si="173"/>
        <v>3</v>
      </c>
      <c r="C866" s="581" t="s">
        <v>618</v>
      </c>
      <c r="D866" s="581" t="s">
        <v>619</v>
      </c>
      <c r="E866" s="581" t="s">
        <v>620</v>
      </c>
      <c r="F866" s="581" t="s">
        <v>431</v>
      </c>
      <c r="G866" s="534">
        <v>0.5</v>
      </c>
      <c r="H866" s="628" t="s">
        <v>385</v>
      </c>
      <c r="I866" s="579">
        <v>1</v>
      </c>
      <c r="J866" s="580" t="str">
        <f>IF(I866="","",IF(I866="I",$F860,VLOOKUP(I866,$C881:$D886,2,0)))</f>
        <v>ALFREDO JOSE LEPESQUEUR MARTINEZ</v>
      </c>
      <c r="K866" s="535">
        <v>44228</v>
      </c>
      <c r="L866" s="535">
        <v>44438</v>
      </c>
      <c r="M866" s="536">
        <v>615.82000000000005</v>
      </c>
      <c r="N866" s="232">
        <f t="shared" si="171"/>
        <v>307.91000000000003</v>
      </c>
      <c r="O866" s="637">
        <f t="shared" si="172"/>
        <v>307.91000000000003</v>
      </c>
      <c r="P866" s="781"/>
      <c r="Q866" s="782"/>
      <c r="R866" s="767" t="s">
        <v>621</v>
      </c>
      <c r="S866" s="768"/>
      <c r="T866" s="538" t="s">
        <v>385</v>
      </c>
      <c r="U866" s="539">
        <v>60</v>
      </c>
      <c r="V866" s="540" t="s">
        <v>385</v>
      </c>
      <c r="X866" s="541" t="s">
        <v>386</v>
      </c>
      <c r="Y866" s="541" t="s">
        <v>435</v>
      </c>
    </row>
    <row r="867" spans="1:29" s="44" customFormat="1" ht="69" customHeight="1">
      <c r="A867" s="42" t="str">
        <f>"D"&amp;E860</f>
        <v>D29</v>
      </c>
      <c r="B867" s="605">
        <f t="shared" si="173"/>
        <v>4</v>
      </c>
      <c r="C867" s="581" t="s">
        <v>622</v>
      </c>
      <c r="D867" s="581" t="s">
        <v>623</v>
      </c>
      <c r="E867" s="581" t="s">
        <v>624</v>
      </c>
      <c r="F867" s="581" t="s">
        <v>431</v>
      </c>
      <c r="G867" s="534">
        <v>0.7</v>
      </c>
      <c r="H867" s="534" t="s">
        <v>385</v>
      </c>
      <c r="I867" s="579">
        <v>1</v>
      </c>
      <c r="J867" s="580" t="str">
        <f>IF(I867="","",IF(I867="I",$F860,VLOOKUP(I867,$C881:$D886,2,0)))</f>
        <v>ALFREDO JOSE LEPESQUEUR MARTINEZ</v>
      </c>
      <c r="K867" s="535">
        <v>42544</v>
      </c>
      <c r="L867" s="535">
        <v>42848</v>
      </c>
      <c r="M867" s="536">
        <v>564.34</v>
      </c>
      <c r="N867" s="232">
        <f t="shared" si="171"/>
        <v>395.03800000000001</v>
      </c>
      <c r="O867" s="637">
        <f t="shared" si="172"/>
        <v>395.03800000000001</v>
      </c>
      <c r="P867" s="781"/>
      <c r="Q867" s="782"/>
      <c r="R867" s="767"/>
      <c r="S867" s="768"/>
      <c r="T867" s="538" t="s">
        <v>385</v>
      </c>
      <c r="U867" s="539">
        <v>26</v>
      </c>
      <c r="V867" s="540" t="s">
        <v>385</v>
      </c>
      <c r="X867" s="541" t="s">
        <v>386</v>
      </c>
      <c r="Y867" s="541" t="s">
        <v>439</v>
      </c>
    </row>
    <row r="868" spans="1:29" s="44" customFormat="1" ht="65.25" customHeight="1">
      <c r="A868" s="42" t="str">
        <f>"E"&amp;E860</f>
        <v>E29</v>
      </c>
      <c r="B868" s="605">
        <f t="shared" si="173"/>
        <v>5</v>
      </c>
      <c r="C868" s="581" t="s">
        <v>622</v>
      </c>
      <c r="D868" s="581" t="s">
        <v>625</v>
      </c>
      <c r="E868" s="581" t="s">
        <v>626</v>
      </c>
      <c r="F868" s="581" t="s">
        <v>431</v>
      </c>
      <c r="G868" s="534">
        <v>0.7</v>
      </c>
      <c r="H868" s="534" t="s">
        <v>385</v>
      </c>
      <c r="I868" s="579">
        <v>1</v>
      </c>
      <c r="J868" s="580" t="str">
        <f>IF(I868="","",IF(I868="I",$F860,VLOOKUP(I868,$C881:$D886,2,0)))</f>
        <v>ALFREDO JOSE LEPESQUEUR MARTINEZ</v>
      </c>
      <c r="K868" s="535">
        <v>43089</v>
      </c>
      <c r="L868" s="535">
        <v>43454</v>
      </c>
      <c r="M868" s="536">
        <v>556.34</v>
      </c>
      <c r="N868" s="232">
        <f t="shared" si="171"/>
        <v>389.43799999999999</v>
      </c>
      <c r="O868" s="637">
        <f t="shared" si="172"/>
        <v>389.43799999999999</v>
      </c>
      <c r="P868" s="781"/>
      <c r="Q868" s="782"/>
      <c r="R868" s="767"/>
      <c r="S868" s="768"/>
      <c r="T868" s="538" t="s">
        <v>385</v>
      </c>
      <c r="U868" s="539">
        <v>30</v>
      </c>
      <c r="V868" s="540" t="s">
        <v>385</v>
      </c>
      <c r="X868" s="541" t="s">
        <v>386</v>
      </c>
      <c r="Y868" s="541" t="s">
        <v>439</v>
      </c>
    </row>
    <row r="869" spans="1:29" s="44" customFormat="1" ht="24.95" customHeight="1">
      <c r="A869" s="42" t="str">
        <f>"F"&amp;E860</f>
        <v>F29</v>
      </c>
      <c r="B869" s="605" t="str">
        <f t="shared" si="173"/>
        <v/>
      </c>
      <c r="C869" s="581"/>
      <c r="D869" s="581"/>
      <c r="E869" s="581"/>
      <c r="F869" s="581"/>
      <c r="G869" s="534"/>
      <c r="H869" s="534"/>
      <c r="I869" s="579"/>
      <c r="J869" s="580" t="str">
        <f>IF(I869="","",IF(I869="I",$F860,VLOOKUP(I869,$C881:$D886,2,0)))</f>
        <v/>
      </c>
      <c r="K869" s="535"/>
      <c r="L869" s="535"/>
      <c r="M869" s="536"/>
      <c r="N869" s="232" t="str">
        <f t="shared" si="171"/>
        <v/>
      </c>
      <c r="O869" s="260" t="str">
        <f t="shared" si="172"/>
        <v/>
      </c>
      <c r="P869" s="781"/>
      <c r="Q869" s="782"/>
      <c r="R869" s="767"/>
      <c r="S869" s="768"/>
      <c r="T869" s="538"/>
      <c r="U869" s="539"/>
      <c r="V869" s="540"/>
      <c r="X869" s="541"/>
      <c r="Y869" s="541"/>
    </row>
    <row r="870" spans="1:29" s="44" customFormat="1" ht="24.95" customHeight="1">
      <c r="A870" s="42" t="str">
        <f>"G"&amp;E860</f>
        <v>G29</v>
      </c>
      <c r="B870" s="605" t="str">
        <f t="shared" si="173"/>
        <v/>
      </c>
      <c r="C870" s="581"/>
      <c r="D870" s="581"/>
      <c r="E870" s="581"/>
      <c r="F870" s="581"/>
      <c r="G870" s="534"/>
      <c r="H870" s="534"/>
      <c r="I870" s="579"/>
      <c r="J870" s="580" t="str">
        <f>IF(I870="","",IF(I870="I",$F860,VLOOKUP(I870,$C881:$D886,2,0)))</f>
        <v/>
      </c>
      <c r="K870" s="535"/>
      <c r="L870" s="535"/>
      <c r="M870" s="536"/>
      <c r="N870" s="43" t="str">
        <f t="shared" si="171"/>
        <v/>
      </c>
      <c r="O870" s="260" t="str">
        <f t="shared" si="172"/>
        <v/>
      </c>
      <c r="P870" s="781"/>
      <c r="Q870" s="782"/>
      <c r="R870" s="767"/>
      <c r="S870" s="768"/>
      <c r="T870" s="538"/>
      <c r="U870" s="539"/>
      <c r="V870" s="540"/>
      <c r="X870" s="541"/>
      <c r="Y870" s="541"/>
    </row>
    <row r="871" spans="1:29" s="44" customFormat="1" ht="24.95" customHeight="1">
      <c r="A871" s="42" t="str">
        <f>"H"&amp;E860</f>
        <v>H29</v>
      </c>
      <c r="B871" s="605" t="str">
        <f t="shared" si="173"/>
        <v/>
      </c>
      <c r="C871" s="581"/>
      <c r="D871" s="581"/>
      <c r="E871" s="581"/>
      <c r="F871" s="581"/>
      <c r="G871" s="534"/>
      <c r="H871" s="534"/>
      <c r="I871" s="579"/>
      <c r="J871" s="580" t="str">
        <f>IF(I871="","",IF(I871="I",$F860,VLOOKUP(I871,$C881:$D886,2,0)))</f>
        <v/>
      </c>
      <c r="K871" s="535"/>
      <c r="L871" s="535"/>
      <c r="M871" s="537"/>
      <c r="N871" s="43" t="str">
        <f t="shared" si="171"/>
        <v/>
      </c>
      <c r="O871" s="260" t="str">
        <f t="shared" si="172"/>
        <v/>
      </c>
      <c r="P871" s="781"/>
      <c r="Q871" s="782"/>
      <c r="R871" s="767"/>
      <c r="S871" s="768"/>
      <c r="T871" s="538"/>
      <c r="U871" s="539"/>
      <c r="V871" s="540"/>
      <c r="X871" s="541"/>
      <c r="Y871" s="541"/>
    </row>
    <row r="872" spans="1:29" s="44" customFormat="1" ht="24.95" customHeight="1">
      <c r="A872" s="42" t="str">
        <f>"I"&amp;E860</f>
        <v>I29</v>
      </c>
      <c r="B872" s="605" t="str">
        <f t="shared" si="173"/>
        <v/>
      </c>
      <c r="C872" s="581"/>
      <c r="D872" s="581"/>
      <c r="E872" s="581"/>
      <c r="F872" s="581"/>
      <c r="G872" s="534"/>
      <c r="H872" s="534"/>
      <c r="I872" s="579"/>
      <c r="J872" s="580" t="str">
        <f>IF(I872="","",IF(I872="I",$F860,VLOOKUP(I872,$C881:$D886,2,0)))</f>
        <v/>
      </c>
      <c r="K872" s="535"/>
      <c r="L872" s="535"/>
      <c r="M872" s="537"/>
      <c r="N872" s="43" t="str">
        <f t="shared" si="171"/>
        <v/>
      </c>
      <c r="O872" s="260" t="str">
        <f t="shared" si="172"/>
        <v/>
      </c>
      <c r="P872" s="781"/>
      <c r="Q872" s="782"/>
      <c r="R872" s="767"/>
      <c r="S872" s="768"/>
      <c r="T872" s="538"/>
      <c r="U872" s="539"/>
      <c r="V872" s="540"/>
      <c r="X872" s="541"/>
      <c r="Y872" s="541"/>
    </row>
    <row r="873" spans="1:29" s="44" customFormat="1" ht="24.95" customHeight="1" thickBot="1">
      <c r="A873" s="42" t="str">
        <f>"J"&amp;E860</f>
        <v>J29</v>
      </c>
      <c r="B873" s="612" t="str">
        <f t="shared" si="173"/>
        <v/>
      </c>
      <c r="C873" s="582"/>
      <c r="D873" s="582"/>
      <c r="E873" s="582"/>
      <c r="F873" s="582"/>
      <c r="G873" s="583"/>
      <c r="H873" s="583"/>
      <c r="I873" s="584"/>
      <c r="J873" s="585" t="str">
        <f>IF(I873="","",IF(I873="I",$F860,VLOOKUP(I873,$C881:$D886,2,0)))</f>
        <v/>
      </c>
      <c r="K873" s="586"/>
      <c r="L873" s="586"/>
      <c r="M873" s="587"/>
      <c r="N873" s="43" t="str">
        <f t="shared" si="171"/>
        <v/>
      </c>
      <c r="O873" s="260" t="str">
        <f t="shared" si="172"/>
        <v/>
      </c>
      <c r="P873" s="781"/>
      <c r="Q873" s="782"/>
      <c r="R873" s="767"/>
      <c r="S873" s="768"/>
      <c r="T873" s="538"/>
      <c r="U873" s="539"/>
      <c r="V873" s="540"/>
      <c r="X873" s="541"/>
      <c r="Y873" s="541"/>
    </row>
    <row r="874" spans="1:29" s="27" customFormat="1" ht="12" customHeight="1" thickBot="1">
      <c r="A874" s="42"/>
      <c r="B874" s="45"/>
      <c r="C874" s="46"/>
      <c r="D874" s="46"/>
      <c r="E874" s="46"/>
      <c r="F874" s="46"/>
      <c r="G874" s="46"/>
      <c r="H874" s="606"/>
      <c r="I874" s="46"/>
      <c r="J874" s="46"/>
      <c r="K874" s="46"/>
      <c r="L874" s="46"/>
      <c r="M874" s="46"/>
      <c r="N874" s="46"/>
      <c r="O874" s="259"/>
      <c r="P874" s="46"/>
      <c r="Q874" s="46"/>
      <c r="R874" s="259"/>
      <c r="S874" s="46"/>
      <c r="T874" s="46"/>
      <c r="U874" s="47"/>
      <c r="V874" s="48"/>
      <c r="X874" s="592"/>
      <c r="Y874" s="593"/>
      <c r="AB874" s="378"/>
    </row>
    <row r="875" spans="1:29" s="27" customFormat="1" ht="17.25" customHeight="1" thickBot="1">
      <c r="A875" s="42" t="str">
        <f>"Z"&amp;E860</f>
        <v>Z29</v>
      </c>
      <c r="B875" s="510"/>
      <c r="C875" s="511"/>
      <c r="D875" s="511"/>
      <c r="E875" s="511"/>
      <c r="F875" s="511"/>
      <c r="G875" s="511"/>
      <c r="H875" s="511"/>
      <c r="I875" s="511"/>
      <c r="J875" s="511"/>
      <c r="K875" s="511"/>
      <c r="L875" s="511"/>
      <c r="M875" s="511"/>
      <c r="N875" s="437" t="s">
        <v>388</v>
      </c>
      <c r="O875" s="438">
        <f>IF(COUNTIF(O864:O873,"")&gt;9,0,SUM(O864:O873)/(COUNTIF(H864:H873,"SI")))</f>
        <v>1234.1231400000001</v>
      </c>
      <c r="P875" s="511"/>
      <c r="Q875" s="511"/>
      <c r="R875" s="530"/>
      <c r="S875" s="530"/>
      <c r="T875" s="531"/>
      <c r="U875" s="532"/>
      <c r="V875" s="533"/>
      <c r="W875" s="285"/>
      <c r="X875" s="613" t="e">
        <f>COUNTIF(#REF!,"")-COUNTIF(#REF!,"CUMPLE")-1</f>
        <v>#REF!</v>
      </c>
      <c r="Y875" s="591"/>
      <c r="AB875" s="28"/>
    </row>
    <row r="876" spans="1:29" ht="17.25" customHeight="1">
      <c r="B876" s="50"/>
      <c r="C876" s="50"/>
      <c r="D876" s="50"/>
      <c r="E876" s="50"/>
      <c r="F876" s="50"/>
      <c r="G876" s="51"/>
      <c r="H876" s="51"/>
      <c r="I876" s="51"/>
      <c r="J876" s="51"/>
      <c r="K876" s="51"/>
      <c r="L876" s="51"/>
      <c r="M876" s="51"/>
      <c r="N876" s="51"/>
      <c r="O876" s="51"/>
      <c r="P876" s="51"/>
      <c r="Q876" s="51"/>
      <c r="R876" s="51"/>
      <c r="S876" s="51"/>
      <c r="T876" s="51"/>
      <c r="U876" s="51"/>
      <c r="V876" s="51"/>
      <c r="W876" s="51"/>
      <c r="X876" s="608"/>
      <c r="Y876" s="51"/>
      <c r="Z876" s="51"/>
      <c r="AA876" s="51"/>
      <c r="AB876" s="51"/>
      <c r="AC876" s="50"/>
    </row>
    <row r="877" spans="1:29" s="27" customFormat="1" ht="16.5" customHeight="1" thickBot="1">
      <c r="A877" s="22"/>
      <c r="B877" s="783" t="s">
        <v>389</v>
      </c>
      <c r="C877" s="783"/>
      <c r="D877" s="783"/>
      <c r="E877" s="783"/>
      <c r="F877" s="783"/>
      <c r="G877" s="783"/>
      <c r="H877" s="783"/>
      <c r="I877" s="783"/>
      <c r="J877" s="783"/>
      <c r="K877" s="783"/>
      <c r="L877" s="783"/>
      <c r="M877" s="783"/>
      <c r="N877" s="783"/>
      <c r="O877" s="783"/>
      <c r="P877" s="783"/>
      <c r="Q877" s="783"/>
      <c r="R877" s="783"/>
      <c r="S877" s="783"/>
      <c r="T877" s="783"/>
      <c r="U877" s="783"/>
      <c r="V877" s="783"/>
      <c r="W877" s="286"/>
      <c r="X877" s="607"/>
      <c r="Y877" s="52"/>
      <c r="Z877" s="52"/>
      <c r="AA877" s="52"/>
      <c r="AB877" s="28"/>
      <c r="AC877" s="28"/>
    </row>
    <row r="878" spans="1:29" s="30" customFormat="1" ht="22.5" customHeight="1">
      <c r="A878" s="112" t="str">
        <f>"K"&amp;E860</f>
        <v>K29</v>
      </c>
      <c r="B878" s="790" t="s">
        <v>390</v>
      </c>
      <c r="C878" s="772" t="s">
        <v>391</v>
      </c>
      <c r="D878" s="773"/>
      <c r="E878" s="773"/>
      <c r="F878" s="773"/>
      <c r="G878" s="773"/>
      <c r="H878" s="773"/>
      <c r="I878" s="773"/>
      <c r="J878" s="773"/>
      <c r="K878" s="773"/>
      <c r="L878" s="773"/>
      <c r="M878" s="774"/>
      <c r="N878" s="525"/>
      <c r="O878" s="588"/>
      <c r="P878" s="772" t="s">
        <v>392</v>
      </c>
      <c r="Q878" s="773"/>
      <c r="R878" s="773"/>
      <c r="S878" s="774"/>
      <c r="T878" s="784" t="s">
        <v>393</v>
      </c>
      <c r="U878" s="774"/>
      <c r="V878" s="811"/>
      <c r="W878" s="284"/>
      <c r="X878" s="778" t="s">
        <v>394</v>
      </c>
      <c r="Y878" s="779"/>
      <c r="Z878" s="779"/>
      <c r="AA878" s="779" t="s">
        <v>395</v>
      </c>
      <c r="AB878" s="808" t="s">
        <v>396</v>
      </c>
      <c r="AC878" s="28"/>
    </row>
    <row r="879" spans="1:29" s="30" customFormat="1" ht="22.5" customHeight="1">
      <c r="A879" s="112" t="str">
        <f>"L"&amp;E860</f>
        <v>L29</v>
      </c>
      <c r="B879" s="791"/>
      <c r="C879" s="769" t="s">
        <v>397</v>
      </c>
      <c r="D879" s="770"/>
      <c r="E879" s="771"/>
      <c r="F879" s="512">
        <f>IF(VLOOKUP(E860,PROPONENTES!$C$19:$E$108,3,0)="","",VLOOKUP(E860,PROPONENTES!$C$19:$E$108,3,0))</f>
        <v>2</v>
      </c>
      <c r="G879" s="824" t="s">
        <v>398</v>
      </c>
      <c r="H879" s="793" t="s">
        <v>399</v>
      </c>
      <c r="I879" s="793"/>
      <c r="J879" s="769" t="s">
        <v>400</v>
      </c>
      <c r="K879" s="823"/>
      <c r="L879" s="513" t="s">
        <v>401</v>
      </c>
      <c r="M879" s="513"/>
      <c r="N879" s="526"/>
      <c r="O879" s="527"/>
      <c r="P879" s="775"/>
      <c r="Q879" s="776"/>
      <c r="R879" s="776"/>
      <c r="S879" s="777"/>
      <c r="T879" s="796"/>
      <c r="U879" s="797"/>
      <c r="V879" s="812"/>
      <c r="W879" s="284"/>
      <c r="X879" s="780" t="s">
        <v>402</v>
      </c>
      <c r="Y879" s="810" t="s">
        <v>403</v>
      </c>
      <c r="Z879" s="810"/>
      <c r="AA879" s="810"/>
      <c r="AB879" s="809"/>
      <c r="AC879" s="28"/>
    </row>
    <row r="880" spans="1:29" s="30" customFormat="1" ht="51.75" customHeight="1" thickBot="1">
      <c r="A880" s="112" t="str">
        <f>"M"&amp;E860</f>
        <v>M29</v>
      </c>
      <c r="B880" s="791"/>
      <c r="C880" s="770" t="s">
        <v>404</v>
      </c>
      <c r="D880" s="771"/>
      <c r="E880" s="514" t="s">
        <v>405</v>
      </c>
      <c r="F880" s="515" t="s">
        <v>406</v>
      </c>
      <c r="G880" s="824"/>
      <c r="H880" s="793"/>
      <c r="I880" s="793"/>
      <c r="J880" s="504" t="s">
        <v>407</v>
      </c>
      <c r="K880" s="516" t="s">
        <v>408</v>
      </c>
      <c r="L880" s="517" t="s">
        <v>409</v>
      </c>
      <c r="M880" s="517"/>
      <c r="N880" s="528" t="s">
        <v>410</v>
      </c>
      <c r="O880" s="529"/>
      <c r="P880" s="386"/>
      <c r="Q880" s="387" t="s">
        <v>411</v>
      </c>
      <c r="R880" s="388"/>
      <c r="S880" s="113">
        <f>COUNTIFS(H864:H873,"SI",O864:O873,"&gt;0")</f>
        <v>5</v>
      </c>
      <c r="T880" s="785"/>
      <c r="U880" s="787"/>
      <c r="V880" s="813"/>
      <c r="W880" s="284"/>
      <c r="X880" s="780"/>
      <c r="Y880" s="810"/>
      <c r="Z880" s="810"/>
      <c r="AA880" s="810"/>
      <c r="AB880" s="809"/>
      <c r="AC880" s="28"/>
    </row>
    <row r="881" spans="1:29" s="30" customFormat="1" ht="29.25" customHeight="1">
      <c r="A881" s="112" t="str">
        <f>"N"&amp;E860</f>
        <v>N29</v>
      </c>
      <c r="B881" s="791"/>
      <c r="C881" s="54">
        <v>1</v>
      </c>
      <c r="D881" s="100" t="str">
        <f>IF(AND(C881&lt;=F879,F879&gt;1,F879&lt;&gt;""),VLOOKUP(VALUE(E860&amp;","&amp;C881),INTEGRANTES!$D$19:$F$192,2,0),"")</f>
        <v>ALFREDO JOSE LEPESQUEUR MARTINEZ</v>
      </c>
      <c r="E881" s="107">
        <f>IF(D881&lt;&gt;"",VLOOKUP(VALUE(E860&amp;","&amp;C881),INTEGRANTES!$D$19:$F$192,3,0),"")</f>
        <v>0.95</v>
      </c>
      <c r="F881" s="380">
        <f>IF(D881="","",IF(OR(SUMIF($J864:$J873,D881,$O864:$O873)=0,N881="NO"),"NO APORTA",SUMIF($J864:$J873,D881,$O864:$O873)))</f>
        <v>6170.6157000000003</v>
      </c>
      <c r="G881" s="380">
        <f ca="1">IF($D881="","",IF($F879&lt;=1,"",ROUND(POSMMLV*PORPO,2)))</f>
        <v>150</v>
      </c>
      <c r="H881" s="765" t="str">
        <f ca="1">IF($D881="","",IF(OR(F881="NO APORTA",G881&gt;F881),"NO CUMPLE","CUMPLE"))</f>
        <v>CUMPLE</v>
      </c>
      <c r="I881" s="766"/>
      <c r="J881" s="108" t="str">
        <f ca="1">IF(D881="","",IF(OR(AND(SUMIF($J864:$J873,D881,$O864:$O873)&gt;=5%*POSMMLV,N881="SI"),AND(SUMIF($J864:$J873,D881,$O864:$O873)=0,E881&lt;=5%,N881="SI")),"CUMPLE","NO CUMPLE"))</f>
        <v>CUMPLE</v>
      </c>
      <c r="K881" s="105" t="str">
        <f ca="1">IF(OR(D881="",J881=""),"",IF(AND(J881="NO CUMPLE",F881="NO APORTA",E881&gt;5%),"EXP = 0 y PART &gt; 5%",IF(F881&lt;5%*Q886,"EXP &lt; 5%*PO","")))</f>
        <v/>
      </c>
      <c r="L881" s="389" t="str">
        <f>IF(OR(D881="",E881=""),"",IF(AND(E881&gt;=0.25,F881&lt;&gt;"NO APORTA",F881&gt;=$R886*0.25),"SI","NO"))</f>
        <v>SI</v>
      </c>
      <c r="M881" s="389"/>
      <c r="N881" s="468" t="s">
        <v>385</v>
      </c>
      <c r="O881" s="396">
        <f>COUNTIFS(O864:O873,"&gt;0",H864:H873,"SI")</f>
        <v>5</v>
      </c>
      <c r="P881" s="814" t="s">
        <v>139</v>
      </c>
      <c r="Q881" s="814"/>
      <c r="R881" s="817">
        <f>E860</f>
        <v>29</v>
      </c>
      <c r="S881" s="818"/>
      <c r="T881" s="784" t="s">
        <v>412</v>
      </c>
      <c r="U881" s="773"/>
      <c r="V881" s="774"/>
      <c r="W881" s="283"/>
      <c r="X881" s="542" t="str">
        <f>IF($F879=1,"NO APLICA",$D881)</f>
        <v>ALFREDO JOSE LEPESQUEUR MARTINEZ</v>
      </c>
      <c r="Y881" s="543">
        <f ca="1">IF(OR($F881="",$F881="NO APORTA",$R886=0,$X881="NO APLICA"),"",ROUND($F881/$Q886,2))</f>
        <v>20.57</v>
      </c>
      <c r="Z881" s="544" t="str">
        <f ca="1">IF(Y887=1,"SI APLICA",IF(OR($X881="",$X881="NO APLICA",$F881="",$F881="NO APORTA"),"",IF(ROUND($F881/Q886,7)&gt;=0.4,"SI APLICA","NO APLICA")))</f>
        <v>SI APLICA</v>
      </c>
      <c r="AA881" s="543" t="s">
        <v>413</v>
      </c>
      <c r="AB881" s="540" t="str">
        <f ca="1">IF(COUNTIF(Z881:AA881,"SI APLICA")=2,"SI APLICA","")</f>
        <v>SI APLICA</v>
      </c>
      <c r="AC881" s="28"/>
    </row>
    <row r="882" spans="1:29" s="30" customFormat="1" ht="15.75" customHeight="1" thickBot="1">
      <c r="A882" s="112" t="str">
        <f>"O"&amp;E860</f>
        <v>O29</v>
      </c>
      <c r="B882" s="791"/>
      <c r="C882" s="54">
        <v>2</v>
      </c>
      <c r="D882" s="100" t="str">
        <f>IF(AND(C882&lt;=F879,F879&lt;&gt;""),VLOOKUP(VALUE(E860&amp;","&amp;C882),INTEGRANTES!$D$19:$F$192,2,0),"")</f>
        <v>MT PROJECTS S.A.S</v>
      </c>
      <c r="E882" s="107">
        <f>IF(D882&lt;&gt;"",VLOOKUP(VALUE(E860&amp;","&amp;C882),INTEGRANTES!$D$19:$F$192,3,0),"")</f>
        <v>0.05</v>
      </c>
      <c r="F882" s="380" t="str">
        <f>IF(D882="","",IF(OR(SUMIF($J864:$J873,D882,$O864:$O873)=0,N882="NO"),"NO APORTA",SUMIF($J864:$J873,D882,$O864:$O873)))</f>
        <v>NO APORTA</v>
      </c>
      <c r="G882" s="380">
        <f ca="1">IF($D882="","",IF($F879&lt;=1,"",ROUND(POSMMLV*PORPO,2)))</f>
        <v>150</v>
      </c>
      <c r="H882" s="765" t="str">
        <f t="shared" ref="H882:H885" ca="1" si="174">IF($D882="","",IF(OR(F882="NO APORTA",G882&gt;F882),"NO CUMPLE","CUMPLE"))</f>
        <v>NO CUMPLE</v>
      </c>
      <c r="I882" s="766"/>
      <c r="J882" s="108" t="str">
        <f ca="1">IF(D882="","",IF(OR(AND(SUMIF($J864:$J873,D882,$O864:$O873)&gt;=5%*POSMMLV,N882="SI"),AND(SUMIF($J864:$J873,D882,$O864:$O873)=0,E882&lt;=5%,N882="SI")),"CUMPLE","NO CUMPLE"))</f>
        <v>CUMPLE</v>
      </c>
      <c r="K882" s="105" t="str">
        <f ca="1">IF(OR(D882="",J882=""),"",IF(AND(J882="NO CUMPLE",F882="NO APORTA",E882&gt;5%),"EXP = 0 y PART &gt; 5%",IF(F882&lt;5%*Q886,"EXP &lt; 5%*PO","")))</f>
        <v/>
      </c>
      <c r="L882" s="389" t="str">
        <f>IF(OR(D882="",E882=""),"",IF(AND(E882&gt;=0.25,F882&lt;&gt;"NO APORTA",F882&gt;=$R886*0.25),"SI","NO"))</f>
        <v>NO</v>
      </c>
      <c r="M882" s="389"/>
      <c r="N882" s="468" t="s">
        <v>385</v>
      </c>
      <c r="O882" s="396"/>
      <c r="P882" s="815"/>
      <c r="Q882" s="815"/>
      <c r="R882" s="815"/>
      <c r="S882" s="819"/>
      <c r="T882" s="785"/>
      <c r="U882" s="786"/>
      <c r="V882" s="787"/>
      <c r="W882" s="283"/>
      <c r="X882" s="542" t="str">
        <f>IF($F879=1,"NO APLICA",$D882)</f>
        <v>MT PROJECTS S.A.S</v>
      </c>
      <c r="Y882" s="543" t="str">
        <f>IF(OR($F882="",$F882="NO APORTA",$R886=0,$X882="NO APLICA"),"",ROUND($F882/$Q886,2))</f>
        <v/>
      </c>
      <c r="Z882" s="544" t="str">
        <f>IF(Y887=1,"SI APLICA",IF(OR($X882="",$X882="NO APLICA",$F882="",$F882="NO APORTA"),"",IF(ROUND($F882/Q886,7)&gt;=0.4,"SI APLICA","NO APLICA")))</f>
        <v/>
      </c>
      <c r="AA882" s="543"/>
      <c r="AB882" s="540" t="str">
        <f t="shared" ref="AB882" si="175">IF(COUNTIF(Z882:AA882,"SI APLICA")=2,"SI APLICA","")</f>
        <v/>
      </c>
      <c r="AC882" s="28"/>
    </row>
    <row r="883" spans="1:29" s="30" customFormat="1" ht="15.75" customHeight="1">
      <c r="A883" s="112" t="str">
        <f>"P"&amp;E860</f>
        <v>P29</v>
      </c>
      <c r="B883" s="791"/>
      <c r="C883" s="54">
        <v>3</v>
      </c>
      <c r="D883" s="100" t="str">
        <f>IF(AND(C883&lt;=F879,F879&lt;&gt;""),VLOOKUP(VALUE(E860&amp;","&amp;C883),INTEGRANTES!$D$19:$F$192,2,0),"")</f>
        <v/>
      </c>
      <c r="E883" s="107" t="str">
        <f>IF(D883&lt;&gt;"",VLOOKUP(VALUE(E860&amp;","&amp;C883),INTEGRANTES!$D$19:$F$192,3,0),"")</f>
        <v/>
      </c>
      <c r="F883" s="380" t="str">
        <f>IF(D883="","",IF(OR(SUMIF($J867:$J873,D883,$O867:$O873)=0,N883="NO"),"NO APORTA",SUMIF($J867:$J873,D883,$O867:$O873)))</f>
        <v/>
      </c>
      <c r="G883" s="380" t="str">
        <f>IF($D883="","",IF($F879&lt;=1,"",ROUND(POSMMLV*PORPO,2)))</f>
        <v/>
      </c>
      <c r="H883" s="765" t="str">
        <f t="shared" si="174"/>
        <v/>
      </c>
      <c r="I883" s="766"/>
      <c r="J883" s="108" t="str">
        <f>IF(D883="","",IF(OR(AND(SUMIF($J864:$J873,D883,$O864:$O873)&gt;=5%*POSMMLV,N883="SI"),AND(SUMIF($J864:$J873,D883,$O864:$O873)=0,E883&lt;=5%,N883="SI")),"CUMPLE","NO CUMPLE"))</f>
        <v/>
      </c>
      <c r="K883" s="105" t="str">
        <f>IF(OR(D883="",J883=""),"",IF(AND(J883="NO CUMPLE",F883="NO APORTA",E883&gt;5%),"EXP = 0 y PART &gt; 5%",IF(F883&lt;5%*Q886,"EXP &lt; 5%*PO","")))</f>
        <v/>
      </c>
      <c r="L883" s="389" t="str">
        <f>IF(OR(D883="",E883=""),"",IF(AND(E883&gt;=0.25,F883&lt;&gt;"NO APORTA",F883&gt;=$R886*0.25),"SI","NO"))</f>
        <v/>
      </c>
      <c r="M883" s="389"/>
      <c r="N883" s="468"/>
      <c r="O883" s="397"/>
      <c r="P883" s="816"/>
      <c r="Q883" s="816"/>
      <c r="R883" s="816"/>
      <c r="S883" s="820"/>
      <c r="T883" s="308"/>
      <c r="U883" s="308"/>
      <c r="V883" s="309"/>
      <c r="W883" s="284"/>
      <c r="X883" s="542" t="str">
        <f>IF($F879=1,"NO APLICA",$D883)</f>
        <v/>
      </c>
      <c r="Y883" s="543" t="str">
        <f>IF(OR($F883="",$F883="NO APORTA",$R886=0,$X883="NO APLICA"),"",ROUND($F883/$Q886,2))</f>
        <v/>
      </c>
      <c r="Z883" s="544" t="str">
        <f>IF(Y887=1,"SI APLICA",IF(OR($X883="",$X883="NO APLICA",$F883="",$F883="NO APORTA"),"",IF(ROUND($F883/Q886,7)&gt;=0.4,"SI APLICA","NO APLICA")))</f>
        <v/>
      </c>
      <c r="AA883" s="543"/>
      <c r="AB883" s="540" t="str">
        <f>IF(COUNTIF(Z883:AA883,"SI APLICA")=2,"SI APLICA","")</f>
        <v/>
      </c>
      <c r="AC883" s="28"/>
    </row>
    <row r="884" spans="1:29" s="30" customFormat="1" ht="15.75" customHeight="1">
      <c r="A884" s="112" t="str">
        <f>"Q"&amp;E860</f>
        <v>Q29</v>
      </c>
      <c r="B884" s="791"/>
      <c r="C884" s="54">
        <v>4</v>
      </c>
      <c r="D884" s="100" t="str">
        <f>IF(AND(C884&lt;=F879,F879&lt;&gt;""),VLOOKUP(VALUE(E860&amp;","&amp;C884),INTEGRANTES!$D$19:$F$192,2,0),"")</f>
        <v/>
      </c>
      <c r="E884" s="107" t="str">
        <f>IF(D884&lt;&gt;"",VLOOKUP(VALUE(E860&amp;","&amp;C884),INTEGRANTES!$D$19:$F$192,3,0),"")</f>
        <v/>
      </c>
      <c r="F884" s="380" t="str">
        <f>IF(D884="","",IF(OR(SUMIF($J867:$J873,D884,$O867:$O873)=0,N884="NO"),"NO APORTA",SUMIF($J867:$J873,D884,$O867:$O873)))</f>
        <v/>
      </c>
      <c r="G884" s="380" t="str">
        <f>IF($D884="","",IF($F879&lt;=1,"",ROUND(POSMMLV*PORPO,2)))</f>
        <v/>
      </c>
      <c r="H884" s="765" t="str">
        <f t="shared" si="174"/>
        <v/>
      </c>
      <c r="I884" s="766"/>
      <c r="J884" s="108" t="str">
        <f>IF(D884="","",IF(OR(AND(SUMIF($J864:$J873,D884,$O864:$O873)&gt;=5%*POSMMLV,N884="SI"),AND(SUMIF($J864:$J873,D884,$O864:$O873)=0,E884&lt;=5%,N884="SI")),"CUMPLE","NO CUMPLE"))</f>
        <v/>
      </c>
      <c r="K884" s="105" t="str">
        <f>IF(OR(D884="",J884=""),"",IF(AND(J884="NO CUMPLE",F884="NO APORTA",E884&gt;5%),"EXP = 0 y PART &gt; 5%",IF(F884&lt;5%*Q886,"EXP &lt; 5%*PO","")))</f>
        <v/>
      </c>
      <c r="L884" s="389" t="str">
        <f>IF(OR(D884="",E884=""),"",IF(AND(E884&gt;=0.25,F884&lt;&gt;"NO APORTA",F884&gt;=$R886*0.25),"SI","NO"))</f>
        <v/>
      </c>
      <c r="M884" s="389"/>
      <c r="N884" s="468"/>
      <c r="O884" s="788" t="s">
        <v>414</v>
      </c>
      <c r="P884" s="769" t="s">
        <v>415</v>
      </c>
      <c r="Q884" s="770"/>
      <c r="R884" s="770"/>
      <c r="S884" s="771"/>
      <c r="T884" s="284"/>
      <c r="U884" s="284"/>
      <c r="V884" s="310"/>
      <c r="W884" s="284"/>
      <c r="X884" s="542" t="str">
        <f>IF($F879=1,"NO APLICA",$D884)</f>
        <v/>
      </c>
      <c r="Y884" s="543" t="str">
        <f>IF(OR($F884="",$F884="NO APORTA",$R886=0,$X884="NO APLICA"),"",ROUND($F884/$Q886,2))</f>
        <v/>
      </c>
      <c r="Z884" s="544" t="str">
        <f>IF(Y887=1,"SI APLICA",IF(OR($X884="",$X884="NO APLICA",$F884="",$F884="NO APORTA"),"",IF(ROUND($F884/Q886,7)&gt;=0.4,"SI APLICA","NO APLICA")))</f>
        <v/>
      </c>
      <c r="AA884" s="543"/>
      <c r="AB884" s="540" t="str">
        <f t="shared" ref="AB884:AB885" si="176">IF(COUNTIF(Z884:AA884,"SI APLICA")=2,"SI APLICA","")</f>
        <v/>
      </c>
      <c r="AC884" s="28"/>
    </row>
    <row r="885" spans="1:29" s="30" customFormat="1" ht="17.25" customHeight="1">
      <c r="A885" s="112" t="str">
        <f>"R"&amp;E860</f>
        <v>R29</v>
      </c>
      <c r="B885" s="791"/>
      <c r="C885" s="54">
        <v>5</v>
      </c>
      <c r="D885" s="100" t="str">
        <f>IF(AND(C885&lt;=F879,F879&lt;&gt;""),VLOOKUP(VALUE(E860&amp;","&amp;C885),INTEGRANTES!$D$19:$F$192,2,0),"")</f>
        <v/>
      </c>
      <c r="E885" s="107" t="str">
        <f>IF(D885&lt;&gt;"",VLOOKUP(VALUE(E860&amp;","&amp;C885),INTEGRANTES!$D$19:$F$192,3,0),"")</f>
        <v/>
      </c>
      <c r="F885" s="380" t="str">
        <f>IF(D885="","",IF(OR(SUMIF($J867:$J873,D885,$O867:$O873)=0,N885="NO"),"NO APORTA",SUMIF($J867:$J873,D885,$O867:$O873)))</f>
        <v/>
      </c>
      <c r="G885" s="380" t="str">
        <f>IF($D885="","",IF($F879&lt;=1,"",ROUND(POSMMLV*PORPO,2)))</f>
        <v/>
      </c>
      <c r="H885" s="765" t="str">
        <f t="shared" si="174"/>
        <v/>
      </c>
      <c r="I885" s="766"/>
      <c r="J885" s="108" t="str">
        <f>IF(D885="","",IF(OR(AND(SUMIF($J864:$J873,D885,$O864:$O873)&gt;=5%*POSMMLV,N885="SI"),AND(SUMIF($J864:$J873,D885,$O864:$O873)=0,E885&lt;=5%,N885="SI")),"CUMPLE","NO CUMPLE"))</f>
        <v/>
      </c>
      <c r="K885" s="105" t="str">
        <f>IF(OR(D885="",J885=""),"",IF(AND(J885="NO CUMPLE",F885="NO APORTA",E885&gt;5%),"EXP = 0 y PART &gt; 5%",IF(F885&lt;5%*Q886,"EXP &lt; 5%*PO","")))</f>
        <v/>
      </c>
      <c r="L885" s="389" t="str">
        <f>IF(OR(D885="",E885=""),"",IF(AND(E885&gt;=0.25,F885&lt;&gt;"NO APORTA",F885&gt;=$R886*0.25),"SI","NO"))</f>
        <v/>
      </c>
      <c r="M885" s="389"/>
      <c r="N885" s="468"/>
      <c r="O885" s="789"/>
      <c r="P885" s="504" t="s">
        <v>416</v>
      </c>
      <c r="Q885" s="504" t="s">
        <v>417</v>
      </c>
      <c r="R885" s="793" t="s">
        <v>418</v>
      </c>
      <c r="S885" s="793"/>
      <c r="T885" s="284"/>
      <c r="U885" s="284"/>
      <c r="V885" s="310"/>
      <c r="W885" s="284"/>
      <c r="X885" s="542" t="str">
        <f>IF($F879=1,"NO APLICA",$D885)</f>
        <v/>
      </c>
      <c r="Y885" s="543" t="str">
        <f>IF(OR($F885="",$F885="NO APORTA",$R886=0,$X885="NO APLICA"),"",ROUND($F885/$Q886,2))</f>
        <v/>
      </c>
      <c r="Z885" s="544" t="str">
        <f>IF(Y887=1,"SI APLICA",IF(OR($X885="",$X885="NO APLICA",$F885="",$F885="NO APORTA"),"",IF(ROUND($F885/Q886,7)&gt;=0.4,"SI APLICA","NO APLICA")))</f>
        <v/>
      </c>
      <c r="AA885" s="543"/>
      <c r="AB885" s="540" t="str">
        <f t="shared" si="176"/>
        <v/>
      </c>
      <c r="AC885" s="28"/>
    </row>
    <row r="886" spans="1:29" s="30" customFormat="1" ht="16.5" customHeight="1" thickBot="1">
      <c r="A886" s="112" t="str">
        <f>"S"&amp;E860</f>
        <v>S29</v>
      </c>
      <c r="B886" s="791"/>
      <c r="C886" s="109">
        <v>6</v>
      </c>
      <c r="D886" s="110" t="str">
        <f>IF(AND(C886&lt;=F879,F879&lt;&gt;""),VLOOKUP(VALUE(E860&amp;","&amp;C886),INTEGRANTES!$D$19:$F$192,2,0),"")</f>
        <v/>
      </c>
      <c r="E886" s="111" t="str">
        <f>IF(D886&lt;&gt;"",VLOOKUP(VALUE(E860&amp;","&amp;C886),INTEGRANTES!$D$19:$F$192,3,0),"")</f>
        <v/>
      </c>
      <c r="F886" s="380" t="str">
        <f>IF(D886="","",IF(OR(SUMIF($J867:$J873,D886,$O867:$O873)=0,N886="NO"),"NO APORTA",SUMIF($J867:$J873,D886,$O867:$O873)))</f>
        <v/>
      </c>
      <c r="G886" s="380" t="str">
        <f>IF($D886="","",IF($F879&lt;=1,"",ROUND(POSMMLV*PORPO,2)))</f>
        <v/>
      </c>
      <c r="H886" s="765" t="str">
        <f>IF($D886="","",IF(OR(F886="NO APORTA",G886&gt;F886),"NO CUMPLE","CUMPLE"))</f>
        <v/>
      </c>
      <c r="I886" s="766"/>
      <c r="J886" s="108" t="str">
        <f>IF(D886="","",IF(OR(AND(SUMIF($J864:$J873,D886,$O864:$O873)&gt;=5%*POSMMLV,N886="SI"),AND(SUMIF($J864:$J873,D886,$O864:$O873)=0,E886&lt;=5%,N886="SI")),"CUMPLE","NO CUMPLE"))</f>
        <v/>
      </c>
      <c r="K886" s="105" t="str">
        <f>IF(OR(D886="",J886=""),"",IF(AND(J886="NO CUMPLE",F886="NO APORTA",E886&gt;5%),"EXP = 0 y PART &gt; 5%",IF(F886&lt;5%*Q886,"EXP &lt; 5%*PO","")))</f>
        <v/>
      </c>
      <c r="L886" s="389" t="str">
        <f>IF(OR(D886="",E886=""),"",IF(AND(E886&gt;=0.25,F886&lt;&gt;"NO APORTA",F886&gt;=$R886*0.25),"SI","NO"))</f>
        <v/>
      </c>
      <c r="M886" s="389"/>
      <c r="N886" s="468"/>
      <c r="O886" s="403" t="str">
        <f ca="1">IF(R886&gt;=Q886,"CUMPLE","NO CUMPLE")</f>
        <v>CUMPLE</v>
      </c>
      <c r="P886" s="312">
        <f>NUMMOD</f>
        <v>1</v>
      </c>
      <c r="Q886" s="313">
        <f ca="1">IF(P886="","",ROUND(VLOOKUP(P886,PRESUPUESTOS!$B$16:$L$16,9,FALSE),7))</f>
        <v>300</v>
      </c>
      <c r="R886" s="834">
        <f>IF(OR(COUNTIF(O864:O873,"")&gt;9,S880&lt;NUMMINCONT),0,SUM(O864:O873))</f>
        <v>6170.6157000000003</v>
      </c>
      <c r="S886" s="834"/>
      <c r="T886" s="284"/>
      <c r="U886" s="284"/>
      <c r="V886" s="310"/>
      <c r="W886" s="284"/>
      <c r="X886" s="545" t="str">
        <f>IF($F879=1,"NO APLICA",$D886)</f>
        <v/>
      </c>
      <c r="Y886" s="543" t="str">
        <f>IF(OR($F886="",$F886="NO APORTA",$R886=0,$X886="NO APLICA"),"",ROUND($F886/$Q886,2))</f>
        <v/>
      </c>
      <c r="Z886" s="544" t="str">
        <f>IF(Y887=1,"SI APLICA",IF(OR($X886="",$X886="NO APLICA",$F886="",$F886="NO APORTA"),"",IF(ROUND($F886/Q886,7)&gt;=0.4,"SI APLICA","NO APLICA")))</f>
        <v/>
      </c>
      <c r="AA886" s="546"/>
      <c r="AB886" s="540" t="str">
        <f>IF(COUNTIF(Z886:AA886,"SI APLICA")=2,"SI APLICA","")</f>
        <v/>
      </c>
      <c r="AC886" s="28"/>
    </row>
    <row r="887" spans="1:29" s="30" customFormat="1" ht="16.5" customHeight="1" thickBot="1">
      <c r="A887" s="112" t="str">
        <f>"T"&amp;E860</f>
        <v>T29</v>
      </c>
      <c r="B887" s="792"/>
      <c r="C887" s="821" t="s">
        <v>419</v>
      </c>
      <c r="D887" s="822"/>
      <c r="E887" s="822"/>
      <c r="F887" s="518"/>
      <c r="G887" s="519"/>
      <c r="H887" s="794" t="str">
        <f ca="1">IF(OR($F879="",SUM(E881:E886)=0),"",IF(COUNTIF(H881:H886,"CUMPLE")&gt;=1,"CUMPLE","NO CUMPLE"))</f>
        <v>CUMPLE</v>
      </c>
      <c r="I887" s="795"/>
      <c r="J887" s="314" t="str">
        <f ca="1">IF(COUNTIF(J881:J886,"")&gt;5,"",IF(COUNTIF(J881:J886,"NO CUMPLE")&gt;0,"NO CUMPLE","CUMPLE"))</f>
        <v>CUMPLE</v>
      </c>
      <c r="K887" s="314" t="str">
        <f ca="1">IF(OR(AND(F879=1,N881="SI"),AND(COUNTIF(H887:J887,"CUMPLE")=2)),"CUMPLE","NO CUMPLE")</f>
        <v>CUMPLE</v>
      </c>
      <c r="L887" s="519"/>
      <c r="M887" s="519"/>
      <c r="N887" s="519"/>
      <c r="O887" s="833" t="str">
        <f ca="1">IF(ISNUMBER(F860),"",IF(AND(O886="NO CUMPLE",SUM(N867:N873)&lt;Q886),"EL PROPONENTE SE DEBE REQUERIR POR EXPERIENCIA MINIMA EXIGIDA",""))</f>
        <v/>
      </c>
      <c r="P887" s="833"/>
      <c r="Q887" s="833"/>
      <c r="R887" s="833"/>
      <c r="S887" s="833"/>
      <c r="T887" s="522"/>
      <c r="U887" s="523"/>
      <c r="V887" s="524"/>
      <c r="W887" s="284"/>
      <c r="X887" s="364" t="str">
        <f>IF(Y887=1,"PROPONENTE INDIVIDUAL","PROPONENTE PLURAL")</f>
        <v>PROPONENTE PLURAL</v>
      </c>
      <c r="Y887" s="276">
        <f>F879</f>
        <v>2</v>
      </c>
      <c r="Z887" s="277" t="str">
        <f ca="1">IF(OR(AND(Z881="SI APLICA",AA881="SI APLICA"),AND(Z882="SI APLICA",AA882="SI APLICA"),AND(Z883="SI APLICA",AA883="SI APLICA"),AND(Z884="SI APLICA",AA884="SI APLICA"),AND(Z885="SI APLICA",AA885="SI APLICA"),AND(Z886="SI APLICA",AA886="SI APLICA")),"SI APLICA","NO APLICA")</f>
        <v>SI APLICA</v>
      </c>
      <c r="AA887" s="278" t="str">
        <f ca="1">IF(OR(AND(AA881="SI APLICA",AB881="SI APLICA"),AND(AA882="SI APLICA",AB882="SI APLICA"),AND(AA883="SI APLICA",AB883="SI APLICA"),AND(AA884="SI APLICA",AB884="SI APLICA"),AND(AA885="SI APLICA",AB885="SI APLICA"),AND(AA886="SI APLICA",AB886="SI APLICA")),"SI APLICA","NO APLICA")</f>
        <v>SI APLICA</v>
      </c>
      <c r="AB887" s="278" t="str">
        <f ca="1">IF(COUNTIF(AB881:AB886,"SI APLICA")&gt;0,"SI APLICA","NO APLICA")</f>
        <v>SI APLICA</v>
      </c>
      <c r="AC887" s="28"/>
    </row>
    <row r="888" spans="1:29" ht="24.95" customHeight="1"/>
    <row r="889" spans="1:29" ht="24.95" customHeight="1"/>
    <row r="890" spans="1:29" s="41" customFormat="1" ht="24" thickBot="1">
      <c r="A890" s="34">
        <v>30</v>
      </c>
      <c r="B890" s="828" t="s">
        <v>355</v>
      </c>
      <c r="C890" s="828"/>
      <c r="D890" s="828"/>
      <c r="E890" s="35">
        <f>VLOOKUP(A890,PROPONENTES!$B$19:$E$108,2,FALSE)</f>
        <v>30</v>
      </c>
      <c r="F890" s="36" t="str">
        <f>VLOOKUP(A890,PROPONENTES!$B$19:$E$108,3,FALSE)</f>
        <v>CONSORCIO INTER TOLIMA</v>
      </c>
      <c r="G890" s="37"/>
      <c r="H890" s="37"/>
      <c r="I890" s="36"/>
      <c r="J890" s="36"/>
      <c r="K890" s="36"/>
      <c r="L890" s="36"/>
      <c r="M890" s="38"/>
      <c r="N890" s="38"/>
      <c r="O890" s="37"/>
      <c r="P890" s="37"/>
      <c r="Q890" s="39"/>
      <c r="R890" s="39"/>
      <c r="S890" s="39"/>
      <c r="T890" s="39"/>
      <c r="U890" s="40"/>
      <c r="Y890" s="52"/>
      <c r="Z890" s="52"/>
      <c r="AA890" s="52"/>
      <c r="AB890" s="28"/>
      <c r="AC890" s="28"/>
    </row>
    <row r="891" spans="1:29" s="27" customFormat="1" ht="24.75" customHeight="1">
      <c r="A891" s="22"/>
      <c r="B891" s="829" t="s">
        <v>356</v>
      </c>
      <c r="C891" s="501" t="s">
        <v>357</v>
      </c>
      <c r="D891" s="502" t="s">
        <v>358</v>
      </c>
      <c r="E891" s="502"/>
      <c r="F891" s="502" t="s">
        <v>359</v>
      </c>
      <c r="G891" s="503"/>
      <c r="H891" s="803" t="s">
        <v>360</v>
      </c>
      <c r="I891" s="831" t="s">
        <v>361</v>
      </c>
      <c r="J891" s="803" t="s">
        <v>362</v>
      </c>
      <c r="K891" s="803" t="s">
        <v>363</v>
      </c>
      <c r="L891" s="803" t="s">
        <v>364</v>
      </c>
      <c r="M891" s="803" t="s">
        <v>365</v>
      </c>
      <c r="N891" s="804" t="s">
        <v>366</v>
      </c>
      <c r="O891" s="805"/>
      <c r="P891" s="806" t="s">
        <v>367</v>
      </c>
      <c r="Q891" s="807"/>
      <c r="R891" s="784" t="s">
        <v>368</v>
      </c>
      <c r="S891" s="774"/>
      <c r="T891" s="798" t="s">
        <v>369</v>
      </c>
      <c r="U891" s="799"/>
      <c r="V891" s="800"/>
      <c r="X891" s="520"/>
      <c r="Y891" s="520"/>
    </row>
    <row r="892" spans="1:29" s="27" customFormat="1" ht="94.5" customHeight="1">
      <c r="A892" s="22"/>
      <c r="B892" s="830"/>
      <c r="C892" s="504" t="s">
        <v>370</v>
      </c>
      <c r="D892" s="505" t="s">
        <v>41</v>
      </c>
      <c r="E892" s="505" t="s">
        <v>371</v>
      </c>
      <c r="F892" s="505" t="s">
        <v>372</v>
      </c>
      <c r="G892" s="506" t="s">
        <v>373</v>
      </c>
      <c r="H892" s="793"/>
      <c r="I892" s="832"/>
      <c r="J892" s="793"/>
      <c r="K892" s="793"/>
      <c r="L892" s="793"/>
      <c r="M892" s="793"/>
      <c r="N892" s="504" t="s">
        <v>374</v>
      </c>
      <c r="O892" s="505" t="s">
        <v>375</v>
      </c>
      <c r="P892" s="801"/>
      <c r="Q892" s="802"/>
      <c r="R892" s="796"/>
      <c r="S892" s="797"/>
      <c r="T892" s="507" t="s">
        <v>376</v>
      </c>
      <c r="U892" s="508" t="s">
        <v>377</v>
      </c>
      <c r="V892" s="509" t="s">
        <v>378</v>
      </c>
      <c r="X892" s="521" t="s">
        <v>379</v>
      </c>
      <c r="Y892" s="521" t="s">
        <v>380</v>
      </c>
    </row>
    <row r="893" spans="1:29" s="27" customFormat="1" ht="15" customHeight="1">
      <c r="A893" s="22"/>
      <c r="B893" s="594"/>
      <c r="C893" s="595">
        <v>3</v>
      </c>
      <c r="D893" s="595">
        <v>4</v>
      </c>
      <c r="E893" s="595">
        <v>5</v>
      </c>
      <c r="F893" s="595">
        <v>6</v>
      </c>
      <c r="G893" s="595">
        <v>7</v>
      </c>
      <c r="H893" s="595">
        <v>8</v>
      </c>
      <c r="I893" s="595">
        <v>9</v>
      </c>
      <c r="J893" s="595">
        <v>10</v>
      </c>
      <c r="K893" s="595">
        <v>11</v>
      </c>
      <c r="L893" s="595">
        <v>12</v>
      </c>
      <c r="M893" s="595">
        <v>13</v>
      </c>
      <c r="N893" s="595">
        <v>14</v>
      </c>
      <c r="O893" s="595">
        <v>15</v>
      </c>
      <c r="P893" s="596">
        <v>16</v>
      </c>
      <c r="Q893" s="597">
        <v>17</v>
      </c>
      <c r="R893" s="596">
        <v>18</v>
      </c>
      <c r="S893" s="597">
        <v>19</v>
      </c>
      <c r="T893" s="598">
        <v>20</v>
      </c>
      <c r="U893" s="255">
        <v>21</v>
      </c>
      <c r="V893" s="599">
        <v>22</v>
      </c>
      <c r="X893" s="589"/>
      <c r="Y893" s="590"/>
    </row>
    <row r="894" spans="1:29" s="44" customFormat="1" ht="53.25" customHeight="1">
      <c r="A894" s="42" t="str">
        <f>"A"&amp;E890</f>
        <v>A30</v>
      </c>
      <c r="B894" s="605">
        <f>IF(C894&lt;&gt;"",B893+1,"")</f>
        <v>1</v>
      </c>
      <c r="C894" s="581" t="s">
        <v>627</v>
      </c>
      <c r="D894" s="581" t="s">
        <v>628</v>
      </c>
      <c r="E894" s="581" t="s">
        <v>629</v>
      </c>
      <c r="F894" s="581" t="s">
        <v>431</v>
      </c>
      <c r="G894" s="534">
        <v>1</v>
      </c>
      <c r="H894" s="534" t="s">
        <v>385</v>
      </c>
      <c r="I894" s="579">
        <v>1</v>
      </c>
      <c r="J894" s="580" t="str">
        <f>IF(I894="","",IF(I894="I",$F890,VLOOKUP(I894,$C912:$D917,2,0)))</f>
        <v xml:space="preserve">JMELO INGENIERIA DE PROYECTOS SAS </v>
      </c>
      <c r="K894" s="535">
        <v>43150</v>
      </c>
      <c r="L894" s="535">
        <v>43390</v>
      </c>
      <c r="M894" s="536">
        <v>359.58</v>
      </c>
      <c r="N894" s="232">
        <f t="shared" ref="N894:N904" si="177">IF(OR(G894="",M894=""),"",M894*G894)</f>
        <v>359.58</v>
      </c>
      <c r="O894" s="659">
        <f t="shared" ref="O894:O904" si="178">IF(OR(H894="",H894="NO",K894&lt;$Q$17,K894&gt;$R$17,K894="",M894="",N894=""),"",ROUND(N894,7))</f>
        <v>359.58</v>
      </c>
      <c r="P894" s="781"/>
      <c r="Q894" s="782"/>
      <c r="R894" s="767"/>
      <c r="S894" s="768"/>
      <c r="T894" s="538" t="s">
        <v>385</v>
      </c>
      <c r="U894" s="539">
        <v>7</v>
      </c>
      <c r="V894" s="641" t="s">
        <v>385</v>
      </c>
      <c r="X894" s="541" t="s">
        <v>446</v>
      </c>
      <c r="Y894" s="541" t="s">
        <v>387</v>
      </c>
    </row>
    <row r="895" spans="1:29" s="44" customFormat="1" ht="45.75" customHeight="1">
      <c r="A895" s="42"/>
      <c r="B895" s="605">
        <f>IF(C895&lt;&gt;"",B894+1,"")</f>
        <v>2</v>
      </c>
      <c r="C895" s="581" t="s">
        <v>630</v>
      </c>
      <c r="D895" s="581" t="s">
        <v>631</v>
      </c>
      <c r="E895" s="581" t="s">
        <v>632</v>
      </c>
      <c r="F895" s="581" t="s">
        <v>431</v>
      </c>
      <c r="G895" s="534">
        <v>0.8</v>
      </c>
      <c r="H895" s="534" t="s">
        <v>385</v>
      </c>
      <c r="I895" s="579">
        <v>2</v>
      </c>
      <c r="J895" s="580" t="str">
        <f>IF(I895="","",IF(I895="I",$F889,VLOOKUP(I895,$C911:$D916,2,0)))</f>
        <v>GNG SERVICIOS DE INGENIERIA SAS</v>
      </c>
      <c r="K895" s="535">
        <v>40484</v>
      </c>
      <c r="L895" s="535">
        <v>40907</v>
      </c>
      <c r="M895" s="536">
        <v>1418.95</v>
      </c>
      <c r="N895" s="232">
        <f t="shared" ref="N895:N897" si="179">IF(OR(G895="",M895=""),"",M895*G895)</f>
        <v>1135.1600000000001</v>
      </c>
      <c r="O895" s="659">
        <f t="shared" ref="O895:O896" si="180">IF(OR(H895="",H895="NO",K895&lt;$Q$17,K895&gt;$R$17,K895="",M895="",N895=""),"",ROUND(N895,7))</f>
        <v>1135.1600000000001</v>
      </c>
      <c r="P895" s="639"/>
      <c r="Q895" s="640"/>
      <c r="R895" s="763"/>
      <c r="S895" s="764"/>
      <c r="T895" s="538" t="s">
        <v>385</v>
      </c>
      <c r="U895" s="539">
        <v>33</v>
      </c>
      <c r="V895" s="641" t="s">
        <v>385</v>
      </c>
      <c r="X895" s="541" t="s">
        <v>386</v>
      </c>
      <c r="Y895" s="541" t="s">
        <v>387</v>
      </c>
    </row>
    <row r="896" spans="1:29" s="44" customFormat="1" ht="39" customHeight="1">
      <c r="A896" s="42" t="str">
        <f>"B"&amp;E890</f>
        <v>B30</v>
      </c>
      <c r="B896" s="605">
        <f>IF(C896&lt;&gt;"",B895+1,"")</f>
        <v>3</v>
      </c>
      <c r="C896" s="581" t="s">
        <v>630</v>
      </c>
      <c r="D896" s="581" t="s">
        <v>633</v>
      </c>
      <c r="E896" s="581" t="s">
        <v>634</v>
      </c>
      <c r="F896" s="581" t="s">
        <v>431</v>
      </c>
      <c r="G896" s="534">
        <v>0.8</v>
      </c>
      <c r="H896" s="534" t="s">
        <v>385</v>
      </c>
      <c r="I896" s="579">
        <v>2</v>
      </c>
      <c r="J896" s="580" t="str">
        <f>IF(I896="","",IF(I896="I",$F889,VLOOKUP(I896,$C911:$D916,2,0)))</f>
        <v>GNG SERVICIOS DE INGENIERIA SAS</v>
      </c>
      <c r="K896" s="535">
        <v>40360</v>
      </c>
      <c r="L896" s="535">
        <v>41029</v>
      </c>
      <c r="M896" s="536">
        <v>1408.53</v>
      </c>
      <c r="N896" s="232">
        <f t="shared" si="179"/>
        <v>1126.8240000000001</v>
      </c>
      <c r="O896" s="659">
        <f t="shared" si="180"/>
        <v>1126.8240000000001</v>
      </c>
      <c r="P896" s="781"/>
      <c r="Q896" s="782"/>
      <c r="R896" s="767" t="s">
        <v>635</v>
      </c>
      <c r="S896" s="768"/>
      <c r="T896" s="538" t="s">
        <v>385</v>
      </c>
      <c r="U896" s="539">
        <v>35</v>
      </c>
      <c r="V896" s="641" t="s">
        <v>385</v>
      </c>
      <c r="X896" s="541" t="s">
        <v>386</v>
      </c>
      <c r="Y896" s="541" t="s">
        <v>387</v>
      </c>
    </row>
    <row r="897" spans="1:29" s="44" customFormat="1" ht="41.25" customHeight="1">
      <c r="A897" s="42" t="str">
        <f>"C"&amp;E890</f>
        <v>C30</v>
      </c>
      <c r="B897" s="605"/>
      <c r="C897" s="581"/>
      <c r="D897" s="581"/>
      <c r="E897" s="581"/>
      <c r="F897" s="581"/>
      <c r="G897" s="534"/>
      <c r="H897" s="534"/>
      <c r="I897" s="579"/>
      <c r="J897" s="580" t="str">
        <f>IF(I897="","",IF(I897="I",$F890,VLOOKUP(I897,$C912:$D917,2,0)))</f>
        <v/>
      </c>
      <c r="K897" s="535"/>
      <c r="L897" s="535"/>
      <c r="M897" s="536"/>
      <c r="N897" s="232" t="str">
        <f t="shared" si="179"/>
        <v/>
      </c>
      <c r="O897" s="629"/>
      <c r="P897" s="781"/>
      <c r="Q897" s="782"/>
      <c r="R897" s="767"/>
      <c r="S897" s="768"/>
      <c r="T897" s="538"/>
      <c r="U897" s="539"/>
      <c r="V897" s="641"/>
      <c r="X897" s="541"/>
      <c r="Y897" s="541"/>
    </row>
    <row r="898" spans="1:29" s="44" customFormat="1" ht="24.95" customHeight="1">
      <c r="A898" s="42" t="str">
        <f>"D"&amp;E890</f>
        <v>D30</v>
      </c>
      <c r="B898" s="605" t="str">
        <f t="shared" ref="B898:B904" si="181">IF(C898&lt;&gt;"",B897+1,"")</f>
        <v/>
      </c>
      <c r="C898" s="581"/>
      <c r="D898" s="581"/>
      <c r="E898" s="581"/>
      <c r="F898" s="581"/>
      <c r="G898" s="534"/>
      <c r="H898" s="534"/>
      <c r="I898" s="579"/>
      <c r="J898" s="580" t="str">
        <f>IF(I898="","",IF(I898="I",$F890,VLOOKUP(I898,$C912:$D917,2,0)))</f>
        <v/>
      </c>
      <c r="K898" s="535"/>
      <c r="L898" s="535"/>
      <c r="M898" s="536"/>
      <c r="N898" s="232" t="str">
        <f t="shared" si="177"/>
        <v/>
      </c>
      <c r="O898" s="629" t="str">
        <f t="shared" si="178"/>
        <v/>
      </c>
      <c r="P898" s="781"/>
      <c r="Q898" s="782"/>
      <c r="R898" s="767"/>
      <c r="S898" s="768"/>
      <c r="T898" s="538"/>
      <c r="U898" s="539"/>
      <c r="V898" s="540"/>
      <c r="X898" s="541"/>
      <c r="Y898" s="541"/>
    </row>
    <row r="899" spans="1:29" s="44" customFormat="1" ht="24.95" customHeight="1">
      <c r="A899" s="42" t="str">
        <f>"E"&amp;E890</f>
        <v>E30</v>
      </c>
      <c r="B899" s="605" t="str">
        <f t="shared" si="181"/>
        <v/>
      </c>
      <c r="C899" s="581"/>
      <c r="D899" s="581"/>
      <c r="E899" s="581"/>
      <c r="F899" s="581"/>
      <c r="G899" s="534"/>
      <c r="H899" s="534"/>
      <c r="I899" s="579"/>
      <c r="J899" s="580" t="str">
        <f>IF(I899="","",IF(I899="I",$F890,VLOOKUP(I899,$C912:$D917,2,0)))</f>
        <v/>
      </c>
      <c r="K899" s="535"/>
      <c r="L899" s="535"/>
      <c r="M899" s="536"/>
      <c r="N899" s="232" t="str">
        <f t="shared" si="177"/>
        <v/>
      </c>
      <c r="O899" s="629" t="str">
        <f t="shared" si="178"/>
        <v/>
      </c>
      <c r="P899" s="781"/>
      <c r="Q899" s="782"/>
      <c r="R899" s="767"/>
      <c r="S899" s="768"/>
      <c r="T899" s="538"/>
      <c r="U899" s="539"/>
      <c r="V899" s="540"/>
      <c r="X899" s="541"/>
      <c r="Y899" s="541"/>
    </row>
    <row r="900" spans="1:29" s="44" customFormat="1" ht="24.95" customHeight="1">
      <c r="A900" s="42" t="str">
        <f>"F"&amp;E890</f>
        <v>F30</v>
      </c>
      <c r="B900" s="605" t="str">
        <f t="shared" si="181"/>
        <v/>
      </c>
      <c r="C900" s="581"/>
      <c r="D900" s="581"/>
      <c r="E900" s="581"/>
      <c r="F900" s="581"/>
      <c r="G900" s="534"/>
      <c r="H900" s="534"/>
      <c r="I900" s="579"/>
      <c r="J900" s="580" t="str">
        <f>IF(I900="","",IF(I900="I",$F890,VLOOKUP(I900,$C912:$D917,2,0)))</f>
        <v/>
      </c>
      <c r="K900" s="535"/>
      <c r="L900" s="535"/>
      <c r="M900" s="536"/>
      <c r="N900" s="232" t="str">
        <f t="shared" si="177"/>
        <v/>
      </c>
      <c r="O900" s="260" t="str">
        <f t="shared" si="178"/>
        <v/>
      </c>
      <c r="P900" s="781"/>
      <c r="Q900" s="782"/>
      <c r="R900" s="767"/>
      <c r="S900" s="768"/>
      <c r="T900" s="538"/>
      <c r="U900" s="539"/>
      <c r="V900" s="540"/>
      <c r="X900" s="541"/>
      <c r="Y900" s="541"/>
    </row>
    <row r="901" spans="1:29" s="44" customFormat="1" ht="24.95" customHeight="1">
      <c r="A901" s="42" t="str">
        <f>"G"&amp;E890</f>
        <v>G30</v>
      </c>
      <c r="B901" s="605" t="str">
        <f t="shared" si="181"/>
        <v/>
      </c>
      <c r="C901" s="581"/>
      <c r="D901" s="581"/>
      <c r="E901" s="581"/>
      <c r="F901" s="581"/>
      <c r="G901" s="534"/>
      <c r="H901" s="534"/>
      <c r="I901" s="579"/>
      <c r="J901" s="580" t="str">
        <f>IF(I901="","",IF(I901="I",$F890,VLOOKUP(I901,$C912:$D917,2,0)))</f>
        <v/>
      </c>
      <c r="K901" s="535"/>
      <c r="L901" s="535"/>
      <c r="M901" s="536"/>
      <c r="N901" s="43" t="str">
        <f t="shared" si="177"/>
        <v/>
      </c>
      <c r="O901" s="260" t="str">
        <f t="shared" si="178"/>
        <v/>
      </c>
      <c r="P901" s="781"/>
      <c r="Q901" s="782"/>
      <c r="R901" s="767"/>
      <c r="S901" s="768"/>
      <c r="T901" s="538"/>
      <c r="U901" s="539"/>
      <c r="V901" s="540"/>
      <c r="X901" s="541"/>
      <c r="Y901" s="541"/>
    </row>
    <row r="902" spans="1:29" s="44" customFormat="1" ht="24.95" customHeight="1">
      <c r="A902" s="42" t="str">
        <f>"H"&amp;E890</f>
        <v>H30</v>
      </c>
      <c r="B902" s="605" t="str">
        <f t="shared" si="181"/>
        <v/>
      </c>
      <c r="C902" s="581"/>
      <c r="D902" s="581"/>
      <c r="E902" s="581"/>
      <c r="F902" s="581"/>
      <c r="G902" s="534"/>
      <c r="H902" s="534"/>
      <c r="I902" s="579"/>
      <c r="J902" s="580" t="str">
        <f>IF(I902="","",IF(I902="I",$F890,VLOOKUP(I902,$C912:$D917,2,0)))</f>
        <v/>
      </c>
      <c r="K902" s="535"/>
      <c r="L902" s="535"/>
      <c r="M902" s="537"/>
      <c r="N902" s="43" t="str">
        <f t="shared" si="177"/>
        <v/>
      </c>
      <c r="O902" s="260" t="str">
        <f t="shared" si="178"/>
        <v/>
      </c>
      <c r="P902" s="781"/>
      <c r="Q902" s="782"/>
      <c r="R902" s="767"/>
      <c r="S902" s="768"/>
      <c r="T902" s="538"/>
      <c r="U902" s="539"/>
      <c r="V902" s="540"/>
      <c r="X902" s="541"/>
      <c r="Y902" s="541"/>
    </row>
    <row r="903" spans="1:29" s="44" customFormat="1" ht="24.95" customHeight="1">
      <c r="A903" s="42" t="str">
        <f>"I"&amp;E890</f>
        <v>I30</v>
      </c>
      <c r="B903" s="605" t="str">
        <f t="shared" si="181"/>
        <v/>
      </c>
      <c r="C903" s="581"/>
      <c r="D903" s="581"/>
      <c r="E903" s="581"/>
      <c r="F903" s="581"/>
      <c r="G903" s="534"/>
      <c r="H903" s="534"/>
      <c r="I903" s="579"/>
      <c r="J903" s="580" t="str">
        <f>IF(I903="","",IF(I903="I",$F890,VLOOKUP(I903,$C912:$D917,2,0)))</f>
        <v/>
      </c>
      <c r="K903" s="535"/>
      <c r="L903" s="535"/>
      <c r="M903" s="537"/>
      <c r="N903" s="43" t="str">
        <f t="shared" si="177"/>
        <v/>
      </c>
      <c r="O903" s="260" t="str">
        <f t="shared" si="178"/>
        <v/>
      </c>
      <c r="P903" s="781"/>
      <c r="Q903" s="782"/>
      <c r="R903" s="767"/>
      <c r="S903" s="768"/>
      <c r="T903" s="538"/>
      <c r="U903" s="539"/>
      <c r="V903" s="540"/>
      <c r="X903" s="541"/>
      <c r="Y903" s="541"/>
    </row>
    <row r="904" spans="1:29" s="44" customFormat="1" ht="24.95" customHeight="1" thickBot="1">
      <c r="A904" s="42" t="str">
        <f>"J"&amp;E890</f>
        <v>J30</v>
      </c>
      <c r="B904" s="612" t="str">
        <f t="shared" si="181"/>
        <v/>
      </c>
      <c r="C904" s="582"/>
      <c r="D904" s="582"/>
      <c r="E904" s="582"/>
      <c r="F904" s="582"/>
      <c r="G904" s="583"/>
      <c r="H904" s="583"/>
      <c r="I904" s="584"/>
      <c r="J904" s="585" t="str">
        <f>IF(I904="","",IF(I904="I",$F890,VLOOKUP(I904,$C912:$D917,2,0)))</f>
        <v/>
      </c>
      <c r="K904" s="586"/>
      <c r="L904" s="586"/>
      <c r="M904" s="587"/>
      <c r="N904" s="43" t="str">
        <f t="shared" si="177"/>
        <v/>
      </c>
      <c r="O904" s="260" t="str">
        <f t="shared" si="178"/>
        <v/>
      </c>
      <c r="P904" s="781"/>
      <c r="Q904" s="782"/>
      <c r="R904" s="767"/>
      <c r="S904" s="768"/>
      <c r="T904" s="538"/>
      <c r="U904" s="539"/>
      <c r="V904" s="540"/>
      <c r="X904" s="541"/>
      <c r="Y904" s="541"/>
    </row>
    <row r="905" spans="1:29" s="27" customFormat="1" ht="12" customHeight="1" thickBot="1">
      <c r="A905" s="42"/>
      <c r="B905" s="45"/>
      <c r="C905" s="46"/>
      <c r="D905" s="46"/>
      <c r="E905" s="46"/>
      <c r="F905" s="46"/>
      <c r="G905" s="46"/>
      <c r="H905" s="606"/>
      <c r="I905" s="46"/>
      <c r="J905" s="46"/>
      <c r="K905" s="46"/>
      <c r="L905" s="46"/>
      <c r="M905" s="46"/>
      <c r="N905" s="46"/>
      <c r="O905" s="259"/>
      <c r="P905" s="46"/>
      <c r="Q905" s="46"/>
      <c r="R905" s="259"/>
      <c r="S905" s="46"/>
      <c r="T905" s="46"/>
      <c r="U905" s="47"/>
      <c r="V905" s="48"/>
      <c r="X905" s="592"/>
      <c r="Y905" s="593"/>
      <c r="AB905" s="378"/>
    </row>
    <row r="906" spans="1:29" s="27" customFormat="1" ht="17.25" customHeight="1" thickBot="1">
      <c r="A906" s="42" t="str">
        <f>"Z"&amp;E890</f>
        <v>Z30</v>
      </c>
      <c r="B906" s="510"/>
      <c r="C906" s="511"/>
      <c r="D906" s="511"/>
      <c r="E906" s="511"/>
      <c r="F906" s="511"/>
      <c r="G906" s="511"/>
      <c r="H906" s="511"/>
      <c r="I906" s="511"/>
      <c r="J906" s="511"/>
      <c r="K906" s="511"/>
      <c r="L906" s="511"/>
      <c r="M906" s="511"/>
      <c r="N906" s="437" t="s">
        <v>388</v>
      </c>
      <c r="O906" s="658">
        <f>IF(COUNTIF(O894:O904,"")&gt;9,0,SUM(O894:O904)/(COUNTIF(H894:H904,"SI")))</f>
        <v>873.85466666666673</v>
      </c>
      <c r="P906" s="511"/>
      <c r="Q906" s="511"/>
      <c r="R906" s="530"/>
      <c r="S906" s="530"/>
      <c r="T906" s="531"/>
      <c r="U906" s="532"/>
      <c r="V906" s="533"/>
      <c r="W906" s="285"/>
      <c r="X906" s="613" t="e">
        <f>COUNTIF(#REF!,"")-COUNTIF(#REF!,"CUMPLE")-1</f>
        <v>#REF!</v>
      </c>
      <c r="Y906" s="591"/>
      <c r="AB906" s="28"/>
    </row>
    <row r="907" spans="1:29" ht="17.25" customHeight="1">
      <c r="B907" s="50"/>
      <c r="C907" s="50"/>
      <c r="D907" s="50"/>
      <c r="E907" s="50"/>
      <c r="F907" s="50"/>
      <c r="G907" s="51"/>
      <c r="H907" s="51"/>
      <c r="I907" s="51"/>
      <c r="J907" s="51"/>
      <c r="K907" s="51"/>
      <c r="L907" s="51"/>
      <c r="M907" s="51"/>
      <c r="N907" s="51"/>
      <c r="O907" s="51"/>
      <c r="P907" s="51"/>
      <c r="Q907" s="51"/>
      <c r="R907" s="51"/>
      <c r="S907" s="51"/>
      <c r="T907" s="51"/>
      <c r="U907" s="51"/>
      <c r="V907" s="51"/>
      <c r="W907" s="51"/>
      <c r="X907" s="608"/>
      <c r="Y907" s="51"/>
      <c r="Z907" s="51"/>
      <c r="AA907" s="51"/>
      <c r="AB907" s="51"/>
      <c r="AC907" s="50"/>
    </row>
    <row r="908" spans="1:29" s="27" customFormat="1" ht="16.5" customHeight="1" thickBot="1">
      <c r="A908" s="22"/>
      <c r="B908" s="783" t="s">
        <v>389</v>
      </c>
      <c r="C908" s="783"/>
      <c r="D908" s="783"/>
      <c r="E908" s="783"/>
      <c r="F908" s="783"/>
      <c r="G908" s="783"/>
      <c r="H908" s="783"/>
      <c r="I908" s="783"/>
      <c r="J908" s="783"/>
      <c r="K908" s="783"/>
      <c r="L908" s="783"/>
      <c r="M908" s="783"/>
      <c r="N908" s="783"/>
      <c r="O908" s="783"/>
      <c r="P908" s="783"/>
      <c r="Q908" s="783"/>
      <c r="R908" s="783"/>
      <c r="S908" s="783"/>
      <c r="T908" s="783"/>
      <c r="U908" s="783"/>
      <c r="V908" s="783"/>
      <c r="W908" s="286"/>
      <c r="X908" s="607"/>
      <c r="Y908" s="52"/>
      <c r="Z908" s="52"/>
      <c r="AA908" s="52"/>
      <c r="AB908" s="28"/>
      <c r="AC908" s="28"/>
    </row>
    <row r="909" spans="1:29" s="30" customFormat="1" ht="22.5" customHeight="1">
      <c r="A909" s="112" t="str">
        <f>"K"&amp;E890</f>
        <v>K30</v>
      </c>
      <c r="B909" s="790" t="s">
        <v>390</v>
      </c>
      <c r="C909" s="772" t="s">
        <v>391</v>
      </c>
      <c r="D909" s="773"/>
      <c r="E909" s="773"/>
      <c r="F909" s="773"/>
      <c r="G909" s="773"/>
      <c r="H909" s="773"/>
      <c r="I909" s="773"/>
      <c r="J909" s="773"/>
      <c r="K909" s="773"/>
      <c r="L909" s="773"/>
      <c r="M909" s="774"/>
      <c r="N909" s="525"/>
      <c r="O909" s="588"/>
      <c r="P909" s="772" t="s">
        <v>392</v>
      </c>
      <c r="Q909" s="773"/>
      <c r="R909" s="773"/>
      <c r="S909" s="774"/>
      <c r="T909" s="784" t="s">
        <v>393</v>
      </c>
      <c r="U909" s="774"/>
      <c r="V909" s="811"/>
      <c r="W909" s="284"/>
      <c r="X909" s="778" t="s">
        <v>394</v>
      </c>
      <c r="Y909" s="779"/>
      <c r="Z909" s="779"/>
      <c r="AA909" s="779" t="s">
        <v>395</v>
      </c>
      <c r="AB909" s="808" t="s">
        <v>396</v>
      </c>
      <c r="AC909" s="28"/>
    </row>
    <row r="910" spans="1:29" s="30" customFormat="1" ht="22.5" customHeight="1">
      <c r="A910" s="112" t="str">
        <f>"L"&amp;E890</f>
        <v>L30</v>
      </c>
      <c r="B910" s="791"/>
      <c r="C910" s="769" t="s">
        <v>397</v>
      </c>
      <c r="D910" s="770"/>
      <c r="E910" s="771"/>
      <c r="F910" s="512">
        <f>IF(VLOOKUP(E890,PROPONENTES!$C$19:$E$108,3,0)="","",VLOOKUP(E890,PROPONENTES!$C$19:$E$108,3,0))</f>
        <v>2</v>
      </c>
      <c r="G910" s="824" t="s">
        <v>398</v>
      </c>
      <c r="H910" s="793" t="s">
        <v>399</v>
      </c>
      <c r="I910" s="793"/>
      <c r="J910" s="769" t="s">
        <v>400</v>
      </c>
      <c r="K910" s="823"/>
      <c r="L910" s="513" t="s">
        <v>401</v>
      </c>
      <c r="M910" s="513"/>
      <c r="N910" s="526"/>
      <c r="O910" s="527"/>
      <c r="P910" s="775"/>
      <c r="Q910" s="776"/>
      <c r="R910" s="776"/>
      <c r="S910" s="777"/>
      <c r="T910" s="796"/>
      <c r="U910" s="797"/>
      <c r="V910" s="812"/>
      <c r="W910" s="284"/>
      <c r="X910" s="780" t="s">
        <v>402</v>
      </c>
      <c r="Y910" s="810" t="s">
        <v>403</v>
      </c>
      <c r="Z910" s="810"/>
      <c r="AA910" s="810"/>
      <c r="AB910" s="809"/>
      <c r="AC910" s="28"/>
    </row>
    <row r="911" spans="1:29" s="30" customFormat="1" ht="51.75" customHeight="1" thickBot="1">
      <c r="A911" s="112" t="str">
        <f>"M"&amp;E890</f>
        <v>M30</v>
      </c>
      <c r="B911" s="791"/>
      <c r="C911" s="770" t="s">
        <v>404</v>
      </c>
      <c r="D911" s="771"/>
      <c r="E911" s="514" t="s">
        <v>405</v>
      </c>
      <c r="F911" s="515" t="s">
        <v>406</v>
      </c>
      <c r="G911" s="824"/>
      <c r="H911" s="793"/>
      <c r="I911" s="793"/>
      <c r="J911" s="504" t="s">
        <v>407</v>
      </c>
      <c r="K911" s="516" t="s">
        <v>408</v>
      </c>
      <c r="L911" s="517" t="s">
        <v>409</v>
      </c>
      <c r="M911" s="517"/>
      <c r="N911" s="528" t="s">
        <v>410</v>
      </c>
      <c r="O911" s="529"/>
      <c r="P911" s="386"/>
      <c r="Q911" s="387" t="s">
        <v>411</v>
      </c>
      <c r="R911" s="388"/>
      <c r="S911" s="113">
        <f>COUNTIFS(H894:H904,"SI",O894:O904,"&gt;0")</f>
        <v>3</v>
      </c>
      <c r="T911" s="785"/>
      <c r="U911" s="787"/>
      <c r="V911" s="813"/>
      <c r="W911" s="284"/>
      <c r="X911" s="780"/>
      <c r="Y911" s="810"/>
      <c r="Z911" s="810"/>
      <c r="AA911" s="810"/>
      <c r="AB911" s="809"/>
      <c r="AC911" s="28"/>
    </row>
    <row r="912" spans="1:29" s="30" customFormat="1" ht="27" customHeight="1">
      <c r="A912" s="112" t="str">
        <f>"N"&amp;E890</f>
        <v>N30</v>
      </c>
      <c r="B912" s="791"/>
      <c r="C912" s="54">
        <v>1</v>
      </c>
      <c r="D912" s="100" t="str">
        <f>IF(AND(C912&lt;=F910,F910&gt;1,F910&lt;&gt;""),VLOOKUP(VALUE(E890&amp;","&amp;C912),INTEGRANTES!$D$19:$F$192,2,0),"")</f>
        <v xml:space="preserve">JMELO INGENIERIA DE PROYECTOS SAS </v>
      </c>
      <c r="E912" s="107">
        <f>IF(D912&lt;&gt;"",VLOOKUP(VALUE(E890&amp;","&amp;C912),INTEGRANTES!$D$19:$F$192,3,0),"")</f>
        <v>0.4</v>
      </c>
      <c r="F912" s="380">
        <f>IF(D912="","",IF(OR(SUMIF($J894:$J904,D912,$O894:$O904)=0,N912="NO"),"NO APORTA",SUMIF($J894:$J904,D912,$O894:$O904)))</f>
        <v>359.58</v>
      </c>
      <c r="G912" s="380">
        <f ca="1">IF($D912="","",IF($F910&lt;=1,"",ROUND(POSMMLV*PORPO,2)))</f>
        <v>150</v>
      </c>
      <c r="H912" s="765" t="str">
        <f ca="1">IF($D912="","",IF(OR(F912="NO APORTA",G912&gt;F912),"NO CUMPLE","CUMPLE"))</f>
        <v>CUMPLE</v>
      </c>
      <c r="I912" s="766"/>
      <c r="J912" s="108" t="str">
        <f ca="1">IF(D912="","",IF(OR(AND(SUMIF($J894:$J904,D912,$O894:$O904)&gt;=5%*POSMMLV,N912="SI"),AND(SUMIF($J894:$J904,D912,$O894:$O904)=0,E912&lt;=5%,N912="SI")),"CUMPLE","NO CUMPLE"))</f>
        <v>CUMPLE</v>
      </c>
      <c r="K912" s="105" t="str">
        <f ca="1">IF(OR(D912="",J912=""),"",IF(AND(J912="NO CUMPLE",F912="NO APORTA",E912&gt;5%),"EXP = 0 y PART &gt; 5%",IF(F912&lt;5%*Q917,"EXP &lt; 5%*PO","")))</f>
        <v/>
      </c>
      <c r="L912" s="389" t="str">
        <f>IF(OR(D912="",E912=""),"",IF(AND(E912&gt;=0.25,F912&lt;&gt;"NO APORTA",F912&gt;=$R917*0.25),"SI","NO"))</f>
        <v>NO</v>
      </c>
      <c r="M912" s="389"/>
      <c r="N912" s="468" t="s">
        <v>385</v>
      </c>
      <c r="O912" s="396">
        <f>COUNTIFS(O894:O904,"&gt;0",H894:H904,"SI")</f>
        <v>3</v>
      </c>
      <c r="P912" s="814" t="s">
        <v>139</v>
      </c>
      <c r="Q912" s="814"/>
      <c r="R912" s="817">
        <f>E890</f>
        <v>30</v>
      </c>
      <c r="S912" s="818"/>
      <c r="T912" s="784" t="s">
        <v>412</v>
      </c>
      <c r="U912" s="773"/>
      <c r="V912" s="774"/>
      <c r="W912" s="283"/>
      <c r="X912" s="542" t="str">
        <f>IF($F910=1,"NO APLICA",$D912)</f>
        <v xml:space="preserve">JMELO INGENIERIA DE PROYECTOS SAS </v>
      </c>
      <c r="Y912" s="543">
        <f ca="1">IF(OR($F912="",$F912="NO APORTA",$R917=0,$X912="NO APLICA"),"",ROUND($F912/$Q917,2))</f>
        <v>1.2</v>
      </c>
      <c r="Z912" s="544" t="str">
        <f ca="1">IF(Y918=1,"SI APLICA",IF(OR($X912="",$X912="NO APLICA",$F912="",$F912="NO APORTA"),"",IF(ROUND($F912/Q917,7)&gt;=0.4,"SI APLICA","NO APLICA")))</f>
        <v>SI APLICA</v>
      </c>
      <c r="AA912" s="543" t="s">
        <v>516</v>
      </c>
      <c r="AB912" s="540" t="str">
        <f ca="1">IF(COUNTIF(Z912:AA912,"SI APLICA")=2,"SI APLICA","")</f>
        <v/>
      </c>
      <c r="AC912" s="28"/>
    </row>
    <row r="913" spans="1:29" s="30" customFormat="1" ht="29.25" customHeight="1" thickBot="1">
      <c r="A913" s="112" t="str">
        <f>"O"&amp;E890</f>
        <v>O30</v>
      </c>
      <c r="B913" s="791"/>
      <c r="C913" s="54">
        <v>2</v>
      </c>
      <c r="D913" s="100" t="str">
        <f>IF(AND(C913&lt;=F910,F910&lt;&gt;""),VLOOKUP(VALUE(E890&amp;","&amp;C913),INTEGRANTES!$D$19:$F$192,2,0),"")</f>
        <v>GNG SERVICIOS DE INGENIERIA SAS</v>
      </c>
      <c r="E913" s="107">
        <f>IF(D913&lt;&gt;"",VLOOKUP(VALUE(E890&amp;","&amp;C913),INTEGRANTES!$D$19:$F$192,3,0),"")</f>
        <v>0.6</v>
      </c>
      <c r="F913" s="380">
        <f>IF(D913="","",IF(OR(SUMIF($J894:$J904,D913,$O894:$O904)=0,N913="NO"),"NO APORTA",SUMIF($J894:$J904,D913,$O894:$O904)))</f>
        <v>2261.9840000000004</v>
      </c>
      <c r="G913" s="380">
        <f ca="1">IF($D913="","",IF($F910&lt;=1,"",ROUND(POSMMLV*PORPO,2)))</f>
        <v>150</v>
      </c>
      <c r="H913" s="765" t="str">
        <f t="shared" ref="H913:H916" ca="1" si="182">IF($D913="","",IF(OR(F913="NO APORTA",G913&gt;F913),"NO CUMPLE","CUMPLE"))</f>
        <v>CUMPLE</v>
      </c>
      <c r="I913" s="766"/>
      <c r="J913" s="108" t="str">
        <f ca="1">IF(D913="","",IF(OR(AND(SUMIF($J894:$J904,D913,$O894:$O904)&gt;=5%*POSMMLV,N913="SI"),AND(SUMIF($J894:$J904,D913,$O894:$O904)=0,E913&lt;=5%,N913="SI")),"CUMPLE","NO CUMPLE"))</f>
        <v>CUMPLE</v>
      </c>
      <c r="K913" s="105" t="str">
        <f ca="1">IF(OR(D913="",J913=""),"",IF(AND(J913="NO CUMPLE",F913="NO APORTA",E913&gt;5%),"EXP = 0 y PART &gt; 5%",IF(F913&lt;5%*Q917,"EXP &lt; 5%*PO","")))</f>
        <v/>
      </c>
      <c r="L913" s="389" t="str">
        <f>IF(OR(D913="",E913=""),"",IF(AND(E913&gt;=0.25,F913&lt;&gt;"NO APORTA",F913&gt;=$R917*0.25),"SI","NO"))</f>
        <v>SI</v>
      </c>
      <c r="M913" s="389"/>
      <c r="N913" s="468" t="s">
        <v>385</v>
      </c>
      <c r="O913" s="396"/>
      <c r="P913" s="815"/>
      <c r="Q913" s="815"/>
      <c r="R913" s="815"/>
      <c r="S913" s="819"/>
      <c r="T913" s="785"/>
      <c r="U913" s="786"/>
      <c r="V913" s="787"/>
      <c r="W913" s="283"/>
      <c r="X913" s="542" t="str">
        <f>IF($F910=1,"NO APLICA",$D913)</f>
        <v>GNG SERVICIOS DE INGENIERIA SAS</v>
      </c>
      <c r="Y913" s="543">
        <f ca="1">IF(OR($F913="",$F913="NO APORTA",$R917=0,$X913="NO APLICA"),"",ROUND($F913/$Q917,2))</f>
        <v>7.54</v>
      </c>
      <c r="Z913" s="544" t="str">
        <f ca="1">IF(Y918=1,"SI APLICA",IF(OR($X913="",$X913="NO APLICA",$F913="",$F913="NO APORTA"),"",IF(ROUND($F913/Q917,7)&gt;=0.4,"SI APLICA","NO APLICA")))</f>
        <v>SI APLICA</v>
      </c>
      <c r="AA913" s="543" t="s">
        <v>413</v>
      </c>
      <c r="AB913" s="540" t="str">
        <f t="shared" ref="AB913" ca="1" si="183">IF(COUNTIF(Z913:AA913,"SI APLICA")=2,"SI APLICA","")</f>
        <v>SI APLICA</v>
      </c>
      <c r="AC913" s="28"/>
    </row>
    <row r="914" spans="1:29" s="30" customFormat="1" ht="15.75" customHeight="1">
      <c r="A914" s="112" t="str">
        <f>"P"&amp;E890</f>
        <v>P30</v>
      </c>
      <c r="B914" s="791"/>
      <c r="C914" s="54">
        <v>3</v>
      </c>
      <c r="D914" s="100" t="str">
        <f>IF(AND(C914&lt;=F910,F910&lt;&gt;""),VLOOKUP(VALUE(E890&amp;","&amp;C914),INTEGRANTES!$D$19:$F$192,2,0),"")</f>
        <v/>
      </c>
      <c r="E914" s="107" t="str">
        <f>IF(D914&lt;&gt;"",VLOOKUP(VALUE(E890&amp;","&amp;C914),INTEGRANTES!$D$19:$F$192,3,0),"")</f>
        <v/>
      </c>
      <c r="F914" s="380" t="str">
        <f>IF(D914="","",IF(OR(SUMIF($J898:$J904,D914,$O898:$O904)=0,N914="NO"),"NO APORTA",SUMIF($J898:$J904,D914,$O898:$O904)))</f>
        <v/>
      </c>
      <c r="G914" s="380" t="str">
        <f>IF($D914="","",IF($F910&lt;=1,"",ROUND(POSMMLV*PORPO,2)))</f>
        <v/>
      </c>
      <c r="H914" s="765" t="str">
        <f t="shared" si="182"/>
        <v/>
      </c>
      <c r="I914" s="766"/>
      <c r="J914" s="108" t="str">
        <f>IF(D914="","",IF(OR(AND(SUMIF($J894:$J904,D914,$O894:$O904)&gt;=5%*POSMMLV,N914="SI"),AND(SUMIF($J894:$J904,D914,$O894:$O904)=0,E914&lt;=5%,N914="SI")),"CUMPLE","NO CUMPLE"))</f>
        <v/>
      </c>
      <c r="K914" s="105" t="str">
        <f>IF(OR(D914="",J914=""),"",IF(AND(J914="NO CUMPLE",F914="NO APORTA",E914&gt;5%),"EXP = 0 y PART &gt; 5%",IF(F914&lt;5%*Q917,"EXP &lt; 5%*PO","")))</f>
        <v/>
      </c>
      <c r="L914" s="389" t="str">
        <f>IF(OR(D914="",E914=""),"",IF(AND(E914&gt;=0.25,F914&lt;&gt;"NO APORTA",F914&gt;=$R917*0.25),"SI","NO"))</f>
        <v/>
      </c>
      <c r="M914" s="389"/>
      <c r="N914" s="468"/>
      <c r="O914" s="397"/>
      <c r="P914" s="816"/>
      <c r="Q914" s="816"/>
      <c r="R914" s="816"/>
      <c r="S914" s="820"/>
      <c r="T914" s="308"/>
      <c r="U914" s="308"/>
      <c r="V914" s="309"/>
      <c r="W914" s="284"/>
      <c r="X914" s="542" t="str">
        <f>IF($F910=1,"NO APLICA",$D914)</f>
        <v/>
      </c>
      <c r="Y914" s="543" t="str">
        <f>IF(OR($F914="",$F914="NO APORTA",$R917=0,$X914="NO APLICA"),"",ROUND($F914/$Q917,2))</f>
        <v/>
      </c>
      <c r="Z914" s="544" t="str">
        <f>IF(Y918=1,"SI APLICA",IF(OR($X914="",$X914="NO APLICA",$F914="",$F914="NO APORTA"),"",IF(ROUND($F914/Q917,7)&gt;=0.4,"SI APLICA","NO APLICA")))</f>
        <v/>
      </c>
      <c r="AA914" s="543"/>
      <c r="AB914" s="540" t="str">
        <f>IF(COUNTIF(Z914:AA914,"SI APLICA")=2,"SI APLICA","")</f>
        <v/>
      </c>
      <c r="AC914" s="28"/>
    </row>
    <row r="915" spans="1:29" s="30" customFormat="1" ht="15.75" customHeight="1">
      <c r="A915" s="112" t="str">
        <f>"Q"&amp;E890</f>
        <v>Q30</v>
      </c>
      <c r="B915" s="791"/>
      <c r="C915" s="54">
        <v>4</v>
      </c>
      <c r="D915" s="100" t="str">
        <f>IF(AND(C915&lt;=F910,F910&lt;&gt;""),VLOOKUP(VALUE(E890&amp;","&amp;C915),INTEGRANTES!$D$19:$F$192,2,0),"")</f>
        <v/>
      </c>
      <c r="E915" s="107" t="str">
        <f>IF(D915&lt;&gt;"",VLOOKUP(VALUE(E890&amp;","&amp;C915),INTEGRANTES!$D$19:$F$192,3,0),"")</f>
        <v/>
      </c>
      <c r="F915" s="380" t="str">
        <f>IF(D915="","",IF(OR(SUMIF($J898:$J904,D915,$O898:$O904)=0,N915="NO"),"NO APORTA",SUMIF($J898:$J904,D915,$O898:$O904)))</f>
        <v/>
      </c>
      <c r="G915" s="380" t="str">
        <f>IF($D915="","",IF($F910&lt;=1,"",ROUND(POSMMLV*PORPO,2)))</f>
        <v/>
      </c>
      <c r="H915" s="765" t="str">
        <f t="shared" si="182"/>
        <v/>
      </c>
      <c r="I915" s="766"/>
      <c r="J915" s="108" t="str">
        <f>IF(D915="","",IF(OR(AND(SUMIF($J894:$J904,D915,$O894:$O904)&gt;=5%*POSMMLV,N915="SI"),AND(SUMIF($J894:$J904,D915,$O894:$O904)=0,E915&lt;=5%,N915="SI")),"CUMPLE","NO CUMPLE"))</f>
        <v/>
      </c>
      <c r="K915" s="105" t="str">
        <f>IF(OR(D915="",J915=""),"",IF(AND(J915="NO CUMPLE",F915="NO APORTA",E915&gt;5%),"EXP = 0 y PART &gt; 5%",IF(F915&lt;5%*Q917,"EXP &lt; 5%*PO","")))</f>
        <v/>
      </c>
      <c r="L915" s="389" t="str">
        <f>IF(OR(D915="",E915=""),"",IF(AND(E915&gt;=0.25,F915&lt;&gt;"NO APORTA",F915&gt;=$R917*0.25),"SI","NO"))</f>
        <v/>
      </c>
      <c r="M915" s="389"/>
      <c r="N915" s="468"/>
      <c r="O915" s="788" t="s">
        <v>414</v>
      </c>
      <c r="P915" s="769" t="s">
        <v>415</v>
      </c>
      <c r="Q915" s="770"/>
      <c r="R915" s="770"/>
      <c r="S915" s="771"/>
      <c r="T915" s="284"/>
      <c r="U915" s="284"/>
      <c r="V915" s="310"/>
      <c r="W915" s="284"/>
      <c r="X915" s="542" t="str">
        <f>IF($F910=1,"NO APLICA",$D915)</f>
        <v/>
      </c>
      <c r="Y915" s="543" t="str">
        <f>IF(OR($F915="",$F915="NO APORTA",$R917=0,$X915="NO APLICA"),"",ROUND($F915/$Q917,2))</f>
        <v/>
      </c>
      <c r="Z915" s="544" t="str">
        <f>IF(Y918=1,"SI APLICA",IF(OR($X915="",$X915="NO APLICA",$F915="",$F915="NO APORTA"),"",IF(ROUND($F915/Q917,7)&gt;=0.4,"SI APLICA","NO APLICA")))</f>
        <v/>
      </c>
      <c r="AA915" s="543"/>
      <c r="AB915" s="540" t="str">
        <f t="shared" ref="AB915:AB916" si="184">IF(COUNTIF(Z915:AA915,"SI APLICA")=2,"SI APLICA","")</f>
        <v/>
      </c>
      <c r="AC915" s="28"/>
    </row>
    <row r="916" spans="1:29" s="30" customFormat="1" ht="17.25" customHeight="1">
      <c r="A916" s="112" t="str">
        <f>"R"&amp;E890</f>
        <v>R30</v>
      </c>
      <c r="B916" s="791"/>
      <c r="C916" s="54">
        <v>5</v>
      </c>
      <c r="D916" s="100" t="str">
        <f>IF(AND(C916&lt;=F910,F910&lt;&gt;""),VLOOKUP(VALUE(E890&amp;","&amp;C916),INTEGRANTES!$D$19:$F$192,2,0),"")</f>
        <v/>
      </c>
      <c r="E916" s="107" t="str">
        <f>IF(D916&lt;&gt;"",VLOOKUP(VALUE(E890&amp;","&amp;C916),INTEGRANTES!$D$19:$F$192,3,0),"")</f>
        <v/>
      </c>
      <c r="F916" s="380" t="str">
        <f>IF(D916="","",IF(OR(SUMIF($J898:$J904,D916,$O898:$O904)=0,N916="NO"),"NO APORTA",SUMIF($J898:$J904,D916,$O898:$O904)))</f>
        <v/>
      </c>
      <c r="G916" s="380" t="str">
        <f>IF($D916="","",IF($F910&lt;=1,"",ROUND(POSMMLV*PORPO,2)))</f>
        <v/>
      </c>
      <c r="H916" s="765" t="str">
        <f t="shared" si="182"/>
        <v/>
      </c>
      <c r="I916" s="766"/>
      <c r="J916" s="108" t="str">
        <f>IF(D916="","",IF(OR(AND(SUMIF($J894:$J904,D916,$O894:$O904)&gt;=5%*POSMMLV,N916="SI"),AND(SUMIF($J894:$J904,D916,$O894:$O904)=0,E916&lt;=5%,N916="SI")),"CUMPLE","NO CUMPLE"))</f>
        <v/>
      </c>
      <c r="K916" s="105" t="str">
        <f>IF(OR(D916="",J916=""),"",IF(AND(J916="NO CUMPLE",F916="NO APORTA",E916&gt;5%),"EXP = 0 y PART &gt; 5%",IF(F916&lt;5%*Q917,"EXP &lt; 5%*PO","")))</f>
        <v/>
      </c>
      <c r="L916" s="389" t="str">
        <f>IF(OR(D916="",E916=""),"",IF(AND(E916&gt;=0.25,F916&lt;&gt;"NO APORTA",F916&gt;=$R917*0.25),"SI","NO"))</f>
        <v/>
      </c>
      <c r="M916" s="389"/>
      <c r="N916" s="468"/>
      <c r="O916" s="789"/>
      <c r="P916" s="504" t="s">
        <v>416</v>
      </c>
      <c r="Q916" s="504" t="s">
        <v>417</v>
      </c>
      <c r="R916" s="793" t="s">
        <v>418</v>
      </c>
      <c r="S916" s="793"/>
      <c r="T916" s="284"/>
      <c r="U916" s="284"/>
      <c r="V916" s="310"/>
      <c r="W916" s="284"/>
      <c r="X916" s="542" t="str">
        <f>IF($F910=1,"NO APLICA",$D916)</f>
        <v/>
      </c>
      <c r="Y916" s="543" t="str">
        <f>IF(OR($F916="",$F916="NO APORTA",$R917=0,$X916="NO APLICA"),"",ROUND($F916/$Q917,2))</f>
        <v/>
      </c>
      <c r="Z916" s="544" t="str">
        <f>IF(Y918=1,"SI APLICA",IF(OR($X916="",$X916="NO APLICA",$F916="",$F916="NO APORTA"),"",IF(ROUND($F916/Q917,7)&gt;=0.4,"SI APLICA","NO APLICA")))</f>
        <v/>
      </c>
      <c r="AA916" s="543"/>
      <c r="AB916" s="540" t="str">
        <f t="shared" si="184"/>
        <v/>
      </c>
      <c r="AC916" s="28"/>
    </row>
    <row r="917" spans="1:29" s="30" customFormat="1" ht="16.5" customHeight="1" thickBot="1">
      <c r="A917" s="112" t="str">
        <f>"S"&amp;E890</f>
        <v>S30</v>
      </c>
      <c r="B917" s="791"/>
      <c r="C917" s="109">
        <v>6</v>
      </c>
      <c r="D917" s="110" t="str">
        <f>IF(AND(C917&lt;=F910,F910&lt;&gt;""),VLOOKUP(VALUE(E890&amp;","&amp;C917),INTEGRANTES!$D$19:$F$192,2,0),"")</f>
        <v/>
      </c>
      <c r="E917" s="111" t="str">
        <f>IF(D917&lt;&gt;"",VLOOKUP(VALUE(E890&amp;","&amp;C917),INTEGRANTES!$D$19:$F$192,3,0),"")</f>
        <v/>
      </c>
      <c r="F917" s="380" t="str">
        <f>IF(D917="","",IF(OR(SUMIF($J898:$J904,D917,$O898:$O904)=0,N917="NO"),"NO APORTA",SUMIF($J898:$J904,D917,$O898:$O904)))</f>
        <v/>
      </c>
      <c r="G917" s="380" t="str">
        <f>IF($D917="","",IF($F910&lt;=1,"",ROUND(POSMMLV*PORPO,2)))</f>
        <v/>
      </c>
      <c r="H917" s="765" t="str">
        <f>IF($D917="","",IF(OR(F917="NO APORTA",G917&gt;F917),"NO CUMPLE","CUMPLE"))</f>
        <v/>
      </c>
      <c r="I917" s="766"/>
      <c r="J917" s="108" t="str">
        <f>IF(D917="","",IF(OR(AND(SUMIF($J894:$J904,D917,$O894:$O904)&gt;=5%*POSMMLV,N917="SI"),AND(SUMIF($J894:$J904,D917,$O894:$O904)=0,E917&lt;=5%,N917="SI")),"CUMPLE","NO CUMPLE"))</f>
        <v/>
      </c>
      <c r="K917" s="105" t="str">
        <f>IF(OR(D917="",J917=""),"",IF(AND(J917="NO CUMPLE",F917="NO APORTA",E917&gt;5%),"EXP = 0 y PART &gt; 5%",IF(F917&lt;5%*Q917,"EXP &lt; 5%*PO","")))</f>
        <v/>
      </c>
      <c r="L917" s="389" t="str">
        <f>IF(OR(D917="",E917=""),"",IF(AND(E917&gt;=0.25,F917&lt;&gt;"NO APORTA",F917&gt;=$R917*0.25),"SI","NO"))</f>
        <v/>
      </c>
      <c r="M917" s="389"/>
      <c r="N917" s="468"/>
      <c r="O917" s="403" t="str">
        <f ca="1">IF(R917&gt;=Q917,"CUMPLE","NO CUMPLE")</f>
        <v>CUMPLE</v>
      </c>
      <c r="P917" s="312">
        <f>NUMMOD</f>
        <v>1</v>
      </c>
      <c r="Q917" s="313">
        <f ca="1">IF(P917="","",ROUND(VLOOKUP(P917,PRESUPUESTOS!$B$16:$L$16,9,FALSE),7))</f>
        <v>300</v>
      </c>
      <c r="R917" s="834">
        <f>IF(OR(COUNTIF(O894:O904,"")&gt;9,S911&lt;NUMMINCONT),0,SUM(O894:O904))</f>
        <v>2621.5640000000003</v>
      </c>
      <c r="S917" s="834"/>
      <c r="T917" s="284"/>
      <c r="U917" s="284"/>
      <c r="V917" s="310"/>
      <c r="W917" s="284"/>
      <c r="X917" s="545" t="str">
        <f>IF($F910=1,"NO APLICA",$D917)</f>
        <v/>
      </c>
      <c r="Y917" s="543" t="str">
        <f>IF(OR($F917="",$F917="NO APORTA",$R917=0,$X917="NO APLICA"),"",ROUND($F917/$Q917,2))</f>
        <v/>
      </c>
      <c r="Z917" s="544" t="str">
        <f>IF(Y918=1,"SI APLICA",IF(OR($X917="",$X917="NO APLICA",$F917="",$F917="NO APORTA"),"",IF(ROUND($F917/Q917,7)&gt;=0.4,"SI APLICA","NO APLICA")))</f>
        <v/>
      </c>
      <c r="AA917" s="546"/>
      <c r="AB917" s="540" t="str">
        <f>IF(COUNTIF(Z917:AA917,"SI APLICA")=2,"SI APLICA","")</f>
        <v/>
      </c>
      <c r="AC917" s="28"/>
    </row>
    <row r="918" spans="1:29" s="30" customFormat="1" ht="16.5" customHeight="1" thickBot="1">
      <c r="A918" s="112" t="str">
        <f>"T"&amp;E890</f>
        <v>T30</v>
      </c>
      <c r="B918" s="792"/>
      <c r="C918" s="821" t="s">
        <v>419</v>
      </c>
      <c r="D918" s="822"/>
      <c r="E918" s="822"/>
      <c r="F918" s="518"/>
      <c r="G918" s="519"/>
      <c r="H918" s="794" t="str">
        <f ca="1">IF(OR($F910="",SUM(E912:E917)=0),"",IF(COUNTIF(H912:H917,"CUMPLE")&gt;=1,"CUMPLE","NO CUMPLE"))</f>
        <v>CUMPLE</v>
      </c>
      <c r="I918" s="795"/>
      <c r="J918" s="314" t="str">
        <f ca="1">IF(COUNTIF(J912:J917,"")&gt;5,"",IF(COUNTIF(J912:J917,"NO CUMPLE")&gt;0,"NO CUMPLE","CUMPLE"))</f>
        <v>CUMPLE</v>
      </c>
      <c r="K918" s="314" t="str">
        <f ca="1">IF(OR(AND(F910=1,N912="SI"),AND(COUNTIF(H918:J918,"CUMPLE")=2)),"CUMPLE","NO CUMPLE")</f>
        <v>CUMPLE</v>
      </c>
      <c r="L918" s="519"/>
      <c r="M918" s="519"/>
      <c r="N918" s="519"/>
      <c r="O918" s="833" t="str">
        <f ca="1">IF(ISNUMBER(F890),"",IF(AND(O917="NO CUMPLE",SUM(N898:N904)&lt;Q917),"EL PROPONENTE SE DEBE REQUERIR POR EXPERIENCIA MINIMA EXIGIDA",""))</f>
        <v/>
      </c>
      <c r="P918" s="833"/>
      <c r="Q918" s="833"/>
      <c r="R918" s="833"/>
      <c r="S918" s="833"/>
      <c r="T918" s="522"/>
      <c r="U918" s="523"/>
      <c r="V918" s="524"/>
      <c r="W918" s="284"/>
      <c r="X918" s="364" t="str">
        <f>IF(Y918=1,"PROPONENTE INDIVIDUAL","PROPONENTE PLURAL")</f>
        <v>PROPONENTE PLURAL</v>
      </c>
      <c r="Y918" s="276">
        <f>F910</f>
        <v>2</v>
      </c>
      <c r="Z918" s="277" t="str">
        <f ca="1">IF(OR(AND(Z912="SI APLICA",AA912="SI APLICA"),AND(Z913="SI APLICA",AA913="SI APLICA"),AND(Z914="SI APLICA",AA914="SI APLICA"),AND(Z915="SI APLICA",AA915="SI APLICA"),AND(Z916="SI APLICA",AA916="SI APLICA"),AND(Z917="SI APLICA",AA917="SI APLICA")),"SI APLICA","NO APLICA")</f>
        <v>SI APLICA</v>
      </c>
      <c r="AA918" s="278" t="str">
        <f ca="1">IF(OR(AND(AA912="SI APLICA",AB912="SI APLICA"),AND(AA913="SI APLICA",AB913="SI APLICA"),AND(AA914="SI APLICA",AB914="SI APLICA"),AND(AA915="SI APLICA",AB915="SI APLICA"),AND(AA916="SI APLICA",AB916="SI APLICA"),AND(AA917="SI APLICA",AB917="SI APLICA")),"SI APLICA","NO APLICA")</f>
        <v>SI APLICA</v>
      </c>
      <c r="AB918" s="278" t="str">
        <f ca="1">IF(COUNTIF(AB912:AB917,"SI APLICA")&gt;0,"SI APLICA","NO APLICA")</f>
        <v>SI APLICA</v>
      </c>
      <c r="AC918" s="28"/>
    </row>
    <row r="919" spans="1:29" ht="24.95" customHeight="1"/>
    <row r="920" spans="1:29" ht="24.95" customHeight="1"/>
    <row r="921" spans="1:29" s="41" customFormat="1" ht="24" thickBot="1">
      <c r="A921" s="34">
        <v>31</v>
      </c>
      <c r="B921" s="828" t="s">
        <v>355</v>
      </c>
      <c r="C921" s="828"/>
      <c r="D921" s="828"/>
      <c r="E921" s="35">
        <f>VLOOKUP(A921,PROPONENTES!$B$19:$E$108,2,FALSE)</f>
        <v>31</v>
      </c>
      <c r="F921" s="36" t="str">
        <f>VLOOKUP(A921,PROPONENTES!$B$19:$E$108,3,FALSE)</f>
        <v>INGENIERIA MASTER S.A.S.</v>
      </c>
      <c r="G921" s="37"/>
      <c r="H921" s="37"/>
      <c r="I921" s="36"/>
      <c r="J921" s="36"/>
      <c r="K921" s="36"/>
      <c r="L921" s="36"/>
      <c r="M921" s="38"/>
      <c r="N921" s="38"/>
      <c r="O921" s="37"/>
      <c r="P921" s="37"/>
      <c r="Q921" s="39"/>
      <c r="R921" s="39"/>
      <c r="S921" s="39"/>
      <c r="T921" s="39"/>
      <c r="U921" s="40"/>
      <c r="Y921" s="52"/>
      <c r="Z921" s="52"/>
      <c r="AA921" s="52"/>
      <c r="AB921" s="28"/>
      <c r="AC921" s="28"/>
    </row>
    <row r="922" spans="1:29" s="27" customFormat="1" ht="24.75" customHeight="1">
      <c r="A922" s="22"/>
      <c r="B922" s="829" t="s">
        <v>356</v>
      </c>
      <c r="C922" s="501" t="s">
        <v>357</v>
      </c>
      <c r="D922" s="502" t="s">
        <v>358</v>
      </c>
      <c r="E922" s="502"/>
      <c r="F922" s="502" t="s">
        <v>359</v>
      </c>
      <c r="G922" s="503"/>
      <c r="H922" s="803" t="s">
        <v>360</v>
      </c>
      <c r="I922" s="831" t="s">
        <v>361</v>
      </c>
      <c r="J922" s="803" t="s">
        <v>362</v>
      </c>
      <c r="K922" s="803" t="s">
        <v>363</v>
      </c>
      <c r="L922" s="803" t="s">
        <v>364</v>
      </c>
      <c r="M922" s="803" t="s">
        <v>365</v>
      </c>
      <c r="N922" s="804" t="s">
        <v>366</v>
      </c>
      <c r="O922" s="805"/>
      <c r="P922" s="806" t="s">
        <v>367</v>
      </c>
      <c r="Q922" s="807"/>
      <c r="R922" s="784" t="s">
        <v>368</v>
      </c>
      <c r="S922" s="774"/>
      <c r="T922" s="798" t="s">
        <v>369</v>
      </c>
      <c r="U922" s="799"/>
      <c r="V922" s="800"/>
      <c r="X922" s="520"/>
      <c r="Y922" s="520"/>
    </row>
    <row r="923" spans="1:29" s="27" customFormat="1" ht="94.5" customHeight="1">
      <c r="A923" s="22"/>
      <c r="B923" s="830"/>
      <c r="C923" s="504" t="s">
        <v>370</v>
      </c>
      <c r="D923" s="505" t="s">
        <v>41</v>
      </c>
      <c r="E923" s="505" t="s">
        <v>371</v>
      </c>
      <c r="F923" s="505" t="s">
        <v>372</v>
      </c>
      <c r="G923" s="506" t="s">
        <v>373</v>
      </c>
      <c r="H923" s="793"/>
      <c r="I923" s="832"/>
      <c r="J923" s="793"/>
      <c r="K923" s="793"/>
      <c r="L923" s="793"/>
      <c r="M923" s="793"/>
      <c r="N923" s="504" t="s">
        <v>374</v>
      </c>
      <c r="O923" s="505" t="s">
        <v>375</v>
      </c>
      <c r="P923" s="801"/>
      <c r="Q923" s="802"/>
      <c r="R923" s="796"/>
      <c r="S923" s="797"/>
      <c r="T923" s="507" t="s">
        <v>376</v>
      </c>
      <c r="U923" s="508" t="s">
        <v>377</v>
      </c>
      <c r="V923" s="509" t="s">
        <v>378</v>
      </c>
      <c r="X923" s="521" t="s">
        <v>379</v>
      </c>
      <c r="Y923" s="521" t="s">
        <v>380</v>
      </c>
    </row>
    <row r="924" spans="1:29" s="27" customFormat="1" ht="15" customHeight="1">
      <c r="A924" s="22"/>
      <c r="B924" s="594"/>
      <c r="C924" s="595">
        <v>3</v>
      </c>
      <c r="D924" s="595">
        <v>4</v>
      </c>
      <c r="E924" s="595">
        <v>5</v>
      </c>
      <c r="F924" s="595">
        <v>6</v>
      </c>
      <c r="G924" s="595">
        <v>7</v>
      </c>
      <c r="H924" s="595">
        <v>8</v>
      </c>
      <c r="I924" s="595">
        <v>9</v>
      </c>
      <c r="J924" s="595">
        <v>10</v>
      </c>
      <c r="K924" s="595">
        <v>11</v>
      </c>
      <c r="L924" s="595">
        <v>12</v>
      </c>
      <c r="M924" s="595">
        <v>13</v>
      </c>
      <c r="N924" s="595">
        <v>14</v>
      </c>
      <c r="O924" s="595">
        <v>15</v>
      </c>
      <c r="P924" s="596">
        <v>16</v>
      </c>
      <c r="Q924" s="597">
        <v>17</v>
      </c>
      <c r="R924" s="596">
        <v>18</v>
      </c>
      <c r="S924" s="597">
        <v>19</v>
      </c>
      <c r="T924" s="598">
        <v>20</v>
      </c>
      <c r="U924" s="255">
        <v>21</v>
      </c>
      <c r="V924" s="599">
        <v>22</v>
      </c>
      <c r="X924" s="589"/>
      <c r="Y924" s="590"/>
    </row>
    <row r="925" spans="1:29" s="44" customFormat="1" ht="67.5" customHeight="1">
      <c r="A925" s="42" t="str">
        <f>"A"&amp;E921</f>
        <v>A31</v>
      </c>
      <c r="B925" s="605">
        <f>IF(C925&lt;&gt;"",B924+1,"")</f>
        <v>1</v>
      </c>
      <c r="C925" s="581" t="s">
        <v>636</v>
      </c>
      <c r="D925" s="581" t="s">
        <v>637</v>
      </c>
      <c r="E925" s="581" t="s">
        <v>638</v>
      </c>
      <c r="F925" s="581" t="s">
        <v>431</v>
      </c>
      <c r="G925" s="534">
        <v>0.1</v>
      </c>
      <c r="H925" s="534" t="s">
        <v>385</v>
      </c>
      <c r="I925" s="579" t="s">
        <v>384</v>
      </c>
      <c r="J925" s="580" t="str">
        <f>IF(I925="","",IF(I925="I",$F921,VLOOKUP(I925,$C942:$D947,2,0)))</f>
        <v>INGENIERIA MASTER S.A.S.</v>
      </c>
      <c r="K925" s="535">
        <v>42888</v>
      </c>
      <c r="L925" s="535">
        <v>43465</v>
      </c>
      <c r="M925" s="536">
        <v>3712.03</v>
      </c>
      <c r="N925" s="232">
        <f t="shared" ref="N925:N934" si="185">IF(OR(G925="",M925=""),"",M925*G925)</f>
        <v>371.20300000000003</v>
      </c>
      <c r="O925" s="629">
        <f t="shared" ref="O925:O934" si="186">IF(OR(H925="",H925="NO",K925&lt;$Q$17,K925&gt;$R$17,K925="",M925="",N925=""),"",ROUND(N925,7))</f>
        <v>371.20299999999997</v>
      </c>
      <c r="P925" s="781"/>
      <c r="Q925" s="782"/>
      <c r="R925" s="767" t="s">
        <v>639</v>
      </c>
      <c r="S925" s="768"/>
      <c r="T925" s="538" t="s">
        <v>385</v>
      </c>
      <c r="U925" s="539">
        <v>127</v>
      </c>
      <c r="V925" s="540" t="s">
        <v>385</v>
      </c>
      <c r="X925" s="541" t="s">
        <v>446</v>
      </c>
      <c r="Y925" s="541" t="s">
        <v>387</v>
      </c>
    </row>
    <row r="926" spans="1:29" s="44" customFormat="1" ht="59.25" customHeight="1">
      <c r="A926" s="42" t="str">
        <f>"B"&amp;E921</f>
        <v>B31</v>
      </c>
      <c r="B926" s="605">
        <f t="shared" ref="B926:B934" si="187">IF(C926&lt;&gt;"",B925+1,"")</f>
        <v>2</v>
      </c>
      <c r="C926" s="581" t="s">
        <v>640</v>
      </c>
      <c r="D926" s="581" t="s">
        <v>641</v>
      </c>
      <c r="E926" s="581" t="s">
        <v>642</v>
      </c>
      <c r="F926" s="581" t="s">
        <v>431</v>
      </c>
      <c r="G926" s="534">
        <v>0.7</v>
      </c>
      <c r="H926" s="534" t="s">
        <v>385</v>
      </c>
      <c r="I926" s="579" t="s">
        <v>384</v>
      </c>
      <c r="J926" s="580" t="str">
        <f>IF(I926="","",IF(I926="I",$F921,VLOOKUP(I926,$C942:$D947,2,0)))</f>
        <v>INGENIERIA MASTER S.A.S.</v>
      </c>
      <c r="K926" s="535">
        <v>43046</v>
      </c>
      <c r="L926" s="535">
        <v>44414</v>
      </c>
      <c r="M926" s="536">
        <v>332.34</v>
      </c>
      <c r="N926" s="232">
        <f t="shared" si="185"/>
        <v>232.63799999999998</v>
      </c>
      <c r="O926" s="629">
        <f t="shared" si="186"/>
        <v>232.63800000000001</v>
      </c>
      <c r="P926" s="781"/>
      <c r="Q926" s="782"/>
      <c r="R926" s="767" t="s">
        <v>643</v>
      </c>
      <c r="S926" s="768"/>
      <c r="T926" s="538" t="s">
        <v>385</v>
      </c>
      <c r="U926" s="539">
        <v>242</v>
      </c>
      <c r="V926" s="540" t="s">
        <v>385</v>
      </c>
      <c r="X926" s="541" t="s">
        <v>386</v>
      </c>
      <c r="Y926" s="541" t="s">
        <v>439</v>
      </c>
    </row>
    <row r="927" spans="1:29" s="44" customFormat="1" ht="24.95" customHeight="1">
      <c r="A927" s="42" t="str">
        <f>"C"&amp;E921</f>
        <v>C31</v>
      </c>
      <c r="B927" s="605" t="str">
        <f t="shared" si="187"/>
        <v/>
      </c>
      <c r="C927" s="581"/>
      <c r="D927" s="581"/>
      <c r="E927" s="581"/>
      <c r="F927" s="581"/>
      <c r="G927" s="534"/>
      <c r="H927" s="534"/>
      <c r="I927" s="579"/>
      <c r="J927" s="580" t="str">
        <f>IF(I927="","",IF(I927="I",$F921,VLOOKUP(I927,$C942:$D947,2,0)))</f>
        <v/>
      </c>
      <c r="K927" s="535"/>
      <c r="L927" s="535"/>
      <c r="M927" s="536"/>
      <c r="N927" s="232" t="str">
        <f t="shared" si="185"/>
        <v/>
      </c>
      <c r="O927" s="260" t="str">
        <f t="shared" si="186"/>
        <v/>
      </c>
      <c r="P927" s="781"/>
      <c r="Q927" s="782"/>
      <c r="R927" s="767"/>
      <c r="S927" s="768"/>
      <c r="T927" s="538"/>
      <c r="U927" s="539"/>
      <c r="V927" s="540"/>
      <c r="X927" s="541"/>
      <c r="Y927" s="541"/>
    </row>
    <row r="928" spans="1:29" s="44" customFormat="1" ht="24.95" customHeight="1">
      <c r="A928" s="42" t="str">
        <f>"D"&amp;E921</f>
        <v>D31</v>
      </c>
      <c r="B928" s="605" t="str">
        <f t="shared" si="187"/>
        <v/>
      </c>
      <c r="C928" s="581"/>
      <c r="D928" s="581"/>
      <c r="E928" s="581"/>
      <c r="F928" s="581"/>
      <c r="G928" s="534"/>
      <c r="H928" s="534"/>
      <c r="I928" s="579"/>
      <c r="J928" s="580" t="str">
        <f>IF(I928="","",IF(I928="I",$F921,VLOOKUP(I928,$C942:$D947,2,0)))</f>
        <v/>
      </c>
      <c r="K928" s="535"/>
      <c r="L928" s="535"/>
      <c r="M928" s="536"/>
      <c r="N928" s="232" t="str">
        <f t="shared" si="185"/>
        <v/>
      </c>
      <c r="O928" s="260" t="str">
        <f t="shared" si="186"/>
        <v/>
      </c>
      <c r="P928" s="781"/>
      <c r="Q928" s="782"/>
      <c r="R928" s="767"/>
      <c r="S928" s="768"/>
      <c r="T928" s="538"/>
      <c r="U928" s="539"/>
      <c r="V928" s="540"/>
      <c r="X928" s="541"/>
      <c r="Y928" s="541"/>
    </row>
    <row r="929" spans="1:29" s="44" customFormat="1" ht="24.95" customHeight="1">
      <c r="A929" s="42" t="str">
        <f>"E"&amp;E921</f>
        <v>E31</v>
      </c>
      <c r="B929" s="605" t="str">
        <f t="shared" si="187"/>
        <v/>
      </c>
      <c r="C929" s="581"/>
      <c r="D929" s="581"/>
      <c r="E929" s="581"/>
      <c r="F929" s="581"/>
      <c r="G929" s="534"/>
      <c r="H929" s="534"/>
      <c r="I929" s="579"/>
      <c r="J929" s="580" t="str">
        <f>IF(I929="","",IF(I929="I",$F921,VLOOKUP(I929,$C942:$D947,2,0)))</f>
        <v/>
      </c>
      <c r="K929" s="535"/>
      <c r="L929" s="535"/>
      <c r="M929" s="536"/>
      <c r="N929" s="232" t="str">
        <f t="shared" si="185"/>
        <v/>
      </c>
      <c r="O929" s="260" t="str">
        <f t="shared" si="186"/>
        <v/>
      </c>
      <c r="P929" s="781"/>
      <c r="Q929" s="782"/>
      <c r="R929" s="767"/>
      <c r="S929" s="768"/>
      <c r="T929" s="538"/>
      <c r="U929" s="539"/>
      <c r="V929" s="540"/>
      <c r="X929" s="541"/>
      <c r="Y929" s="541"/>
    </row>
    <row r="930" spans="1:29" s="44" customFormat="1" ht="24.95" customHeight="1">
      <c r="A930" s="42" t="str">
        <f>"F"&amp;E921</f>
        <v>F31</v>
      </c>
      <c r="B930" s="605" t="str">
        <f t="shared" si="187"/>
        <v/>
      </c>
      <c r="C930" s="581"/>
      <c r="D930" s="581"/>
      <c r="E930" s="581"/>
      <c r="F930" s="581"/>
      <c r="G930" s="534"/>
      <c r="H930" s="534"/>
      <c r="I930" s="579"/>
      <c r="J930" s="580" t="str">
        <f>IF(I930="","",IF(I930="I",$F921,VLOOKUP(I930,$C942:$D947,2,0)))</f>
        <v/>
      </c>
      <c r="K930" s="535"/>
      <c r="L930" s="535"/>
      <c r="M930" s="536"/>
      <c r="N930" s="232" t="str">
        <f t="shared" si="185"/>
        <v/>
      </c>
      <c r="O930" s="260" t="str">
        <f t="shared" si="186"/>
        <v/>
      </c>
      <c r="P930" s="781"/>
      <c r="Q930" s="782"/>
      <c r="R930" s="767"/>
      <c r="S930" s="768"/>
      <c r="T930" s="538"/>
      <c r="U930" s="539"/>
      <c r="V930" s="540"/>
      <c r="X930" s="541"/>
      <c r="Y930" s="541"/>
    </row>
    <row r="931" spans="1:29" s="44" customFormat="1" ht="24.95" customHeight="1">
      <c r="A931" s="42" t="str">
        <f>"G"&amp;E921</f>
        <v>G31</v>
      </c>
      <c r="B931" s="605" t="str">
        <f t="shared" si="187"/>
        <v/>
      </c>
      <c r="C931" s="581"/>
      <c r="D931" s="581"/>
      <c r="E931" s="581"/>
      <c r="F931" s="581"/>
      <c r="G931" s="534"/>
      <c r="H931" s="534"/>
      <c r="I931" s="579"/>
      <c r="J931" s="580" t="str">
        <f>IF(I931="","",IF(I931="I",$F921,VLOOKUP(I931,$C942:$D947,2,0)))</f>
        <v/>
      </c>
      <c r="K931" s="535"/>
      <c r="L931" s="535"/>
      <c r="M931" s="536"/>
      <c r="N931" s="43" t="str">
        <f t="shared" si="185"/>
        <v/>
      </c>
      <c r="O931" s="260" t="str">
        <f t="shared" si="186"/>
        <v/>
      </c>
      <c r="P931" s="781"/>
      <c r="Q931" s="782"/>
      <c r="R931" s="767"/>
      <c r="S931" s="768"/>
      <c r="T931" s="538"/>
      <c r="U931" s="539"/>
      <c r="V931" s="540"/>
      <c r="X931" s="541"/>
      <c r="Y931" s="541"/>
    </row>
    <row r="932" spans="1:29" s="44" customFormat="1" ht="24.95" customHeight="1">
      <c r="A932" s="42" t="str">
        <f>"H"&amp;E921</f>
        <v>H31</v>
      </c>
      <c r="B932" s="605" t="str">
        <f t="shared" si="187"/>
        <v/>
      </c>
      <c r="C932" s="581"/>
      <c r="D932" s="581"/>
      <c r="E932" s="581"/>
      <c r="F932" s="581"/>
      <c r="G932" s="534"/>
      <c r="H932" s="534"/>
      <c r="I932" s="579"/>
      <c r="J932" s="580" t="str">
        <f>IF(I932="","",IF(I932="I",$F921,VLOOKUP(I932,$C942:$D947,2,0)))</f>
        <v/>
      </c>
      <c r="K932" s="535"/>
      <c r="L932" s="535"/>
      <c r="M932" s="537"/>
      <c r="N932" s="43" t="str">
        <f t="shared" si="185"/>
        <v/>
      </c>
      <c r="O932" s="260" t="str">
        <f t="shared" si="186"/>
        <v/>
      </c>
      <c r="P932" s="781"/>
      <c r="Q932" s="782"/>
      <c r="R932" s="767"/>
      <c r="S932" s="768"/>
      <c r="T932" s="538"/>
      <c r="U932" s="539"/>
      <c r="V932" s="540"/>
      <c r="X932" s="541"/>
      <c r="Y932" s="541"/>
    </row>
    <row r="933" spans="1:29" s="44" customFormat="1" ht="24.95" customHeight="1">
      <c r="A933" s="42" t="str">
        <f>"I"&amp;E921</f>
        <v>I31</v>
      </c>
      <c r="B933" s="605" t="str">
        <f t="shared" si="187"/>
        <v/>
      </c>
      <c r="C933" s="581"/>
      <c r="D933" s="581"/>
      <c r="E933" s="581"/>
      <c r="F933" s="581"/>
      <c r="G933" s="534"/>
      <c r="H933" s="534"/>
      <c r="I933" s="579"/>
      <c r="J933" s="580" t="str">
        <f>IF(I933="","",IF(I933="I",$F921,VLOOKUP(I933,$C942:$D947,2,0)))</f>
        <v/>
      </c>
      <c r="K933" s="535"/>
      <c r="L933" s="535"/>
      <c r="M933" s="537"/>
      <c r="N933" s="43" t="str">
        <f t="shared" si="185"/>
        <v/>
      </c>
      <c r="O933" s="260" t="str">
        <f t="shared" si="186"/>
        <v/>
      </c>
      <c r="P933" s="781"/>
      <c r="Q933" s="782"/>
      <c r="R933" s="767"/>
      <c r="S933" s="768"/>
      <c r="T933" s="538"/>
      <c r="U933" s="539"/>
      <c r="V933" s="540"/>
      <c r="X933" s="541"/>
      <c r="Y933" s="541"/>
    </row>
    <row r="934" spans="1:29" s="44" customFormat="1" ht="24.95" customHeight="1" thickBot="1">
      <c r="A934" s="42" t="str">
        <f>"J"&amp;E921</f>
        <v>J31</v>
      </c>
      <c r="B934" s="612" t="str">
        <f t="shared" si="187"/>
        <v/>
      </c>
      <c r="C934" s="582"/>
      <c r="D934" s="582"/>
      <c r="E934" s="582"/>
      <c r="F934" s="582"/>
      <c r="G934" s="583"/>
      <c r="H934" s="583"/>
      <c r="I934" s="584"/>
      <c r="J934" s="585" t="str">
        <f>IF(I934="","",IF(I934="I",$F921,VLOOKUP(I934,$C942:$D947,2,0)))</f>
        <v/>
      </c>
      <c r="K934" s="586"/>
      <c r="L934" s="586"/>
      <c r="M934" s="587"/>
      <c r="N934" s="43" t="str">
        <f t="shared" si="185"/>
        <v/>
      </c>
      <c r="O934" s="260" t="str">
        <f t="shared" si="186"/>
        <v/>
      </c>
      <c r="P934" s="781"/>
      <c r="Q934" s="782"/>
      <c r="R934" s="767"/>
      <c r="S934" s="768"/>
      <c r="T934" s="538"/>
      <c r="U934" s="539"/>
      <c r="V934" s="540"/>
      <c r="X934" s="541"/>
      <c r="Y934" s="541"/>
    </row>
    <row r="935" spans="1:29" s="27" customFormat="1" ht="12" customHeight="1" thickBot="1">
      <c r="A935" s="42"/>
      <c r="B935" s="45"/>
      <c r="C935" s="46"/>
      <c r="D935" s="46"/>
      <c r="E935" s="46"/>
      <c r="F935" s="46"/>
      <c r="G935" s="46"/>
      <c r="H935" s="606"/>
      <c r="I935" s="46"/>
      <c r="J935" s="46"/>
      <c r="K935" s="46"/>
      <c r="L935" s="46"/>
      <c r="M935" s="46"/>
      <c r="N935" s="46"/>
      <c r="O935" s="259"/>
      <c r="P935" s="46"/>
      <c r="Q935" s="46"/>
      <c r="R935" s="259"/>
      <c r="S935" s="46"/>
      <c r="T935" s="46"/>
      <c r="U935" s="47"/>
      <c r="V935" s="48"/>
      <c r="X935" s="592"/>
      <c r="Y935" s="593"/>
      <c r="AB935" s="378"/>
    </row>
    <row r="936" spans="1:29" s="27" customFormat="1" ht="17.25" customHeight="1" thickBot="1">
      <c r="A936" s="42" t="str">
        <f>"Z"&amp;E921</f>
        <v>Z31</v>
      </c>
      <c r="B936" s="510"/>
      <c r="C936" s="511"/>
      <c r="D936" s="511"/>
      <c r="E936" s="511"/>
      <c r="F936" s="511"/>
      <c r="G936" s="511"/>
      <c r="H936" s="511"/>
      <c r="I936" s="511"/>
      <c r="J936" s="511"/>
      <c r="K936" s="511"/>
      <c r="L936" s="511"/>
      <c r="M936" s="511"/>
      <c r="N936" s="437" t="s">
        <v>388</v>
      </c>
      <c r="O936" s="438">
        <f>IF(COUNTIF(O925:O934,"")&gt;9,0,SUM(O925:O934)/(COUNTIF(H925:H934,"SI")))</f>
        <v>301.9205</v>
      </c>
      <c r="P936" s="511"/>
      <c r="Q936" s="511"/>
      <c r="R936" s="530"/>
      <c r="S936" s="530"/>
      <c r="T936" s="531"/>
      <c r="U936" s="532"/>
      <c r="V936" s="533"/>
      <c r="W936" s="285"/>
      <c r="X936" s="613" t="e">
        <f>COUNTIF(#REF!,"")-COUNTIF(#REF!,"CUMPLE")-1</f>
        <v>#REF!</v>
      </c>
      <c r="Y936" s="591"/>
      <c r="AB936" s="28"/>
    </row>
    <row r="937" spans="1:29" ht="17.25" customHeight="1">
      <c r="B937" s="50"/>
      <c r="C937" s="50"/>
      <c r="D937" s="50"/>
      <c r="E937" s="50"/>
      <c r="F937" s="50"/>
      <c r="G937" s="51"/>
      <c r="H937" s="51"/>
      <c r="I937" s="51"/>
      <c r="J937" s="51"/>
      <c r="K937" s="51"/>
      <c r="L937" s="51"/>
      <c r="M937" s="51"/>
      <c r="N937" s="51"/>
      <c r="O937" s="51"/>
      <c r="P937" s="51"/>
      <c r="Q937" s="51"/>
      <c r="R937" s="51"/>
      <c r="S937" s="51"/>
      <c r="T937" s="51"/>
      <c r="U937" s="51"/>
      <c r="V937" s="51"/>
      <c r="W937" s="51"/>
      <c r="X937" s="608"/>
      <c r="Y937" s="51"/>
      <c r="Z937" s="51"/>
      <c r="AA937" s="51"/>
      <c r="AB937" s="51"/>
      <c r="AC937" s="50"/>
    </row>
    <row r="938" spans="1:29" s="27" customFormat="1" ht="16.5" customHeight="1" thickBot="1">
      <c r="A938" s="22"/>
      <c r="B938" s="783" t="s">
        <v>389</v>
      </c>
      <c r="C938" s="783"/>
      <c r="D938" s="783"/>
      <c r="E938" s="783"/>
      <c r="F938" s="783"/>
      <c r="G938" s="783"/>
      <c r="H938" s="783"/>
      <c r="I938" s="783"/>
      <c r="J938" s="783"/>
      <c r="K938" s="783"/>
      <c r="L938" s="783"/>
      <c r="M938" s="783"/>
      <c r="N938" s="783"/>
      <c r="O938" s="783"/>
      <c r="P938" s="783"/>
      <c r="Q938" s="783"/>
      <c r="R938" s="783"/>
      <c r="S938" s="783"/>
      <c r="T938" s="783"/>
      <c r="U938" s="783"/>
      <c r="V938" s="783"/>
      <c r="W938" s="286"/>
      <c r="X938" s="607"/>
      <c r="Y938" s="52"/>
      <c r="Z938" s="52"/>
      <c r="AA938" s="52"/>
      <c r="AB938" s="28"/>
      <c r="AC938" s="28"/>
    </row>
    <row r="939" spans="1:29" s="30" customFormat="1" ht="22.5" customHeight="1">
      <c r="A939" s="112" t="str">
        <f>"K"&amp;E921</f>
        <v>K31</v>
      </c>
      <c r="B939" s="790" t="s">
        <v>390</v>
      </c>
      <c r="C939" s="772" t="s">
        <v>391</v>
      </c>
      <c r="D939" s="773"/>
      <c r="E939" s="773"/>
      <c r="F939" s="773"/>
      <c r="G939" s="773"/>
      <c r="H939" s="773"/>
      <c r="I939" s="773"/>
      <c r="J939" s="773"/>
      <c r="K939" s="773"/>
      <c r="L939" s="773"/>
      <c r="M939" s="774"/>
      <c r="N939" s="525"/>
      <c r="O939" s="588"/>
      <c r="P939" s="772" t="s">
        <v>392</v>
      </c>
      <c r="Q939" s="773"/>
      <c r="R939" s="773"/>
      <c r="S939" s="774"/>
      <c r="T939" s="784" t="s">
        <v>393</v>
      </c>
      <c r="U939" s="774"/>
      <c r="V939" s="811"/>
      <c r="W939" s="284"/>
      <c r="X939" s="778" t="s">
        <v>394</v>
      </c>
      <c r="Y939" s="779"/>
      <c r="Z939" s="779"/>
      <c r="AA939" s="779" t="s">
        <v>395</v>
      </c>
      <c r="AB939" s="808" t="s">
        <v>396</v>
      </c>
      <c r="AC939" s="28"/>
    </row>
    <row r="940" spans="1:29" s="30" customFormat="1" ht="22.5" customHeight="1">
      <c r="A940" s="112" t="str">
        <f>"L"&amp;E921</f>
        <v>L31</v>
      </c>
      <c r="B940" s="791"/>
      <c r="C940" s="769" t="s">
        <v>397</v>
      </c>
      <c r="D940" s="770"/>
      <c r="E940" s="771"/>
      <c r="F940" s="512">
        <f>IF(VLOOKUP(E921,PROPONENTES!$C$19:$E$108,3,0)="","",VLOOKUP(E921,PROPONENTES!$C$19:$E$108,3,0))</f>
        <v>1</v>
      </c>
      <c r="G940" s="824" t="s">
        <v>398</v>
      </c>
      <c r="H940" s="793" t="s">
        <v>399</v>
      </c>
      <c r="I940" s="793"/>
      <c r="J940" s="769" t="s">
        <v>400</v>
      </c>
      <c r="K940" s="823"/>
      <c r="L940" s="513" t="s">
        <v>401</v>
      </c>
      <c r="M940" s="513"/>
      <c r="N940" s="526"/>
      <c r="O940" s="527"/>
      <c r="P940" s="775"/>
      <c r="Q940" s="776"/>
      <c r="R940" s="776"/>
      <c r="S940" s="777"/>
      <c r="T940" s="796"/>
      <c r="U940" s="797"/>
      <c r="V940" s="812"/>
      <c r="W940" s="284"/>
      <c r="X940" s="780" t="s">
        <v>402</v>
      </c>
      <c r="Y940" s="810" t="s">
        <v>403</v>
      </c>
      <c r="Z940" s="810"/>
      <c r="AA940" s="810"/>
      <c r="AB940" s="809"/>
      <c r="AC940" s="28"/>
    </row>
    <row r="941" spans="1:29" s="30" customFormat="1" ht="51.75" customHeight="1" thickBot="1">
      <c r="A941" s="112" t="str">
        <f>"M"&amp;E921</f>
        <v>M31</v>
      </c>
      <c r="B941" s="791"/>
      <c r="C941" s="770" t="s">
        <v>404</v>
      </c>
      <c r="D941" s="771"/>
      <c r="E941" s="514" t="s">
        <v>405</v>
      </c>
      <c r="F941" s="515" t="s">
        <v>406</v>
      </c>
      <c r="G941" s="824"/>
      <c r="H941" s="793"/>
      <c r="I941" s="793"/>
      <c r="J941" s="504" t="s">
        <v>407</v>
      </c>
      <c r="K941" s="516" t="s">
        <v>408</v>
      </c>
      <c r="L941" s="517" t="s">
        <v>409</v>
      </c>
      <c r="M941" s="517"/>
      <c r="N941" s="528" t="s">
        <v>410</v>
      </c>
      <c r="O941" s="529"/>
      <c r="P941" s="386"/>
      <c r="Q941" s="387" t="s">
        <v>411</v>
      </c>
      <c r="R941" s="388"/>
      <c r="S941" s="113">
        <f>COUNTIFS(H925:H934,"SI",O925:O934,"&gt;0")</f>
        <v>2</v>
      </c>
      <c r="T941" s="785"/>
      <c r="U941" s="787"/>
      <c r="V941" s="813"/>
      <c r="W941" s="284"/>
      <c r="X941" s="780"/>
      <c r="Y941" s="810"/>
      <c r="Z941" s="810"/>
      <c r="AA941" s="810"/>
      <c r="AB941" s="809"/>
      <c r="AC941" s="28"/>
    </row>
    <row r="942" spans="1:29" s="30" customFormat="1" ht="15.75" customHeight="1">
      <c r="A942" s="112" t="str">
        <f>"N"&amp;E921</f>
        <v>N31</v>
      </c>
      <c r="B942" s="791"/>
      <c r="C942" s="54">
        <v>1</v>
      </c>
      <c r="D942" s="100" t="str">
        <f>IF(AND(C942&lt;=F940,F940&gt;1,F940&lt;&gt;""),VLOOKUP(VALUE(E921&amp;","&amp;C942),INTEGRANTES!$D$19:$F$192,2,0),"")</f>
        <v/>
      </c>
      <c r="E942" s="107" t="str">
        <f>IF(D942&lt;&gt;"",VLOOKUP(VALUE(E921&amp;","&amp;C942),INTEGRANTES!$D$19:$F$192,3,0),"")</f>
        <v/>
      </c>
      <c r="F942" s="380" t="str">
        <f>IF(D942="","",IF(OR(SUMIF($J928:$J934,D942,$O928:$O934)=0,N942="NO"),"NO APORTA",SUMIF($J928:$J934,D942,$O928:$O934)))</f>
        <v/>
      </c>
      <c r="G942" s="380" t="str">
        <f>IF($D942="","",IF($F940&lt;=1,"",ROUND(POSMMLV*PORPO,2)))</f>
        <v/>
      </c>
      <c r="H942" s="765" t="str">
        <f>IF($D942="","",IF(OR(F942="NO APORTA",G942&gt;F942),"NO CUMPLE","CUMPLE"))</f>
        <v/>
      </c>
      <c r="I942" s="766"/>
      <c r="J942" s="108" t="str">
        <f>IF(D942="","",IF(OR(AND(SUMIF($J925:$J934,D942,$O925:$O934)&gt;=5%*POSMMLV,N942="SI"),AND(SUMIF($J925:$J934,D942,$O925:$O934)=0,E942&lt;=5%,N942="SI")),"CUMPLE","NO CUMPLE"))</f>
        <v/>
      </c>
      <c r="K942" s="105" t="str">
        <f>IF(OR(D942="",J942=""),"",IF(AND(J942="NO CUMPLE",F942="NO APORTA",E942&gt;5%),"EXP = 0 y PART &gt; 5%",IF(F942&lt;5%*Q947,"EXP &lt; 5%*PO","")))</f>
        <v/>
      </c>
      <c r="L942" s="389" t="str">
        <f>IF(OR(D942="",E942=""),"",IF(AND(E942&gt;=0.25,F942&lt;&gt;"NO APORTA",F942&gt;=$R947*0.25),"SI","NO"))</f>
        <v/>
      </c>
      <c r="M942" s="389"/>
      <c r="N942" s="468" t="s">
        <v>385</v>
      </c>
      <c r="O942" s="396">
        <f>COUNTIFS(O925:O934,"&gt;0",H925:H934,"SI")</f>
        <v>2</v>
      </c>
      <c r="P942" s="814" t="s">
        <v>139</v>
      </c>
      <c r="Q942" s="814"/>
      <c r="R942" s="817">
        <f>E921</f>
        <v>31</v>
      </c>
      <c r="S942" s="818"/>
      <c r="T942" s="784" t="s">
        <v>412</v>
      </c>
      <c r="U942" s="773"/>
      <c r="V942" s="774"/>
      <c r="W942" s="283"/>
      <c r="X942" s="542" t="str">
        <f>IF($F940=1,"NO APLICA",$D942)</f>
        <v>NO APLICA</v>
      </c>
      <c r="Y942" s="543" t="str">
        <f>IF(OR($F942="",$F942="NO APORTA",$R947=0,$X942="NO APLICA"),"",ROUND($F942/$Q947,2))</f>
        <v/>
      </c>
      <c r="Z942" s="544" t="str">
        <f>IF(Y948=1,"SI APLICA",IF(OR($X942="",$X942="NO APLICA",$F942="",$F942="NO APORTA"),"",IF(ROUND($F942/Q947,7)&gt;=0.4,"SI APLICA","NO APLICA")))</f>
        <v>SI APLICA</v>
      </c>
      <c r="AA942" s="543" t="s">
        <v>413</v>
      </c>
      <c r="AB942" s="540" t="str">
        <f>IF(COUNTIF(Z942:AA942,"SI APLICA")=2,"SI APLICA","")</f>
        <v>SI APLICA</v>
      </c>
      <c r="AC942" s="28"/>
    </row>
    <row r="943" spans="1:29" s="30" customFormat="1" ht="15.75" customHeight="1" thickBot="1">
      <c r="A943" s="112" t="str">
        <f>"O"&amp;E921</f>
        <v>O31</v>
      </c>
      <c r="B943" s="791"/>
      <c r="C943" s="54">
        <v>2</v>
      </c>
      <c r="D943" s="100" t="str">
        <f>IF(AND(C943&lt;=F940,F940&lt;&gt;""),VLOOKUP(VALUE(E921&amp;","&amp;C943),INTEGRANTES!$D$19:$F$192,2,0),"")</f>
        <v/>
      </c>
      <c r="E943" s="107" t="str">
        <f>IF(D943&lt;&gt;"",VLOOKUP(VALUE(E921&amp;","&amp;C943),INTEGRANTES!$D$19:$F$192,3,0),"")</f>
        <v/>
      </c>
      <c r="F943" s="380" t="str">
        <f>IF(D943="","",IF(OR(SUMIF($J928:$J934,D943,$O928:$O934)=0,N943="NO"),"NO APORTA",SUMIF($J928:$J934,D943,$O928:$O934)))</f>
        <v/>
      </c>
      <c r="G943" s="380" t="str">
        <f>IF($D943="","",IF($F940&lt;=1,"",ROUND(POSMMLV*PORPO,2)))</f>
        <v/>
      </c>
      <c r="H943" s="765" t="str">
        <f t="shared" ref="H943:H946" si="188">IF($D943="","",IF(OR(F943="NO APORTA",G943&gt;F943),"NO CUMPLE","CUMPLE"))</f>
        <v/>
      </c>
      <c r="I943" s="766"/>
      <c r="J943" s="108" t="str">
        <f>IF(D943="","",IF(OR(AND(SUMIF($J925:$J934,D943,$O925:$O934)&gt;=5%*POSMMLV,N943="SI"),AND(SUMIF($J925:$J934,D943,$O925:$O934)=0,E943&lt;=5%,N943="SI")),"CUMPLE","NO CUMPLE"))</f>
        <v/>
      </c>
      <c r="K943" s="105" t="str">
        <f>IF(OR(D943="",J943=""),"",IF(AND(J943="NO CUMPLE",F943="NO APORTA",E943&gt;5%),"EXP = 0 y PART &gt; 5%",IF(F943&lt;5%*Q947,"EXP &lt; 5%*PO","")))</f>
        <v/>
      </c>
      <c r="L943" s="389" t="str">
        <f>IF(OR(D943="",E943=""),"",IF(AND(E943&gt;=0.25,F943&lt;&gt;"NO APORTA",F943&gt;=$R947*0.25),"SI","NO"))</f>
        <v/>
      </c>
      <c r="M943" s="389"/>
      <c r="N943" s="468"/>
      <c r="O943" s="396"/>
      <c r="P943" s="815"/>
      <c r="Q943" s="815"/>
      <c r="R943" s="815"/>
      <c r="S943" s="819"/>
      <c r="T943" s="785"/>
      <c r="U943" s="786"/>
      <c r="V943" s="787"/>
      <c r="W943" s="283"/>
      <c r="X943" s="542" t="str">
        <f>IF($F940=1,"NO APLICA",$D943)</f>
        <v>NO APLICA</v>
      </c>
      <c r="Y943" s="543" t="str">
        <f>IF(OR($F943="",$F943="NO APORTA",$R947=0,$X943="NO APLICA"),"",ROUND($F943/$Q947,2))</f>
        <v/>
      </c>
      <c r="Z943" s="544"/>
      <c r="AA943" s="543"/>
      <c r="AB943" s="540" t="str">
        <f t="shared" ref="AB943" si="189">IF(COUNTIF(Z943:AA943,"SI APLICA")=2,"SI APLICA","")</f>
        <v/>
      </c>
      <c r="AC943" s="28"/>
    </row>
    <row r="944" spans="1:29" s="30" customFormat="1" ht="15.75" customHeight="1">
      <c r="A944" s="112" t="str">
        <f>"P"&amp;E921</f>
        <v>P31</v>
      </c>
      <c r="B944" s="791"/>
      <c r="C944" s="54">
        <v>3</v>
      </c>
      <c r="D944" s="100" t="str">
        <f>IF(AND(C944&lt;=F940,F940&lt;&gt;""),VLOOKUP(VALUE(E921&amp;","&amp;C944),INTEGRANTES!$D$19:$F$192,2,0),"")</f>
        <v/>
      </c>
      <c r="E944" s="107" t="str">
        <f>IF(D944&lt;&gt;"",VLOOKUP(VALUE(E921&amp;","&amp;C944),INTEGRANTES!$D$19:$F$192,3,0),"")</f>
        <v/>
      </c>
      <c r="F944" s="380" t="str">
        <f>IF(D944="","",IF(OR(SUMIF($J928:$J934,D944,$O928:$O934)=0,N944="NO"),"NO APORTA",SUMIF($J928:$J934,D944,$O928:$O934)))</f>
        <v/>
      </c>
      <c r="G944" s="380" t="str">
        <f>IF($D944="","",IF($F940&lt;=1,"",ROUND(POSMMLV*PORPO,2)))</f>
        <v/>
      </c>
      <c r="H944" s="765" t="str">
        <f t="shared" si="188"/>
        <v/>
      </c>
      <c r="I944" s="766"/>
      <c r="J944" s="108" t="str">
        <f>IF(D944="","",IF(OR(AND(SUMIF($J925:$J934,D944,$O925:$O934)&gt;=5%*POSMMLV,N944="SI"),AND(SUMIF($J925:$J934,D944,$O925:$O934)=0,E944&lt;=5%,N944="SI")),"CUMPLE","NO CUMPLE"))</f>
        <v/>
      </c>
      <c r="K944" s="105" t="str">
        <f>IF(OR(D944="",J944=""),"",IF(AND(J944="NO CUMPLE",F944="NO APORTA",E944&gt;5%),"EXP = 0 y PART &gt; 5%",IF(F944&lt;5%*Q947,"EXP &lt; 5%*PO","")))</f>
        <v/>
      </c>
      <c r="L944" s="389" t="str">
        <f>IF(OR(D944="",E944=""),"",IF(AND(E944&gt;=0.25,F944&lt;&gt;"NO APORTA",F944&gt;=$R947*0.25),"SI","NO"))</f>
        <v/>
      </c>
      <c r="M944" s="389"/>
      <c r="N944" s="468"/>
      <c r="O944" s="397"/>
      <c r="P944" s="816"/>
      <c r="Q944" s="816"/>
      <c r="R944" s="816"/>
      <c r="S944" s="820"/>
      <c r="T944" s="308"/>
      <c r="U944" s="308"/>
      <c r="V944" s="309"/>
      <c r="W944" s="284"/>
      <c r="X944" s="542" t="str">
        <f>IF($F940=1,"NO APLICA",$D944)</f>
        <v>NO APLICA</v>
      </c>
      <c r="Y944" s="543" t="str">
        <f>IF(OR($F944="",$F944="NO APORTA",$R947=0,$X944="NO APLICA"),"",ROUND($F944/$Q947,2))</f>
        <v/>
      </c>
      <c r="Z944" s="544"/>
      <c r="AA944" s="543"/>
      <c r="AB944" s="540" t="str">
        <f>IF(COUNTIF(Z944:AA944,"SI APLICA")=2,"SI APLICA","")</f>
        <v/>
      </c>
      <c r="AC944" s="28"/>
    </row>
    <row r="945" spans="1:29" s="30" customFormat="1" ht="15.75" customHeight="1">
      <c r="A945" s="112" t="str">
        <f>"Q"&amp;E921</f>
        <v>Q31</v>
      </c>
      <c r="B945" s="791"/>
      <c r="C945" s="54">
        <v>4</v>
      </c>
      <c r="D945" s="100" t="str">
        <f>IF(AND(C945&lt;=F940,F940&lt;&gt;""),VLOOKUP(VALUE(E921&amp;","&amp;C945),INTEGRANTES!$D$19:$F$192,2,0),"")</f>
        <v/>
      </c>
      <c r="E945" s="107" t="str">
        <f>IF(D945&lt;&gt;"",VLOOKUP(VALUE(E921&amp;","&amp;C945),INTEGRANTES!$D$19:$F$192,3,0),"")</f>
        <v/>
      </c>
      <c r="F945" s="380" t="str">
        <f>IF(D945="","",IF(OR(SUMIF($J928:$J934,D945,$O928:$O934)=0,N945="NO"),"NO APORTA",SUMIF($J928:$J934,D945,$O928:$O934)))</f>
        <v/>
      </c>
      <c r="G945" s="380" t="str">
        <f>IF($D945="","",IF($F940&lt;=1,"",ROUND(POSMMLV*PORPO,2)))</f>
        <v/>
      </c>
      <c r="H945" s="765" t="str">
        <f t="shared" si="188"/>
        <v/>
      </c>
      <c r="I945" s="766"/>
      <c r="J945" s="108" t="str">
        <f>IF(D945="","",IF(OR(AND(SUMIF($J925:$J934,D945,$O925:$O934)&gt;=5%*POSMMLV,N945="SI"),AND(SUMIF($J925:$J934,D945,$O925:$O934)=0,E945&lt;=5%,N945="SI")),"CUMPLE","NO CUMPLE"))</f>
        <v/>
      </c>
      <c r="K945" s="105" t="str">
        <f>IF(OR(D945="",J945=""),"",IF(AND(J945="NO CUMPLE",F945="NO APORTA",E945&gt;5%),"EXP = 0 y PART &gt; 5%",IF(F945&lt;5%*Q947,"EXP &lt; 5%*PO","")))</f>
        <v/>
      </c>
      <c r="L945" s="389" t="str">
        <f>IF(OR(D945="",E945=""),"",IF(AND(E945&gt;=0.25,F945&lt;&gt;"NO APORTA",F945&gt;=$R947*0.25),"SI","NO"))</f>
        <v/>
      </c>
      <c r="M945" s="389"/>
      <c r="N945" s="468"/>
      <c r="O945" s="788" t="s">
        <v>414</v>
      </c>
      <c r="P945" s="769" t="s">
        <v>415</v>
      </c>
      <c r="Q945" s="770"/>
      <c r="R945" s="770"/>
      <c r="S945" s="771"/>
      <c r="T945" s="284"/>
      <c r="U945" s="284"/>
      <c r="V945" s="310"/>
      <c r="W945" s="284"/>
      <c r="X945" s="542" t="str">
        <f>IF($F940=1,"NO APLICA",$D945)</f>
        <v>NO APLICA</v>
      </c>
      <c r="Y945" s="543" t="str">
        <f>IF(OR($F945="",$F945="NO APORTA",$R947=0,$X945="NO APLICA"),"",ROUND($F945/$Q947,2))</f>
        <v/>
      </c>
      <c r="Z945" s="544"/>
      <c r="AA945" s="543"/>
      <c r="AB945" s="540" t="str">
        <f t="shared" ref="AB945:AB946" si="190">IF(COUNTIF(Z945:AA945,"SI APLICA")=2,"SI APLICA","")</f>
        <v/>
      </c>
      <c r="AC945" s="28"/>
    </row>
    <row r="946" spans="1:29" s="30" customFormat="1" ht="17.25" customHeight="1">
      <c r="A946" s="112" t="str">
        <f>"R"&amp;E921</f>
        <v>R31</v>
      </c>
      <c r="B946" s="791"/>
      <c r="C946" s="54">
        <v>5</v>
      </c>
      <c r="D946" s="100" t="str">
        <f>IF(AND(C946&lt;=F940,F940&lt;&gt;""),VLOOKUP(VALUE(E921&amp;","&amp;C946),INTEGRANTES!$D$19:$F$192,2,0),"")</f>
        <v/>
      </c>
      <c r="E946" s="107" t="str">
        <f>IF(D946&lt;&gt;"",VLOOKUP(VALUE(E921&amp;","&amp;C946),INTEGRANTES!$D$19:$F$192,3,0),"")</f>
        <v/>
      </c>
      <c r="F946" s="380" t="str">
        <f>IF(D946="","",IF(OR(SUMIF($J928:$J934,D946,$O928:$O934)=0,N946="NO"),"NO APORTA",SUMIF($J928:$J934,D946,$O928:$O934)))</f>
        <v/>
      </c>
      <c r="G946" s="380" t="str">
        <f>IF($D946="","",IF($F940&lt;=1,"",ROUND(POSMMLV*PORPO,2)))</f>
        <v/>
      </c>
      <c r="H946" s="765" t="str">
        <f t="shared" si="188"/>
        <v/>
      </c>
      <c r="I946" s="766"/>
      <c r="J946" s="108" t="str">
        <f>IF(D946="","",IF(OR(AND(SUMIF($J925:$J934,D946,$O925:$O934)&gt;=5%*POSMMLV,N946="SI"),AND(SUMIF($J925:$J934,D946,$O925:$O934)=0,E946&lt;=5%,N946="SI")),"CUMPLE","NO CUMPLE"))</f>
        <v/>
      </c>
      <c r="K946" s="105" t="str">
        <f>IF(OR(D946="",J946=""),"",IF(AND(J946="NO CUMPLE",F946="NO APORTA",E946&gt;5%),"EXP = 0 y PART &gt; 5%",IF(F946&lt;5%*Q947,"EXP &lt; 5%*PO","")))</f>
        <v/>
      </c>
      <c r="L946" s="389" t="str">
        <f>IF(OR(D946="",E946=""),"",IF(AND(E946&gt;=0.25,F946&lt;&gt;"NO APORTA",F946&gt;=$R947*0.25),"SI","NO"))</f>
        <v/>
      </c>
      <c r="M946" s="389"/>
      <c r="N946" s="468"/>
      <c r="O946" s="789"/>
      <c r="P946" s="504" t="s">
        <v>416</v>
      </c>
      <c r="Q946" s="504" t="s">
        <v>417</v>
      </c>
      <c r="R946" s="793" t="s">
        <v>418</v>
      </c>
      <c r="S946" s="793"/>
      <c r="T946" s="284"/>
      <c r="U946" s="284"/>
      <c r="V946" s="310"/>
      <c r="W946" s="284"/>
      <c r="X946" s="542" t="str">
        <f>IF($F940=1,"NO APLICA",$D946)</f>
        <v>NO APLICA</v>
      </c>
      <c r="Y946" s="543" t="str">
        <f>IF(OR($F946="",$F946="NO APORTA",$R947=0,$X946="NO APLICA"),"",ROUND($F946/$Q947,2))</f>
        <v/>
      </c>
      <c r="Z946" s="544"/>
      <c r="AA946" s="543"/>
      <c r="AB946" s="540" t="str">
        <f t="shared" si="190"/>
        <v/>
      </c>
      <c r="AC946" s="28"/>
    </row>
    <row r="947" spans="1:29" s="30" customFormat="1" ht="16.5" customHeight="1" thickBot="1">
      <c r="A947" s="112" t="str">
        <f>"S"&amp;E921</f>
        <v>S31</v>
      </c>
      <c r="B947" s="791"/>
      <c r="C947" s="109">
        <v>6</v>
      </c>
      <c r="D947" s="110" t="str">
        <f>IF(AND(C947&lt;=F940,F940&lt;&gt;""),VLOOKUP(VALUE(E921&amp;","&amp;C947),INTEGRANTES!$D$19:$F$192,2,0),"")</f>
        <v/>
      </c>
      <c r="E947" s="111" t="str">
        <f>IF(D947&lt;&gt;"",VLOOKUP(VALUE(E921&amp;","&amp;C947),INTEGRANTES!$D$19:$F$192,3,0),"")</f>
        <v/>
      </c>
      <c r="F947" s="380" t="str">
        <f>IF(D947="","",IF(OR(SUMIF($J928:$J934,D947,$O928:$O934)=0,N947="NO"),"NO APORTA",SUMIF($J928:$J934,D947,$O928:$O934)))</f>
        <v/>
      </c>
      <c r="G947" s="380" t="str">
        <f>IF($D947="","",IF($F940&lt;=1,"",ROUND(POSMMLV*PORPO,2)))</f>
        <v/>
      </c>
      <c r="H947" s="765" t="str">
        <f>IF($D947="","",IF(OR(F947="NO APORTA",G947&gt;F947),"NO CUMPLE","CUMPLE"))</f>
        <v/>
      </c>
      <c r="I947" s="766"/>
      <c r="J947" s="108" t="str">
        <f>IF(D947="","",IF(OR(AND(SUMIF($J925:$J934,D947,$O925:$O934)&gt;=5%*POSMMLV,N947="SI"),AND(SUMIF($J925:$J934,D947,$O925:$O934)=0,E947&lt;=5%,N947="SI")),"CUMPLE","NO CUMPLE"))</f>
        <v/>
      </c>
      <c r="K947" s="105" t="str">
        <f>IF(OR(D947="",J947=""),"",IF(AND(J947="NO CUMPLE",F947="NO APORTA",E947&gt;5%),"EXP = 0 y PART &gt; 5%",IF(F947&lt;5%*Q947,"EXP &lt; 5%*PO","")))</f>
        <v/>
      </c>
      <c r="L947" s="389" t="str">
        <f>IF(OR(D947="",E947=""),"",IF(AND(E947&gt;=0.25,F947&lt;&gt;"NO APORTA",F947&gt;=$R947*0.25),"SI","NO"))</f>
        <v/>
      </c>
      <c r="M947" s="389"/>
      <c r="N947" s="468"/>
      <c r="O947" s="403" t="str">
        <f ca="1">IF(R947&gt;=Q947,"CUMPLE","NO CUMPLE")</f>
        <v>CUMPLE</v>
      </c>
      <c r="P947" s="312">
        <f>NUMMOD</f>
        <v>1</v>
      </c>
      <c r="Q947" s="313">
        <f ca="1">IF(P947="","",ROUND(VLOOKUP(P947,PRESUPUESTOS!$B$16:$L$16,9,FALSE),7))</f>
        <v>300</v>
      </c>
      <c r="R947" s="834">
        <f>IF(OR(COUNTIF(O925:O934,"")&gt;9,S941&lt;NUMMINCONT),0,SUM(O925:O934))</f>
        <v>603.84100000000001</v>
      </c>
      <c r="S947" s="834"/>
      <c r="T947" s="284"/>
      <c r="U947" s="284"/>
      <c r="V947" s="310"/>
      <c r="W947" s="284"/>
      <c r="X947" s="545" t="str">
        <f>IF($F940=1,"NO APLICA",$D947)</f>
        <v>NO APLICA</v>
      </c>
      <c r="Y947" s="543" t="str">
        <f>IF(OR($F947="",$F947="NO APORTA",$R947=0,$X947="NO APLICA"),"",ROUND($F947/$Q947,2))</f>
        <v/>
      </c>
      <c r="Z947" s="544"/>
      <c r="AA947" s="546"/>
      <c r="AB947" s="540" t="str">
        <f>IF(COUNTIF(Z947:AA947,"SI APLICA")=2,"SI APLICA","")</f>
        <v/>
      </c>
      <c r="AC947" s="28"/>
    </row>
    <row r="948" spans="1:29" s="30" customFormat="1" ht="16.5" customHeight="1" thickBot="1">
      <c r="A948" s="112" t="str">
        <f>"T"&amp;E921</f>
        <v>T31</v>
      </c>
      <c r="B948" s="792"/>
      <c r="C948" s="821" t="s">
        <v>419</v>
      </c>
      <c r="D948" s="822"/>
      <c r="E948" s="822"/>
      <c r="F948" s="518"/>
      <c r="G948" s="519"/>
      <c r="H948" s="794" t="str">
        <f>IF(OR($F940="",SUM(E942:E947)=0),"",IF(COUNTIF(H942:H947,"CUMPLE")&gt;=1,"CUMPLE","NO CUMPLE"))</f>
        <v/>
      </c>
      <c r="I948" s="795"/>
      <c r="J948" s="314" t="str">
        <f>IF(COUNTIF(J942:J947,"")&gt;5,"",IF(COUNTIF(J942:J947,"NO CUMPLE")&gt;0,"NO CUMPLE","CUMPLE"))</f>
        <v/>
      </c>
      <c r="K948" s="314" t="str">
        <f>IF(OR(AND(F940=1,N942="SI"),AND(COUNTIF(H948:J948,"CUMPLE")=2)),"CUMPLE","NO CUMPLE")</f>
        <v>CUMPLE</v>
      </c>
      <c r="L948" s="519"/>
      <c r="M948" s="519"/>
      <c r="N948" s="519"/>
      <c r="O948" s="833" t="str">
        <f ca="1">IF(ISNUMBER(F921),"",IF(AND(O947="NO CUMPLE",SUM(N928:N934)&lt;Q947),"EL PROPONENTE SE DEBE REQUERIR POR EXPERIENCIA MINIMA EXIGIDA",""))</f>
        <v/>
      </c>
      <c r="P948" s="833"/>
      <c r="Q948" s="833"/>
      <c r="R948" s="833"/>
      <c r="S948" s="833"/>
      <c r="T948" s="522"/>
      <c r="U948" s="523"/>
      <c r="V948" s="524"/>
      <c r="W948" s="284"/>
      <c r="X948" s="364" t="str">
        <f>IF(Y948=1,"PROPONENTE INDIVIDUAL","PROPONENTE PLURAL")</f>
        <v>PROPONENTE INDIVIDUAL</v>
      </c>
      <c r="Y948" s="276">
        <f>F940</f>
        <v>1</v>
      </c>
      <c r="Z948" s="277" t="str">
        <f>IF(OR(AND(Z942="SI APLICA",AA942="SI APLICA"),AND(Z943="SI APLICA",AA943="SI APLICA"),AND(Z944="SI APLICA",AA944="SI APLICA"),AND(Z945="SI APLICA",AA945="SI APLICA"),AND(Z946="SI APLICA",AA946="SI APLICA"),AND(Z947="SI APLICA",AA947="SI APLICA")),"SI APLICA","NO APLICA")</f>
        <v>SI APLICA</v>
      </c>
      <c r="AA948" s="278" t="str">
        <f>IF(OR(AND(AA942="SI APLICA",AB942="SI APLICA"),AND(AA943="SI APLICA",AB943="SI APLICA"),AND(AA944="SI APLICA",AB944="SI APLICA"),AND(AA945="SI APLICA",AB945="SI APLICA"),AND(AA946="SI APLICA",AB946="SI APLICA"),AND(AA947="SI APLICA",AB947="SI APLICA")),"SI APLICA","NO APLICA")</f>
        <v>SI APLICA</v>
      </c>
      <c r="AB948" s="278" t="str">
        <f>IF(COUNTIF(AB942:AB947,"SI APLICA")&gt;0,"SI APLICA","NO APLICA")</f>
        <v>SI APLICA</v>
      </c>
      <c r="AC948" s="28"/>
    </row>
    <row r="949" spans="1:29" ht="24.95" customHeight="1"/>
    <row r="950" spans="1:29" ht="24.95" customHeight="1"/>
    <row r="951" spans="1:29" s="41" customFormat="1" ht="24" thickBot="1">
      <c r="A951" s="34">
        <v>32</v>
      </c>
      <c r="B951" s="828" t="s">
        <v>355</v>
      </c>
      <c r="C951" s="828"/>
      <c r="D951" s="828"/>
      <c r="E951" s="35">
        <f>VLOOKUP(A951,PROPONENTES!$B$19:$E$108,2,FALSE)</f>
        <v>32</v>
      </c>
      <c r="F951" s="36" t="str">
        <f>VLOOKUP(A951,PROPONENTES!$B$19:$E$108,3,FALSE)</f>
        <v xml:space="preserve">GYG CONSTRUCCIONES S.A.S. </v>
      </c>
      <c r="G951" s="37"/>
      <c r="H951" s="37"/>
      <c r="I951" s="36"/>
      <c r="J951" s="36"/>
      <c r="K951" s="36"/>
      <c r="L951" s="36"/>
      <c r="M951" s="38"/>
      <c r="N951" s="38"/>
      <c r="O951" s="37"/>
      <c r="P951" s="37"/>
      <c r="Q951" s="39"/>
      <c r="R951" s="39"/>
      <c r="S951" s="39"/>
      <c r="T951" s="39"/>
      <c r="U951" s="40"/>
      <c r="Y951" s="52"/>
      <c r="Z951" s="52"/>
      <c r="AA951" s="52"/>
      <c r="AB951" s="28"/>
      <c r="AC951" s="28"/>
    </row>
    <row r="952" spans="1:29" s="27" customFormat="1" ht="24.75" customHeight="1">
      <c r="A952" s="22"/>
      <c r="B952" s="829" t="s">
        <v>356</v>
      </c>
      <c r="C952" s="501" t="s">
        <v>357</v>
      </c>
      <c r="D952" s="502" t="s">
        <v>358</v>
      </c>
      <c r="E952" s="502"/>
      <c r="F952" s="502" t="s">
        <v>359</v>
      </c>
      <c r="G952" s="503"/>
      <c r="H952" s="803" t="s">
        <v>360</v>
      </c>
      <c r="I952" s="831" t="s">
        <v>361</v>
      </c>
      <c r="J952" s="803" t="s">
        <v>362</v>
      </c>
      <c r="K952" s="803" t="s">
        <v>363</v>
      </c>
      <c r="L952" s="803" t="s">
        <v>364</v>
      </c>
      <c r="M952" s="803" t="s">
        <v>365</v>
      </c>
      <c r="N952" s="804" t="s">
        <v>366</v>
      </c>
      <c r="O952" s="805"/>
      <c r="P952" s="806" t="s">
        <v>367</v>
      </c>
      <c r="Q952" s="807"/>
      <c r="R952" s="784" t="s">
        <v>368</v>
      </c>
      <c r="S952" s="774"/>
      <c r="T952" s="798" t="s">
        <v>369</v>
      </c>
      <c r="U952" s="799"/>
      <c r="V952" s="800"/>
      <c r="X952" s="520"/>
      <c r="Y952" s="520"/>
    </row>
    <row r="953" spans="1:29" s="27" customFormat="1" ht="94.5" customHeight="1">
      <c r="A953" s="22"/>
      <c r="B953" s="830"/>
      <c r="C953" s="504" t="s">
        <v>370</v>
      </c>
      <c r="D953" s="505" t="s">
        <v>41</v>
      </c>
      <c r="E953" s="505" t="s">
        <v>371</v>
      </c>
      <c r="F953" s="505" t="s">
        <v>372</v>
      </c>
      <c r="G953" s="506" t="s">
        <v>373</v>
      </c>
      <c r="H953" s="793"/>
      <c r="I953" s="832"/>
      <c r="J953" s="793"/>
      <c r="K953" s="793"/>
      <c r="L953" s="793"/>
      <c r="M953" s="793"/>
      <c r="N953" s="504" t="s">
        <v>374</v>
      </c>
      <c r="O953" s="505" t="s">
        <v>375</v>
      </c>
      <c r="P953" s="801"/>
      <c r="Q953" s="802"/>
      <c r="R953" s="796"/>
      <c r="S953" s="797"/>
      <c r="T953" s="507" t="s">
        <v>376</v>
      </c>
      <c r="U953" s="508" t="s">
        <v>377</v>
      </c>
      <c r="V953" s="509" t="s">
        <v>378</v>
      </c>
      <c r="X953" s="521" t="s">
        <v>379</v>
      </c>
      <c r="Y953" s="521" t="s">
        <v>380</v>
      </c>
    </row>
    <row r="954" spans="1:29" s="27" customFormat="1" ht="15" customHeight="1">
      <c r="A954" s="22"/>
      <c r="B954" s="594"/>
      <c r="C954" s="595">
        <v>3</v>
      </c>
      <c r="D954" s="595">
        <v>4</v>
      </c>
      <c r="E954" s="595">
        <v>5</v>
      </c>
      <c r="F954" s="595">
        <v>6</v>
      </c>
      <c r="G954" s="595">
        <v>7</v>
      </c>
      <c r="H954" s="595">
        <v>8</v>
      </c>
      <c r="I954" s="595">
        <v>9</v>
      </c>
      <c r="J954" s="595">
        <v>10</v>
      </c>
      <c r="K954" s="595">
        <v>11</v>
      </c>
      <c r="L954" s="595">
        <v>12</v>
      </c>
      <c r="M954" s="595">
        <v>13</v>
      </c>
      <c r="N954" s="595">
        <v>14</v>
      </c>
      <c r="O954" s="595">
        <v>15</v>
      </c>
      <c r="P954" s="596">
        <v>16</v>
      </c>
      <c r="Q954" s="597">
        <v>17</v>
      </c>
      <c r="R954" s="596">
        <v>18</v>
      </c>
      <c r="S954" s="597">
        <v>19</v>
      </c>
      <c r="T954" s="598">
        <v>20</v>
      </c>
      <c r="U954" s="255">
        <v>21</v>
      </c>
      <c r="V954" s="599">
        <v>22</v>
      </c>
      <c r="X954" s="589"/>
      <c r="Y954" s="590"/>
    </row>
    <row r="955" spans="1:29" s="44" customFormat="1" ht="76.5">
      <c r="A955" s="42" t="str">
        <f>"A"&amp;E951</f>
        <v>A32</v>
      </c>
      <c r="B955" s="605">
        <f>IF(C955&lt;&gt;"",B954+1,"")</f>
        <v>1</v>
      </c>
      <c r="C955" s="581" t="s">
        <v>531</v>
      </c>
      <c r="D955" s="581">
        <v>2040258</v>
      </c>
      <c r="E955" s="581" t="s">
        <v>644</v>
      </c>
      <c r="F955" s="581" t="s">
        <v>431</v>
      </c>
      <c r="G955" s="534">
        <v>0.25</v>
      </c>
      <c r="H955" s="534" t="s">
        <v>385</v>
      </c>
      <c r="I955" s="579" t="s">
        <v>384</v>
      </c>
      <c r="J955" s="580" t="str">
        <f>IF(I955="","",IF(I955="I",$F951,VLOOKUP(I955,$C972:$D977,2,0)))</f>
        <v xml:space="preserve">GYG CONSTRUCCIONES S.A.S. </v>
      </c>
      <c r="K955" s="535">
        <v>38061</v>
      </c>
      <c r="L955" s="535">
        <v>38670</v>
      </c>
      <c r="M955" s="536">
        <v>3809</v>
      </c>
      <c r="N955" s="232">
        <f t="shared" ref="N955:N964" si="191">IF(OR(G955="",M955=""),"",M955*G955)</f>
        <v>952.25</v>
      </c>
      <c r="O955" s="260">
        <f t="shared" ref="O955:O964" si="192">IF(OR(H955="",H955="NO",K955&lt;$Q$17,K955&gt;$R$17,K955="",M955="",N955=""),"",ROUND(N955,7))</f>
        <v>952.25</v>
      </c>
      <c r="P955" s="781"/>
      <c r="Q955" s="782"/>
      <c r="R955" s="767"/>
      <c r="S955" s="768"/>
      <c r="T955" s="538" t="s">
        <v>385</v>
      </c>
      <c r="U955" s="539">
        <v>73</v>
      </c>
      <c r="V955" s="540" t="s">
        <v>385</v>
      </c>
      <c r="X955" s="541" t="s">
        <v>449</v>
      </c>
      <c r="Y955" s="541" t="s">
        <v>387</v>
      </c>
    </row>
    <row r="956" spans="1:29" s="44" customFormat="1" ht="63.75">
      <c r="A956" s="42" t="str">
        <f>"B"&amp;E951</f>
        <v>B32</v>
      </c>
      <c r="B956" s="605">
        <f t="shared" ref="B956:B964" si="193">IF(C956&lt;&gt;"",B955+1,"")</f>
        <v>2</v>
      </c>
      <c r="C956" s="581" t="s">
        <v>531</v>
      </c>
      <c r="D956" s="581">
        <v>2101487</v>
      </c>
      <c r="E956" s="581" t="s">
        <v>645</v>
      </c>
      <c r="F956" s="581" t="s">
        <v>580</v>
      </c>
      <c r="G956" s="534">
        <v>1</v>
      </c>
      <c r="H956" s="534" t="s">
        <v>385</v>
      </c>
      <c r="I956" s="579" t="s">
        <v>384</v>
      </c>
      <c r="J956" s="580" t="str">
        <f>IF(I956="","",IF(I956="I",$F951,VLOOKUP(I956,$C972:$D977,2,0)))</f>
        <v xml:space="preserve">GYG CONSTRUCCIONES S.A.S. </v>
      </c>
      <c r="K956" s="535">
        <v>40385</v>
      </c>
      <c r="L956" s="535">
        <v>40694</v>
      </c>
      <c r="M956" s="536">
        <v>929</v>
      </c>
      <c r="N956" s="232">
        <f t="shared" si="191"/>
        <v>929</v>
      </c>
      <c r="O956" s="260">
        <f t="shared" si="192"/>
        <v>929</v>
      </c>
      <c r="P956" s="781"/>
      <c r="Q956" s="782"/>
      <c r="R956" s="767"/>
      <c r="S956" s="768"/>
      <c r="T956" s="538" t="s">
        <v>385</v>
      </c>
      <c r="U956" s="539">
        <v>76</v>
      </c>
      <c r="V956" s="540" t="s">
        <v>385</v>
      </c>
      <c r="X956" s="541" t="s">
        <v>446</v>
      </c>
      <c r="Y956" s="541" t="s">
        <v>387</v>
      </c>
    </row>
    <row r="957" spans="1:29" s="44" customFormat="1" ht="24.95" customHeight="1">
      <c r="A957" s="42" t="str">
        <f>"C"&amp;E951</f>
        <v>C32</v>
      </c>
      <c r="B957" s="605" t="str">
        <f t="shared" si="193"/>
        <v/>
      </c>
      <c r="C957" s="581"/>
      <c r="D957" s="581"/>
      <c r="E957" s="581"/>
      <c r="F957" s="581"/>
      <c r="G957" s="534"/>
      <c r="H957" s="534"/>
      <c r="I957" s="579"/>
      <c r="J957" s="580" t="str">
        <f>IF(I957="","",IF(I957="I",$F951,VLOOKUP(I957,$C972:$D977,2,0)))</f>
        <v/>
      </c>
      <c r="K957" s="535"/>
      <c r="L957" s="535"/>
      <c r="M957" s="536"/>
      <c r="N957" s="232" t="str">
        <f t="shared" si="191"/>
        <v/>
      </c>
      <c r="O957" s="260" t="str">
        <f t="shared" si="192"/>
        <v/>
      </c>
      <c r="P957" s="781"/>
      <c r="Q957" s="782"/>
      <c r="R957" s="767"/>
      <c r="S957" s="768"/>
      <c r="T957" s="538"/>
      <c r="U957" s="539"/>
      <c r="V957" s="540"/>
      <c r="X957" s="541"/>
      <c r="Y957" s="541"/>
    </row>
    <row r="958" spans="1:29" s="44" customFormat="1" ht="24.95" customHeight="1">
      <c r="A958" s="42" t="str">
        <f>"D"&amp;E951</f>
        <v>D32</v>
      </c>
      <c r="B958" s="605" t="str">
        <f t="shared" si="193"/>
        <v/>
      </c>
      <c r="C958" s="581"/>
      <c r="D958" s="581"/>
      <c r="E958" s="581"/>
      <c r="F958" s="581"/>
      <c r="G958" s="534"/>
      <c r="H958" s="534"/>
      <c r="I958" s="579"/>
      <c r="J958" s="580" t="str">
        <f>IF(I958="","",IF(I958="I",$F951,VLOOKUP(I958,$C972:$D977,2,0)))</f>
        <v/>
      </c>
      <c r="K958" s="535"/>
      <c r="L958" s="535"/>
      <c r="M958" s="536"/>
      <c r="N958" s="232" t="str">
        <f t="shared" si="191"/>
        <v/>
      </c>
      <c r="O958" s="260" t="str">
        <f t="shared" si="192"/>
        <v/>
      </c>
      <c r="P958" s="781"/>
      <c r="Q958" s="782"/>
      <c r="R958" s="767"/>
      <c r="S958" s="768"/>
      <c r="T958" s="538"/>
      <c r="U958" s="539"/>
      <c r="V958" s="540"/>
      <c r="X958" s="541"/>
      <c r="Y958" s="541"/>
    </row>
    <row r="959" spans="1:29" s="44" customFormat="1" ht="24.95" customHeight="1">
      <c r="A959" s="42" t="str">
        <f>"E"&amp;E951</f>
        <v>E32</v>
      </c>
      <c r="B959" s="605" t="str">
        <f t="shared" si="193"/>
        <v/>
      </c>
      <c r="C959" s="581"/>
      <c r="D959" s="581"/>
      <c r="E959" s="581"/>
      <c r="F959" s="581"/>
      <c r="G959" s="534"/>
      <c r="H959" s="534"/>
      <c r="I959" s="579"/>
      <c r="J959" s="580" t="str">
        <f>IF(I959="","",IF(I959="I",$F951,VLOOKUP(I959,$C972:$D977,2,0)))</f>
        <v/>
      </c>
      <c r="K959" s="535"/>
      <c r="L959" s="535"/>
      <c r="M959" s="536"/>
      <c r="N959" s="232" t="str">
        <f t="shared" si="191"/>
        <v/>
      </c>
      <c r="O959" s="260" t="str">
        <f t="shared" si="192"/>
        <v/>
      </c>
      <c r="P959" s="781"/>
      <c r="Q959" s="782"/>
      <c r="R959" s="767"/>
      <c r="S959" s="768"/>
      <c r="T959" s="538"/>
      <c r="U959" s="539"/>
      <c r="V959" s="540"/>
      <c r="X959" s="541"/>
      <c r="Y959" s="541"/>
    </row>
    <row r="960" spans="1:29" s="44" customFormat="1" ht="24.95" customHeight="1">
      <c r="A960" s="42" t="str">
        <f>"F"&amp;E951</f>
        <v>F32</v>
      </c>
      <c r="B960" s="605" t="str">
        <f t="shared" si="193"/>
        <v/>
      </c>
      <c r="C960" s="581"/>
      <c r="D960" s="581"/>
      <c r="E960" s="581"/>
      <c r="F960" s="581"/>
      <c r="G960" s="534"/>
      <c r="H960" s="534"/>
      <c r="I960" s="579"/>
      <c r="J960" s="580" t="str">
        <f>IF(I960="","",IF(I960="I",$F951,VLOOKUP(I960,$C972:$D977,2,0)))</f>
        <v/>
      </c>
      <c r="K960" s="535"/>
      <c r="L960" s="535"/>
      <c r="M960" s="536"/>
      <c r="N960" s="232" t="str">
        <f t="shared" si="191"/>
        <v/>
      </c>
      <c r="O960" s="260" t="str">
        <f t="shared" si="192"/>
        <v/>
      </c>
      <c r="P960" s="781"/>
      <c r="Q960" s="782"/>
      <c r="R960" s="767"/>
      <c r="S960" s="768"/>
      <c r="T960" s="538"/>
      <c r="U960" s="539"/>
      <c r="V960" s="540"/>
      <c r="X960" s="541"/>
      <c r="Y960" s="541"/>
    </row>
    <row r="961" spans="1:29" s="44" customFormat="1" ht="24.95" customHeight="1">
      <c r="A961" s="42" t="str">
        <f>"G"&amp;E951</f>
        <v>G32</v>
      </c>
      <c r="B961" s="605" t="str">
        <f t="shared" si="193"/>
        <v/>
      </c>
      <c r="C961" s="581"/>
      <c r="D961" s="581"/>
      <c r="E961" s="581"/>
      <c r="F961" s="581"/>
      <c r="G961" s="534"/>
      <c r="H961" s="534"/>
      <c r="I961" s="579"/>
      <c r="J961" s="580" t="str">
        <f>IF(I961="","",IF(I961="I",$F951,VLOOKUP(I961,$C972:$D977,2,0)))</f>
        <v/>
      </c>
      <c r="K961" s="535"/>
      <c r="L961" s="535"/>
      <c r="M961" s="536"/>
      <c r="N961" s="43" t="str">
        <f t="shared" si="191"/>
        <v/>
      </c>
      <c r="O961" s="260" t="str">
        <f t="shared" si="192"/>
        <v/>
      </c>
      <c r="P961" s="781"/>
      <c r="Q961" s="782"/>
      <c r="R961" s="767"/>
      <c r="S961" s="768"/>
      <c r="T961" s="538"/>
      <c r="U961" s="539"/>
      <c r="V961" s="540"/>
      <c r="X961" s="541"/>
      <c r="Y961" s="541"/>
    </row>
    <row r="962" spans="1:29" s="44" customFormat="1" ht="24.95" customHeight="1">
      <c r="A962" s="42" t="str">
        <f>"H"&amp;E951</f>
        <v>H32</v>
      </c>
      <c r="B962" s="605" t="str">
        <f t="shared" si="193"/>
        <v/>
      </c>
      <c r="C962" s="581"/>
      <c r="D962" s="581"/>
      <c r="E962" s="581"/>
      <c r="F962" s="581"/>
      <c r="G962" s="534"/>
      <c r="H962" s="534"/>
      <c r="I962" s="579"/>
      <c r="J962" s="580" t="str">
        <f>IF(I962="","",IF(I962="I",$F951,VLOOKUP(I962,$C972:$D977,2,0)))</f>
        <v/>
      </c>
      <c r="K962" s="535"/>
      <c r="L962" s="535"/>
      <c r="M962" s="537"/>
      <c r="N962" s="43" t="str">
        <f t="shared" si="191"/>
        <v/>
      </c>
      <c r="O962" s="260" t="str">
        <f t="shared" si="192"/>
        <v/>
      </c>
      <c r="P962" s="781"/>
      <c r="Q962" s="782"/>
      <c r="R962" s="767"/>
      <c r="S962" s="768"/>
      <c r="T962" s="538"/>
      <c r="U962" s="539"/>
      <c r="V962" s="540"/>
      <c r="X962" s="541"/>
      <c r="Y962" s="541"/>
    </row>
    <row r="963" spans="1:29" s="44" customFormat="1" ht="24.95" customHeight="1">
      <c r="A963" s="42" t="str">
        <f>"I"&amp;E951</f>
        <v>I32</v>
      </c>
      <c r="B963" s="605" t="str">
        <f t="shared" si="193"/>
        <v/>
      </c>
      <c r="C963" s="581"/>
      <c r="D963" s="581"/>
      <c r="E963" s="581"/>
      <c r="F963" s="581"/>
      <c r="G963" s="534"/>
      <c r="H963" s="534"/>
      <c r="I963" s="579"/>
      <c r="J963" s="580" t="str">
        <f>IF(I963="","",IF(I963="I",$F951,VLOOKUP(I963,$C972:$D977,2,0)))</f>
        <v/>
      </c>
      <c r="K963" s="535"/>
      <c r="L963" s="535"/>
      <c r="M963" s="537"/>
      <c r="N963" s="43" t="str">
        <f t="shared" si="191"/>
        <v/>
      </c>
      <c r="O963" s="260" t="str">
        <f t="shared" si="192"/>
        <v/>
      </c>
      <c r="P963" s="781"/>
      <c r="Q963" s="782"/>
      <c r="R963" s="767"/>
      <c r="S963" s="768"/>
      <c r="T963" s="538"/>
      <c r="U963" s="539"/>
      <c r="V963" s="540"/>
      <c r="X963" s="541"/>
      <c r="Y963" s="541"/>
    </row>
    <row r="964" spans="1:29" s="44" customFormat="1" ht="24.95" customHeight="1" thickBot="1">
      <c r="A964" s="42" t="str">
        <f>"J"&amp;E951</f>
        <v>J32</v>
      </c>
      <c r="B964" s="612" t="str">
        <f t="shared" si="193"/>
        <v/>
      </c>
      <c r="C964" s="582"/>
      <c r="D964" s="582"/>
      <c r="E964" s="582"/>
      <c r="F964" s="582"/>
      <c r="G964" s="583"/>
      <c r="H964" s="583"/>
      <c r="I964" s="584"/>
      <c r="J964" s="585" t="str">
        <f>IF(I964="","",IF(I964="I",$F951,VLOOKUP(I964,$C972:$D977,2,0)))</f>
        <v/>
      </c>
      <c r="K964" s="586"/>
      <c r="L964" s="586"/>
      <c r="M964" s="587"/>
      <c r="N964" s="43" t="str">
        <f t="shared" si="191"/>
        <v/>
      </c>
      <c r="O964" s="260" t="str">
        <f t="shared" si="192"/>
        <v/>
      </c>
      <c r="P964" s="781"/>
      <c r="Q964" s="782"/>
      <c r="R964" s="767"/>
      <c r="S964" s="768"/>
      <c r="T964" s="538"/>
      <c r="U964" s="539"/>
      <c r="V964" s="540"/>
      <c r="X964" s="541"/>
      <c r="Y964" s="541"/>
    </row>
    <row r="965" spans="1:29" s="27" customFormat="1" ht="12" customHeight="1" thickBot="1">
      <c r="A965" s="42"/>
      <c r="B965" s="45"/>
      <c r="C965" s="46"/>
      <c r="D965" s="46"/>
      <c r="E965" s="46"/>
      <c r="F965" s="46"/>
      <c r="G965" s="46"/>
      <c r="H965" s="606"/>
      <c r="I965" s="46"/>
      <c r="J965" s="46"/>
      <c r="K965" s="46"/>
      <c r="L965" s="46"/>
      <c r="M965" s="46"/>
      <c r="N965" s="46"/>
      <c r="O965" s="259"/>
      <c r="P965" s="46"/>
      <c r="Q965" s="46"/>
      <c r="R965" s="259"/>
      <c r="S965" s="46"/>
      <c r="T965" s="46"/>
      <c r="U965" s="47"/>
      <c r="V965" s="48"/>
      <c r="X965" s="592"/>
      <c r="Y965" s="593"/>
      <c r="AB965" s="378"/>
    </row>
    <row r="966" spans="1:29" s="27" customFormat="1" ht="17.25" customHeight="1" thickBot="1">
      <c r="A966" s="42" t="str">
        <f>"Z"&amp;E951</f>
        <v>Z32</v>
      </c>
      <c r="B966" s="510"/>
      <c r="C966" s="511"/>
      <c r="D966" s="511"/>
      <c r="E966" s="511"/>
      <c r="F966" s="511"/>
      <c r="G966" s="511"/>
      <c r="H966" s="511"/>
      <c r="I966" s="511"/>
      <c r="J966" s="511"/>
      <c r="K966" s="511"/>
      <c r="L966" s="511"/>
      <c r="M966" s="511"/>
      <c r="N966" s="437" t="s">
        <v>388</v>
      </c>
      <c r="O966" s="438">
        <f>IF(COUNTIF(O955:O964,"")&gt;9,0,SUM(O955:O964)/(COUNTIF(H955:H964,"SI")))</f>
        <v>940.625</v>
      </c>
      <c r="P966" s="511"/>
      <c r="Q966" s="511"/>
      <c r="R966" s="530"/>
      <c r="S966" s="530"/>
      <c r="T966" s="531"/>
      <c r="U966" s="532"/>
      <c r="V966" s="533"/>
      <c r="W966" s="285"/>
      <c r="X966" s="613" t="e">
        <f>COUNTIF(#REF!,"")-COUNTIF(#REF!,"CUMPLE")-1</f>
        <v>#REF!</v>
      </c>
      <c r="Y966" s="591"/>
      <c r="AB966" s="28"/>
    </row>
    <row r="967" spans="1:29" ht="17.25" customHeight="1">
      <c r="B967" s="50"/>
      <c r="C967" s="50"/>
      <c r="D967" s="50"/>
      <c r="E967" s="50"/>
      <c r="F967" s="50"/>
      <c r="G967" s="51"/>
      <c r="H967" s="51"/>
      <c r="I967" s="51"/>
      <c r="J967" s="51"/>
      <c r="K967" s="51"/>
      <c r="L967" s="51"/>
      <c r="M967" s="51"/>
      <c r="N967" s="51"/>
      <c r="O967" s="51"/>
      <c r="P967" s="51"/>
      <c r="Q967" s="51"/>
      <c r="R967" s="51"/>
      <c r="S967" s="51"/>
      <c r="T967" s="51"/>
      <c r="U967" s="51"/>
      <c r="V967" s="51"/>
      <c r="W967" s="51"/>
      <c r="X967" s="608"/>
      <c r="Y967" s="51"/>
      <c r="Z967" s="51"/>
      <c r="AA967" s="51"/>
      <c r="AB967" s="51"/>
      <c r="AC967" s="50"/>
    </row>
    <row r="968" spans="1:29" s="27" customFormat="1" ht="16.5" customHeight="1" thickBot="1">
      <c r="A968" s="22"/>
      <c r="B968" s="783" t="s">
        <v>389</v>
      </c>
      <c r="C968" s="783"/>
      <c r="D968" s="783"/>
      <c r="E968" s="783"/>
      <c r="F968" s="783"/>
      <c r="G968" s="783"/>
      <c r="H968" s="783"/>
      <c r="I968" s="783"/>
      <c r="J968" s="783"/>
      <c r="K968" s="783"/>
      <c r="L968" s="783"/>
      <c r="M968" s="783"/>
      <c r="N968" s="783"/>
      <c r="O968" s="783"/>
      <c r="P968" s="783"/>
      <c r="Q968" s="783"/>
      <c r="R968" s="783"/>
      <c r="S968" s="783"/>
      <c r="T968" s="783"/>
      <c r="U968" s="783"/>
      <c r="V968" s="783"/>
      <c r="W968" s="286"/>
      <c r="X968" s="607"/>
      <c r="Y968" s="52"/>
      <c r="Z968" s="52"/>
      <c r="AA968" s="52"/>
      <c r="AB968" s="28"/>
      <c r="AC968" s="28"/>
    </row>
    <row r="969" spans="1:29" s="30" customFormat="1" ht="22.5" customHeight="1">
      <c r="A969" s="112" t="str">
        <f>"K"&amp;E951</f>
        <v>K32</v>
      </c>
      <c r="B969" s="790" t="s">
        <v>390</v>
      </c>
      <c r="C969" s="772" t="s">
        <v>391</v>
      </c>
      <c r="D969" s="773"/>
      <c r="E969" s="773"/>
      <c r="F969" s="773"/>
      <c r="G969" s="773"/>
      <c r="H969" s="773"/>
      <c r="I969" s="773"/>
      <c r="J969" s="773"/>
      <c r="K969" s="773"/>
      <c r="L969" s="773"/>
      <c r="M969" s="774"/>
      <c r="N969" s="525"/>
      <c r="O969" s="588"/>
      <c r="P969" s="772" t="s">
        <v>392</v>
      </c>
      <c r="Q969" s="773"/>
      <c r="R969" s="773"/>
      <c r="S969" s="774"/>
      <c r="T969" s="784" t="s">
        <v>393</v>
      </c>
      <c r="U969" s="774"/>
      <c r="V969" s="811"/>
      <c r="W969" s="284"/>
      <c r="X969" s="778" t="s">
        <v>394</v>
      </c>
      <c r="Y969" s="779"/>
      <c r="Z969" s="779"/>
      <c r="AA969" s="779" t="s">
        <v>395</v>
      </c>
      <c r="AB969" s="808" t="s">
        <v>396</v>
      </c>
      <c r="AC969" s="28"/>
    </row>
    <row r="970" spans="1:29" s="30" customFormat="1" ht="22.5" customHeight="1">
      <c r="A970" s="112" t="str">
        <f>"L"&amp;E951</f>
        <v>L32</v>
      </c>
      <c r="B970" s="791"/>
      <c r="C970" s="769" t="s">
        <v>397</v>
      </c>
      <c r="D970" s="770"/>
      <c r="E970" s="771"/>
      <c r="F970" s="512">
        <f>IF(VLOOKUP(E951,PROPONENTES!$C$19:$E$108,3,0)="","",VLOOKUP(E951,PROPONENTES!$C$19:$E$108,3,0))</f>
        <v>1</v>
      </c>
      <c r="G970" s="824" t="s">
        <v>398</v>
      </c>
      <c r="H970" s="793" t="s">
        <v>399</v>
      </c>
      <c r="I970" s="793"/>
      <c r="J970" s="769" t="s">
        <v>400</v>
      </c>
      <c r="K970" s="823"/>
      <c r="L970" s="513" t="s">
        <v>401</v>
      </c>
      <c r="M970" s="513"/>
      <c r="N970" s="526"/>
      <c r="O970" s="527"/>
      <c r="P970" s="775"/>
      <c r="Q970" s="776"/>
      <c r="R970" s="776"/>
      <c r="S970" s="777"/>
      <c r="T970" s="796"/>
      <c r="U970" s="797"/>
      <c r="V970" s="812"/>
      <c r="W970" s="284"/>
      <c r="X970" s="780" t="s">
        <v>402</v>
      </c>
      <c r="Y970" s="810" t="s">
        <v>403</v>
      </c>
      <c r="Z970" s="810"/>
      <c r="AA970" s="810"/>
      <c r="AB970" s="809"/>
      <c r="AC970" s="28"/>
    </row>
    <row r="971" spans="1:29" s="30" customFormat="1" ht="51.75" customHeight="1" thickBot="1">
      <c r="A971" s="112" t="str">
        <f>"M"&amp;E951</f>
        <v>M32</v>
      </c>
      <c r="B971" s="791"/>
      <c r="C971" s="770" t="s">
        <v>404</v>
      </c>
      <c r="D971" s="771"/>
      <c r="E971" s="514" t="s">
        <v>405</v>
      </c>
      <c r="F971" s="515" t="s">
        <v>406</v>
      </c>
      <c r="G971" s="824"/>
      <c r="H971" s="793"/>
      <c r="I971" s="793"/>
      <c r="J971" s="504" t="s">
        <v>407</v>
      </c>
      <c r="K971" s="516" t="s">
        <v>408</v>
      </c>
      <c r="L971" s="517" t="s">
        <v>409</v>
      </c>
      <c r="M971" s="517"/>
      <c r="N971" s="528" t="s">
        <v>410</v>
      </c>
      <c r="O971" s="529"/>
      <c r="P971" s="386"/>
      <c r="Q971" s="387" t="s">
        <v>411</v>
      </c>
      <c r="R971" s="388"/>
      <c r="S971" s="113">
        <f>COUNTIFS(H955:H964,"SI",O955:O964,"&gt;0")</f>
        <v>2</v>
      </c>
      <c r="T971" s="785"/>
      <c r="U971" s="787"/>
      <c r="V971" s="813"/>
      <c r="W971" s="284"/>
      <c r="X971" s="780"/>
      <c r="Y971" s="810"/>
      <c r="Z971" s="810"/>
      <c r="AA971" s="810"/>
      <c r="AB971" s="809"/>
      <c r="AC971" s="28"/>
    </row>
    <row r="972" spans="1:29" s="30" customFormat="1" ht="15.75" customHeight="1">
      <c r="A972" s="112" t="str">
        <f>"N"&amp;E951</f>
        <v>N32</v>
      </c>
      <c r="B972" s="791"/>
      <c r="C972" s="54">
        <v>1</v>
      </c>
      <c r="D972" s="100" t="str">
        <f>IF(AND(C972&lt;=F970,F970&gt;1,F970&lt;&gt;""),VLOOKUP(VALUE(E951&amp;","&amp;C972),INTEGRANTES!$D$19:$F$192,2,0),"")</f>
        <v/>
      </c>
      <c r="E972" s="107" t="str">
        <f>IF(D972&lt;&gt;"",VLOOKUP(VALUE(E951&amp;","&amp;C972),INTEGRANTES!$D$19:$F$192,3,0),"")</f>
        <v/>
      </c>
      <c r="F972" s="380" t="str">
        <f>IF(D972="","",IF(OR(SUMIF($J958:$J964,D972,$O958:$O964)=0,N972="NO"),"NO APORTA",SUMIF($J958:$J964,D972,$O958:$O964)))</f>
        <v/>
      </c>
      <c r="G972" s="380" t="str">
        <f>IF($D972="","",IF($F970&lt;=1,"",ROUND(POSMMLV*PORPO,2)))</f>
        <v/>
      </c>
      <c r="H972" s="765" t="str">
        <f>IF($D972="","",IF(OR(F972="NO APORTA",G972&gt;F972),"NO CUMPLE","CUMPLE"))</f>
        <v/>
      </c>
      <c r="I972" s="766"/>
      <c r="J972" s="108" t="str">
        <f>IF(D972="","",IF(OR(AND(SUMIF($J955:$J964,D972,$O955:$O964)&gt;=5%*POSMMLV,N972="SI"),AND(SUMIF($J955:$J964,D972,$O955:$O964)=0,E972&lt;=5%,N972="SI")),"CUMPLE","NO CUMPLE"))</f>
        <v/>
      </c>
      <c r="K972" s="105" t="str">
        <f>IF(OR(D972="",J972=""),"",IF(AND(J972="NO CUMPLE",F972="NO APORTA",E972&gt;5%),"EXP = 0 y PART &gt; 5%",IF(F972&lt;5%*Q977,"EXP &lt; 5%*PO","")))</f>
        <v/>
      </c>
      <c r="L972" s="389" t="str">
        <f>IF(OR(D972="",E972=""),"",IF(AND(E972&gt;=0.25,F972&lt;&gt;"NO APORTA",F972&gt;=$R977*0.25),"SI","NO"))</f>
        <v/>
      </c>
      <c r="M972" s="389"/>
      <c r="N972" s="468" t="s">
        <v>385</v>
      </c>
      <c r="O972" s="396">
        <f>COUNTIFS(O955:O964,"&gt;0",H955:H964,"SI")</f>
        <v>2</v>
      </c>
      <c r="P972" s="814" t="s">
        <v>139</v>
      </c>
      <c r="Q972" s="814"/>
      <c r="R972" s="817">
        <f>E951</f>
        <v>32</v>
      </c>
      <c r="S972" s="818"/>
      <c r="T972" s="784" t="s">
        <v>412</v>
      </c>
      <c r="U972" s="773"/>
      <c r="V972" s="774"/>
      <c r="W972" s="283"/>
      <c r="X972" s="542" t="str">
        <f>IF($F970=1,"NO APLICA",$D972)</f>
        <v>NO APLICA</v>
      </c>
      <c r="Y972" s="543" t="str">
        <f>IF(OR($F972="",$F972="NO APORTA",$R977=0,$X972="NO APLICA"),"",ROUND($F972/$Q977,2))</f>
        <v/>
      </c>
      <c r="Z972" s="544" t="str">
        <f>IF(Y978=1,"SI APLICA",IF(OR($X972="",$X972="NO APLICA",$F972="",$F972="NO APORTA"),"",IF(ROUND($F972/Q977,7)&gt;=0.4,"SI APLICA","NO APLICA")))</f>
        <v>SI APLICA</v>
      </c>
      <c r="AA972" s="543" t="s">
        <v>413</v>
      </c>
      <c r="AB972" s="540" t="str">
        <f>IF(COUNTIF(Z972:AA972,"SI APLICA")=2,"SI APLICA","")</f>
        <v>SI APLICA</v>
      </c>
      <c r="AC972" s="28"/>
    </row>
    <row r="973" spans="1:29" s="30" customFormat="1" ht="15.75" customHeight="1" thickBot="1">
      <c r="A973" s="112" t="str">
        <f>"O"&amp;E951</f>
        <v>O32</v>
      </c>
      <c r="B973" s="791"/>
      <c r="C973" s="54">
        <v>2</v>
      </c>
      <c r="D973" s="100" t="str">
        <f>IF(AND(C973&lt;=F970,F970&lt;&gt;""),VLOOKUP(VALUE(E951&amp;","&amp;C973),INTEGRANTES!$D$19:$F$192,2,0),"")</f>
        <v/>
      </c>
      <c r="E973" s="107" t="str">
        <f>IF(D973&lt;&gt;"",VLOOKUP(VALUE(E951&amp;","&amp;C973),INTEGRANTES!$D$19:$F$192,3,0),"")</f>
        <v/>
      </c>
      <c r="F973" s="380" t="str">
        <f>IF(D973="","",IF(OR(SUMIF($J958:$J964,D973,$O958:$O964)=0,N973="NO"),"NO APORTA",SUMIF($J958:$J964,D973,$O958:$O964)))</f>
        <v/>
      </c>
      <c r="G973" s="380" t="str">
        <f>IF($D973="","",IF($F970&lt;=1,"",ROUND(POSMMLV*PORPO,2)))</f>
        <v/>
      </c>
      <c r="H973" s="765" t="str">
        <f t="shared" ref="H973:H976" si="194">IF($D973="","",IF(OR(F973="NO APORTA",G973&gt;F973),"NO CUMPLE","CUMPLE"))</f>
        <v/>
      </c>
      <c r="I973" s="766"/>
      <c r="J973" s="108" t="str">
        <f>IF(D973="","",IF(OR(AND(SUMIF($J955:$J964,D973,$O955:$O964)&gt;=5%*POSMMLV,N973="SI"),AND(SUMIF($J955:$J964,D973,$O955:$O964)=0,E973&lt;=5%,N973="SI")),"CUMPLE","NO CUMPLE"))</f>
        <v/>
      </c>
      <c r="K973" s="105" t="str">
        <f>IF(OR(D973="",J973=""),"",IF(AND(J973="NO CUMPLE",F973="NO APORTA",E973&gt;5%),"EXP = 0 y PART &gt; 5%",IF(F973&lt;5%*Q977,"EXP &lt; 5%*PO","")))</f>
        <v/>
      </c>
      <c r="L973" s="389" t="str">
        <f>IF(OR(D973="",E973=""),"",IF(AND(E973&gt;=0.25,F973&lt;&gt;"NO APORTA",F973&gt;=$R977*0.25),"SI","NO"))</f>
        <v/>
      </c>
      <c r="M973" s="389"/>
      <c r="N973" s="468"/>
      <c r="O973" s="396"/>
      <c r="P973" s="815"/>
      <c r="Q973" s="815"/>
      <c r="R973" s="815"/>
      <c r="S973" s="819"/>
      <c r="T973" s="785"/>
      <c r="U973" s="786"/>
      <c r="V973" s="787"/>
      <c r="W973" s="283"/>
      <c r="X973" s="542" t="str">
        <f>IF($F970=1,"NO APLICA",$D973)</f>
        <v>NO APLICA</v>
      </c>
      <c r="Y973" s="543" t="str">
        <f>IF(OR($F973="",$F973="NO APORTA",$R977=0,$X973="NO APLICA"),"",ROUND($F973/$Q977,2))</f>
        <v/>
      </c>
      <c r="Z973" s="544"/>
      <c r="AA973" s="543"/>
      <c r="AB973" s="540" t="str">
        <f t="shared" ref="AB973" si="195">IF(COUNTIF(Z973:AA973,"SI APLICA")=2,"SI APLICA","")</f>
        <v/>
      </c>
      <c r="AC973" s="28"/>
    </row>
    <row r="974" spans="1:29" s="30" customFormat="1" ht="15.75" customHeight="1">
      <c r="A974" s="112" t="str">
        <f>"P"&amp;E951</f>
        <v>P32</v>
      </c>
      <c r="B974" s="791"/>
      <c r="C974" s="54">
        <v>3</v>
      </c>
      <c r="D974" s="100" t="str">
        <f>IF(AND(C974&lt;=F970,F970&lt;&gt;""),VLOOKUP(VALUE(E951&amp;","&amp;C974),INTEGRANTES!$D$19:$F$192,2,0),"")</f>
        <v/>
      </c>
      <c r="E974" s="107" t="str">
        <f>IF(D974&lt;&gt;"",VLOOKUP(VALUE(E951&amp;","&amp;C974),INTEGRANTES!$D$19:$F$192,3,0),"")</f>
        <v/>
      </c>
      <c r="F974" s="380" t="str">
        <f>IF(D974="","",IF(OR(SUMIF($J958:$J964,D974,$O958:$O964)=0,N974="NO"),"NO APORTA",SUMIF($J958:$J964,D974,$O958:$O964)))</f>
        <v/>
      </c>
      <c r="G974" s="380" t="str">
        <f>IF($D974="","",IF($F970&lt;=1,"",ROUND(POSMMLV*PORPO,2)))</f>
        <v/>
      </c>
      <c r="H974" s="765" t="str">
        <f t="shared" si="194"/>
        <v/>
      </c>
      <c r="I974" s="766"/>
      <c r="J974" s="108" t="str">
        <f>IF(D974="","",IF(OR(AND(SUMIF($J955:$J964,D974,$O955:$O964)&gt;=5%*POSMMLV,N974="SI"),AND(SUMIF($J955:$J964,D974,$O955:$O964)=0,E974&lt;=5%,N974="SI")),"CUMPLE","NO CUMPLE"))</f>
        <v/>
      </c>
      <c r="K974" s="105" t="str">
        <f>IF(OR(D974="",J974=""),"",IF(AND(J974="NO CUMPLE",F974="NO APORTA",E974&gt;5%),"EXP = 0 y PART &gt; 5%",IF(F974&lt;5%*Q977,"EXP &lt; 5%*PO","")))</f>
        <v/>
      </c>
      <c r="L974" s="389" t="str">
        <f>IF(OR(D974="",E974=""),"",IF(AND(E974&gt;=0.25,F974&lt;&gt;"NO APORTA",F974&gt;=$R977*0.25),"SI","NO"))</f>
        <v/>
      </c>
      <c r="M974" s="389"/>
      <c r="N974" s="468"/>
      <c r="O974" s="397"/>
      <c r="P974" s="816"/>
      <c r="Q974" s="816"/>
      <c r="R974" s="816"/>
      <c r="S974" s="820"/>
      <c r="T974" s="308"/>
      <c r="U974" s="308"/>
      <c r="V974" s="309"/>
      <c r="W974" s="284"/>
      <c r="X974" s="542" t="str">
        <f>IF($F970=1,"NO APLICA",$D974)</f>
        <v>NO APLICA</v>
      </c>
      <c r="Y974" s="543" t="str">
        <f>IF(OR($F974="",$F974="NO APORTA",$R977=0,$X974="NO APLICA"),"",ROUND($F974/$Q977,2))</f>
        <v/>
      </c>
      <c r="Z974" s="544"/>
      <c r="AA974" s="543"/>
      <c r="AB974" s="540" t="str">
        <f>IF(COUNTIF(Z974:AA974,"SI APLICA")=2,"SI APLICA","")</f>
        <v/>
      </c>
      <c r="AC974" s="28"/>
    </row>
    <row r="975" spans="1:29" s="30" customFormat="1" ht="15.75" customHeight="1">
      <c r="A975" s="112" t="str">
        <f>"Q"&amp;E951</f>
        <v>Q32</v>
      </c>
      <c r="B975" s="791"/>
      <c r="C975" s="54">
        <v>4</v>
      </c>
      <c r="D975" s="100" t="str">
        <f>IF(AND(C975&lt;=F970,F970&lt;&gt;""),VLOOKUP(VALUE(E951&amp;","&amp;C975),INTEGRANTES!$D$19:$F$192,2,0),"")</f>
        <v/>
      </c>
      <c r="E975" s="107" t="str">
        <f>IF(D975&lt;&gt;"",VLOOKUP(VALUE(E951&amp;","&amp;C975),INTEGRANTES!$D$19:$F$192,3,0),"")</f>
        <v/>
      </c>
      <c r="F975" s="380" t="str">
        <f>IF(D975="","",IF(OR(SUMIF($J958:$J964,D975,$O958:$O964)=0,N975="NO"),"NO APORTA",SUMIF($J958:$J964,D975,$O958:$O964)))</f>
        <v/>
      </c>
      <c r="G975" s="380" t="str">
        <f>IF($D975="","",IF($F970&lt;=1,"",ROUND(POSMMLV*PORPO,2)))</f>
        <v/>
      </c>
      <c r="H975" s="765" t="str">
        <f t="shared" si="194"/>
        <v/>
      </c>
      <c r="I975" s="766"/>
      <c r="J975" s="108" t="str">
        <f>IF(D975="","",IF(OR(AND(SUMIF($J955:$J964,D975,$O955:$O964)&gt;=5%*POSMMLV,N975="SI"),AND(SUMIF($J955:$J964,D975,$O955:$O964)=0,E975&lt;=5%,N975="SI")),"CUMPLE","NO CUMPLE"))</f>
        <v/>
      </c>
      <c r="K975" s="105" t="str">
        <f>IF(OR(D975="",J975=""),"",IF(AND(J975="NO CUMPLE",F975="NO APORTA",E975&gt;5%),"EXP = 0 y PART &gt; 5%",IF(F975&lt;5%*Q977,"EXP &lt; 5%*PO","")))</f>
        <v/>
      </c>
      <c r="L975" s="389" t="str">
        <f>IF(OR(D975="",E975=""),"",IF(AND(E975&gt;=0.25,F975&lt;&gt;"NO APORTA",F975&gt;=$R977*0.25),"SI","NO"))</f>
        <v/>
      </c>
      <c r="M975" s="389"/>
      <c r="N975" s="468"/>
      <c r="O975" s="788" t="s">
        <v>414</v>
      </c>
      <c r="P975" s="769" t="s">
        <v>415</v>
      </c>
      <c r="Q975" s="770"/>
      <c r="R975" s="770"/>
      <c r="S975" s="771"/>
      <c r="T975" s="284"/>
      <c r="U975" s="284"/>
      <c r="V975" s="310"/>
      <c r="W975" s="284"/>
      <c r="X975" s="542" t="str">
        <f>IF($F970=1,"NO APLICA",$D975)</f>
        <v>NO APLICA</v>
      </c>
      <c r="Y975" s="543" t="str">
        <f>IF(OR($F975="",$F975="NO APORTA",$R977=0,$X975="NO APLICA"),"",ROUND($F975/$Q977,2))</f>
        <v/>
      </c>
      <c r="Z975" s="544"/>
      <c r="AA975" s="543"/>
      <c r="AB975" s="540" t="str">
        <f t="shared" ref="AB975:AB976" si="196">IF(COUNTIF(Z975:AA975,"SI APLICA")=2,"SI APLICA","")</f>
        <v/>
      </c>
      <c r="AC975" s="28"/>
    </row>
    <row r="976" spans="1:29" s="30" customFormat="1" ht="17.25" customHeight="1">
      <c r="A976" s="112" t="str">
        <f>"R"&amp;E951</f>
        <v>R32</v>
      </c>
      <c r="B976" s="791"/>
      <c r="C976" s="54">
        <v>5</v>
      </c>
      <c r="D976" s="100" t="str">
        <f>IF(AND(C976&lt;=F970,F970&lt;&gt;""),VLOOKUP(VALUE(E951&amp;","&amp;C976),INTEGRANTES!$D$19:$F$192,2,0),"")</f>
        <v/>
      </c>
      <c r="E976" s="107" t="str">
        <f>IF(D976&lt;&gt;"",VLOOKUP(VALUE(E951&amp;","&amp;C976),INTEGRANTES!$D$19:$F$192,3,0),"")</f>
        <v/>
      </c>
      <c r="F976" s="380" t="str">
        <f>IF(D976="","",IF(OR(SUMIF($J958:$J964,D976,$O958:$O964)=0,N976="NO"),"NO APORTA",SUMIF($J958:$J964,D976,$O958:$O964)))</f>
        <v/>
      </c>
      <c r="G976" s="380" t="str">
        <f>IF($D976="","",IF($F970&lt;=1,"",ROUND(POSMMLV*PORPO,2)))</f>
        <v/>
      </c>
      <c r="H976" s="765" t="str">
        <f t="shared" si="194"/>
        <v/>
      </c>
      <c r="I976" s="766"/>
      <c r="J976" s="108" t="str">
        <f>IF(D976="","",IF(OR(AND(SUMIF($J955:$J964,D976,$O955:$O964)&gt;=5%*POSMMLV,N976="SI"),AND(SUMIF($J955:$J964,D976,$O955:$O964)=0,E976&lt;=5%,N976="SI")),"CUMPLE","NO CUMPLE"))</f>
        <v/>
      </c>
      <c r="K976" s="105" t="str">
        <f>IF(OR(D976="",J976=""),"",IF(AND(J976="NO CUMPLE",F976="NO APORTA",E976&gt;5%),"EXP = 0 y PART &gt; 5%",IF(F976&lt;5%*Q977,"EXP &lt; 5%*PO","")))</f>
        <v/>
      </c>
      <c r="L976" s="389" t="str">
        <f>IF(OR(D976="",E976=""),"",IF(AND(E976&gt;=0.25,F976&lt;&gt;"NO APORTA",F976&gt;=$R977*0.25),"SI","NO"))</f>
        <v/>
      </c>
      <c r="M976" s="389"/>
      <c r="N976" s="468"/>
      <c r="O976" s="789"/>
      <c r="P976" s="504" t="s">
        <v>416</v>
      </c>
      <c r="Q976" s="504" t="s">
        <v>417</v>
      </c>
      <c r="R976" s="793" t="s">
        <v>418</v>
      </c>
      <c r="S976" s="793"/>
      <c r="T976" s="284"/>
      <c r="U976" s="284"/>
      <c r="V976" s="310"/>
      <c r="W976" s="284"/>
      <c r="X976" s="542" t="str">
        <f>IF($F970=1,"NO APLICA",$D976)</f>
        <v>NO APLICA</v>
      </c>
      <c r="Y976" s="543" t="str">
        <f>IF(OR($F976="",$F976="NO APORTA",$R977=0,$X976="NO APLICA"),"",ROUND($F976/$Q977,2))</f>
        <v/>
      </c>
      <c r="Z976" s="544"/>
      <c r="AA976" s="543"/>
      <c r="AB976" s="540" t="str">
        <f t="shared" si="196"/>
        <v/>
      </c>
      <c r="AC976" s="28"/>
    </row>
    <row r="977" spans="1:29" s="30" customFormat="1" ht="16.5" customHeight="1" thickBot="1">
      <c r="A977" s="112" t="str">
        <f>"S"&amp;E951</f>
        <v>S32</v>
      </c>
      <c r="B977" s="791"/>
      <c r="C977" s="109">
        <v>6</v>
      </c>
      <c r="D977" s="110" t="str">
        <f>IF(AND(C977&lt;=F970,F970&lt;&gt;""),VLOOKUP(VALUE(E951&amp;","&amp;C977),INTEGRANTES!$D$19:$F$192,2,0),"")</f>
        <v/>
      </c>
      <c r="E977" s="111" t="str">
        <f>IF(D977&lt;&gt;"",VLOOKUP(VALUE(E951&amp;","&amp;C977),INTEGRANTES!$D$19:$F$192,3,0),"")</f>
        <v/>
      </c>
      <c r="F977" s="380" t="str">
        <f>IF(D977="","",IF(OR(SUMIF($J958:$J964,D977,$O958:$O964)=0,N977="NO"),"NO APORTA",SUMIF($J958:$J964,D977,$O958:$O964)))</f>
        <v/>
      </c>
      <c r="G977" s="380" t="str">
        <f>IF($D977="","",IF($F970&lt;=1,"",ROUND(POSMMLV*PORPO,2)))</f>
        <v/>
      </c>
      <c r="H977" s="765" t="str">
        <f>IF($D977="","",IF(OR(F977="NO APORTA",G977&gt;F977),"NO CUMPLE","CUMPLE"))</f>
        <v/>
      </c>
      <c r="I977" s="766"/>
      <c r="J977" s="108" t="str">
        <f>IF(D977="","",IF(OR(AND(SUMIF($J955:$J964,D977,$O955:$O964)&gt;=5%*POSMMLV,N977="SI"),AND(SUMIF($J955:$J964,D977,$O955:$O964)=0,E977&lt;=5%,N977="SI")),"CUMPLE","NO CUMPLE"))</f>
        <v/>
      </c>
      <c r="K977" s="105" t="str">
        <f>IF(OR(D977="",J977=""),"",IF(AND(J977="NO CUMPLE",F977="NO APORTA",E977&gt;5%),"EXP = 0 y PART &gt; 5%",IF(F977&lt;5%*Q977,"EXP &lt; 5%*PO","")))</f>
        <v/>
      </c>
      <c r="L977" s="389" t="str">
        <f>IF(OR(D977="",E977=""),"",IF(AND(E977&gt;=0.25,F977&lt;&gt;"NO APORTA",F977&gt;=$R977*0.25),"SI","NO"))</f>
        <v/>
      </c>
      <c r="M977" s="389"/>
      <c r="N977" s="468"/>
      <c r="O977" s="403" t="str">
        <f ca="1">IF(R977&gt;=Q977,"CUMPLE","NO CUMPLE")</f>
        <v>CUMPLE</v>
      </c>
      <c r="P977" s="312">
        <f>NUMMOD</f>
        <v>1</v>
      </c>
      <c r="Q977" s="313">
        <f ca="1">IF(P977="","",ROUND(VLOOKUP(P977,PRESUPUESTOS!$B$16:$L$16,9,FALSE),7))</f>
        <v>300</v>
      </c>
      <c r="R977" s="834">
        <f>IF(OR(COUNTIF(O955:O964,"")&gt;9,S971&lt;NUMMINCONT),0,SUM(O955:O964))</f>
        <v>1881.25</v>
      </c>
      <c r="S977" s="834"/>
      <c r="T977" s="284"/>
      <c r="U977" s="284"/>
      <c r="V977" s="310"/>
      <c r="W977" s="284"/>
      <c r="X977" s="545" t="str">
        <f>IF($F970=1,"NO APLICA",$D977)</f>
        <v>NO APLICA</v>
      </c>
      <c r="Y977" s="543" t="str">
        <f>IF(OR($F977="",$F977="NO APORTA",$R977=0,$X977="NO APLICA"),"",ROUND($F977/$Q977,2))</f>
        <v/>
      </c>
      <c r="Z977" s="544"/>
      <c r="AA977" s="546"/>
      <c r="AB977" s="540" t="str">
        <f>IF(COUNTIF(Z977:AA977,"SI APLICA")=2,"SI APLICA","")</f>
        <v/>
      </c>
      <c r="AC977" s="28"/>
    </row>
    <row r="978" spans="1:29" s="30" customFormat="1" ht="16.5" customHeight="1" thickBot="1">
      <c r="A978" s="112" t="str">
        <f>"T"&amp;E951</f>
        <v>T32</v>
      </c>
      <c r="B978" s="792"/>
      <c r="C978" s="821" t="s">
        <v>419</v>
      </c>
      <c r="D978" s="822"/>
      <c r="E978" s="822"/>
      <c r="F978" s="518"/>
      <c r="G978" s="519"/>
      <c r="H978" s="794" t="str">
        <f>IF(OR($F970="",SUM(E972:E977)=0),"",IF(COUNTIF(H972:H977,"CUMPLE")&gt;=1,"CUMPLE","NO CUMPLE"))</f>
        <v/>
      </c>
      <c r="I978" s="795"/>
      <c r="J978" s="314" t="str">
        <f>IF(COUNTIF(J972:J977,"")&gt;5,"",IF(COUNTIF(J972:J977,"NO CUMPLE")&gt;0,"NO CUMPLE","CUMPLE"))</f>
        <v/>
      </c>
      <c r="K978" s="314" t="str">
        <f>IF(OR(AND(F970=1,N972="SI"),AND(COUNTIF(H978:J978,"CUMPLE")=2)),"CUMPLE","NO CUMPLE")</f>
        <v>CUMPLE</v>
      </c>
      <c r="L978" s="519"/>
      <c r="M978" s="519"/>
      <c r="N978" s="519"/>
      <c r="O978" s="833" t="str">
        <f ca="1">IF(ISNUMBER(F951),"",IF(AND(O977="NO CUMPLE",SUM(N958:N964)&lt;Q977),"EL PROPONENTE SE DEBE REQUERIR POR EXPERIENCIA MINIMA EXIGIDA",""))</f>
        <v/>
      </c>
      <c r="P978" s="833"/>
      <c r="Q978" s="833"/>
      <c r="R978" s="833"/>
      <c r="S978" s="833"/>
      <c r="T978" s="522"/>
      <c r="U978" s="523"/>
      <c r="V978" s="524"/>
      <c r="W978" s="284"/>
      <c r="X978" s="364" t="str">
        <f>IF(Y978=1,"PROPONENTE INDIVIDUAL","PROPONENTE PLURAL")</f>
        <v>PROPONENTE INDIVIDUAL</v>
      </c>
      <c r="Y978" s="276">
        <f>F970</f>
        <v>1</v>
      </c>
      <c r="Z978" s="277" t="str">
        <f>IF(OR(AND(Z972="SI APLICA",AA972="SI APLICA"),AND(Z973="SI APLICA",AA973="SI APLICA"),AND(Z974="SI APLICA",AA974="SI APLICA"),AND(Z975="SI APLICA",AA975="SI APLICA"),AND(Z976="SI APLICA",AA976="SI APLICA"),AND(Z977="SI APLICA",AA977="SI APLICA")),"SI APLICA","NO APLICA")</f>
        <v>SI APLICA</v>
      </c>
      <c r="AA978" s="278" t="str">
        <f>IF(OR(AND(AA972="SI APLICA",AB972="SI APLICA"),AND(AA973="SI APLICA",AB973="SI APLICA"),AND(AA974="SI APLICA",AB974="SI APLICA"),AND(AA975="SI APLICA",AB975="SI APLICA"),AND(AA976="SI APLICA",AB976="SI APLICA"),AND(AA977="SI APLICA",AB977="SI APLICA")),"SI APLICA","NO APLICA")</f>
        <v>SI APLICA</v>
      </c>
      <c r="AB978" s="278" t="str">
        <f>IF(COUNTIF(AB972:AB977,"SI APLICA")&gt;0,"SI APLICA","NO APLICA")</f>
        <v>SI APLICA</v>
      </c>
      <c r="AC978" s="28"/>
    </row>
    <row r="979" spans="1:29" ht="24.95" customHeight="1"/>
    <row r="980" spans="1:29" ht="24.95" customHeight="1"/>
    <row r="981" spans="1:29" s="41" customFormat="1" ht="24" thickBot="1">
      <c r="A981" s="34">
        <v>33</v>
      </c>
      <c r="B981" s="828" t="s">
        <v>355</v>
      </c>
      <c r="C981" s="828"/>
      <c r="D981" s="828"/>
      <c r="E981" s="35">
        <f>VLOOKUP(A981,PROPONENTES!$B$19:$E$108,2,FALSE)</f>
        <v>33</v>
      </c>
      <c r="F981" s="36" t="str">
        <f>VLOOKUP(A981,PROPONENTES!$B$19:$E$108,3,FALSE)</f>
        <v>CONSORCIO TOLIMA RURAL</v>
      </c>
      <c r="G981" s="37"/>
      <c r="H981" s="37"/>
      <c r="I981" s="36"/>
      <c r="J981" s="36"/>
      <c r="K981" s="36"/>
      <c r="L981" s="36"/>
      <c r="M981" s="38"/>
      <c r="N981" s="38"/>
      <c r="O981" s="37"/>
      <c r="P981" s="37"/>
      <c r="Q981" s="39"/>
      <c r="R981" s="39"/>
      <c r="S981" s="39"/>
      <c r="T981" s="39"/>
      <c r="U981" s="40"/>
      <c r="Y981" s="52"/>
      <c r="Z981" s="52"/>
      <c r="AA981" s="52"/>
      <c r="AB981" s="28"/>
      <c r="AC981" s="28"/>
    </row>
    <row r="982" spans="1:29" s="27" customFormat="1" ht="24.75" customHeight="1">
      <c r="A982" s="22"/>
      <c r="B982" s="829" t="s">
        <v>356</v>
      </c>
      <c r="C982" s="501" t="s">
        <v>357</v>
      </c>
      <c r="D982" s="502" t="s">
        <v>358</v>
      </c>
      <c r="E982" s="502"/>
      <c r="F982" s="502" t="s">
        <v>359</v>
      </c>
      <c r="G982" s="503"/>
      <c r="H982" s="803" t="s">
        <v>360</v>
      </c>
      <c r="I982" s="831" t="s">
        <v>361</v>
      </c>
      <c r="J982" s="803" t="s">
        <v>362</v>
      </c>
      <c r="K982" s="803" t="s">
        <v>363</v>
      </c>
      <c r="L982" s="803" t="s">
        <v>364</v>
      </c>
      <c r="M982" s="803" t="s">
        <v>365</v>
      </c>
      <c r="N982" s="804" t="s">
        <v>366</v>
      </c>
      <c r="O982" s="805"/>
      <c r="P982" s="806" t="s">
        <v>367</v>
      </c>
      <c r="Q982" s="807"/>
      <c r="R982" s="784" t="s">
        <v>368</v>
      </c>
      <c r="S982" s="774"/>
      <c r="T982" s="798" t="s">
        <v>369</v>
      </c>
      <c r="U982" s="799"/>
      <c r="V982" s="800"/>
      <c r="X982" s="520"/>
      <c r="Y982" s="520"/>
    </row>
    <row r="983" spans="1:29" s="27" customFormat="1" ht="94.5" customHeight="1">
      <c r="A983" s="22"/>
      <c r="B983" s="830"/>
      <c r="C983" s="504" t="s">
        <v>370</v>
      </c>
      <c r="D983" s="505" t="s">
        <v>41</v>
      </c>
      <c r="E983" s="505" t="s">
        <v>371</v>
      </c>
      <c r="F983" s="505" t="s">
        <v>372</v>
      </c>
      <c r="G983" s="506" t="s">
        <v>373</v>
      </c>
      <c r="H983" s="793"/>
      <c r="I983" s="832"/>
      <c r="J983" s="793"/>
      <c r="K983" s="793"/>
      <c r="L983" s="793"/>
      <c r="M983" s="793"/>
      <c r="N983" s="504" t="s">
        <v>374</v>
      </c>
      <c r="O983" s="505" t="s">
        <v>375</v>
      </c>
      <c r="P983" s="801"/>
      <c r="Q983" s="802"/>
      <c r="R983" s="796"/>
      <c r="S983" s="797"/>
      <c r="T983" s="507" t="s">
        <v>376</v>
      </c>
      <c r="U983" s="508" t="s">
        <v>377</v>
      </c>
      <c r="V983" s="509" t="s">
        <v>378</v>
      </c>
      <c r="X983" s="521" t="s">
        <v>379</v>
      </c>
      <c r="Y983" s="521" t="s">
        <v>380</v>
      </c>
    </row>
    <row r="984" spans="1:29" s="27" customFormat="1" ht="15" customHeight="1">
      <c r="A984" s="22"/>
      <c r="B984" s="594"/>
      <c r="C984" s="595">
        <v>3</v>
      </c>
      <c r="D984" s="595">
        <v>4</v>
      </c>
      <c r="E984" s="595">
        <v>5</v>
      </c>
      <c r="F984" s="595">
        <v>6</v>
      </c>
      <c r="G984" s="595">
        <v>7</v>
      </c>
      <c r="H984" s="595">
        <v>8</v>
      </c>
      <c r="I984" s="595">
        <v>9</v>
      </c>
      <c r="J984" s="595">
        <v>10</v>
      </c>
      <c r="K984" s="595">
        <v>11</v>
      </c>
      <c r="L984" s="595">
        <v>12</v>
      </c>
      <c r="M984" s="595">
        <v>13</v>
      </c>
      <c r="N984" s="595">
        <v>14</v>
      </c>
      <c r="O984" s="595">
        <v>15</v>
      </c>
      <c r="P984" s="596">
        <v>16</v>
      </c>
      <c r="Q984" s="597">
        <v>17</v>
      </c>
      <c r="R984" s="596">
        <v>18</v>
      </c>
      <c r="S984" s="597">
        <v>19</v>
      </c>
      <c r="T984" s="598">
        <v>20</v>
      </c>
      <c r="U984" s="255">
        <v>21</v>
      </c>
      <c r="V984" s="599">
        <v>22</v>
      </c>
      <c r="X984" s="589"/>
      <c r="Y984" s="590"/>
    </row>
    <row r="985" spans="1:29" s="44" customFormat="1" ht="76.5">
      <c r="A985" s="42" t="str">
        <f>"A"&amp;E981</f>
        <v>A33</v>
      </c>
      <c r="B985" s="605">
        <f>IF(C985&lt;&gt;"",B984+1,"")</f>
        <v>1</v>
      </c>
      <c r="C985" s="581" t="s">
        <v>646</v>
      </c>
      <c r="D985" s="581" t="s">
        <v>647</v>
      </c>
      <c r="E985" s="581" t="s">
        <v>648</v>
      </c>
      <c r="F985" s="581" t="s">
        <v>580</v>
      </c>
      <c r="G985" s="534">
        <v>1</v>
      </c>
      <c r="H985" s="534" t="s">
        <v>385</v>
      </c>
      <c r="I985" s="579">
        <v>2</v>
      </c>
      <c r="J985" s="580" t="str">
        <f>IF(I985="","",IF(I985="I",$F981,VLOOKUP(I985,$C1002:$D1007,2,0)))</f>
        <v>ALVARO HUMBERTO SANCHEZ CAÑON</v>
      </c>
      <c r="K985" s="535">
        <v>41638</v>
      </c>
      <c r="L985" s="535">
        <v>41983</v>
      </c>
      <c r="M985" s="536">
        <v>264.32</v>
      </c>
      <c r="N985" s="232">
        <f t="shared" ref="N985:N994" si="197">IF(OR(G985="",M985=""),"",M985*G985)</f>
        <v>264.32</v>
      </c>
      <c r="O985" s="629">
        <f t="shared" ref="O985:O994" si="198">IF(OR(H985="",H985="NO",K985&lt;$Q$17,K985&gt;$R$17,K985="",M985="",N985=""),"",ROUND(N985,7))</f>
        <v>264.32</v>
      </c>
      <c r="P985" s="781"/>
      <c r="Q985" s="782"/>
      <c r="R985" s="767"/>
      <c r="S985" s="768"/>
      <c r="T985" s="538" t="s">
        <v>385</v>
      </c>
      <c r="U985" s="641">
        <v>16</v>
      </c>
      <c r="V985" s="540" t="s">
        <v>385</v>
      </c>
      <c r="X985" s="541" t="s">
        <v>386</v>
      </c>
      <c r="Y985" s="541" t="s">
        <v>439</v>
      </c>
    </row>
    <row r="986" spans="1:29" s="44" customFormat="1" ht="51">
      <c r="A986" s="42" t="str">
        <f>"B"&amp;E981</f>
        <v>B33</v>
      </c>
      <c r="B986" s="605">
        <f t="shared" ref="B986:B994" si="199">IF(C986&lt;&gt;"",B985+1,"")</f>
        <v>2</v>
      </c>
      <c r="C986" s="581" t="s">
        <v>649</v>
      </c>
      <c r="D986" s="581" t="s">
        <v>650</v>
      </c>
      <c r="E986" s="581" t="s">
        <v>651</v>
      </c>
      <c r="F986" s="581" t="s">
        <v>580</v>
      </c>
      <c r="G986" s="534">
        <v>1</v>
      </c>
      <c r="H986" s="534" t="s">
        <v>385</v>
      </c>
      <c r="I986" s="579">
        <v>1</v>
      </c>
      <c r="J986" s="580" t="str">
        <f>IF(I986="","",IF(I986="I",$F981,VLOOKUP(I986,$C1002:$D1007,2,0)))</f>
        <v xml:space="preserve">SILVIA LORENA ORDOÑEZ OBANDO </v>
      </c>
      <c r="K986" s="535">
        <v>39787</v>
      </c>
      <c r="L986" s="535">
        <v>39921</v>
      </c>
      <c r="M986" s="536">
        <v>122.79</v>
      </c>
      <c r="N986" s="232">
        <f t="shared" si="197"/>
        <v>122.79</v>
      </c>
      <c r="O986" s="629">
        <f t="shared" si="198"/>
        <v>122.79</v>
      </c>
      <c r="P986" s="781"/>
      <c r="Q986" s="782"/>
      <c r="R986" s="767"/>
      <c r="S986" s="768"/>
      <c r="T986" s="538" t="s">
        <v>385</v>
      </c>
      <c r="U986" s="641">
        <v>23</v>
      </c>
      <c r="V986" s="540" t="s">
        <v>385</v>
      </c>
      <c r="X986" s="541" t="s">
        <v>423</v>
      </c>
      <c r="Y986" s="541" t="s">
        <v>435</v>
      </c>
    </row>
    <row r="987" spans="1:29" s="44" customFormat="1" ht="89.25">
      <c r="A987" s="42" t="str">
        <f>"C"&amp;E981</f>
        <v>C33</v>
      </c>
      <c r="B987" s="605">
        <f t="shared" si="199"/>
        <v>3</v>
      </c>
      <c r="C987" s="581" t="s">
        <v>652</v>
      </c>
      <c r="D987" s="638" t="s">
        <v>653</v>
      </c>
      <c r="E987" s="581" t="s">
        <v>654</v>
      </c>
      <c r="F987" s="581" t="s">
        <v>431</v>
      </c>
      <c r="G987" s="534">
        <v>0.98</v>
      </c>
      <c r="H987" s="534" t="s">
        <v>385</v>
      </c>
      <c r="I987" s="579">
        <v>1</v>
      </c>
      <c r="J987" s="580" t="str">
        <f>IF(I987="","",IF(I987="I",$F981,VLOOKUP(I987,$C1002:$D1007,2,0)))</f>
        <v xml:space="preserve">SILVIA LORENA ORDOÑEZ OBANDO </v>
      </c>
      <c r="K987" s="644">
        <v>42485</v>
      </c>
      <c r="L987" s="644">
        <v>42820</v>
      </c>
      <c r="M987" s="536">
        <v>176.21</v>
      </c>
      <c r="N987" s="232">
        <f t="shared" si="197"/>
        <v>172.6858</v>
      </c>
      <c r="O987" s="629">
        <f t="shared" si="198"/>
        <v>172.6858</v>
      </c>
      <c r="P987" s="781"/>
      <c r="Q987" s="782"/>
      <c r="R987" s="767"/>
      <c r="S987" s="768"/>
      <c r="T987" s="538" t="s">
        <v>385</v>
      </c>
      <c r="U987" s="641">
        <v>26</v>
      </c>
      <c r="V987" s="540" t="s">
        <v>385</v>
      </c>
      <c r="X987" s="541" t="s">
        <v>423</v>
      </c>
      <c r="Y987" s="541" t="s">
        <v>435</v>
      </c>
    </row>
    <row r="988" spans="1:29" s="44" customFormat="1" ht="24.95" customHeight="1">
      <c r="A988" s="42" t="str">
        <f>"D"&amp;E981</f>
        <v>D33</v>
      </c>
      <c r="B988" s="605" t="str">
        <f t="shared" si="199"/>
        <v/>
      </c>
      <c r="C988" s="581"/>
      <c r="D988" s="581"/>
      <c r="E988" s="581"/>
      <c r="F988" s="581"/>
      <c r="G988" s="534"/>
      <c r="H988" s="534"/>
      <c r="I988" s="579"/>
      <c r="J988" s="580" t="str">
        <f>IF(I988="","",IF(I988="I",$F981,VLOOKUP(I988,$C1002:$D1007,2,0)))</f>
        <v/>
      </c>
      <c r="K988" s="535"/>
      <c r="L988" s="535"/>
      <c r="M988" s="536"/>
      <c r="N988" s="232" t="str">
        <f t="shared" si="197"/>
        <v/>
      </c>
      <c r="O988" s="260" t="str">
        <f t="shared" si="198"/>
        <v/>
      </c>
      <c r="P988" s="781"/>
      <c r="Q988" s="782"/>
      <c r="R988" s="767"/>
      <c r="S988" s="768"/>
      <c r="T988" s="538"/>
      <c r="U988" s="539"/>
      <c r="V988" s="540"/>
      <c r="X988" s="541"/>
      <c r="Y988" s="541"/>
    </row>
    <row r="989" spans="1:29" s="44" customFormat="1" ht="24.95" customHeight="1">
      <c r="A989" s="42" t="str">
        <f>"E"&amp;E981</f>
        <v>E33</v>
      </c>
      <c r="B989" s="605" t="str">
        <f t="shared" si="199"/>
        <v/>
      </c>
      <c r="C989" s="581"/>
      <c r="D989" s="581"/>
      <c r="E989" s="581"/>
      <c r="F989" s="581"/>
      <c r="G989" s="534"/>
      <c r="H989" s="534"/>
      <c r="I989" s="579"/>
      <c r="J989" s="580" t="str">
        <f>IF(I989="","",IF(I989="I",$F981,VLOOKUP(I989,$C1002:$D1007,2,0)))</f>
        <v/>
      </c>
      <c r="K989" s="535"/>
      <c r="L989" s="535"/>
      <c r="M989" s="536"/>
      <c r="N989" s="232" t="str">
        <f t="shared" si="197"/>
        <v/>
      </c>
      <c r="O989" s="260" t="str">
        <f t="shared" si="198"/>
        <v/>
      </c>
      <c r="P989" s="781"/>
      <c r="Q989" s="782"/>
      <c r="R989" s="767"/>
      <c r="S989" s="768"/>
      <c r="T989" s="538"/>
      <c r="U989" s="539"/>
      <c r="V989" s="540"/>
      <c r="X989" s="541"/>
      <c r="Y989" s="541"/>
    </row>
    <row r="990" spans="1:29" s="44" customFormat="1" ht="24.95" customHeight="1">
      <c r="A990" s="42" t="str">
        <f>"F"&amp;E981</f>
        <v>F33</v>
      </c>
      <c r="B990" s="605" t="str">
        <f t="shared" si="199"/>
        <v/>
      </c>
      <c r="C990" s="581"/>
      <c r="D990" s="581"/>
      <c r="E990" s="581"/>
      <c r="F990" s="581"/>
      <c r="G990" s="534"/>
      <c r="H990" s="534"/>
      <c r="I990" s="579"/>
      <c r="J990" s="580" t="str">
        <f>IF(I990="","",IF(I990="I",$F981,VLOOKUP(I990,$C1002:$D1007,2,0)))</f>
        <v/>
      </c>
      <c r="K990" s="535"/>
      <c r="L990" s="535"/>
      <c r="M990" s="536"/>
      <c r="N990" s="232" t="str">
        <f t="shared" si="197"/>
        <v/>
      </c>
      <c r="O990" s="260" t="str">
        <f t="shared" si="198"/>
        <v/>
      </c>
      <c r="P990" s="781"/>
      <c r="Q990" s="782"/>
      <c r="R990" s="767"/>
      <c r="S990" s="768"/>
      <c r="T990" s="538"/>
      <c r="U990" s="539"/>
      <c r="V990" s="540"/>
      <c r="X990" s="541"/>
      <c r="Y990" s="541"/>
    </row>
    <row r="991" spans="1:29" s="44" customFormat="1" ht="24.95" customHeight="1">
      <c r="A991" s="42" t="str">
        <f>"G"&amp;E981</f>
        <v>G33</v>
      </c>
      <c r="B991" s="605" t="str">
        <f t="shared" si="199"/>
        <v/>
      </c>
      <c r="C991" s="581"/>
      <c r="D991" s="581"/>
      <c r="E991" s="581"/>
      <c r="F991" s="581"/>
      <c r="G991" s="534"/>
      <c r="H991" s="534"/>
      <c r="I991" s="579"/>
      <c r="J991" s="580" t="str">
        <f>IF(I991="","",IF(I991="I",$F981,VLOOKUP(I991,$C1002:$D1007,2,0)))</f>
        <v/>
      </c>
      <c r="K991" s="535"/>
      <c r="L991" s="535"/>
      <c r="M991" s="536"/>
      <c r="N991" s="43" t="str">
        <f t="shared" si="197"/>
        <v/>
      </c>
      <c r="O991" s="260" t="str">
        <f t="shared" si="198"/>
        <v/>
      </c>
      <c r="P991" s="781"/>
      <c r="Q991" s="782"/>
      <c r="R991" s="767"/>
      <c r="S991" s="768"/>
      <c r="T991" s="538"/>
      <c r="U991" s="539"/>
      <c r="V991" s="540"/>
      <c r="X991" s="541"/>
      <c r="Y991" s="541"/>
    </row>
    <row r="992" spans="1:29" s="44" customFormat="1" ht="24.95" customHeight="1">
      <c r="A992" s="42" t="str">
        <f>"H"&amp;E981</f>
        <v>H33</v>
      </c>
      <c r="B992" s="605" t="str">
        <f t="shared" si="199"/>
        <v/>
      </c>
      <c r="C992" s="581"/>
      <c r="D992" s="581"/>
      <c r="E992" s="581"/>
      <c r="F992" s="581"/>
      <c r="G992" s="534"/>
      <c r="H992" s="534"/>
      <c r="I992" s="579"/>
      <c r="J992" s="580" t="str">
        <f>IF(I992="","",IF(I992="I",$F981,VLOOKUP(I992,$C1002:$D1007,2,0)))</f>
        <v/>
      </c>
      <c r="K992" s="535"/>
      <c r="L992" s="535"/>
      <c r="M992" s="537"/>
      <c r="N992" s="43" t="str">
        <f t="shared" si="197"/>
        <v/>
      </c>
      <c r="O992" s="260" t="str">
        <f t="shared" si="198"/>
        <v/>
      </c>
      <c r="P992" s="781"/>
      <c r="Q992" s="782"/>
      <c r="R992" s="767"/>
      <c r="S992" s="768"/>
      <c r="T992" s="538"/>
      <c r="U992" s="539"/>
      <c r="V992" s="540"/>
      <c r="X992" s="541"/>
      <c r="Y992" s="541"/>
    </row>
    <row r="993" spans="1:29" s="44" customFormat="1" ht="24.95" customHeight="1">
      <c r="A993" s="42" t="str">
        <f>"I"&amp;E981</f>
        <v>I33</v>
      </c>
      <c r="B993" s="605" t="str">
        <f t="shared" si="199"/>
        <v/>
      </c>
      <c r="C993" s="581"/>
      <c r="D993" s="581"/>
      <c r="E993" s="581"/>
      <c r="F993" s="581"/>
      <c r="G993" s="534"/>
      <c r="H993" s="534"/>
      <c r="I993" s="579"/>
      <c r="J993" s="580" t="str">
        <f>IF(I993="","",IF(I993="I",$F981,VLOOKUP(I993,$C1002:$D1007,2,0)))</f>
        <v/>
      </c>
      <c r="K993" s="535"/>
      <c r="L993" s="535"/>
      <c r="M993" s="537"/>
      <c r="N993" s="43" t="str">
        <f t="shared" si="197"/>
        <v/>
      </c>
      <c r="O993" s="260" t="str">
        <f t="shared" si="198"/>
        <v/>
      </c>
      <c r="P993" s="781"/>
      <c r="Q993" s="782"/>
      <c r="R993" s="767"/>
      <c r="S993" s="768"/>
      <c r="T993" s="538"/>
      <c r="U993" s="539"/>
      <c r="V993" s="540"/>
      <c r="X993" s="541"/>
      <c r="Y993" s="541"/>
    </row>
    <row r="994" spans="1:29" s="44" customFormat="1" ht="24.95" customHeight="1" thickBot="1">
      <c r="A994" s="42" t="str">
        <f>"J"&amp;E981</f>
        <v>J33</v>
      </c>
      <c r="B994" s="612" t="str">
        <f t="shared" si="199"/>
        <v/>
      </c>
      <c r="C994" s="582"/>
      <c r="D994" s="582"/>
      <c r="E994" s="582"/>
      <c r="F994" s="582"/>
      <c r="G994" s="583"/>
      <c r="H994" s="583"/>
      <c r="I994" s="584"/>
      <c r="J994" s="585" t="str">
        <f>IF(I994="","",IF(I994="I",$F981,VLOOKUP(I994,$C1002:$D1007,2,0)))</f>
        <v/>
      </c>
      <c r="K994" s="586"/>
      <c r="L994" s="586"/>
      <c r="M994" s="587"/>
      <c r="N994" s="43" t="str">
        <f t="shared" si="197"/>
        <v/>
      </c>
      <c r="O994" s="260" t="str">
        <f t="shared" si="198"/>
        <v/>
      </c>
      <c r="P994" s="781"/>
      <c r="Q994" s="782"/>
      <c r="R994" s="767"/>
      <c r="S994" s="768"/>
      <c r="T994" s="538"/>
      <c r="U994" s="539"/>
      <c r="V994" s="540"/>
      <c r="X994" s="541"/>
      <c r="Y994" s="541"/>
    </row>
    <row r="995" spans="1:29" s="27" customFormat="1" ht="12" customHeight="1" thickBot="1">
      <c r="A995" s="42"/>
      <c r="B995" s="45"/>
      <c r="C995" s="46"/>
      <c r="D995" s="46"/>
      <c r="E995" s="46"/>
      <c r="F995" s="46"/>
      <c r="G995" s="46"/>
      <c r="H995" s="606"/>
      <c r="I995" s="46"/>
      <c r="J995" s="46"/>
      <c r="K995" s="46"/>
      <c r="L995" s="46"/>
      <c r="M995" s="46"/>
      <c r="N995" s="46"/>
      <c r="O995" s="259"/>
      <c r="P995" s="46"/>
      <c r="Q995" s="46"/>
      <c r="R995" s="259"/>
      <c r="S995" s="46"/>
      <c r="T995" s="46"/>
      <c r="U995" s="47"/>
      <c r="V995" s="48"/>
      <c r="X995" s="592"/>
      <c r="Y995" s="593"/>
      <c r="AB995" s="378"/>
    </row>
    <row r="996" spans="1:29" s="27" customFormat="1" ht="17.25" customHeight="1" thickBot="1">
      <c r="A996" s="42" t="str">
        <f>"Z"&amp;E981</f>
        <v>Z33</v>
      </c>
      <c r="B996" s="510"/>
      <c r="C996" s="511"/>
      <c r="D996" s="511"/>
      <c r="E996" s="511"/>
      <c r="F996" s="511"/>
      <c r="G996" s="511"/>
      <c r="H996" s="511"/>
      <c r="I996" s="511"/>
      <c r="J996" s="511"/>
      <c r="K996" s="511"/>
      <c r="L996" s="511"/>
      <c r="M996" s="511"/>
      <c r="N996" s="437" t="s">
        <v>388</v>
      </c>
      <c r="O996" s="438">
        <f>IF(COUNTIF(O985:O994,"")&gt;9,0,SUM(O985:O994)/(COUNTIF(H985:H994,"SI")))</f>
        <v>186.5986</v>
      </c>
      <c r="P996" s="511"/>
      <c r="Q996" s="511"/>
      <c r="R996" s="530"/>
      <c r="S996" s="530"/>
      <c r="T996" s="531"/>
      <c r="U996" s="532"/>
      <c r="V996" s="533"/>
      <c r="W996" s="285"/>
      <c r="X996" s="613" t="e">
        <f>COUNTIF(#REF!,"")-COUNTIF(#REF!,"CUMPLE")-1</f>
        <v>#REF!</v>
      </c>
      <c r="Y996" s="591"/>
      <c r="AB996" s="28"/>
    </row>
    <row r="997" spans="1:29" ht="17.25" customHeight="1">
      <c r="B997" s="50"/>
      <c r="C997" s="50"/>
      <c r="D997" s="50"/>
      <c r="E997" s="50"/>
      <c r="F997" s="50"/>
      <c r="G997" s="51"/>
      <c r="H997" s="51"/>
      <c r="I997" s="51"/>
      <c r="J997" s="51"/>
      <c r="K997" s="51"/>
      <c r="L997" s="51"/>
      <c r="M997" s="51"/>
      <c r="N997" s="51"/>
      <c r="O997" s="51"/>
      <c r="P997" s="51"/>
      <c r="Q997" s="51"/>
      <c r="R997" s="51"/>
      <c r="S997" s="51"/>
      <c r="T997" s="51"/>
      <c r="U997" s="51"/>
      <c r="V997" s="51"/>
      <c r="W997" s="51"/>
      <c r="X997" s="608"/>
      <c r="Y997" s="51"/>
      <c r="Z997" s="51"/>
      <c r="AA997" s="51"/>
      <c r="AB997" s="51"/>
      <c r="AC997" s="50"/>
    </row>
    <row r="998" spans="1:29" s="27" customFormat="1" ht="16.5" customHeight="1" thickBot="1">
      <c r="A998" s="22"/>
      <c r="B998" s="783" t="s">
        <v>389</v>
      </c>
      <c r="C998" s="783"/>
      <c r="D998" s="783"/>
      <c r="E998" s="783"/>
      <c r="F998" s="783"/>
      <c r="G998" s="783"/>
      <c r="H998" s="783"/>
      <c r="I998" s="783"/>
      <c r="J998" s="783"/>
      <c r="K998" s="783"/>
      <c r="L998" s="783"/>
      <c r="M998" s="783"/>
      <c r="N998" s="783"/>
      <c r="O998" s="783"/>
      <c r="P998" s="783"/>
      <c r="Q998" s="783"/>
      <c r="R998" s="783"/>
      <c r="S998" s="783"/>
      <c r="T998" s="783"/>
      <c r="U998" s="783"/>
      <c r="V998" s="783"/>
      <c r="W998" s="286"/>
      <c r="X998" s="607"/>
      <c r="Y998" s="52"/>
      <c r="Z998" s="52"/>
      <c r="AA998" s="52"/>
      <c r="AB998" s="28"/>
      <c r="AC998" s="28"/>
    </row>
    <row r="999" spans="1:29" s="30" customFormat="1" ht="22.5" customHeight="1">
      <c r="A999" s="112" t="str">
        <f>"K"&amp;E981</f>
        <v>K33</v>
      </c>
      <c r="B999" s="790" t="s">
        <v>390</v>
      </c>
      <c r="C999" s="772" t="s">
        <v>391</v>
      </c>
      <c r="D999" s="773"/>
      <c r="E999" s="773"/>
      <c r="F999" s="773"/>
      <c r="G999" s="773"/>
      <c r="H999" s="773"/>
      <c r="I999" s="773"/>
      <c r="J999" s="773"/>
      <c r="K999" s="773"/>
      <c r="L999" s="773"/>
      <c r="M999" s="774"/>
      <c r="N999" s="525"/>
      <c r="O999" s="588"/>
      <c r="P999" s="772" t="s">
        <v>392</v>
      </c>
      <c r="Q999" s="773"/>
      <c r="R999" s="773"/>
      <c r="S999" s="774"/>
      <c r="T999" s="784" t="s">
        <v>393</v>
      </c>
      <c r="U999" s="774"/>
      <c r="V999" s="811"/>
      <c r="W999" s="284"/>
      <c r="X999" s="778" t="s">
        <v>394</v>
      </c>
      <c r="Y999" s="779"/>
      <c r="Z999" s="779"/>
      <c r="AA999" s="779" t="s">
        <v>395</v>
      </c>
      <c r="AB999" s="808" t="s">
        <v>396</v>
      </c>
      <c r="AC999" s="28"/>
    </row>
    <row r="1000" spans="1:29" s="30" customFormat="1" ht="22.5" customHeight="1">
      <c r="A1000" s="112" t="str">
        <f>"L"&amp;E981</f>
        <v>L33</v>
      </c>
      <c r="B1000" s="791"/>
      <c r="C1000" s="769" t="s">
        <v>397</v>
      </c>
      <c r="D1000" s="770"/>
      <c r="E1000" s="771"/>
      <c r="F1000" s="512">
        <f>IF(VLOOKUP(E981,PROPONENTES!$C$19:$E$108,3,0)="","",VLOOKUP(E981,PROPONENTES!$C$19:$E$108,3,0))</f>
        <v>3</v>
      </c>
      <c r="G1000" s="824" t="s">
        <v>398</v>
      </c>
      <c r="H1000" s="793" t="s">
        <v>399</v>
      </c>
      <c r="I1000" s="793"/>
      <c r="J1000" s="769" t="s">
        <v>400</v>
      </c>
      <c r="K1000" s="823"/>
      <c r="L1000" s="513" t="s">
        <v>401</v>
      </c>
      <c r="M1000" s="513"/>
      <c r="N1000" s="526"/>
      <c r="O1000" s="527"/>
      <c r="P1000" s="775"/>
      <c r="Q1000" s="776"/>
      <c r="R1000" s="776"/>
      <c r="S1000" s="777"/>
      <c r="T1000" s="796"/>
      <c r="U1000" s="797"/>
      <c r="V1000" s="812"/>
      <c r="W1000" s="284"/>
      <c r="X1000" s="780" t="s">
        <v>402</v>
      </c>
      <c r="Y1000" s="810" t="s">
        <v>403</v>
      </c>
      <c r="Z1000" s="810"/>
      <c r="AA1000" s="810"/>
      <c r="AB1000" s="809"/>
      <c r="AC1000" s="28"/>
    </row>
    <row r="1001" spans="1:29" s="30" customFormat="1" ht="51.75" customHeight="1" thickBot="1">
      <c r="A1001" s="112" t="str">
        <f>"M"&amp;E981</f>
        <v>M33</v>
      </c>
      <c r="B1001" s="791"/>
      <c r="C1001" s="770" t="s">
        <v>404</v>
      </c>
      <c r="D1001" s="771"/>
      <c r="E1001" s="514" t="s">
        <v>405</v>
      </c>
      <c r="F1001" s="515" t="s">
        <v>406</v>
      </c>
      <c r="G1001" s="824"/>
      <c r="H1001" s="793"/>
      <c r="I1001" s="793"/>
      <c r="J1001" s="504" t="s">
        <v>407</v>
      </c>
      <c r="K1001" s="516" t="s">
        <v>408</v>
      </c>
      <c r="L1001" s="517" t="s">
        <v>409</v>
      </c>
      <c r="M1001" s="517"/>
      <c r="N1001" s="528" t="s">
        <v>410</v>
      </c>
      <c r="O1001" s="529"/>
      <c r="P1001" s="386"/>
      <c r="Q1001" s="387" t="s">
        <v>411</v>
      </c>
      <c r="R1001" s="388"/>
      <c r="S1001" s="113">
        <f>COUNTIFS(H985:H994,"SI",O985:O994,"&gt;0")</f>
        <v>3</v>
      </c>
      <c r="T1001" s="785"/>
      <c r="U1001" s="787"/>
      <c r="V1001" s="813"/>
      <c r="W1001" s="284"/>
      <c r="X1001" s="780"/>
      <c r="Y1001" s="810"/>
      <c r="Z1001" s="810"/>
      <c r="AA1001" s="810"/>
      <c r="AB1001" s="809"/>
      <c r="AC1001" s="28"/>
    </row>
    <row r="1002" spans="1:29" s="30" customFormat="1" ht="28.5" customHeight="1">
      <c r="A1002" s="112" t="str">
        <f>"N"&amp;E981</f>
        <v>N33</v>
      </c>
      <c r="B1002" s="791"/>
      <c r="C1002" s="54">
        <v>1</v>
      </c>
      <c r="D1002" s="100" t="str">
        <f>IF(AND(C1002&lt;=F1000,F1000&gt;1,F1000&lt;&gt;""),VLOOKUP(VALUE(E981&amp;","&amp;C1002),INTEGRANTES!$D$19:$F$192,2,0),"")</f>
        <v xml:space="preserve">SILVIA LORENA ORDOÑEZ OBANDO </v>
      </c>
      <c r="E1002" s="107">
        <f>IF(D1002&lt;&gt;"",VLOOKUP(VALUE(E981&amp;","&amp;C1002),INTEGRANTES!$D$19:$F$192,3,0),"")</f>
        <v>0.55000000000000004</v>
      </c>
      <c r="F1002" s="380">
        <f>IF(D1002="","",IF(OR(SUMIF($J985:$J994,D1002,$O985:$O994)=0,N1002="NO"),"NO APORTA",SUMIF($J985:$J994,D1002,$O985:$O994)))</f>
        <v>295.47579999999999</v>
      </c>
      <c r="G1002" s="380">
        <f ca="1">IF($D1002="","",IF($F1000&lt;=1,"",ROUND(POSMMLV*PORPO,2)))</f>
        <v>150</v>
      </c>
      <c r="H1002" s="765" t="str">
        <f ca="1">IF($D1002="","",IF(OR(F1002="NO APORTA",G1002&gt;F1002),"NO CUMPLE","CUMPLE"))</f>
        <v>CUMPLE</v>
      </c>
      <c r="I1002" s="766"/>
      <c r="J1002" s="108" t="str">
        <f ca="1">IF(D1002="","",IF(OR(AND(SUMIF($J985:$J994,D1002,$O985:$O994)&gt;=5%*POSMMLV,N1002="SI"),AND(SUMIF($J985:$J994,D1002,$O985:$O994)=0,E1002&lt;=5%,N1002="SI")),"CUMPLE","NO CUMPLE"))</f>
        <v>CUMPLE</v>
      </c>
      <c r="K1002" s="105" t="str">
        <f ca="1">IF(OR(D1002="",J1002=""),"",IF(AND(J1002="NO CUMPLE",F1002="NO APORTA",E1002&gt;5%),"EXP = 0 y PART &gt; 5%",IF(F1002&lt;5%*Q1007,"EXP &lt; 5%*PO","")))</f>
        <v/>
      </c>
      <c r="L1002" s="389" t="str">
        <f>IF(OR(D1002="",E1002=""),"",IF(AND(E1002&gt;=0.25,F1002&lt;&gt;"NO APORTA",F1002&gt;=$R1007*0.25),"SI","NO"))</f>
        <v>SI</v>
      </c>
      <c r="M1002" s="389"/>
      <c r="N1002" s="468" t="s">
        <v>385</v>
      </c>
      <c r="O1002" s="396">
        <f>COUNTIFS(O985:O994,"&gt;0",H985:H994,"SI")</f>
        <v>3</v>
      </c>
      <c r="P1002" s="814" t="s">
        <v>139</v>
      </c>
      <c r="Q1002" s="814"/>
      <c r="R1002" s="817">
        <f>E981</f>
        <v>33</v>
      </c>
      <c r="S1002" s="818"/>
      <c r="T1002" s="784" t="s">
        <v>412</v>
      </c>
      <c r="U1002" s="773"/>
      <c r="V1002" s="774"/>
      <c r="W1002" s="283"/>
      <c r="X1002" s="542" t="str">
        <f>IF($F1000=1,"NO APLICA",$D1002)</f>
        <v xml:space="preserve">SILVIA LORENA ORDOÑEZ OBANDO </v>
      </c>
      <c r="Y1002" s="543">
        <f ca="1">IF(OR($F1002="",$F1002="NO APORTA",$R1007=0,$X1002="NO APLICA"),"",ROUND($F1002/$Q1007,2))</f>
        <v>0.98</v>
      </c>
      <c r="Z1002" s="544" t="str">
        <f ca="1">IF(Y1008=1,"SI APLICA",IF(OR($X1002="",$X1002="NO APLICA",$F1002="",$F1002="NO APORTA"),"",IF(ROUND($F1002/Q1007,7)&gt;=0.4,"SI APLICA","NO APLICA")))</f>
        <v>SI APLICA</v>
      </c>
      <c r="AA1002" s="543" t="s">
        <v>413</v>
      </c>
      <c r="AB1002" s="540" t="str">
        <f ca="1">IF(COUNTIF(Z1002:AA1002,"SI APLICA")=2,"SI APLICA","")</f>
        <v>SI APLICA</v>
      </c>
      <c r="AC1002" s="28"/>
    </row>
    <row r="1003" spans="1:29" s="30" customFormat="1" ht="27" customHeight="1" thickBot="1">
      <c r="A1003" s="112" t="str">
        <f>"O"&amp;E981</f>
        <v>O33</v>
      </c>
      <c r="B1003" s="791"/>
      <c r="C1003" s="54">
        <v>2</v>
      </c>
      <c r="D1003" s="100" t="str">
        <f>IF(AND(C1003&lt;=F1000,F1000&lt;&gt;""),VLOOKUP(VALUE(E981&amp;","&amp;C1003),INTEGRANTES!$D$19:$F$192,2,0),"")</f>
        <v>ALVARO HUMBERTO SANCHEZ CAÑON</v>
      </c>
      <c r="E1003" s="107">
        <f>IF(D1003&lt;&gt;"",VLOOKUP(VALUE(E981&amp;","&amp;C1003),INTEGRANTES!$D$19:$F$192,3,0),"")</f>
        <v>0.4</v>
      </c>
      <c r="F1003" s="380">
        <f>IF(D1003="","",IF(OR(SUMIF($J985:$J994,D1003,$O985:$O994)=0,N1003="NO"),"NO APORTA",SUMIF($J985:$J994,D1003,$O985:$O994)))</f>
        <v>264.32</v>
      </c>
      <c r="G1003" s="380">
        <f ca="1">IF($D1003="","",IF($F1000&lt;=1,"",ROUND(POSMMLV*PORPO,2)))</f>
        <v>150</v>
      </c>
      <c r="H1003" s="765" t="str">
        <f t="shared" ref="H1003:H1006" ca="1" si="200">IF($D1003="","",IF(OR(F1003="NO APORTA",G1003&gt;F1003),"NO CUMPLE","CUMPLE"))</f>
        <v>CUMPLE</v>
      </c>
      <c r="I1003" s="766"/>
      <c r="J1003" s="108" t="str">
        <f ca="1">IF(D1003="","",IF(OR(AND(SUMIF($J985:$J994,D1003,$O985:$O994)&gt;=5%*POSMMLV,N1003="SI"),AND(SUMIF($J985:$J994,D1003,$O985:$O994)=0,E1003&lt;=5%,N1003="SI")),"CUMPLE","NO CUMPLE"))</f>
        <v>CUMPLE</v>
      </c>
      <c r="K1003" s="105" t="str">
        <f ca="1">IF(OR(D1003="",J1003=""),"",IF(AND(J1003="NO CUMPLE",F1003="NO APORTA",E1003&gt;5%),"EXP = 0 y PART &gt; 5%",IF(F1003&lt;5%*Q1007,"EXP &lt; 5%*PO","")))</f>
        <v/>
      </c>
      <c r="L1003" s="389" t="str">
        <f>IF(OR(D1003="",E1003=""),"",IF(AND(E1003&gt;=0.25,F1003&lt;&gt;"NO APORTA",F1003&gt;=$R1007*0.25),"SI","NO"))</f>
        <v>SI</v>
      </c>
      <c r="M1003" s="389"/>
      <c r="N1003" s="468" t="s">
        <v>385</v>
      </c>
      <c r="O1003" s="396"/>
      <c r="P1003" s="815"/>
      <c r="Q1003" s="815"/>
      <c r="R1003" s="815"/>
      <c r="S1003" s="819"/>
      <c r="T1003" s="785"/>
      <c r="U1003" s="786"/>
      <c r="V1003" s="787"/>
      <c r="W1003" s="283"/>
      <c r="X1003" s="542" t="str">
        <f>IF($F1000=1,"NO APLICA",$D1003)</f>
        <v>ALVARO HUMBERTO SANCHEZ CAÑON</v>
      </c>
      <c r="Y1003" s="543">
        <f ca="1">IF(OR($F1003="",$F1003="NO APORTA",$R1007=0,$X1003="NO APLICA"),"",ROUND($F1003/$Q1007,2))</f>
        <v>0.88</v>
      </c>
      <c r="Z1003" s="544" t="str">
        <f ca="1">IF(Y1008=1,"SI APLICA",IF(OR($X1003="",$X1003="NO APLICA",$F1003="",$F1003="NO APORTA"),"",IF(ROUND($F1003/Q1007,7)&gt;=0.4,"SI APLICA","NO APLICA")))</f>
        <v>SI APLICA</v>
      </c>
      <c r="AA1003" s="543" t="s">
        <v>516</v>
      </c>
      <c r="AB1003" s="540" t="str">
        <f t="shared" ref="AB1003" ca="1" si="201">IF(COUNTIF(Z1003:AA1003,"SI APLICA")=2,"SI APLICA","")</f>
        <v/>
      </c>
      <c r="AC1003" s="28"/>
    </row>
    <row r="1004" spans="1:29" s="30" customFormat="1" ht="15.75" customHeight="1">
      <c r="A1004" s="112" t="str">
        <f>"P"&amp;E981</f>
        <v>P33</v>
      </c>
      <c r="B1004" s="791"/>
      <c r="C1004" s="54">
        <v>3</v>
      </c>
      <c r="D1004" s="100" t="str">
        <f>IF(AND(C1004&lt;=F1000,F1000&lt;&gt;""),VLOOKUP(VALUE(E981&amp;","&amp;C1004),INTEGRANTES!$D$19:$F$192,2,0),"")</f>
        <v xml:space="preserve">GIA INGENIERIA S.A.S. </v>
      </c>
      <c r="E1004" s="107">
        <f>IF(D1004&lt;&gt;"",VLOOKUP(VALUE(E981&amp;","&amp;C1004),INTEGRANTES!$D$19:$F$192,3,0),"")</f>
        <v>0.05</v>
      </c>
      <c r="F1004" s="380" t="str">
        <f>IF(D1004="","",IF(OR(SUMIF($J985:$J994,D1004,$O985:$O994)=0,N1004="NO"),"NO APORTA",SUMIF($J985:$J994,D1004,$O985:$O994)))</f>
        <v>NO APORTA</v>
      </c>
      <c r="G1004" s="380">
        <f ca="1">IF($D1004="","",IF($F1000&lt;=1,"",ROUND(POSMMLV*PORPO,2)))</f>
        <v>150</v>
      </c>
      <c r="H1004" s="765" t="str">
        <f t="shared" ca="1" si="200"/>
        <v>NO CUMPLE</v>
      </c>
      <c r="I1004" s="766"/>
      <c r="J1004" s="108" t="str">
        <f ca="1">IF(D1004="","",IF(OR(AND(SUMIF($J985:$J994,D1004,$O985:$O994)&gt;=5%*POSMMLV,N1004="SI"),AND(SUMIF($J985:$J994,D1004,$O985:$O994)=0,E1004&lt;=5%,N1004="SI")),"CUMPLE","NO CUMPLE"))</f>
        <v>CUMPLE</v>
      </c>
      <c r="K1004" s="105" t="str">
        <f ca="1">IF(OR(D1004="",J1004=""),"",IF(AND(J1004="NO CUMPLE",F1004="NO APORTA",E1004&gt;5%),"EXP = 0 y PART &gt; 5%",IF(F1004&lt;5%*Q1007,"EXP &lt; 5%*PO","")))</f>
        <v/>
      </c>
      <c r="L1004" s="389" t="str">
        <f>IF(OR(D1004="",E1004=""),"",IF(AND(E1004&gt;=0.25,F1004&lt;&gt;"NO APORTA",F1004&gt;=$R1007*0.25),"SI","NO"))</f>
        <v>NO</v>
      </c>
      <c r="M1004" s="389"/>
      <c r="N1004" s="468" t="s">
        <v>385</v>
      </c>
      <c r="O1004" s="397"/>
      <c r="P1004" s="816"/>
      <c r="Q1004" s="816"/>
      <c r="R1004" s="816"/>
      <c r="S1004" s="820"/>
      <c r="T1004" s="308"/>
      <c r="U1004" s="308"/>
      <c r="V1004" s="309"/>
      <c r="W1004" s="284"/>
      <c r="X1004" s="542" t="str">
        <f>IF($F1000=1,"NO APLICA",$D1004)</f>
        <v xml:space="preserve">GIA INGENIERIA S.A.S. </v>
      </c>
      <c r="Y1004" s="543" t="str">
        <f>IF(OR($F1004="",$F1004="NO APORTA",$R1007=0,$X1004="NO APLICA"),"",ROUND($F1004/$Q1007,2))</f>
        <v/>
      </c>
      <c r="Z1004" s="544" t="str">
        <f>IF(Y1008=1,"SI APLICA",IF(OR($X1004="",$X1004="NO APLICA",$F1004="",$F1004="NO APORTA"),"",IF(ROUND($F1004/Q1007,7)&gt;=0.4,"SI APLICA","NO APLICA")))</f>
        <v/>
      </c>
      <c r="AA1004" s="543"/>
      <c r="AB1004" s="540" t="str">
        <f>IF(COUNTIF(Z1004:AA1004,"SI APLICA")=2,"SI APLICA","")</f>
        <v/>
      </c>
      <c r="AC1004" s="28"/>
    </row>
    <row r="1005" spans="1:29" s="30" customFormat="1" ht="15.75" customHeight="1">
      <c r="A1005" s="112" t="str">
        <f>"Q"&amp;E981</f>
        <v>Q33</v>
      </c>
      <c r="B1005" s="791"/>
      <c r="C1005" s="54">
        <v>4</v>
      </c>
      <c r="D1005" s="100" t="str">
        <f>IF(AND(C1005&lt;=F1000,F1000&lt;&gt;""),VLOOKUP(VALUE(E981&amp;","&amp;C1005),INTEGRANTES!$D$19:$F$192,2,0),"")</f>
        <v/>
      </c>
      <c r="E1005" s="107" t="str">
        <f>IF(D1005&lt;&gt;"",VLOOKUP(VALUE(E981&amp;","&amp;C1005),INTEGRANTES!$D$19:$F$192,3,0),"")</f>
        <v/>
      </c>
      <c r="F1005" s="380" t="str">
        <f>IF(D1005="","",IF(OR(SUMIF($J988:$J994,D1005,$O988:$O994)=0,N1005="NO"),"NO APORTA",SUMIF($J988:$J994,D1005,$O988:$O994)))</f>
        <v/>
      </c>
      <c r="G1005" s="380" t="str">
        <f>IF($D1005="","",IF($F1000&lt;=1,"",ROUND(POSMMLV*PORPO,2)))</f>
        <v/>
      </c>
      <c r="H1005" s="765" t="str">
        <f t="shared" si="200"/>
        <v/>
      </c>
      <c r="I1005" s="766"/>
      <c r="J1005" s="108" t="str">
        <f>IF(D1005="","",IF(OR(AND(SUMIF($J985:$J994,D1005,$O985:$O994)&gt;=5%*POSMMLV,N1005="SI"),AND(SUMIF($J985:$J994,D1005,$O985:$O994)=0,E1005&lt;=5%,N1005="SI")),"CUMPLE","NO CUMPLE"))</f>
        <v/>
      </c>
      <c r="K1005" s="105" t="str">
        <f>IF(OR(D1005="",J1005=""),"",IF(AND(J1005="NO CUMPLE",F1005="NO APORTA",E1005&gt;5%),"EXP = 0 y PART &gt; 5%",IF(F1005&lt;5%*Q1007,"EXP &lt; 5%*PO","")))</f>
        <v/>
      </c>
      <c r="L1005" s="389" t="str">
        <f>IF(OR(D1005="",E1005=""),"",IF(AND(E1005&gt;=0.25,F1005&lt;&gt;"NO APORTA",F1005&gt;=$R1007*0.25),"SI","NO"))</f>
        <v/>
      </c>
      <c r="M1005" s="389"/>
      <c r="N1005" s="468"/>
      <c r="O1005" s="788" t="s">
        <v>414</v>
      </c>
      <c r="P1005" s="769" t="s">
        <v>415</v>
      </c>
      <c r="Q1005" s="770"/>
      <c r="R1005" s="770"/>
      <c r="S1005" s="771"/>
      <c r="T1005" s="284"/>
      <c r="U1005" s="284"/>
      <c r="V1005" s="310"/>
      <c r="W1005" s="284"/>
      <c r="X1005" s="542" t="str">
        <f>IF($F1000=1,"NO APLICA",$D1005)</f>
        <v/>
      </c>
      <c r="Y1005" s="543" t="str">
        <f>IF(OR($F1005="",$F1005="NO APORTA",$R1007=0,$X1005="NO APLICA"),"",ROUND($F1005/$Q1007,2))</f>
        <v/>
      </c>
      <c r="Z1005" s="544" t="str">
        <f>IF(Y1008=1,"SI APLICA",IF(OR($X1005="",$X1005="NO APLICA",$F1005="",$F1005="NO APORTA"),"",IF(ROUND($F1005/Q1007,7)&gt;=0.4,"SI APLICA","NO APLICA")))</f>
        <v/>
      </c>
      <c r="AA1005" s="543"/>
      <c r="AB1005" s="540" t="str">
        <f t="shared" ref="AB1005:AB1006" si="202">IF(COUNTIF(Z1005:AA1005,"SI APLICA")=2,"SI APLICA","")</f>
        <v/>
      </c>
      <c r="AC1005" s="28"/>
    </row>
    <row r="1006" spans="1:29" s="30" customFormat="1" ht="17.25" customHeight="1">
      <c r="A1006" s="112" t="str">
        <f>"R"&amp;E981</f>
        <v>R33</v>
      </c>
      <c r="B1006" s="791"/>
      <c r="C1006" s="54">
        <v>5</v>
      </c>
      <c r="D1006" s="100" t="str">
        <f>IF(AND(C1006&lt;=F1000,F1000&lt;&gt;""),VLOOKUP(VALUE(E981&amp;","&amp;C1006),INTEGRANTES!$D$19:$F$192,2,0),"")</f>
        <v/>
      </c>
      <c r="E1006" s="107" t="str">
        <f>IF(D1006&lt;&gt;"",VLOOKUP(VALUE(E981&amp;","&amp;C1006),INTEGRANTES!$D$19:$F$192,3,0),"")</f>
        <v/>
      </c>
      <c r="F1006" s="380" t="str">
        <f>IF(D1006="","",IF(OR(SUMIF($J988:$J994,D1006,$O988:$O994)=0,N1006="NO"),"NO APORTA",SUMIF($J988:$J994,D1006,$O988:$O994)))</f>
        <v/>
      </c>
      <c r="G1006" s="380" t="str">
        <f>IF($D1006="","",IF($F1000&lt;=1,"",ROUND(POSMMLV*PORPO,2)))</f>
        <v/>
      </c>
      <c r="H1006" s="765" t="str">
        <f t="shared" si="200"/>
        <v/>
      </c>
      <c r="I1006" s="766"/>
      <c r="J1006" s="108" t="str">
        <f>IF(D1006="","",IF(OR(AND(SUMIF($J985:$J994,D1006,$O985:$O994)&gt;=5%*POSMMLV,N1006="SI"),AND(SUMIF($J985:$J994,D1006,$O985:$O994)=0,E1006&lt;=5%,N1006="SI")),"CUMPLE","NO CUMPLE"))</f>
        <v/>
      </c>
      <c r="K1006" s="105" t="str">
        <f>IF(OR(D1006="",J1006=""),"",IF(AND(J1006="NO CUMPLE",F1006="NO APORTA",E1006&gt;5%),"EXP = 0 y PART &gt; 5%",IF(F1006&lt;5%*Q1007,"EXP &lt; 5%*PO","")))</f>
        <v/>
      </c>
      <c r="L1006" s="389" t="str">
        <f>IF(OR(D1006="",E1006=""),"",IF(AND(E1006&gt;=0.25,F1006&lt;&gt;"NO APORTA",F1006&gt;=$R1007*0.25),"SI","NO"))</f>
        <v/>
      </c>
      <c r="M1006" s="389"/>
      <c r="N1006" s="468"/>
      <c r="O1006" s="789"/>
      <c r="P1006" s="504" t="s">
        <v>416</v>
      </c>
      <c r="Q1006" s="504" t="s">
        <v>417</v>
      </c>
      <c r="R1006" s="793" t="s">
        <v>418</v>
      </c>
      <c r="S1006" s="793"/>
      <c r="T1006" s="284"/>
      <c r="U1006" s="284"/>
      <c r="V1006" s="310"/>
      <c r="W1006" s="284"/>
      <c r="X1006" s="542" t="str">
        <f>IF($F1000=1,"NO APLICA",$D1006)</f>
        <v/>
      </c>
      <c r="Y1006" s="543" t="str">
        <f>IF(OR($F1006="",$F1006="NO APORTA",$R1007=0,$X1006="NO APLICA"),"",ROUND($F1006/$Q1007,2))</f>
        <v/>
      </c>
      <c r="Z1006" s="544" t="str">
        <f>IF(Y1008=1,"SI APLICA",IF(OR($X1006="",$X1006="NO APLICA",$F1006="",$F1006="NO APORTA"),"",IF(ROUND($F1006/Q1007,7)&gt;=0.4,"SI APLICA","NO APLICA")))</f>
        <v/>
      </c>
      <c r="AA1006" s="543"/>
      <c r="AB1006" s="540" t="str">
        <f t="shared" si="202"/>
        <v/>
      </c>
      <c r="AC1006" s="28"/>
    </row>
    <row r="1007" spans="1:29" s="30" customFormat="1" ht="16.5" customHeight="1" thickBot="1">
      <c r="A1007" s="112" t="str">
        <f>"S"&amp;E981</f>
        <v>S33</v>
      </c>
      <c r="B1007" s="791"/>
      <c r="C1007" s="109">
        <v>6</v>
      </c>
      <c r="D1007" s="110" t="str">
        <f>IF(AND(C1007&lt;=F1000,F1000&lt;&gt;""),VLOOKUP(VALUE(E981&amp;","&amp;C1007),INTEGRANTES!$D$19:$F$192,2,0),"")</f>
        <v/>
      </c>
      <c r="E1007" s="111" t="str">
        <f>IF(D1007&lt;&gt;"",VLOOKUP(VALUE(E981&amp;","&amp;C1007),INTEGRANTES!$D$19:$F$192,3,0),"")</f>
        <v/>
      </c>
      <c r="F1007" s="380" t="str">
        <f>IF(D1007="","",IF(OR(SUMIF($J988:$J994,D1007,$O988:$O994)=0,N1007="NO"),"NO APORTA",SUMIF($J988:$J994,D1007,$O988:$O994)))</f>
        <v/>
      </c>
      <c r="G1007" s="380" t="str">
        <f>IF($D1007="","",IF($F1000&lt;=1,"",ROUND(POSMMLV*PORPO,2)))</f>
        <v/>
      </c>
      <c r="H1007" s="765" t="str">
        <f>IF($D1007="","",IF(OR(F1007="NO APORTA",G1007&gt;F1007),"NO CUMPLE","CUMPLE"))</f>
        <v/>
      </c>
      <c r="I1007" s="766"/>
      <c r="J1007" s="108" t="str">
        <f>IF(D1007="","",IF(OR(AND(SUMIF($J985:$J994,D1007,$O985:$O994)&gt;=5%*POSMMLV,N1007="SI"),AND(SUMIF($J985:$J994,D1007,$O985:$O994)=0,E1007&lt;=5%,N1007="SI")),"CUMPLE","NO CUMPLE"))</f>
        <v/>
      </c>
      <c r="K1007" s="105" t="str">
        <f>IF(OR(D1007="",J1007=""),"",IF(AND(J1007="NO CUMPLE",F1007="NO APORTA",E1007&gt;5%),"EXP = 0 y PART &gt; 5%",IF(F1007&lt;5%*Q1007,"EXP &lt; 5%*PO","")))</f>
        <v/>
      </c>
      <c r="L1007" s="389" t="str">
        <f>IF(OR(D1007="",E1007=""),"",IF(AND(E1007&gt;=0.25,F1007&lt;&gt;"NO APORTA",F1007&gt;=$R1007*0.25),"SI","NO"))</f>
        <v/>
      </c>
      <c r="M1007" s="389"/>
      <c r="N1007" s="468"/>
      <c r="O1007" s="403" t="str">
        <f ca="1">IF(R1007&gt;=Q1007,"CUMPLE","NO CUMPLE")</f>
        <v>CUMPLE</v>
      </c>
      <c r="P1007" s="312">
        <f>NUMMOD</f>
        <v>1</v>
      </c>
      <c r="Q1007" s="313">
        <f ca="1">IF(P1007="","",ROUND(VLOOKUP(P1007,PRESUPUESTOS!$B$16:$L$16,9,FALSE),7))</f>
        <v>300</v>
      </c>
      <c r="R1007" s="834">
        <f>IF(OR(COUNTIF(O985:O994,"")&gt;9,S1001&lt;NUMMINCONT),0,SUM(O985:O994))</f>
        <v>559.79579999999999</v>
      </c>
      <c r="S1007" s="834"/>
      <c r="T1007" s="284"/>
      <c r="U1007" s="284"/>
      <c r="V1007" s="310"/>
      <c r="W1007" s="284"/>
      <c r="X1007" s="545" t="str">
        <f>IF($F1000=1,"NO APLICA",$D1007)</f>
        <v/>
      </c>
      <c r="Y1007" s="543" t="str">
        <f>IF(OR($F1007="",$F1007="NO APORTA",$R1007=0,$X1007="NO APLICA"),"",ROUND($F1007/$Q1007,2))</f>
        <v/>
      </c>
      <c r="Z1007" s="544" t="str">
        <f>IF(Y1008=1,"SI APLICA",IF(OR($X1007="",$X1007="NO APLICA",$F1007="",$F1007="NO APORTA"),"",IF(ROUND($F1007/Q1007,7)&gt;=0.4,"SI APLICA","NO APLICA")))</f>
        <v/>
      </c>
      <c r="AA1007" s="546"/>
      <c r="AB1007" s="540" t="str">
        <f>IF(COUNTIF(Z1007:AA1007,"SI APLICA")=2,"SI APLICA","")</f>
        <v/>
      </c>
      <c r="AC1007" s="28"/>
    </row>
    <row r="1008" spans="1:29" s="30" customFormat="1" ht="16.5" customHeight="1" thickBot="1">
      <c r="A1008" s="112" t="str">
        <f>"T"&amp;E981</f>
        <v>T33</v>
      </c>
      <c r="B1008" s="792"/>
      <c r="C1008" s="821" t="s">
        <v>419</v>
      </c>
      <c r="D1008" s="822"/>
      <c r="E1008" s="822"/>
      <c r="F1008" s="518"/>
      <c r="G1008" s="519"/>
      <c r="H1008" s="794" t="str">
        <f ca="1">IF(OR($F1000="",SUM(E1002:E1007)=0),"",IF(COUNTIF(H1002:H1007,"CUMPLE")&gt;=1,"CUMPLE","NO CUMPLE"))</f>
        <v>CUMPLE</v>
      </c>
      <c r="I1008" s="795"/>
      <c r="J1008" s="314" t="str">
        <f ca="1">IF(COUNTIF(J1002:J1007,"")&gt;5,"",IF(COUNTIF(J1002:J1007,"NO CUMPLE")&gt;0,"NO CUMPLE","CUMPLE"))</f>
        <v>CUMPLE</v>
      </c>
      <c r="K1008" s="314" t="str">
        <f ca="1">IF(OR(AND(F1000=1,N1002="SI"),AND(COUNTIF(H1008:J1008,"CUMPLE")=2)),"CUMPLE","NO CUMPLE")</f>
        <v>CUMPLE</v>
      </c>
      <c r="L1008" s="519"/>
      <c r="M1008" s="519"/>
      <c r="N1008" s="519"/>
      <c r="O1008" s="833" t="str">
        <f ca="1">IF(ISNUMBER(F981),"",IF(AND(O1007="NO CUMPLE",SUM(N988:N994)&lt;Q1007),"EL PROPONENTE SE DEBE REQUERIR POR EXPERIENCIA MINIMA EXIGIDA",""))</f>
        <v/>
      </c>
      <c r="P1008" s="833"/>
      <c r="Q1008" s="833"/>
      <c r="R1008" s="833"/>
      <c r="S1008" s="833"/>
      <c r="T1008" s="522"/>
      <c r="U1008" s="523"/>
      <c r="V1008" s="524"/>
      <c r="W1008" s="284"/>
      <c r="X1008" s="364" t="str">
        <f>IF(Y1008=1,"PROPONENTE INDIVIDUAL","PROPONENTE PLURAL")</f>
        <v>PROPONENTE PLURAL</v>
      </c>
      <c r="Y1008" s="276">
        <f>F1000</f>
        <v>3</v>
      </c>
      <c r="Z1008" s="277" t="str">
        <f ca="1">IF(OR(AND(Z1002="SI APLICA",AA1002="SI APLICA"),AND(Z1003="SI APLICA",AA1003="SI APLICA"),AND(Z1004="SI APLICA",AA1004="SI APLICA"),AND(Z1005="SI APLICA",AA1005="SI APLICA"),AND(Z1006="SI APLICA",AA1006="SI APLICA"),AND(Z1007="SI APLICA",AA1007="SI APLICA")),"SI APLICA","NO APLICA")</f>
        <v>SI APLICA</v>
      </c>
      <c r="AA1008" s="278" t="str">
        <f ca="1">IF(OR(AND(AA1002="SI APLICA",AB1002="SI APLICA"),AND(AA1003="SI APLICA",AB1003="SI APLICA"),AND(AA1004="SI APLICA",AB1004="SI APLICA"),AND(AA1005="SI APLICA",AB1005="SI APLICA"),AND(AA1006="SI APLICA",AB1006="SI APLICA"),AND(AA1007="SI APLICA",AB1007="SI APLICA")),"SI APLICA","NO APLICA")</f>
        <v>SI APLICA</v>
      </c>
      <c r="AB1008" s="278" t="str">
        <f ca="1">IF(COUNTIF(AB1002:AB1007,"SI APLICA")&gt;0,"SI APLICA","NO APLICA")</f>
        <v>SI APLICA</v>
      </c>
      <c r="AC1008" s="28"/>
    </row>
    <row r="1009" spans="1:29" ht="24.95" customHeight="1"/>
    <row r="1010" spans="1:29" ht="24.95" customHeight="1"/>
    <row r="1011" spans="1:29" s="41" customFormat="1" ht="24" thickBot="1">
      <c r="A1011" s="34">
        <v>34</v>
      </c>
      <c r="B1011" s="828" t="s">
        <v>355</v>
      </c>
      <c r="C1011" s="828"/>
      <c r="D1011" s="828"/>
      <c r="E1011" s="35">
        <f>VLOOKUP(A1011,PROPONENTES!$B$19:$E$108,2,FALSE)</f>
        <v>34</v>
      </c>
      <c r="F1011" s="36" t="str">
        <f>VLOOKUP(A1011,PROPONENTES!$B$19:$E$108,3,FALSE)</f>
        <v>CONSORCIO OPHAIH 2022</v>
      </c>
      <c r="G1011" s="37"/>
      <c r="H1011" s="37"/>
      <c r="I1011" s="36"/>
      <c r="J1011" s="36"/>
      <c r="K1011" s="36"/>
      <c r="L1011" s="36"/>
      <c r="M1011" s="38"/>
      <c r="N1011" s="38"/>
      <c r="O1011" s="37"/>
      <c r="P1011" s="37"/>
      <c r="Q1011" s="39"/>
      <c r="R1011" s="39"/>
      <c r="S1011" s="39"/>
      <c r="T1011" s="39"/>
      <c r="U1011" s="40"/>
      <c r="Y1011" s="52"/>
      <c r="Z1011" s="52"/>
      <c r="AA1011" s="52"/>
      <c r="AB1011" s="28"/>
      <c r="AC1011" s="28"/>
    </row>
    <row r="1012" spans="1:29" s="27" customFormat="1" ht="24.75" customHeight="1">
      <c r="A1012" s="22"/>
      <c r="B1012" s="829" t="s">
        <v>356</v>
      </c>
      <c r="C1012" s="501" t="s">
        <v>357</v>
      </c>
      <c r="D1012" s="502" t="s">
        <v>358</v>
      </c>
      <c r="E1012" s="502"/>
      <c r="F1012" s="502" t="s">
        <v>359</v>
      </c>
      <c r="G1012" s="503"/>
      <c r="H1012" s="803" t="s">
        <v>360</v>
      </c>
      <c r="I1012" s="831" t="s">
        <v>361</v>
      </c>
      <c r="J1012" s="803" t="s">
        <v>362</v>
      </c>
      <c r="K1012" s="803" t="s">
        <v>363</v>
      </c>
      <c r="L1012" s="803" t="s">
        <v>364</v>
      </c>
      <c r="M1012" s="803" t="s">
        <v>365</v>
      </c>
      <c r="N1012" s="804" t="s">
        <v>366</v>
      </c>
      <c r="O1012" s="805"/>
      <c r="P1012" s="806" t="s">
        <v>367</v>
      </c>
      <c r="Q1012" s="807"/>
      <c r="R1012" s="784" t="s">
        <v>368</v>
      </c>
      <c r="S1012" s="774"/>
      <c r="T1012" s="798" t="s">
        <v>369</v>
      </c>
      <c r="U1012" s="799"/>
      <c r="V1012" s="800"/>
      <c r="X1012" s="520"/>
      <c r="Y1012" s="520"/>
    </row>
    <row r="1013" spans="1:29" s="27" customFormat="1" ht="94.5" customHeight="1">
      <c r="A1013" s="22"/>
      <c r="B1013" s="830"/>
      <c r="C1013" s="504" t="s">
        <v>370</v>
      </c>
      <c r="D1013" s="505" t="s">
        <v>41</v>
      </c>
      <c r="E1013" s="505" t="s">
        <v>371</v>
      </c>
      <c r="F1013" s="505" t="s">
        <v>372</v>
      </c>
      <c r="G1013" s="506" t="s">
        <v>373</v>
      </c>
      <c r="H1013" s="793"/>
      <c r="I1013" s="832"/>
      <c r="J1013" s="793"/>
      <c r="K1013" s="793"/>
      <c r="L1013" s="793"/>
      <c r="M1013" s="793"/>
      <c r="N1013" s="504" t="s">
        <v>374</v>
      </c>
      <c r="O1013" s="505" t="s">
        <v>375</v>
      </c>
      <c r="P1013" s="801"/>
      <c r="Q1013" s="802"/>
      <c r="R1013" s="796"/>
      <c r="S1013" s="797"/>
      <c r="T1013" s="507" t="s">
        <v>376</v>
      </c>
      <c r="U1013" s="508" t="s">
        <v>377</v>
      </c>
      <c r="V1013" s="509" t="s">
        <v>378</v>
      </c>
      <c r="X1013" s="521" t="s">
        <v>379</v>
      </c>
      <c r="Y1013" s="521" t="s">
        <v>380</v>
      </c>
    </row>
    <row r="1014" spans="1:29" s="27" customFormat="1" ht="15" customHeight="1">
      <c r="A1014" s="22"/>
      <c r="B1014" s="594"/>
      <c r="C1014" s="595">
        <v>3</v>
      </c>
      <c r="D1014" s="595">
        <v>4</v>
      </c>
      <c r="E1014" s="595">
        <v>5</v>
      </c>
      <c r="F1014" s="595">
        <v>6</v>
      </c>
      <c r="G1014" s="595">
        <v>7</v>
      </c>
      <c r="H1014" s="595">
        <v>8</v>
      </c>
      <c r="I1014" s="595">
        <v>9</v>
      </c>
      <c r="J1014" s="595">
        <v>10</v>
      </c>
      <c r="K1014" s="595">
        <v>11</v>
      </c>
      <c r="L1014" s="595">
        <v>12</v>
      </c>
      <c r="M1014" s="595">
        <v>13</v>
      </c>
      <c r="N1014" s="595">
        <v>14</v>
      </c>
      <c r="O1014" s="595">
        <v>15</v>
      </c>
      <c r="P1014" s="596">
        <v>16</v>
      </c>
      <c r="Q1014" s="597">
        <v>17</v>
      </c>
      <c r="R1014" s="596">
        <v>18</v>
      </c>
      <c r="S1014" s="597">
        <v>19</v>
      </c>
      <c r="T1014" s="598">
        <v>20</v>
      </c>
      <c r="U1014" s="255">
        <v>21</v>
      </c>
      <c r="V1014" s="599">
        <v>22</v>
      </c>
      <c r="X1014" s="589"/>
      <c r="Y1014" s="590"/>
    </row>
    <row r="1015" spans="1:29" s="44" customFormat="1" ht="51">
      <c r="A1015" s="42" t="str">
        <f>"A"&amp;E1011</f>
        <v>A34</v>
      </c>
      <c r="B1015" s="605">
        <f>IF(C1015&lt;&gt;"",B1014+1,"")</f>
        <v>1</v>
      </c>
      <c r="C1015" s="581" t="s">
        <v>655</v>
      </c>
      <c r="D1015" s="581" t="s">
        <v>656</v>
      </c>
      <c r="E1015" s="581" t="s">
        <v>657</v>
      </c>
      <c r="F1015" s="581" t="s">
        <v>431</v>
      </c>
      <c r="G1015" s="534">
        <v>0.3</v>
      </c>
      <c r="H1015" s="534" t="s">
        <v>385</v>
      </c>
      <c r="I1015" s="579">
        <v>1</v>
      </c>
      <c r="J1015" s="580" t="str">
        <f>IF(I1015="","",IF(I1015="I",$F1011,VLOOKUP(I1015,$C1032:$D1037,2,0)))</f>
        <v>ANA ISABEL HENDE CARREÑO</v>
      </c>
      <c r="K1015" s="535">
        <v>39218</v>
      </c>
      <c r="L1015" s="535">
        <v>39706</v>
      </c>
      <c r="M1015" s="536">
        <v>2364.2199999999998</v>
      </c>
      <c r="N1015" s="232">
        <f t="shared" ref="N1015:N1024" si="203">IF(OR(G1015="",M1015=""),"",M1015*G1015)</f>
        <v>709.26599999999996</v>
      </c>
      <c r="O1015" s="260">
        <f t="shared" ref="O1015:O1024" si="204">IF(OR(H1015="",H1015="NO",K1015&lt;$Q$17,K1015&gt;$R$17,K1015="",M1015="",N1015=""),"",ROUND(N1015,7))</f>
        <v>709.26599999999996</v>
      </c>
      <c r="P1015" s="781"/>
      <c r="Q1015" s="782"/>
      <c r="R1015" s="767"/>
      <c r="S1015" s="768"/>
      <c r="T1015" s="538" t="s">
        <v>385</v>
      </c>
      <c r="U1015" s="539">
        <v>5</v>
      </c>
      <c r="V1015" s="641" t="s">
        <v>385</v>
      </c>
      <c r="X1015" s="541" t="s">
        <v>386</v>
      </c>
      <c r="Y1015" s="541" t="s">
        <v>387</v>
      </c>
    </row>
    <row r="1016" spans="1:29" s="44" customFormat="1" ht="38.25">
      <c r="A1016" s="42" t="str">
        <f>"B"&amp;E1011</f>
        <v>B34</v>
      </c>
      <c r="B1016" s="605">
        <f t="shared" ref="B1016:B1024" si="205">IF(C1016&lt;&gt;"",B1015+1,"")</f>
        <v>2</v>
      </c>
      <c r="C1016" s="581" t="s">
        <v>658</v>
      </c>
      <c r="D1016" s="581" t="s">
        <v>659</v>
      </c>
      <c r="E1016" s="581" t="s">
        <v>660</v>
      </c>
      <c r="F1016" s="581" t="s">
        <v>431</v>
      </c>
      <c r="G1016" s="534">
        <v>0.33</v>
      </c>
      <c r="H1016" s="534" t="s">
        <v>385</v>
      </c>
      <c r="I1016" s="579">
        <v>1</v>
      </c>
      <c r="J1016" s="580" t="str">
        <f>IF(I1016="","",IF(I1016="I",$F1011,VLOOKUP(I1016,$C1032:$D1037,2,0)))</f>
        <v>ANA ISABEL HENDE CARREÑO</v>
      </c>
      <c r="K1016" s="535">
        <v>41127</v>
      </c>
      <c r="L1016" s="535">
        <v>41396</v>
      </c>
      <c r="M1016" s="536">
        <v>811.75</v>
      </c>
      <c r="N1016" s="232">
        <f t="shared" si="203"/>
        <v>267.8775</v>
      </c>
      <c r="O1016" s="260">
        <f t="shared" si="204"/>
        <v>267.8775</v>
      </c>
      <c r="P1016" s="781"/>
      <c r="Q1016" s="782"/>
      <c r="R1016" s="767"/>
      <c r="S1016" s="768"/>
      <c r="T1016" s="538" t="s">
        <v>385</v>
      </c>
      <c r="U1016" s="539">
        <v>6</v>
      </c>
      <c r="V1016" s="641" t="s">
        <v>385</v>
      </c>
      <c r="X1016" s="541" t="s">
        <v>463</v>
      </c>
      <c r="Y1016" s="541" t="s">
        <v>387</v>
      </c>
    </row>
    <row r="1017" spans="1:29" s="44" customFormat="1" ht="63.75">
      <c r="A1017" s="42" t="str">
        <f>"C"&amp;E1011</f>
        <v>C34</v>
      </c>
      <c r="B1017" s="605">
        <f t="shared" si="205"/>
        <v>3</v>
      </c>
      <c r="C1017" s="581" t="s">
        <v>661</v>
      </c>
      <c r="D1017" s="581" t="s">
        <v>662</v>
      </c>
      <c r="E1017" s="581" t="s">
        <v>663</v>
      </c>
      <c r="F1017" s="581" t="s">
        <v>533</v>
      </c>
      <c r="G1017" s="534">
        <v>0.02</v>
      </c>
      <c r="H1017" s="534" t="s">
        <v>385</v>
      </c>
      <c r="I1017" s="579">
        <v>1</v>
      </c>
      <c r="J1017" s="580" t="str">
        <f>IF(I1017="","",IF(I1017="I",$F1011,VLOOKUP(I1017,$C1032:$D1037,2,0)))</f>
        <v>ANA ISABEL HENDE CARREÑO</v>
      </c>
      <c r="K1017" s="535">
        <v>43286</v>
      </c>
      <c r="L1017" s="535">
        <v>43738</v>
      </c>
      <c r="M1017" s="536">
        <v>349.35</v>
      </c>
      <c r="N1017" s="232">
        <f t="shared" si="203"/>
        <v>6.987000000000001</v>
      </c>
      <c r="O1017" s="260">
        <f t="shared" si="204"/>
        <v>6.9870000000000001</v>
      </c>
      <c r="P1017" s="781"/>
      <c r="Q1017" s="782"/>
      <c r="R1017" s="841" t="s">
        <v>664</v>
      </c>
      <c r="S1017" s="842"/>
      <c r="T1017" s="538" t="s">
        <v>385</v>
      </c>
      <c r="U1017" s="539">
        <v>38</v>
      </c>
      <c r="V1017" s="641" t="s">
        <v>385</v>
      </c>
      <c r="X1017" s="541" t="s">
        <v>386</v>
      </c>
      <c r="Y1017" s="541" t="s">
        <v>435</v>
      </c>
    </row>
    <row r="1018" spans="1:29" s="44" customFormat="1" ht="48.75" customHeight="1">
      <c r="A1018" s="42" t="str">
        <f>"D"&amp;E1011</f>
        <v>D34</v>
      </c>
      <c r="B1018" s="605">
        <f t="shared" si="205"/>
        <v>4</v>
      </c>
      <c r="C1018" s="581" t="s">
        <v>649</v>
      </c>
      <c r="D1018" s="581" t="s">
        <v>665</v>
      </c>
      <c r="E1018" s="581" t="s">
        <v>666</v>
      </c>
      <c r="F1018" s="581" t="s">
        <v>431</v>
      </c>
      <c r="G1018" s="534">
        <v>0.5</v>
      </c>
      <c r="H1018" s="534" t="s">
        <v>385</v>
      </c>
      <c r="I1018" s="579">
        <v>2</v>
      </c>
      <c r="J1018" s="580" t="str">
        <f>IF(I1018="","",IF(I1018="I",$F1011,VLOOKUP(I1018,$C1032:$D1037,2,0)))</f>
        <v>O.P.H. INGENIEROS ASOCIADOS S.A.S.</v>
      </c>
      <c r="K1018" s="535">
        <v>40464</v>
      </c>
      <c r="L1018" s="535">
        <v>40709</v>
      </c>
      <c r="M1018" s="536">
        <v>925.92</v>
      </c>
      <c r="N1018" s="232">
        <f t="shared" si="203"/>
        <v>462.96</v>
      </c>
      <c r="O1018" s="260">
        <f t="shared" si="204"/>
        <v>462.96</v>
      </c>
      <c r="P1018" s="781"/>
      <c r="Q1018" s="782"/>
      <c r="R1018" s="767"/>
      <c r="S1018" s="768"/>
      <c r="T1018" s="538" t="s">
        <v>385</v>
      </c>
      <c r="U1018" s="539">
        <v>7</v>
      </c>
      <c r="V1018" s="641" t="s">
        <v>385</v>
      </c>
      <c r="X1018" s="541" t="s">
        <v>449</v>
      </c>
      <c r="Y1018" s="541" t="s">
        <v>387</v>
      </c>
    </row>
    <row r="1019" spans="1:29" s="44" customFormat="1" ht="24.95" customHeight="1">
      <c r="A1019" s="42" t="str">
        <f>"E"&amp;E1011</f>
        <v>E34</v>
      </c>
      <c r="B1019" s="605" t="str">
        <f t="shared" si="205"/>
        <v/>
      </c>
      <c r="C1019" s="581"/>
      <c r="D1019" s="581"/>
      <c r="E1019" s="581"/>
      <c r="F1019" s="581"/>
      <c r="G1019" s="534"/>
      <c r="H1019" s="534"/>
      <c r="I1019" s="579"/>
      <c r="J1019" s="580" t="str">
        <f>IF(I1019="","",IF(I1019="I",$F1011,VLOOKUP(I1019,$C1032:$D1037,2,0)))</f>
        <v/>
      </c>
      <c r="K1019" s="535"/>
      <c r="L1019" s="535"/>
      <c r="M1019" s="536"/>
      <c r="N1019" s="232" t="str">
        <f t="shared" si="203"/>
        <v/>
      </c>
      <c r="O1019" s="260" t="str">
        <f t="shared" si="204"/>
        <v/>
      </c>
      <c r="P1019" s="781"/>
      <c r="Q1019" s="782"/>
      <c r="R1019" s="767"/>
      <c r="S1019" s="768"/>
      <c r="T1019" s="538"/>
      <c r="U1019" s="539"/>
      <c r="V1019" s="540"/>
      <c r="X1019" s="541"/>
      <c r="Y1019" s="541"/>
    </row>
    <row r="1020" spans="1:29" s="44" customFormat="1" ht="24.95" customHeight="1">
      <c r="A1020" s="42" t="str">
        <f>"F"&amp;E1011</f>
        <v>F34</v>
      </c>
      <c r="B1020" s="605" t="str">
        <f t="shared" si="205"/>
        <v/>
      </c>
      <c r="C1020" s="581"/>
      <c r="D1020" s="581"/>
      <c r="E1020" s="581"/>
      <c r="F1020" s="581"/>
      <c r="G1020" s="534"/>
      <c r="H1020" s="534"/>
      <c r="I1020" s="579"/>
      <c r="J1020" s="580" t="str">
        <f>IF(I1020="","",IF(I1020="I",$F1011,VLOOKUP(I1020,$C1032:$D1037,2,0)))</f>
        <v/>
      </c>
      <c r="K1020" s="535"/>
      <c r="L1020" s="535"/>
      <c r="M1020" s="536"/>
      <c r="N1020" s="232" t="str">
        <f t="shared" si="203"/>
        <v/>
      </c>
      <c r="O1020" s="260" t="str">
        <f t="shared" si="204"/>
        <v/>
      </c>
      <c r="P1020" s="781"/>
      <c r="Q1020" s="782"/>
      <c r="R1020" s="767"/>
      <c r="S1020" s="768"/>
      <c r="T1020" s="538"/>
      <c r="U1020" s="539"/>
      <c r="V1020" s="540"/>
      <c r="X1020" s="541"/>
      <c r="Y1020" s="541"/>
    </row>
    <row r="1021" spans="1:29" s="44" customFormat="1" ht="24.95" customHeight="1">
      <c r="A1021" s="42" t="str">
        <f>"G"&amp;E1011</f>
        <v>G34</v>
      </c>
      <c r="B1021" s="605" t="str">
        <f t="shared" si="205"/>
        <v/>
      </c>
      <c r="C1021" s="581"/>
      <c r="D1021" s="581"/>
      <c r="E1021" s="581"/>
      <c r="F1021" s="581"/>
      <c r="G1021" s="534"/>
      <c r="H1021" s="534"/>
      <c r="I1021" s="579"/>
      <c r="J1021" s="580" t="str">
        <f>IF(I1021="","",IF(I1021="I",$F1011,VLOOKUP(I1021,$C1032:$D1037,2,0)))</f>
        <v/>
      </c>
      <c r="K1021" s="535"/>
      <c r="L1021" s="535"/>
      <c r="M1021" s="536"/>
      <c r="N1021" s="43" t="str">
        <f t="shared" si="203"/>
        <v/>
      </c>
      <c r="O1021" s="260" t="str">
        <f t="shared" si="204"/>
        <v/>
      </c>
      <c r="P1021" s="781"/>
      <c r="Q1021" s="782"/>
      <c r="R1021" s="767"/>
      <c r="S1021" s="768"/>
      <c r="T1021" s="538"/>
      <c r="U1021" s="539"/>
      <c r="V1021" s="540"/>
      <c r="X1021" s="541"/>
      <c r="Y1021" s="541"/>
    </row>
    <row r="1022" spans="1:29" s="44" customFormat="1" ht="24.95" customHeight="1">
      <c r="A1022" s="42" t="str">
        <f>"H"&amp;E1011</f>
        <v>H34</v>
      </c>
      <c r="B1022" s="605" t="str">
        <f t="shared" si="205"/>
        <v/>
      </c>
      <c r="C1022" s="581"/>
      <c r="D1022" s="638"/>
      <c r="E1022" s="581"/>
      <c r="F1022" s="581"/>
      <c r="G1022" s="534"/>
      <c r="H1022" s="534"/>
      <c r="I1022" s="579"/>
      <c r="J1022" s="580" t="str">
        <f>IF(I1022="","",IF(I1022="I",$F1011,VLOOKUP(I1022,$C1032:$D1037,2,0)))</f>
        <v/>
      </c>
      <c r="K1022" s="535"/>
      <c r="L1022" s="535"/>
      <c r="M1022" s="537"/>
      <c r="N1022" s="43" t="str">
        <f t="shared" si="203"/>
        <v/>
      </c>
      <c r="O1022" s="260" t="str">
        <f t="shared" si="204"/>
        <v/>
      </c>
      <c r="P1022" s="781"/>
      <c r="Q1022" s="782"/>
      <c r="R1022" s="767"/>
      <c r="S1022" s="768"/>
      <c r="T1022" s="538"/>
      <c r="U1022" s="539"/>
      <c r="V1022" s="540"/>
      <c r="X1022" s="541"/>
      <c r="Y1022" s="541"/>
    </row>
    <row r="1023" spans="1:29" s="44" customFormat="1" ht="24.95" customHeight="1">
      <c r="A1023" s="42" t="str">
        <f>"I"&amp;E1011</f>
        <v>I34</v>
      </c>
      <c r="B1023" s="605" t="str">
        <f t="shared" si="205"/>
        <v/>
      </c>
      <c r="C1023" s="581"/>
      <c r="D1023" s="581"/>
      <c r="E1023" s="581"/>
      <c r="F1023" s="581"/>
      <c r="G1023" s="534"/>
      <c r="H1023" s="534"/>
      <c r="I1023" s="579"/>
      <c r="J1023" s="580" t="str">
        <f>IF(I1023="","",IF(I1023="I",$F1011,VLOOKUP(I1023,$C1032:$D1037,2,0)))</f>
        <v/>
      </c>
      <c r="K1023" s="535"/>
      <c r="L1023" s="535"/>
      <c r="M1023" s="537"/>
      <c r="N1023" s="43" t="str">
        <f t="shared" si="203"/>
        <v/>
      </c>
      <c r="O1023" s="260" t="str">
        <f t="shared" si="204"/>
        <v/>
      </c>
      <c r="P1023" s="781"/>
      <c r="Q1023" s="782"/>
      <c r="R1023" s="767"/>
      <c r="S1023" s="768"/>
      <c r="T1023" s="538"/>
      <c r="U1023" s="539"/>
      <c r="V1023" s="540"/>
      <c r="X1023" s="541"/>
      <c r="Y1023" s="541"/>
    </row>
    <row r="1024" spans="1:29" s="44" customFormat="1" ht="24.95" customHeight="1" thickBot="1">
      <c r="A1024" s="42" t="str">
        <f>"J"&amp;E1011</f>
        <v>J34</v>
      </c>
      <c r="B1024" s="612" t="str">
        <f t="shared" si="205"/>
        <v/>
      </c>
      <c r="C1024" s="582"/>
      <c r="D1024" s="582"/>
      <c r="E1024" s="582"/>
      <c r="F1024" s="582"/>
      <c r="G1024" s="583"/>
      <c r="H1024" s="583"/>
      <c r="I1024" s="584"/>
      <c r="J1024" s="585" t="str">
        <f>IF(I1024="","",IF(I1024="I",$F1011,VLOOKUP(I1024,$C1032:$D1037,2,0)))</f>
        <v/>
      </c>
      <c r="K1024" s="586"/>
      <c r="L1024" s="586"/>
      <c r="M1024" s="587"/>
      <c r="N1024" s="43" t="str">
        <f t="shared" si="203"/>
        <v/>
      </c>
      <c r="O1024" s="260" t="str">
        <f t="shared" si="204"/>
        <v/>
      </c>
      <c r="P1024" s="781"/>
      <c r="Q1024" s="782"/>
      <c r="R1024" s="767"/>
      <c r="S1024" s="768"/>
      <c r="T1024" s="538"/>
      <c r="U1024" s="539"/>
      <c r="V1024" s="540"/>
      <c r="X1024" s="541"/>
      <c r="Y1024" s="541"/>
    </row>
    <row r="1025" spans="1:29" s="27" customFormat="1" ht="12" customHeight="1" thickBot="1">
      <c r="A1025" s="42"/>
      <c r="B1025" s="45"/>
      <c r="C1025" s="46"/>
      <c r="D1025" s="46"/>
      <c r="E1025" s="46"/>
      <c r="F1025" s="46"/>
      <c r="G1025" s="46"/>
      <c r="H1025" s="606"/>
      <c r="I1025" s="46"/>
      <c r="J1025" s="46"/>
      <c r="K1025" s="46"/>
      <c r="L1025" s="46"/>
      <c r="M1025" s="46"/>
      <c r="N1025" s="46"/>
      <c r="O1025" s="259"/>
      <c r="P1025" s="46"/>
      <c r="Q1025" s="46"/>
      <c r="R1025" s="259"/>
      <c r="S1025" s="46"/>
      <c r="T1025" s="46"/>
      <c r="U1025" s="47"/>
      <c r="V1025" s="48"/>
      <c r="X1025" s="592"/>
      <c r="Y1025" s="593"/>
      <c r="AB1025" s="378"/>
    </row>
    <row r="1026" spans="1:29" s="27" customFormat="1" ht="17.25" customHeight="1" thickBot="1">
      <c r="A1026" s="42" t="str">
        <f>"Z"&amp;E1011</f>
        <v>Z34</v>
      </c>
      <c r="B1026" s="510"/>
      <c r="C1026" s="511"/>
      <c r="D1026" s="511"/>
      <c r="E1026" s="511"/>
      <c r="F1026" s="511"/>
      <c r="G1026" s="511"/>
      <c r="H1026" s="511"/>
      <c r="I1026" s="511"/>
      <c r="J1026" s="511"/>
      <c r="K1026" s="511"/>
      <c r="L1026" s="511"/>
      <c r="M1026" s="511"/>
      <c r="N1026" s="437" t="s">
        <v>388</v>
      </c>
      <c r="O1026" s="438">
        <f>IF(COUNTIF(O1015:O1024,"")&gt;9,0,SUM(O1015:O1024)/(COUNTIF(H1015:H1024,"SI")))</f>
        <v>361.77262499999995</v>
      </c>
      <c r="P1026" s="511"/>
      <c r="Q1026" s="511"/>
      <c r="R1026" s="530"/>
      <c r="S1026" s="530"/>
      <c r="T1026" s="531"/>
      <c r="U1026" s="532"/>
      <c r="V1026" s="533"/>
      <c r="W1026" s="285"/>
      <c r="X1026" s="613" t="e">
        <f>COUNTIF(#REF!,"")-COUNTIF(#REF!,"CUMPLE")-1</f>
        <v>#REF!</v>
      </c>
      <c r="Y1026" s="591"/>
      <c r="AB1026" s="28"/>
    </row>
    <row r="1027" spans="1:29" ht="17.25" customHeight="1">
      <c r="B1027" s="50"/>
      <c r="C1027" s="50"/>
      <c r="D1027" s="50"/>
      <c r="E1027" s="50"/>
      <c r="F1027" s="50"/>
      <c r="G1027" s="51"/>
      <c r="H1027" s="51"/>
      <c r="I1027" s="51"/>
      <c r="J1027" s="51"/>
      <c r="K1027" s="51"/>
      <c r="L1027" s="51"/>
      <c r="M1027" s="51"/>
      <c r="N1027" s="51"/>
      <c r="O1027" s="51"/>
      <c r="P1027" s="51"/>
      <c r="Q1027" s="51"/>
      <c r="R1027" s="51"/>
      <c r="S1027" s="51"/>
      <c r="T1027" s="51"/>
      <c r="U1027" s="51"/>
      <c r="V1027" s="51"/>
      <c r="W1027" s="51"/>
      <c r="X1027" s="608"/>
      <c r="Y1027" s="51"/>
      <c r="Z1027" s="51"/>
      <c r="AA1027" s="51"/>
      <c r="AB1027" s="51"/>
      <c r="AC1027" s="50"/>
    </row>
    <row r="1028" spans="1:29" s="27" customFormat="1" ht="16.5" customHeight="1" thickBot="1">
      <c r="A1028" s="22"/>
      <c r="B1028" s="783" t="s">
        <v>389</v>
      </c>
      <c r="C1028" s="783"/>
      <c r="D1028" s="783"/>
      <c r="E1028" s="783"/>
      <c r="F1028" s="783"/>
      <c r="G1028" s="783"/>
      <c r="H1028" s="783"/>
      <c r="I1028" s="783"/>
      <c r="J1028" s="783"/>
      <c r="K1028" s="783"/>
      <c r="L1028" s="783"/>
      <c r="M1028" s="783"/>
      <c r="N1028" s="783"/>
      <c r="O1028" s="783"/>
      <c r="P1028" s="783"/>
      <c r="Q1028" s="783"/>
      <c r="R1028" s="783"/>
      <c r="S1028" s="783"/>
      <c r="T1028" s="783"/>
      <c r="U1028" s="783"/>
      <c r="V1028" s="783"/>
      <c r="W1028" s="286"/>
      <c r="X1028" s="607"/>
      <c r="Y1028" s="52"/>
      <c r="Z1028" s="52"/>
      <c r="AA1028" s="52"/>
      <c r="AB1028" s="28"/>
      <c r="AC1028" s="28"/>
    </row>
    <row r="1029" spans="1:29" s="30" customFormat="1" ht="22.5" customHeight="1">
      <c r="A1029" s="112" t="str">
        <f>"K"&amp;E1011</f>
        <v>K34</v>
      </c>
      <c r="B1029" s="790" t="s">
        <v>390</v>
      </c>
      <c r="C1029" s="772" t="s">
        <v>391</v>
      </c>
      <c r="D1029" s="773"/>
      <c r="E1029" s="773"/>
      <c r="F1029" s="773"/>
      <c r="G1029" s="773"/>
      <c r="H1029" s="773"/>
      <c r="I1029" s="773"/>
      <c r="J1029" s="773"/>
      <c r="K1029" s="773"/>
      <c r="L1029" s="773"/>
      <c r="M1029" s="774"/>
      <c r="N1029" s="525"/>
      <c r="O1029" s="588"/>
      <c r="P1029" s="772" t="s">
        <v>392</v>
      </c>
      <c r="Q1029" s="773"/>
      <c r="R1029" s="773"/>
      <c r="S1029" s="774"/>
      <c r="T1029" s="784" t="s">
        <v>393</v>
      </c>
      <c r="U1029" s="774"/>
      <c r="V1029" s="811"/>
      <c r="W1029" s="284"/>
      <c r="X1029" s="778" t="s">
        <v>394</v>
      </c>
      <c r="Y1029" s="779"/>
      <c r="Z1029" s="779"/>
      <c r="AA1029" s="779" t="s">
        <v>395</v>
      </c>
      <c r="AB1029" s="808" t="s">
        <v>396</v>
      </c>
      <c r="AC1029" s="28"/>
    </row>
    <row r="1030" spans="1:29" s="30" customFormat="1" ht="22.5" customHeight="1">
      <c r="A1030" s="112" t="str">
        <f>"L"&amp;E1011</f>
        <v>L34</v>
      </c>
      <c r="B1030" s="791"/>
      <c r="C1030" s="769" t="s">
        <v>397</v>
      </c>
      <c r="D1030" s="770"/>
      <c r="E1030" s="771"/>
      <c r="F1030" s="512">
        <f>IF(VLOOKUP(E1011,PROPONENTES!$C$19:$E$108,3,0)="","",VLOOKUP(E1011,PROPONENTES!$C$19:$E$108,3,0))</f>
        <v>2</v>
      </c>
      <c r="G1030" s="824" t="s">
        <v>398</v>
      </c>
      <c r="H1030" s="793" t="s">
        <v>399</v>
      </c>
      <c r="I1030" s="793"/>
      <c r="J1030" s="769" t="s">
        <v>400</v>
      </c>
      <c r="K1030" s="823"/>
      <c r="L1030" s="513" t="s">
        <v>401</v>
      </c>
      <c r="M1030" s="513"/>
      <c r="N1030" s="526"/>
      <c r="O1030" s="527"/>
      <c r="P1030" s="775"/>
      <c r="Q1030" s="776"/>
      <c r="R1030" s="776"/>
      <c r="S1030" s="777"/>
      <c r="T1030" s="796"/>
      <c r="U1030" s="797"/>
      <c r="V1030" s="812"/>
      <c r="W1030" s="284"/>
      <c r="X1030" s="780" t="s">
        <v>402</v>
      </c>
      <c r="Y1030" s="810" t="s">
        <v>403</v>
      </c>
      <c r="Z1030" s="810"/>
      <c r="AA1030" s="810"/>
      <c r="AB1030" s="809"/>
      <c r="AC1030" s="28"/>
    </row>
    <row r="1031" spans="1:29" s="30" customFormat="1" ht="51.75" customHeight="1" thickBot="1">
      <c r="A1031" s="112" t="str">
        <f>"M"&amp;E1011</f>
        <v>M34</v>
      </c>
      <c r="B1031" s="791"/>
      <c r="C1031" s="770" t="s">
        <v>404</v>
      </c>
      <c r="D1031" s="771"/>
      <c r="E1031" s="514" t="s">
        <v>405</v>
      </c>
      <c r="F1031" s="515" t="s">
        <v>406</v>
      </c>
      <c r="G1031" s="824"/>
      <c r="H1031" s="793"/>
      <c r="I1031" s="793"/>
      <c r="J1031" s="504" t="s">
        <v>407</v>
      </c>
      <c r="K1031" s="516" t="s">
        <v>408</v>
      </c>
      <c r="L1031" s="517" t="s">
        <v>409</v>
      </c>
      <c r="M1031" s="517"/>
      <c r="N1031" s="528" t="s">
        <v>410</v>
      </c>
      <c r="O1031" s="529"/>
      <c r="P1031" s="386"/>
      <c r="Q1031" s="387" t="s">
        <v>411</v>
      </c>
      <c r="R1031" s="388"/>
      <c r="S1031" s="113">
        <f>COUNTIFS(H1015:H1024,"SI",O1015:O1024,"&gt;0")</f>
        <v>4</v>
      </c>
      <c r="T1031" s="785"/>
      <c r="U1031" s="787"/>
      <c r="V1031" s="813"/>
      <c r="W1031" s="284"/>
      <c r="X1031" s="780"/>
      <c r="Y1031" s="810"/>
      <c r="Z1031" s="810"/>
      <c r="AA1031" s="810"/>
      <c r="AB1031" s="809"/>
      <c r="AC1031" s="28"/>
    </row>
    <row r="1032" spans="1:29" s="30" customFormat="1" ht="24.75" customHeight="1">
      <c r="A1032" s="112" t="str">
        <f>"N"&amp;E1011</f>
        <v>N34</v>
      </c>
      <c r="B1032" s="791"/>
      <c r="C1032" s="54">
        <v>1</v>
      </c>
      <c r="D1032" s="100" t="str">
        <f>IF(AND(C1032&lt;=F1030,F1030&gt;1,F1030&lt;&gt;""),VLOOKUP(VALUE(E1011&amp;","&amp;C1032),INTEGRANTES!$D$19:$F$192,2,0),"")</f>
        <v>ANA ISABEL HENDE CARREÑO</v>
      </c>
      <c r="E1032" s="107">
        <f>IF(D1032&lt;&gt;"",VLOOKUP(VALUE(E1011&amp;","&amp;C1032),INTEGRANTES!$D$19:$F$192,3,0),"")</f>
        <v>0.05</v>
      </c>
      <c r="F1032" s="380">
        <f>IF(D1032="","",IF(OR(SUMIF($J1015:$J1024,D1032,$O1015:$O1024)=0,N1032="NO"),"NO APORTA",SUMIF($J1015:$J1024,D1032,$O1015:$O1024)))</f>
        <v>984.13049999999987</v>
      </c>
      <c r="G1032" s="380">
        <f ca="1">IF($D1032="","",IF($F1030&lt;=1,"",ROUND(POSMMLV*PORPO,2)))</f>
        <v>150</v>
      </c>
      <c r="H1032" s="765" t="str">
        <f ca="1">IF($D1032="","",IF(OR(F1032="NO APORTA",G1032&gt;F1032),"NO CUMPLE","CUMPLE"))</f>
        <v>CUMPLE</v>
      </c>
      <c r="I1032" s="766"/>
      <c r="J1032" s="108" t="str">
        <f ca="1">IF(D1032="","",IF(OR(AND(SUMIF($J1015:$J1024,D1032,$O1015:$O1024)&gt;=5%*POSMMLV,N1032="SI"),AND(SUMIF($J1015:$J1024,D1032,$O1015:$O1024)=0,E1032&lt;=5%,N1032="SI")),"CUMPLE","NO CUMPLE"))</f>
        <v>CUMPLE</v>
      </c>
      <c r="K1032" s="105" t="str">
        <f ca="1">IF(OR(D1032="",J1032=""),"",IF(AND(J1032="NO CUMPLE",F1032="NO APORTA",E1032&gt;5%),"EXP = 0 y PART &gt; 5%",IF(F1032&lt;5%*Q1037,"EXP &lt; 5%*PO","")))</f>
        <v/>
      </c>
      <c r="L1032" s="389" t="str">
        <f>IF(OR(D1032="",E1032=""),"",IF(AND(E1032&gt;=0.25,F1032&lt;&gt;"NO APORTA",F1032&gt;=$R1037*0.25),"SI","NO"))</f>
        <v>NO</v>
      </c>
      <c r="M1032" s="389"/>
      <c r="N1032" s="468" t="s">
        <v>385</v>
      </c>
      <c r="O1032" s="396">
        <f>COUNTIFS(O1015:O1024,"&gt;0",H1015:H1024,"SI")</f>
        <v>4</v>
      </c>
      <c r="P1032" s="814" t="s">
        <v>139</v>
      </c>
      <c r="Q1032" s="814"/>
      <c r="R1032" s="817">
        <f>E1011</f>
        <v>34</v>
      </c>
      <c r="S1032" s="818"/>
      <c r="T1032" s="784" t="s">
        <v>412</v>
      </c>
      <c r="U1032" s="773"/>
      <c r="V1032" s="774"/>
      <c r="W1032" s="283"/>
      <c r="X1032" s="542" t="str">
        <f>IF($F1030=1,"NO APLICA",$D1032)</f>
        <v>ANA ISABEL HENDE CARREÑO</v>
      </c>
      <c r="Y1032" s="543">
        <f ca="1">IF(OR($F1032="",$F1032="NO APORTA",$R1037=0,$X1032="NO APLICA"),"",ROUND($F1032/$Q1037,2))</f>
        <v>3.28</v>
      </c>
      <c r="Z1032" s="544" t="str">
        <f ca="1">IF(Y1038=1,"SI APLICA",IF(OR($X1032="",$X1032="NO APLICA",$F1032="",$F1032="NO APORTA"),"",IF(ROUND($F1032/Q1037,7)&gt;=0.4,"SI APLICA","NO APLICA")))</f>
        <v>SI APLICA</v>
      </c>
      <c r="AA1032" s="543" t="s">
        <v>413</v>
      </c>
      <c r="AB1032" s="540" t="str">
        <f ca="1">IF(COUNTIF(Z1032:AA1032,"SI APLICA")=2,"SI APLICA","")</f>
        <v>SI APLICA</v>
      </c>
      <c r="AC1032" s="28"/>
    </row>
    <row r="1033" spans="1:29" s="30" customFormat="1" ht="30.75" customHeight="1" thickBot="1">
      <c r="A1033" s="112" t="str">
        <f>"O"&amp;E1011</f>
        <v>O34</v>
      </c>
      <c r="B1033" s="791"/>
      <c r="C1033" s="54">
        <v>2</v>
      </c>
      <c r="D1033" s="100" t="str">
        <f>IF(AND(C1033&lt;=F1030,F1030&lt;&gt;""),VLOOKUP(VALUE(E1011&amp;","&amp;C1033),INTEGRANTES!$D$19:$F$192,2,0),"")</f>
        <v>O.P.H. INGENIEROS ASOCIADOS S.A.S.</v>
      </c>
      <c r="E1033" s="107">
        <f>IF(D1033&lt;&gt;"",VLOOKUP(VALUE(E1011&amp;","&amp;C1033),INTEGRANTES!$D$19:$F$192,3,0),"")</f>
        <v>0.95</v>
      </c>
      <c r="F1033" s="380">
        <f>IF(D1033="","",IF(OR(SUMIF($J1015:$J1024,D1033,$O1015:$O1024)=0,N1033="NO"),"NO APORTA",SUMIF($J1015:$J1024,D1033,$O1015:$O1024)))</f>
        <v>462.96</v>
      </c>
      <c r="G1033" s="380">
        <f ca="1">IF($D1033="","",IF($F1030&lt;=1,"",ROUND(POSMMLV*PORPO,2)))</f>
        <v>150</v>
      </c>
      <c r="H1033" s="765" t="str">
        <f t="shared" ref="H1033:H1036" ca="1" si="206">IF($D1033="","",IF(OR(F1033="NO APORTA",G1033&gt;F1033),"NO CUMPLE","CUMPLE"))</f>
        <v>CUMPLE</v>
      </c>
      <c r="I1033" s="766"/>
      <c r="J1033" s="108" t="str">
        <f ca="1">IF(D1033="","",IF(OR(AND(SUMIF($J1015:$J1024,D1033,$O1015:$O1024)&gt;=5%*POSMMLV,N1033="SI"),AND(SUMIF($J1015:$J1024,D1033,$O1015:$O1024)=0,E1033&lt;=5%,N1033="SI")),"CUMPLE","NO CUMPLE"))</f>
        <v>CUMPLE</v>
      </c>
      <c r="K1033" s="105" t="str">
        <f ca="1">IF(OR(D1033="",J1033=""),"",IF(AND(J1033="NO CUMPLE",F1033="NO APORTA",E1033&gt;5%),"EXP = 0 y PART &gt; 5%",IF(F1033&lt;5%*Q1037,"EXP &lt; 5%*PO","")))</f>
        <v/>
      </c>
      <c r="L1033" s="389" t="str">
        <f>IF(OR(D1033="",E1033=""),"",IF(AND(E1033&gt;=0.25,F1033&lt;&gt;"NO APORTA",F1033&gt;=$R1037*0.25),"SI","NO"))</f>
        <v>SI</v>
      </c>
      <c r="M1033" s="389"/>
      <c r="N1033" s="468" t="s">
        <v>385</v>
      </c>
      <c r="O1033" s="396"/>
      <c r="P1033" s="815"/>
      <c r="Q1033" s="815"/>
      <c r="R1033" s="815"/>
      <c r="S1033" s="819"/>
      <c r="T1033" s="785"/>
      <c r="U1033" s="786"/>
      <c r="V1033" s="787"/>
      <c r="W1033" s="283"/>
      <c r="X1033" s="542" t="str">
        <f>IF($F1030=1,"NO APLICA",$D1033)</f>
        <v>O.P.H. INGENIEROS ASOCIADOS S.A.S.</v>
      </c>
      <c r="Y1033" s="543">
        <f ca="1">IF(OR($F1033="",$F1033="NO APORTA",$R1037=0,$X1033="NO APLICA"),"",ROUND($F1033/$Q1037,2))</f>
        <v>1.54</v>
      </c>
      <c r="Z1033" s="544" t="str">
        <f ca="1">IF(Y1038=1,"SI APLICA",IF(OR($X1033="",$X1033="NO APLICA",$F1033="",$F1033="NO APORTA"),"",IF(ROUND($F1033/Q1037,7)&gt;=0.4,"SI APLICA","NO APLICA")))</f>
        <v>SI APLICA</v>
      </c>
      <c r="AA1033" s="543" t="s">
        <v>516</v>
      </c>
      <c r="AB1033" s="540" t="str">
        <f t="shared" ref="AB1033" ca="1" si="207">IF(COUNTIF(Z1033:AA1033,"SI APLICA")=2,"SI APLICA","")</f>
        <v/>
      </c>
      <c r="AC1033" s="28"/>
    </row>
    <row r="1034" spans="1:29" s="30" customFormat="1" ht="15.75" customHeight="1">
      <c r="A1034" s="112" t="str">
        <f>"P"&amp;E1011</f>
        <v>P34</v>
      </c>
      <c r="B1034" s="791"/>
      <c r="C1034" s="54">
        <v>3</v>
      </c>
      <c r="D1034" s="100" t="str">
        <f>IF(AND(C1034&lt;=F1030,F1030&lt;&gt;""),VLOOKUP(VALUE(E1011&amp;","&amp;C1034),INTEGRANTES!$D$19:$F$192,2,0),"")</f>
        <v/>
      </c>
      <c r="E1034" s="107" t="str">
        <f>IF(D1034&lt;&gt;"",VLOOKUP(VALUE(E1011&amp;","&amp;C1034),INTEGRANTES!$D$19:$F$192,3,0),"")</f>
        <v/>
      </c>
      <c r="F1034" s="380" t="str">
        <f>IF(D1034="","",IF(OR(SUMIF($J1018:$J1024,D1034,$O1018:$O1024)=0,N1034="NO"),"NO APORTA",SUMIF($J1018:$J1024,D1034,$O1018:$O1024)))</f>
        <v/>
      </c>
      <c r="G1034" s="380" t="str">
        <f>IF($D1034="","",IF($F1030&lt;=1,"",ROUND(POSMMLV*PORPO,2)))</f>
        <v/>
      </c>
      <c r="H1034" s="765" t="str">
        <f t="shared" si="206"/>
        <v/>
      </c>
      <c r="I1034" s="766"/>
      <c r="J1034" s="108" t="str">
        <f>IF(D1034="","",IF(OR(AND(SUMIF($J1015:$J1024,D1034,$O1015:$O1024)&gt;=5%*POSMMLV,N1034="SI"),AND(SUMIF($J1015:$J1024,D1034,$O1015:$O1024)=0,E1034&lt;=5%,N1034="SI")),"CUMPLE","NO CUMPLE"))</f>
        <v/>
      </c>
      <c r="K1034" s="105" t="str">
        <f>IF(OR(D1034="",J1034=""),"",IF(AND(J1034="NO CUMPLE",F1034="NO APORTA",E1034&gt;5%),"EXP = 0 y PART &gt; 5%",IF(F1034&lt;5%*Q1037,"EXP &lt; 5%*PO","")))</f>
        <v/>
      </c>
      <c r="L1034" s="389" t="str">
        <f>IF(OR(D1034="",E1034=""),"",IF(AND(E1034&gt;=0.25,F1034&lt;&gt;"NO APORTA",F1034&gt;=$R1037*0.25),"SI","NO"))</f>
        <v/>
      </c>
      <c r="M1034" s="389"/>
      <c r="N1034" s="468"/>
      <c r="O1034" s="397"/>
      <c r="P1034" s="816"/>
      <c r="Q1034" s="816"/>
      <c r="R1034" s="816"/>
      <c r="S1034" s="820"/>
      <c r="T1034" s="308"/>
      <c r="U1034" s="308"/>
      <c r="V1034" s="309"/>
      <c r="W1034" s="284"/>
      <c r="X1034" s="542" t="str">
        <f>IF($F1030=1,"NO APLICA",$D1034)</f>
        <v/>
      </c>
      <c r="Y1034" s="543" t="str">
        <f>IF(OR($F1034="",$F1034="NO APORTA",$R1037=0,$X1034="NO APLICA"),"",ROUND($F1034/$Q1037,2))</f>
        <v/>
      </c>
      <c r="Z1034" s="544" t="str">
        <f>IF(Y1038=1,"SI APLICA",IF(OR($X1034="",$X1034="NO APLICA",$F1034="",$F1034="NO APORTA"),"",IF(ROUND($F1034/Q1037,7)&gt;=0.4,"SI APLICA","NO APLICA")))</f>
        <v/>
      </c>
      <c r="AA1034" s="543"/>
      <c r="AB1034" s="540" t="str">
        <f>IF(COUNTIF(Z1034:AA1034,"SI APLICA")=2,"SI APLICA","")</f>
        <v/>
      </c>
      <c r="AC1034" s="28"/>
    </row>
    <row r="1035" spans="1:29" s="30" customFormat="1" ht="15.75" customHeight="1">
      <c r="A1035" s="112" t="str">
        <f>"Q"&amp;E1011</f>
        <v>Q34</v>
      </c>
      <c r="B1035" s="791"/>
      <c r="C1035" s="54">
        <v>4</v>
      </c>
      <c r="D1035" s="100" t="str">
        <f>IF(AND(C1035&lt;=F1030,F1030&lt;&gt;""),VLOOKUP(VALUE(E1011&amp;","&amp;C1035),INTEGRANTES!$D$19:$F$192,2,0),"")</f>
        <v/>
      </c>
      <c r="E1035" s="107" t="str">
        <f>IF(D1035&lt;&gt;"",VLOOKUP(VALUE(E1011&amp;","&amp;C1035),INTEGRANTES!$D$19:$F$192,3,0),"")</f>
        <v/>
      </c>
      <c r="F1035" s="380" t="str">
        <f>IF(D1035="","",IF(OR(SUMIF($J1018:$J1024,D1035,$O1018:$O1024)=0,N1035="NO"),"NO APORTA",SUMIF($J1018:$J1024,D1035,$O1018:$O1024)))</f>
        <v/>
      </c>
      <c r="G1035" s="380" t="str">
        <f>IF($D1035="","",IF($F1030&lt;=1,"",ROUND(POSMMLV*PORPO,2)))</f>
        <v/>
      </c>
      <c r="H1035" s="765" t="str">
        <f t="shared" si="206"/>
        <v/>
      </c>
      <c r="I1035" s="766"/>
      <c r="J1035" s="108" t="str">
        <f>IF(D1035="","",IF(OR(AND(SUMIF($J1015:$J1024,D1035,$O1015:$O1024)&gt;=5%*POSMMLV,N1035="SI"),AND(SUMIF($J1015:$J1024,D1035,$O1015:$O1024)=0,E1035&lt;=5%,N1035="SI")),"CUMPLE","NO CUMPLE"))</f>
        <v/>
      </c>
      <c r="K1035" s="105" t="str">
        <f>IF(OR(D1035="",J1035=""),"",IF(AND(J1035="NO CUMPLE",F1035="NO APORTA",E1035&gt;5%),"EXP = 0 y PART &gt; 5%",IF(F1035&lt;5%*Q1037,"EXP &lt; 5%*PO","")))</f>
        <v/>
      </c>
      <c r="L1035" s="389" t="str">
        <f>IF(OR(D1035="",E1035=""),"",IF(AND(E1035&gt;=0.25,F1035&lt;&gt;"NO APORTA",F1035&gt;=$R1037*0.25),"SI","NO"))</f>
        <v/>
      </c>
      <c r="M1035" s="389"/>
      <c r="N1035" s="468"/>
      <c r="O1035" s="788" t="s">
        <v>414</v>
      </c>
      <c r="P1035" s="769" t="s">
        <v>415</v>
      </c>
      <c r="Q1035" s="770"/>
      <c r="R1035" s="770"/>
      <c r="S1035" s="771"/>
      <c r="T1035" s="284"/>
      <c r="U1035" s="284"/>
      <c r="V1035" s="310"/>
      <c r="W1035" s="284"/>
      <c r="X1035" s="542" t="str">
        <f>IF($F1030=1,"NO APLICA",$D1035)</f>
        <v/>
      </c>
      <c r="Y1035" s="543" t="str">
        <f>IF(OR($F1035="",$F1035="NO APORTA",$R1037=0,$X1035="NO APLICA"),"",ROUND($F1035/$Q1037,2))</f>
        <v/>
      </c>
      <c r="Z1035" s="544" t="str">
        <f>IF(Y1038=1,"SI APLICA",IF(OR($X1035="",$X1035="NO APLICA",$F1035="",$F1035="NO APORTA"),"",IF(ROUND($F1035/Q1037,7)&gt;=0.4,"SI APLICA","NO APLICA")))</f>
        <v/>
      </c>
      <c r="AA1035" s="543"/>
      <c r="AB1035" s="540" t="str">
        <f t="shared" ref="AB1035:AB1036" si="208">IF(COUNTIF(Z1035:AA1035,"SI APLICA")=2,"SI APLICA","")</f>
        <v/>
      </c>
      <c r="AC1035" s="28"/>
    </row>
    <row r="1036" spans="1:29" s="30" customFormat="1" ht="17.25" customHeight="1">
      <c r="A1036" s="112" t="str">
        <f>"R"&amp;E1011</f>
        <v>R34</v>
      </c>
      <c r="B1036" s="791"/>
      <c r="C1036" s="54">
        <v>5</v>
      </c>
      <c r="D1036" s="100" t="str">
        <f>IF(AND(C1036&lt;=F1030,F1030&lt;&gt;""),VLOOKUP(VALUE(E1011&amp;","&amp;C1036),INTEGRANTES!$D$19:$F$192,2,0),"")</f>
        <v/>
      </c>
      <c r="E1036" s="107" t="str">
        <f>IF(D1036&lt;&gt;"",VLOOKUP(VALUE(E1011&amp;","&amp;C1036),INTEGRANTES!$D$19:$F$192,3,0),"")</f>
        <v/>
      </c>
      <c r="F1036" s="380" t="str">
        <f>IF(D1036="","",IF(OR(SUMIF($J1018:$J1024,D1036,$O1018:$O1024)=0,N1036="NO"),"NO APORTA",SUMIF($J1018:$J1024,D1036,$O1018:$O1024)))</f>
        <v/>
      </c>
      <c r="G1036" s="380" t="str">
        <f>IF($D1036="","",IF($F1030&lt;=1,"",ROUND(POSMMLV*PORPO,2)))</f>
        <v/>
      </c>
      <c r="H1036" s="765" t="str">
        <f t="shared" si="206"/>
        <v/>
      </c>
      <c r="I1036" s="766"/>
      <c r="J1036" s="108" t="str">
        <f>IF(D1036="","",IF(OR(AND(SUMIF($J1015:$J1024,D1036,$O1015:$O1024)&gt;=5%*POSMMLV,N1036="SI"),AND(SUMIF($J1015:$J1024,D1036,$O1015:$O1024)=0,E1036&lt;=5%,N1036="SI")),"CUMPLE","NO CUMPLE"))</f>
        <v/>
      </c>
      <c r="K1036" s="105" t="str">
        <f>IF(OR(D1036="",J1036=""),"",IF(AND(J1036="NO CUMPLE",F1036="NO APORTA",E1036&gt;5%),"EXP = 0 y PART &gt; 5%",IF(F1036&lt;5%*Q1037,"EXP &lt; 5%*PO","")))</f>
        <v/>
      </c>
      <c r="L1036" s="389" t="str">
        <f>IF(OR(D1036="",E1036=""),"",IF(AND(E1036&gt;=0.25,F1036&lt;&gt;"NO APORTA",F1036&gt;=$R1037*0.25),"SI","NO"))</f>
        <v/>
      </c>
      <c r="M1036" s="389"/>
      <c r="N1036" s="468"/>
      <c r="O1036" s="789"/>
      <c r="P1036" s="504" t="s">
        <v>416</v>
      </c>
      <c r="Q1036" s="504" t="s">
        <v>417</v>
      </c>
      <c r="R1036" s="793" t="s">
        <v>418</v>
      </c>
      <c r="S1036" s="793"/>
      <c r="T1036" s="284"/>
      <c r="U1036" s="284"/>
      <c r="V1036" s="310"/>
      <c r="W1036" s="284"/>
      <c r="X1036" s="542" t="str">
        <f>IF($F1030=1,"NO APLICA",$D1036)</f>
        <v/>
      </c>
      <c r="Y1036" s="543" t="str">
        <f>IF(OR($F1036="",$F1036="NO APORTA",$R1037=0,$X1036="NO APLICA"),"",ROUND($F1036/$Q1037,2))</f>
        <v/>
      </c>
      <c r="Z1036" s="544" t="str">
        <f>IF(Y1038=1,"SI APLICA",IF(OR($X1036="",$X1036="NO APLICA",$F1036="",$F1036="NO APORTA"),"",IF(ROUND($F1036/Q1037,7)&gt;=0.4,"SI APLICA","NO APLICA")))</f>
        <v/>
      </c>
      <c r="AA1036" s="543"/>
      <c r="AB1036" s="540" t="str">
        <f t="shared" si="208"/>
        <v/>
      </c>
      <c r="AC1036" s="28"/>
    </row>
    <row r="1037" spans="1:29" s="30" customFormat="1" ht="16.5" customHeight="1" thickBot="1">
      <c r="A1037" s="112" t="str">
        <f>"S"&amp;E1011</f>
        <v>S34</v>
      </c>
      <c r="B1037" s="791"/>
      <c r="C1037" s="109">
        <v>6</v>
      </c>
      <c r="D1037" s="110" t="str">
        <f>IF(AND(C1037&lt;=F1030,F1030&lt;&gt;""),VLOOKUP(VALUE(E1011&amp;","&amp;C1037),INTEGRANTES!$D$19:$F$192,2,0),"")</f>
        <v/>
      </c>
      <c r="E1037" s="111" t="str">
        <f>IF(D1037&lt;&gt;"",VLOOKUP(VALUE(E1011&amp;","&amp;C1037),INTEGRANTES!$D$19:$F$192,3,0),"")</f>
        <v/>
      </c>
      <c r="F1037" s="380" t="str">
        <f>IF(D1037="","",IF(OR(SUMIF($J1018:$J1024,D1037,$O1018:$O1024)=0,N1037="NO"),"NO APORTA",SUMIF($J1018:$J1024,D1037,$O1018:$O1024)))</f>
        <v/>
      </c>
      <c r="G1037" s="380" t="str">
        <f>IF($D1037="","",IF($F1030&lt;=1,"",ROUND(POSMMLV*PORPO,2)))</f>
        <v/>
      </c>
      <c r="H1037" s="765" t="str">
        <f>IF($D1037="","",IF(OR(F1037="NO APORTA",G1037&gt;F1037),"NO CUMPLE","CUMPLE"))</f>
        <v/>
      </c>
      <c r="I1037" s="766"/>
      <c r="J1037" s="108" t="str">
        <f>IF(D1037="","",IF(OR(AND(SUMIF($J1015:$J1024,D1037,$O1015:$O1024)&gt;=5%*POSMMLV,N1037="SI"),AND(SUMIF($J1015:$J1024,D1037,$O1015:$O1024)=0,E1037&lt;=5%,N1037="SI")),"CUMPLE","NO CUMPLE"))</f>
        <v/>
      </c>
      <c r="K1037" s="105" t="str">
        <f>IF(OR(D1037="",J1037=""),"",IF(AND(J1037="NO CUMPLE",F1037="NO APORTA",E1037&gt;5%),"EXP = 0 y PART &gt; 5%",IF(F1037&lt;5%*Q1037,"EXP &lt; 5%*PO","")))</f>
        <v/>
      </c>
      <c r="L1037" s="389" t="str">
        <f>IF(OR(D1037="",E1037=""),"",IF(AND(E1037&gt;=0.25,F1037&lt;&gt;"NO APORTA",F1037&gt;=$R1037*0.25),"SI","NO"))</f>
        <v/>
      </c>
      <c r="M1037" s="389"/>
      <c r="N1037" s="468"/>
      <c r="O1037" s="403" t="str">
        <f ca="1">IF(R1037&gt;=Q1037,"CUMPLE","NO CUMPLE")</f>
        <v>CUMPLE</v>
      </c>
      <c r="P1037" s="312">
        <f>NUMMOD</f>
        <v>1</v>
      </c>
      <c r="Q1037" s="313">
        <f ca="1">IF(P1037="","",ROUND(VLOOKUP(P1037,PRESUPUESTOS!$B$16:$L$16,9,FALSE),7))</f>
        <v>300</v>
      </c>
      <c r="R1037" s="834">
        <f>IF(OR(COUNTIF(O1015:O1024,"")&gt;9,S1031&lt;NUMMINCONT),0,SUM(O1015:O1024))</f>
        <v>1447.0904999999998</v>
      </c>
      <c r="S1037" s="834"/>
      <c r="T1037" s="284"/>
      <c r="U1037" s="284"/>
      <c r="V1037" s="310"/>
      <c r="W1037" s="284"/>
      <c r="X1037" s="545" t="str">
        <f>IF($F1030=1,"NO APLICA",$D1037)</f>
        <v/>
      </c>
      <c r="Y1037" s="543" t="str">
        <f>IF(OR($F1037="",$F1037="NO APORTA",$R1037=0,$X1037="NO APLICA"),"",ROUND($F1037/$Q1037,2))</f>
        <v/>
      </c>
      <c r="Z1037" s="544" t="str">
        <f>IF(Y1038=1,"SI APLICA",IF(OR($X1037="",$X1037="NO APLICA",$F1037="",$F1037="NO APORTA"),"",IF(ROUND($F1037/Q1037,7)&gt;=0.4,"SI APLICA","NO APLICA")))</f>
        <v/>
      </c>
      <c r="AA1037" s="546"/>
      <c r="AB1037" s="540" t="str">
        <f>IF(COUNTIF(Z1037:AA1037,"SI APLICA")=2,"SI APLICA","")</f>
        <v/>
      </c>
      <c r="AC1037" s="28"/>
    </row>
    <row r="1038" spans="1:29" s="30" customFormat="1" ht="16.5" customHeight="1" thickBot="1">
      <c r="A1038" s="112" t="str">
        <f>"T"&amp;E1011</f>
        <v>T34</v>
      </c>
      <c r="B1038" s="792"/>
      <c r="C1038" s="821" t="s">
        <v>419</v>
      </c>
      <c r="D1038" s="822"/>
      <c r="E1038" s="822"/>
      <c r="F1038" s="518"/>
      <c r="G1038" s="519"/>
      <c r="H1038" s="794" t="str">
        <f ca="1">IF(OR($F1030="",SUM(E1032:E1037)=0),"",IF(COUNTIF(H1032:H1037,"CUMPLE")&gt;=1,"CUMPLE","NO CUMPLE"))</f>
        <v>CUMPLE</v>
      </c>
      <c r="I1038" s="795"/>
      <c r="J1038" s="314" t="str">
        <f ca="1">IF(COUNTIF(J1032:J1037,"")&gt;5,"",IF(COUNTIF(J1032:J1037,"NO CUMPLE")&gt;0,"NO CUMPLE","CUMPLE"))</f>
        <v>CUMPLE</v>
      </c>
      <c r="K1038" s="314" t="str">
        <f ca="1">IF(OR(AND(F1030=1,N1032="SI"),AND(COUNTIF(H1038:J1038,"CUMPLE")=2)),"CUMPLE","NO CUMPLE")</f>
        <v>CUMPLE</v>
      </c>
      <c r="L1038" s="519"/>
      <c r="M1038" s="519"/>
      <c r="N1038" s="519"/>
      <c r="O1038" s="833" t="str">
        <f ca="1">IF(ISNUMBER(F1011),"",IF(AND(O1037="NO CUMPLE",SUM(N1018:N1024)&lt;Q1037),"EL PROPONENTE SE DEBE REQUERIR POR EXPERIENCIA MINIMA EXIGIDA",""))</f>
        <v/>
      </c>
      <c r="P1038" s="833"/>
      <c r="Q1038" s="833"/>
      <c r="R1038" s="833"/>
      <c r="S1038" s="833"/>
      <c r="T1038" s="522"/>
      <c r="U1038" s="523"/>
      <c r="V1038" s="524"/>
      <c r="W1038" s="284"/>
      <c r="X1038" s="364" t="str">
        <f>IF(Y1038=1,"PROPONENTE INDIVIDUAL","PROPONENTE PLURAL")</f>
        <v>PROPONENTE PLURAL</v>
      </c>
      <c r="Y1038" s="276">
        <f>F1030</f>
        <v>2</v>
      </c>
      <c r="Z1038" s="277" t="str">
        <f ca="1">IF(OR(AND(Z1032="SI APLICA",AA1032="SI APLICA"),AND(Z1033="SI APLICA",AA1033="SI APLICA"),AND(Z1034="SI APLICA",AA1034="SI APLICA"),AND(Z1035="SI APLICA",AA1035="SI APLICA"),AND(Z1036="SI APLICA",AA1036="SI APLICA"),AND(Z1037="SI APLICA",AA1037="SI APLICA")),"SI APLICA","NO APLICA")</f>
        <v>SI APLICA</v>
      </c>
      <c r="AA1038" s="278" t="str">
        <f ca="1">IF(OR(AND(AA1032="SI APLICA",AB1032="SI APLICA"),AND(AA1033="SI APLICA",AB1033="SI APLICA"),AND(AA1034="SI APLICA",AB1034="SI APLICA"),AND(AA1035="SI APLICA",AB1035="SI APLICA"),AND(AA1036="SI APLICA",AB1036="SI APLICA"),AND(AA1037="SI APLICA",AB1037="SI APLICA")),"SI APLICA","NO APLICA")</f>
        <v>SI APLICA</v>
      </c>
      <c r="AB1038" s="278" t="str">
        <f ca="1">IF(COUNTIF(AB1032:AB1037,"SI APLICA")&gt;0,"SI APLICA","NO APLICA")</f>
        <v>SI APLICA</v>
      </c>
      <c r="AC1038" s="28"/>
    </row>
    <row r="1039" spans="1:29" ht="24.95" customHeight="1"/>
    <row r="1040" spans="1:29" ht="24.95" customHeight="1"/>
    <row r="1041" spans="1:29" s="41" customFormat="1" ht="24" thickBot="1">
      <c r="A1041" s="34">
        <v>35</v>
      </c>
      <c r="B1041" s="828" t="s">
        <v>355</v>
      </c>
      <c r="C1041" s="828"/>
      <c r="D1041" s="828"/>
      <c r="E1041" s="35">
        <f>VLOOKUP(A1041,PROPONENTES!$B$19:$E$108,2,FALSE)</f>
        <v>35</v>
      </c>
      <c r="F1041" s="36" t="str">
        <f>VLOOKUP(A1041,PROPONENTES!$B$19:$E$108,3,FALSE)</f>
        <v xml:space="preserve">ING INGENIERIA SAS </v>
      </c>
      <c r="G1041" s="37"/>
      <c r="H1041" s="37"/>
      <c r="I1041" s="36"/>
      <c r="J1041" s="36"/>
      <c r="K1041" s="36"/>
      <c r="L1041" s="36"/>
      <c r="M1041" s="38"/>
      <c r="N1041" s="38"/>
      <c r="O1041" s="37"/>
      <c r="P1041" s="37"/>
      <c r="Q1041" s="39"/>
      <c r="R1041" s="39"/>
      <c r="S1041" s="39"/>
      <c r="T1041" s="39"/>
      <c r="U1041" s="40"/>
      <c r="Y1041" s="52"/>
      <c r="Z1041" s="52"/>
      <c r="AA1041" s="52"/>
      <c r="AB1041" s="28"/>
      <c r="AC1041" s="28"/>
    </row>
    <row r="1042" spans="1:29" s="27" customFormat="1" ht="24.75" customHeight="1">
      <c r="A1042" s="22"/>
      <c r="B1042" s="829" t="s">
        <v>356</v>
      </c>
      <c r="C1042" s="501" t="s">
        <v>357</v>
      </c>
      <c r="D1042" s="502" t="s">
        <v>358</v>
      </c>
      <c r="E1042" s="502"/>
      <c r="F1042" s="502" t="s">
        <v>359</v>
      </c>
      <c r="G1042" s="503"/>
      <c r="H1042" s="803" t="s">
        <v>360</v>
      </c>
      <c r="I1042" s="831" t="s">
        <v>361</v>
      </c>
      <c r="J1042" s="803" t="s">
        <v>362</v>
      </c>
      <c r="K1042" s="803" t="s">
        <v>363</v>
      </c>
      <c r="L1042" s="803" t="s">
        <v>364</v>
      </c>
      <c r="M1042" s="803" t="s">
        <v>365</v>
      </c>
      <c r="N1042" s="804" t="s">
        <v>366</v>
      </c>
      <c r="O1042" s="805"/>
      <c r="P1042" s="806" t="s">
        <v>367</v>
      </c>
      <c r="Q1042" s="807"/>
      <c r="R1042" s="784" t="s">
        <v>368</v>
      </c>
      <c r="S1042" s="774"/>
      <c r="T1042" s="798" t="s">
        <v>369</v>
      </c>
      <c r="U1042" s="799"/>
      <c r="V1042" s="800"/>
      <c r="X1042" s="520"/>
      <c r="Y1042" s="520"/>
    </row>
    <row r="1043" spans="1:29" s="27" customFormat="1" ht="94.5" customHeight="1">
      <c r="A1043" s="22"/>
      <c r="B1043" s="830"/>
      <c r="C1043" s="504" t="s">
        <v>370</v>
      </c>
      <c r="D1043" s="505" t="s">
        <v>41</v>
      </c>
      <c r="E1043" s="505" t="s">
        <v>371</v>
      </c>
      <c r="F1043" s="505" t="s">
        <v>372</v>
      </c>
      <c r="G1043" s="506" t="s">
        <v>373</v>
      </c>
      <c r="H1043" s="793"/>
      <c r="I1043" s="832"/>
      <c r="J1043" s="793"/>
      <c r="K1043" s="793"/>
      <c r="L1043" s="793"/>
      <c r="M1043" s="793"/>
      <c r="N1043" s="504" t="s">
        <v>374</v>
      </c>
      <c r="O1043" s="505" t="s">
        <v>375</v>
      </c>
      <c r="P1043" s="801"/>
      <c r="Q1043" s="802"/>
      <c r="R1043" s="796"/>
      <c r="S1043" s="797"/>
      <c r="T1043" s="507" t="s">
        <v>376</v>
      </c>
      <c r="U1043" s="508" t="s">
        <v>377</v>
      </c>
      <c r="V1043" s="509" t="s">
        <v>378</v>
      </c>
      <c r="X1043" s="521" t="s">
        <v>379</v>
      </c>
      <c r="Y1043" s="521" t="s">
        <v>380</v>
      </c>
    </row>
    <row r="1044" spans="1:29" s="27" customFormat="1" ht="15" customHeight="1">
      <c r="A1044" s="22"/>
      <c r="B1044" s="594"/>
      <c r="C1044" s="595">
        <v>3</v>
      </c>
      <c r="D1044" s="595">
        <v>4</v>
      </c>
      <c r="E1044" s="595">
        <v>5</v>
      </c>
      <c r="F1044" s="595">
        <v>6</v>
      </c>
      <c r="G1044" s="595">
        <v>7</v>
      </c>
      <c r="H1044" s="595">
        <v>8</v>
      </c>
      <c r="I1044" s="595">
        <v>9</v>
      </c>
      <c r="J1044" s="595">
        <v>10</v>
      </c>
      <c r="K1044" s="595">
        <v>11</v>
      </c>
      <c r="L1044" s="595">
        <v>12</v>
      </c>
      <c r="M1044" s="595">
        <v>13</v>
      </c>
      <c r="N1044" s="595">
        <v>14</v>
      </c>
      <c r="O1044" s="595">
        <v>15</v>
      </c>
      <c r="P1044" s="596">
        <v>16</v>
      </c>
      <c r="Q1044" s="597">
        <v>17</v>
      </c>
      <c r="R1044" s="596">
        <v>18</v>
      </c>
      <c r="S1044" s="597">
        <v>19</v>
      </c>
      <c r="T1044" s="598">
        <v>20</v>
      </c>
      <c r="U1044" s="255">
        <v>21</v>
      </c>
      <c r="V1044" s="599">
        <v>22</v>
      </c>
      <c r="X1044" s="589"/>
      <c r="Y1044" s="590"/>
    </row>
    <row r="1045" spans="1:29" s="44" customFormat="1" ht="46.5" customHeight="1">
      <c r="A1045" s="42" t="str">
        <f>"A"&amp;E1041</f>
        <v>A35</v>
      </c>
      <c r="B1045" s="605">
        <f>IF(C1045&lt;&gt;"",B1044+1,"")</f>
        <v>1</v>
      </c>
      <c r="C1045" s="581" t="s">
        <v>667</v>
      </c>
      <c r="D1045" s="581" t="s">
        <v>668</v>
      </c>
      <c r="E1045" s="581" t="s">
        <v>669</v>
      </c>
      <c r="F1045" s="581" t="s">
        <v>431</v>
      </c>
      <c r="G1045" s="534">
        <v>0.5</v>
      </c>
      <c r="H1045" s="534" t="s">
        <v>385</v>
      </c>
      <c r="I1045" s="579" t="s">
        <v>384</v>
      </c>
      <c r="J1045" s="580" t="str">
        <f>IF(I1045="","",IF(I1045="I",$F1041,VLOOKUP(I1045,$C1062:$D1067,2,0)))</f>
        <v xml:space="preserve">ING INGENIERIA SAS </v>
      </c>
      <c r="K1045" s="535">
        <v>39146</v>
      </c>
      <c r="L1045" s="535">
        <v>39654</v>
      </c>
      <c r="M1045" s="536">
        <v>1937.47</v>
      </c>
      <c r="N1045" s="232">
        <f t="shared" ref="N1045:N1054" si="209">IF(OR(G1045="",M1045=""),"",M1045*G1045)</f>
        <v>968.73500000000001</v>
      </c>
      <c r="O1045" s="650">
        <f t="shared" ref="O1045:O1054" si="210">IF(OR(H1045="",H1045="NO",K1045&lt;$Q$17,K1045&gt;$R$17,K1045="",M1045="",N1045=""),"",ROUND(N1045,7))</f>
        <v>968.73500000000001</v>
      </c>
      <c r="P1045" s="781"/>
      <c r="Q1045" s="782"/>
      <c r="R1045" s="767"/>
      <c r="S1045" s="768"/>
      <c r="T1045" s="538" t="s">
        <v>385</v>
      </c>
      <c r="U1045" s="539">
        <v>4</v>
      </c>
      <c r="V1045" s="540" t="s">
        <v>385</v>
      </c>
      <c r="X1045" s="541" t="s">
        <v>386</v>
      </c>
      <c r="Y1045" s="541" t="s">
        <v>387</v>
      </c>
    </row>
    <row r="1046" spans="1:29" s="44" customFormat="1" ht="62.25" customHeight="1">
      <c r="A1046" s="42" t="str">
        <f>"B"&amp;E1041</f>
        <v>B35</v>
      </c>
      <c r="B1046" s="605">
        <f t="shared" ref="B1046:B1054" si="211">IF(C1046&lt;&gt;"",B1045+1,"")</f>
        <v>2</v>
      </c>
      <c r="C1046" s="581" t="s">
        <v>670</v>
      </c>
      <c r="D1046" s="638" t="s">
        <v>671</v>
      </c>
      <c r="E1046" s="581" t="s">
        <v>672</v>
      </c>
      <c r="F1046" s="581" t="s">
        <v>431</v>
      </c>
      <c r="G1046" s="534">
        <v>0.5</v>
      </c>
      <c r="H1046" s="534" t="s">
        <v>385</v>
      </c>
      <c r="I1046" s="579" t="s">
        <v>384</v>
      </c>
      <c r="J1046" s="580" t="str">
        <f>IF(I1046="","",IF(I1046="I",$F1041,VLOOKUP(I1046,$C1062:$D1067,2,0)))</f>
        <v xml:space="preserve">ING INGENIERIA SAS </v>
      </c>
      <c r="K1046" s="535">
        <v>42389</v>
      </c>
      <c r="L1046" s="535">
        <v>42632</v>
      </c>
      <c r="M1046" s="536">
        <v>548.04999999999995</v>
      </c>
      <c r="N1046" s="232">
        <f t="shared" si="209"/>
        <v>274.02499999999998</v>
      </c>
      <c r="O1046" s="650">
        <f t="shared" si="210"/>
        <v>274.02499999999998</v>
      </c>
      <c r="P1046" s="781"/>
      <c r="Q1046" s="782"/>
      <c r="R1046" s="767"/>
      <c r="S1046" s="768"/>
      <c r="T1046" s="538" t="s">
        <v>385</v>
      </c>
      <c r="U1046" s="539">
        <v>157</v>
      </c>
      <c r="V1046" s="540" t="s">
        <v>385</v>
      </c>
      <c r="X1046" s="541" t="s">
        <v>386</v>
      </c>
      <c r="Y1046" s="541" t="s">
        <v>387</v>
      </c>
    </row>
    <row r="1047" spans="1:29" s="44" customFormat="1" ht="24.95" customHeight="1">
      <c r="A1047" s="42" t="str">
        <f>"C"&amp;E1041</f>
        <v>C35</v>
      </c>
      <c r="B1047" s="605" t="str">
        <f t="shared" si="211"/>
        <v/>
      </c>
      <c r="C1047" s="581"/>
      <c r="D1047" s="581"/>
      <c r="E1047" s="581"/>
      <c r="F1047" s="581"/>
      <c r="G1047" s="534"/>
      <c r="H1047" s="534"/>
      <c r="I1047" s="579"/>
      <c r="J1047" s="580" t="str">
        <f>IF(I1047="","",IF(I1047="I",$F1041,VLOOKUP(I1047,$C1062:$D1067,2,0)))</f>
        <v/>
      </c>
      <c r="K1047" s="535"/>
      <c r="L1047" s="535"/>
      <c r="M1047" s="536"/>
      <c r="N1047" s="232" t="str">
        <f t="shared" si="209"/>
        <v/>
      </c>
      <c r="O1047" s="260" t="str">
        <f t="shared" si="210"/>
        <v/>
      </c>
      <c r="P1047" s="781"/>
      <c r="Q1047" s="782"/>
      <c r="R1047" s="767"/>
      <c r="S1047" s="768"/>
      <c r="T1047" s="538"/>
      <c r="U1047" s="539"/>
      <c r="V1047" s="540"/>
      <c r="X1047" s="541"/>
      <c r="Y1047" s="541"/>
    </row>
    <row r="1048" spans="1:29" s="44" customFormat="1" ht="24.95" customHeight="1">
      <c r="A1048" s="42" t="str">
        <f>"D"&amp;E1041</f>
        <v>D35</v>
      </c>
      <c r="B1048" s="605" t="str">
        <f t="shared" si="211"/>
        <v/>
      </c>
      <c r="C1048" s="581"/>
      <c r="D1048" s="581"/>
      <c r="E1048" s="581"/>
      <c r="F1048" s="581"/>
      <c r="G1048" s="534"/>
      <c r="H1048" s="534"/>
      <c r="I1048" s="579"/>
      <c r="J1048" s="580" t="str">
        <f>IF(I1048="","",IF(I1048="I",$F1041,VLOOKUP(I1048,$C1062:$D1067,2,0)))</f>
        <v/>
      </c>
      <c r="K1048" s="535"/>
      <c r="L1048" s="535"/>
      <c r="M1048" s="536"/>
      <c r="N1048" s="232" t="str">
        <f t="shared" si="209"/>
        <v/>
      </c>
      <c r="O1048" s="260" t="str">
        <f t="shared" si="210"/>
        <v/>
      </c>
      <c r="P1048" s="781"/>
      <c r="Q1048" s="782"/>
      <c r="R1048" s="767"/>
      <c r="S1048" s="768"/>
      <c r="T1048" s="538"/>
      <c r="U1048" s="539"/>
      <c r="V1048" s="540"/>
      <c r="X1048" s="541"/>
      <c r="Y1048" s="541"/>
    </row>
    <row r="1049" spans="1:29" s="44" customFormat="1" ht="24.95" customHeight="1">
      <c r="A1049" s="42" t="str">
        <f>"E"&amp;E1041</f>
        <v>E35</v>
      </c>
      <c r="B1049" s="605" t="str">
        <f t="shared" si="211"/>
        <v/>
      </c>
      <c r="C1049" s="581"/>
      <c r="D1049" s="581"/>
      <c r="E1049" s="581"/>
      <c r="F1049" s="581"/>
      <c r="G1049" s="534"/>
      <c r="H1049" s="534"/>
      <c r="I1049" s="579"/>
      <c r="J1049" s="580" t="str">
        <f>IF(I1049="","",IF(I1049="I",$F1041,VLOOKUP(I1049,$C1062:$D1067,2,0)))</f>
        <v/>
      </c>
      <c r="K1049" s="535"/>
      <c r="L1049" s="535"/>
      <c r="M1049" s="536"/>
      <c r="N1049" s="232" t="str">
        <f t="shared" si="209"/>
        <v/>
      </c>
      <c r="O1049" s="260" t="str">
        <f t="shared" si="210"/>
        <v/>
      </c>
      <c r="P1049" s="781"/>
      <c r="Q1049" s="782"/>
      <c r="R1049" s="767"/>
      <c r="S1049" s="768"/>
      <c r="T1049" s="538"/>
      <c r="U1049" s="539"/>
      <c r="V1049" s="540"/>
      <c r="X1049" s="541"/>
      <c r="Y1049" s="541"/>
    </row>
    <row r="1050" spans="1:29" s="44" customFormat="1" ht="24.95" customHeight="1">
      <c r="A1050" s="42" t="str">
        <f>"F"&amp;E1041</f>
        <v>F35</v>
      </c>
      <c r="B1050" s="605" t="str">
        <f t="shared" si="211"/>
        <v/>
      </c>
      <c r="C1050" s="581"/>
      <c r="D1050" s="581"/>
      <c r="E1050" s="581"/>
      <c r="F1050" s="581"/>
      <c r="G1050" s="534"/>
      <c r="H1050" s="534"/>
      <c r="I1050" s="579"/>
      <c r="J1050" s="580" t="str">
        <f>IF(I1050="","",IF(I1050="I",$F1041,VLOOKUP(I1050,$C1062:$D1067,2,0)))</f>
        <v/>
      </c>
      <c r="K1050" s="535"/>
      <c r="L1050" s="535"/>
      <c r="M1050" s="536"/>
      <c r="N1050" s="232" t="str">
        <f t="shared" si="209"/>
        <v/>
      </c>
      <c r="O1050" s="260" t="str">
        <f t="shared" si="210"/>
        <v/>
      </c>
      <c r="P1050" s="781"/>
      <c r="Q1050" s="782"/>
      <c r="R1050" s="767"/>
      <c r="S1050" s="768"/>
      <c r="T1050" s="538"/>
      <c r="U1050" s="539"/>
      <c r="V1050" s="540"/>
      <c r="X1050" s="541"/>
      <c r="Y1050" s="541"/>
    </row>
    <row r="1051" spans="1:29" s="44" customFormat="1" ht="24.95" customHeight="1">
      <c r="A1051" s="42" t="str">
        <f>"G"&amp;E1041</f>
        <v>G35</v>
      </c>
      <c r="B1051" s="605" t="str">
        <f t="shared" si="211"/>
        <v/>
      </c>
      <c r="C1051" s="581"/>
      <c r="D1051" s="581"/>
      <c r="E1051" s="581"/>
      <c r="F1051" s="581"/>
      <c r="G1051" s="534"/>
      <c r="H1051" s="534"/>
      <c r="I1051" s="579"/>
      <c r="J1051" s="580" t="str">
        <f>IF(I1051="","",IF(I1051="I",$F1041,VLOOKUP(I1051,$C1062:$D1067,2,0)))</f>
        <v/>
      </c>
      <c r="K1051" s="535"/>
      <c r="L1051" s="535"/>
      <c r="M1051" s="536"/>
      <c r="N1051" s="43" t="str">
        <f t="shared" si="209"/>
        <v/>
      </c>
      <c r="O1051" s="260" t="str">
        <f t="shared" si="210"/>
        <v/>
      </c>
      <c r="P1051" s="781"/>
      <c r="Q1051" s="782"/>
      <c r="R1051" s="767"/>
      <c r="S1051" s="768"/>
      <c r="T1051" s="538"/>
      <c r="U1051" s="539"/>
      <c r="V1051" s="540"/>
      <c r="X1051" s="541"/>
      <c r="Y1051" s="541"/>
    </row>
    <row r="1052" spans="1:29" s="44" customFormat="1" ht="24.95" customHeight="1">
      <c r="A1052" s="42" t="str">
        <f>"H"&amp;E1041</f>
        <v>H35</v>
      </c>
      <c r="B1052" s="605" t="str">
        <f t="shared" si="211"/>
        <v/>
      </c>
      <c r="C1052" s="581"/>
      <c r="D1052" s="581"/>
      <c r="E1052" s="581"/>
      <c r="F1052" s="581"/>
      <c r="G1052" s="534"/>
      <c r="H1052" s="534"/>
      <c r="I1052" s="579"/>
      <c r="J1052" s="580" t="str">
        <f>IF(I1052="","",IF(I1052="I",$F1041,VLOOKUP(I1052,$C1062:$D1067,2,0)))</f>
        <v/>
      </c>
      <c r="K1052" s="535"/>
      <c r="L1052" s="535"/>
      <c r="M1052" s="537"/>
      <c r="N1052" s="43" t="str">
        <f t="shared" si="209"/>
        <v/>
      </c>
      <c r="O1052" s="260" t="str">
        <f t="shared" si="210"/>
        <v/>
      </c>
      <c r="P1052" s="781"/>
      <c r="Q1052" s="782"/>
      <c r="R1052" s="767"/>
      <c r="S1052" s="768"/>
      <c r="T1052" s="538"/>
      <c r="U1052" s="539"/>
      <c r="V1052" s="540"/>
      <c r="X1052" s="541"/>
      <c r="Y1052" s="541"/>
    </row>
    <row r="1053" spans="1:29" s="44" customFormat="1" ht="24.95" customHeight="1">
      <c r="A1053" s="42" t="str">
        <f>"I"&amp;E1041</f>
        <v>I35</v>
      </c>
      <c r="B1053" s="605" t="str">
        <f t="shared" si="211"/>
        <v/>
      </c>
      <c r="C1053" s="581"/>
      <c r="D1053" s="581"/>
      <c r="E1053" s="581"/>
      <c r="F1053" s="581"/>
      <c r="G1053" s="534"/>
      <c r="H1053" s="534"/>
      <c r="I1053" s="579"/>
      <c r="J1053" s="580" t="str">
        <f>IF(I1053="","",IF(I1053="I",$F1041,VLOOKUP(I1053,$C1062:$D1067,2,0)))</f>
        <v/>
      </c>
      <c r="K1053" s="535"/>
      <c r="L1053" s="535"/>
      <c r="M1053" s="537"/>
      <c r="N1053" s="43" t="str">
        <f t="shared" si="209"/>
        <v/>
      </c>
      <c r="O1053" s="260" t="str">
        <f t="shared" si="210"/>
        <v/>
      </c>
      <c r="P1053" s="781"/>
      <c r="Q1053" s="782"/>
      <c r="R1053" s="767"/>
      <c r="S1053" s="768"/>
      <c r="T1053" s="538"/>
      <c r="U1053" s="539"/>
      <c r="V1053" s="540"/>
      <c r="X1053" s="541"/>
      <c r="Y1053" s="541"/>
    </row>
    <row r="1054" spans="1:29" s="44" customFormat="1" ht="24.95" customHeight="1" thickBot="1">
      <c r="A1054" s="42" t="str">
        <f>"J"&amp;E1041</f>
        <v>J35</v>
      </c>
      <c r="B1054" s="612" t="str">
        <f t="shared" si="211"/>
        <v/>
      </c>
      <c r="C1054" s="582"/>
      <c r="D1054" s="582"/>
      <c r="E1054" s="582"/>
      <c r="F1054" s="582"/>
      <c r="G1054" s="583"/>
      <c r="H1054" s="583"/>
      <c r="I1054" s="584"/>
      <c r="J1054" s="585" t="str">
        <f>IF(I1054="","",IF(I1054="I",$F1041,VLOOKUP(I1054,$C1062:$D1067,2,0)))</f>
        <v/>
      </c>
      <c r="K1054" s="586"/>
      <c r="L1054" s="586"/>
      <c r="M1054" s="587"/>
      <c r="N1054" s="43" t="str">
        <f t="shared" si="209"/>
        <v/>
      </c>
      <c r="O1054" s="260" t="str">
        <f t="shared" si="210"/>
        <v/>
      </c>
      <c r="P1054" s="781"/>
      <c r="Q1054" s="782"/>
      <c r="R1054" s="767"/>
      <c r="S1054" s="768"/>
      <c r="T1054" s="538"/>
      <c r="U1054" s="539"/>
      <c r="V1054" s="540"/>
      <c r="X1054" s="541"/>
      <c r="Y1054" s="541"/>
    </row>
    <row r="1055" spans="1:29" s="27" customFormat="1" ht="12" customHeight="1" thickBot="1">
      <c r="A1055" s="42"/>
      <c r="B1055" s="45"/>
      <c r="C1055" s="46"/>
      <c r="D1055" s="46"/>
      <c r="E1055" s="46"/>
      <c r="F1055" s="46"/>
      <c r="G1055" s="46"/>
      <c r="H1055" s="606"/>
      <c r="I1055" s="46"/>
      <c r="J1055" s="46"/>
      <c r="K1055" s="46"/>
      <c r="L1055" s="46"/>
      <c r="M1055" s="46"/>
      <c r="N1055" s="46"/>
      <c r="O1055" s="259"/>
      <c r="P1055" s="46"/>
      <c r="Q1055" s="46"/>
      <c r="R1055" s="259"/>
      <c r="S1055" s="46"/>
      <c r="T1055" s="46"/>
      <c r="U1055" s="47"/>
      <c r="V1055" s="48"/>
      <c r="X1055" s="592"/>
      <c r="Y1055" s="593"/>
      <c r="AB1055" s="378"/>
    </row>
    <row r="1056" spans="1:29" s="27" customFormat="1" ht="17.25" customHeight="1" thickBot="1">
      <c r="A1056" s="42" t="str">
        <f>"Z"&amp;E1041</f>
        <v>Z35</v>
      </c>
      <c r="B1056" s="510"/>
      <c r="C1056" s="511"/>
      <c r="D1056" s="511"/>
      <c r="E1056" s="511"/>
      <c r="F1056" s="511"/>
      <c r="G1056" s="511"/>
      <c r="H1056" s="511"/>
      <c r="I1056" s="511"/>
      <c r="J1056" s="511"/>
      <c r="K1056" s="511"/>
      <c r="L1056" s="511"/>
      <c r="M1056" s="511"/>
      <c r="N1056" s="437" t="s">
        <v>388</v>
      </c>
      <c r="O1056" s="438">
        <f>IF(COUNTIF(O1045:O1054,"")&gt;9,0,SUM(O1045:O1054)/(COUNTIF(H1045:H1054,"SI")))</f>
        <v>621.38</v>
      </c>
      <c r="P1056" s="511"/>
      <c r="Q1056" s="511"/>
      <c r="R1056" s="530"/>
      <c r="S1056" s="530"/>
      <c r="T1056" s="531"/>
      <c r="U1056" s="532"/>
      <c r="V1056" s="533"/>
      <c r="W1056" s="285"/>
      <c r="X1056" s="613" t="e">
        <f>COUNTIF(#REF!,"")-COUNTIF(#REF!,"CUMPLE")-1</f>
        <v>#REF!</v>
      </c>
      <c r="Y1056" s="591"/>
      <c r="AB1056" s="28"/>
    </row>
    <row r="1057" spans="1:29" ht="17.25" customHeight="1">
      <c r="B1057" s="50"/>
      <c r="C1057" s="50"/>
      <c r="D1057" s="50"/>
      <c r="E1057" s="50"/>
      <c r="F1057" s="50"/>
      <c r="G1057" s="51"/>
      <c r="H1057" s="51"/>
      <c r="I1057" s="51"/>
      <c r="J1057" s="51"/>
      <c r="K1057" s="51"/>
      <c r="L1057" s="51"/>
      <c r="M1057" s="51"/>
      <c r="N1057" s="51"/>
      <c r="O1057" s="51"/>
      <c r="P1057" s="51"/>
      <c r="Q1057" s="51"/>
      <c r="R1057" s="51"/>
      <c r="S1057" s="51"/>
      <c r="T1057" s="51"/>
      <c r="U1057" s="51"/>
      <c r="V1057" s="51"/>
      <c r="W1057" s="51"/>
      <c r="X1057" s="608"/>
      <c r="Y1057" s="51"/>
      <c r="Z1057" s="51"/>
      <c r="AA1057" s="51"/>
      <c r="AB1057" s="51"/>
      <c r="AC1057" s="50"/>
    </row>
    <row r="1058" spans="1:29" s="27" customFormat="1" ht="16.5" customHeight="1" thickBot="1">
      <c r="A1058" s="22"/>
      <c r="B1058" s="783" t="s">
        <v>389</v>
      </c>
      <c r="C1058" s="783"/>
      <c r="D1058" s="783"/>
      <c r="E1058" s="783"/>
      <c r="F1058" s="783"/>
      <c r="G1058" s="783"/>
      <c r="H1058" s="783"/>
      <c r="I1058" s="783"/>
      <c r="J1058" s="783"/>
      <c r="K1058" s="783"/>
      <c r="L1058" s="783"/>
      <c r="M1058" s="783"/>
      <c r="N1058" s="783"/>
      <c r="O1058" s="783"/>
      <c r="P1058" s="783"/>
      <c r="Q1058" s="783"/>
      <c r="R1058" s="783"/>
      <c r="S1058" s="783"/>
      <c r="T1058" s="783"/>
      <c r="U1058" s="783"/>
      <c r="V1058" s="783"/>
      <c r="W1058" s="286"/>
      <c r="X1058" s="607"/>
      <c r="Y1058" s="52"/>
      <c r="Z1058" s="52"/>
      <c r="AA1058" s="52"/>
      <c r="AB1058" s="28"/>
      <c r="AC1058" s="28"/>
    </row>
    <row r="1059" spans="1:29" s="30" customFormat="1" ht="22.5" customHeight="1">
      <c r="A1059" s="112" t="str">
        <f>"K"&amp;E1041</f>
        <v>K35</v>
      </c>
      <c r="B1059" s="790" t="s">
        <v>390</v>
      </c>
      <c r="C1059" s="772" t="s">
        <v>391</v>
      </c>
      <c r="D1059" s="773"/>
      <c r="E1059" s="773"/>
      <c r="F1059" s="773"/>
      <c r="G1059" s="773"/>
      <c r="H1059" s="773"/>
      <c r="I1059" s="773"/>
      <c r="J1059" s="773"/>
      <c r="K1059" s="773"/>
      <c r="L1059" s="773"/>
      <c r="M1059" s="774"/>
      <c r="N1059" s="525"/>
      <c r="O1059" s="588"/>
      <c r="P1059" s="772" t="s">
        <v>392</v>
      </c>
      <c r="Q1059" s="773"/>
      <c r="R1059" s="773"/>
      <c r="S1059" s="774"/>
      <c r="T1059" s="784" t="s">
        <v>393</v>
      </c>
      <c r="U1059" s="774"/>
      <c r="V1059" s="811"/>
      <c r="W1059" s="284"/>
      <c r="X1059" s="778" t="s">
        <v>394</v>
      </c>
      <c r="Y1059" s="779"/>
      <c r="Z1059" s="779"/>
      <c r="AA1059" s="779" t="s">
        <v>395</v>
      </c>
      <c r="AB1059" s="808" t="s">
        <v>396</v>
      </c>
      <c r="AC1059" s="28"/>
    </row>
    <row r="1060" spans="1:29" s="30" customFormat="1" ht="22.5" customHeight="1">
      <c r="A1060" s="112" t="str">
        <f>"L"&amp;E1041</f>
        <v>L35</v>
      </c>
      <c r="B1060" s="791"/>
      <c r="C1060" s="769" t="s">
        <v>397</v>
      </c>
      <c r="D1060" s="770"/>
      <c r="E1060" s="771"/>
      <c r="F1060" s="512">
        <f>IF(VLOOKUP(E1041,PROPONENTES!$C$19:$E$108,3,0)="","",VLOOKUP(E1041,PROPONENTES!$C$19:$E$108,3,0))</f>
        <v>1</v>
      </c>
      <c r="G1060" s="824" t="s">
        <v>398</v>
      </c>
      <c r="H1060" s="793" t="s">
        <v>399</v>
      </c>
      <c r="I1060" s="793"/>
      <c r="J1060" s="769" t="s">
        <v>400</v>
      </c>
      <c r="K1060" s="823"/>
      <c r="L1060" s="513" t="s">
        <v>401</v>
      </c>
      <c r="M1060" s="513"/>
      <c r="N1060" s="526"/>
      <c r="O1060" s="527"/>
      <c r="P1060" s="775"/>
      <c r="Q1060" s="776"/>
      <c r="R1060" s="776"/>
      <c r="S1060" s="777"/>
      <c r="T1060" s="796"/>
      <c r="U1060" s="797"/>
      <c r="V1060" s="812"/>
      <c r="W1060" s="284"/>
      <c r="X1060" s="780" t="s">
        <v>402</v>
      </c>
      <c r="Y1060" s="810" t="s">
        <v>403</v>
      </c>
      <c r="Z1060" s="810"/>
      <c r="AA1060" s="810"/>
      <c r="AB1060" s="809"/>
      <c r="AC1060" s="28"/>
    </row>
    <row r="1061" spans="1:29" s="30" customFormat="1" ht="51.75" customHeight="1" thickBot="1">
      <c r="A1061" s="112" t="str">
        <f>"M"&amp;E1041</f>
        <v>M35</v>
      </c>
      <c r="B1061" s="791"/>
      <c r="C1061" s="770" t="s">
        <v>404</v>
      </c>
      <c r="D1061" s="771"/>
      <c r="E1061" s="514" t="s">
        <v>405</v>
      </c>
      <c r="F1061" s="515" t="s">
        <v>406</v>
      </c>
      <c r="G1061" s="824"/>
      <c r="H1061" s="793"/>
      <c r="I1061" s="793"/>
      <c r="J1061" s="504" t="s">
        <v>407</v>
      </c>
      <c r="K1061" s="516" t="s">
        <v>408</v>
      </c>
      <c r="L1061" s="517" t="s">
        <v>409</v>
      </c>
      <c r="M1061" s="517"/>
      <c r="N1061" s="528" t="s">
        <v>410</v>
      </c>
      <c r="O1061" s="529"/>
      <c r="P1061" s="386"/>
      <c r="Q1061" s="387" t="s">
        <v>411</v>
      </c>
      <c r="R1061" s="388"/>
      <c r="S1061" s="113">
        <f>COUNTIFS(H1045:H1054,"SI",O1045:O1054,"&gt;0")</f>
        <v>2</v>
      </c>
      <c r="T1061" s="785"/>
      <c r="U1061" s="787"/>
      <c r="V1061" s="813"/>
      <c r="W1061" s="284"/>
      <c r="X1061" s="780"/>
      <c r="Y1061" s="810"/>
      <c r="Z1061" s="810"/>
      <c r="AA1061" s="810"/>
      <c r="AB1061" s="809"/>
      <c r="AC1061" s="28"/>
    </row>
    <row r="1062" spans="1:29" s="30" customFormat="1" ht="15.75" customHeight="1">
      <c r="A1062" s="112" t="str">
        <f>"N"&amp;E1041</f>
        <v>N35</v>
      </c>
      <c r="B1062" s="791"/>
      <c r="C1062" s="54">
        <v>1</v>
      </c>
      <c r="D1062" s="100" t="str">
        <f>IF(AND(C1062&lt;=F1060,F1060&gt;1,F1060&lt;&gt;""),VLOOKUP(VALUE(E1041&amp;","&amp;C1062),INTEGRANTES!$D$19:$F$192,2,0),"")</f>
        <v/>
      </c>
      <c r="E1062" s="107" t="str">
        <f>IF(D1062&lt;&gt;"",VLOOKUP(VALUE(E1041&amp;","&amp;C1062),INTEGRANTES!$D$19:$F$192,3,0),"")</f>
        <v/>
      </c>
      <c r="F1062" s="380" t="str">
        <f>IF(D1062="","",IF(OR(SUMIF($J1048:$J1054,D1062,$O1048:$O1054)=0,N1062="NO"),"NO APORTA",SUMIF($J1048:$J1054,D1062,$O1048:$O1054)))</f>
        <v/>
      </c>
      <c r="G1062" s="380" t="str">
        <f>IF($D1062="","",IF($F1060&lt;=1,"",ROUND(POSMMLV*PORPO,2)))</f>
        <v/>
      </c>
      <c r="H1062" s="765" t="str">
        <f>IF($D1062="","",IF(OR(F1062="NO APORTA",G1062&gt;F1062),"NO CUMPLE","CUMPLE"))</f>
        <v/>
      </c>
      <c r="I1062" s="766"/>
      <c r="J1062" s="108" t="str">
        <f>IF(D1062="","",IF(OR(AND(SUMIF($J1045:$J1054,D1062,$O1045:$O1054)&gt;=5%*POSMMLV,N1062="SI"),AND(SUMIF($J1045:$J1054,D1062,$O1045:$O1054)=0,E1062&lt;=5%,N1062="SI")),"CUMPLE","NO CUMPLE"))</f>
        <v/>
      </c>
      <c r="K1062" s="105" t="str">
        <f>IF(OR(D1062="",J1062=""),"",IF(AND(J1062="NO CUMPLE",F1062="NO APORTA",E1062&gt;5%),"EXP = 0 y PART &gt; 5%",IF(F1062&lt;5%*Q1067,"EXP &lt; 5%*PO","")))</f>
        <v/>
      </c>
      <c r="L1062" s="389" t="str">
        <f>IF(OR(D1062="",E1062=""),"",IF(AND(E1062&gt;=0.25,F1062&lt;&gt;"NO APORTA",F1062&gt;=$R1067*0.25),"SI","NO"))</f>
        <v/>
      </c>
      <c r="M1062" s="389"/>
      <c r="N1062" s="468" t="s">
        <v>385</v>
      </c>
      <c r="O1062" s="396">
        <f>COUNTIFS(O1045:O1054,"&gt;0",H1045:H1054,"SI")</f>
        <v>2</v>
      </c>
      <c r="P1062" s="814" t="s">
        <v>139</v>
      </c>
      <c r="Q1062" s="814"/>
      <c r="R1062" s="817">
        <f>E1041</f>
        <v>35</v>
      </c>
      <c r="S1062" s="818"/>
      <c r="T1062" s="784" t="s">
        <v>412</v>
      </c>
      <c r="U1062" s="773"/>
      <c r="V1062" s="774"/>
      <c r="W1062" s="283"/>
      <c r="X1062" s="542" t="str">
        <f>IF($F1060=1,"NO APLICA",$D1062)</f>
        <v>NO APLICA</v>
      </c>
      <c r="Y1062" s="543" t="str">
        <f>IF(OR($F1062="",$F1062="NO APORTA",$R1067=0,$X1062="NO APLICA"),"",ROUND($F1062/$Q1067,2))</f>
        <v/>
      </c>
      <c r="Z1062" s="544" t="str">
        <f>IF(Y1068=1,"SI APLICA",IF(OR($X1062="",$X1062="NO APLICA",$F1062="",$F1062="NO APORTA"),"",IF(ROUND($F1062/Q1067,7)&gt;=0.4,"SI APLICA","NO APLICA")))</f>
        <v>SI APLICA</v>
      </c>
      <c r="AA1062" s="543" t="s">
        <v>413</v>
      </c>
      <c r="AB1062" s="540" t="str">
        <f>IF(COUNTIF(Z1062:AA1062,"SI APLICA")=2,"SI APLICA","")</f>
        <v>SI APLICA</v>
      </c>
      <c r="AC1062" s="28"/>
    </row>
    <row r="1063" spans="1:29" s="30" customFormat="1" ht="15.75" customHeight="1" thickBot="1">
      <c r="A1063" s="112" t="str">
        <f>"O"&amp;E1041</f>
        <v>O35</v>
      </c>
      <c r="B1063" s="791"/>
      <c r="C1063" s="54">
        <v>2</v>
      </c>
      <c r="D1063" s="100" t="str">
        <f>IF(AND(C1063&lt;=F1060,F1060&lt;&gt;""),VLOOKUP(VALUE(E1041&amp;","&amp;C1063),INTEGRANTES!$D$19:$F$192,2,0),"")</f>
        <v/>
      </c>
      <c r="E1063" s="107" t="str">
        <f>IF(D1063&lt;&gt;"",VLOOKUP(VALUE(E1041&amp;","&amp;C1063),INTEGRANTES!$D$19:$F$192,3,0),"")</f>
        <v/>
      </c>
      <c r="F1063" s="380" t="str">
        <f>IF(D1063="","",IF(OR(SUMIF($J1048:$J1054,D1063,$O1048:$O1054)=0,N1063="NO"),"NO APORTA",SUMIF($J1048:$J1054,D1063,$O1048:$O1054)))</f>
        <v/>
      </c>
      <c r="G1063" s="380" t="str">
        <f>IF($D1063="","",IF($F1060&lt;=1,"",ROUND(POSMMLV*PORPO,2)))</f>
        <v/>
      </c>
      <c r="H1063" s="765" t="str">
        <f t="shared" ref="H1063:H1066" si="212">IF($D1063="","",IF(OR(F1063="NO APORTA",G1063&gt;F1063),"NO CUMPLE","CUMPLE"))</f>
        <v/>
      </c>
      <c r="I1063" s="766"/>
      <c r="J1063" s="108" t="str">
        <f>IF(D1063="","",IF(OR(AND(SUMIF($J1045:$J1054,D1063,$O1045:$O1054)&gt;=5%*POSMMLV,N1063="SI"),AND(SUMIF($J1045:$J1054,D1063,$O1045:$O1054)=0,E1063&lt;=5%,N1063="SI")),"CUMPLE","NO CUMPLE"))</f>
        <v/>
      </c>
      <c r="K1063" s="105" t="str">
        <f>IF(OR(D1063="",J1063=""),"",IF(AND(J1063="NO CUMPLE",F1063="NO APORTA",E1063&gt;5%),"EXP = 0 y PART &gt; 5%",IF(F1063&lt;5%*Q1067,"EXP &lt; 5%*PO","")))</f>
        <v/>
      </c>
      <c r="L1063" s="389" t="str">
        <f>IF(OR(D1063="",E1063=""),"",IF(AND(E1063&gt;=0.25,F1063&lt;&gt;"NO APORTA",F1063&gt;=$R1067*0.25),"SI","NO"))</f>
        <v/>
      </c>
      <c r="M1063" s="389"/>
      <c r="N1063" s="468"/>
      <c r="O1063" s="396"/>
      <c r="P1063" s="815"/>
      <c r="Q1063" s="815"/>
      <c r="R1063" s="815"/>
      <c r="S1063" s="819"/>
      <c r="T1063" s="785"/>
      <c r="U1063" s="786"/>
      <c r="V1063" s="787"/>
      <c r="W1063" s="283"/>
      <c r="X1063" s="542" t="str">
        <f>IF($F1060=1,"NO APLICA",$D1063)</f>
        <v>NO APLICA</v>
      </c>
      <c r="Y1063" s="543" t="str">
        <f>IF(OR($F1063="",$F1063="NO APORTA",$R1067=0,$X1063="NO APLICA"),"",ROUND($F1063/$Q1067,2))</f>
        <v/>
      </c>
      <c r="Z1063" s="544"/>
      <c r="AA1063" s="543"/>
      <c r="AB1063" s="540" t="str">
        <f t="shared" ref="AB1063" si="213">IF(COUNTIF(Z1063:AA1063,"SI APLICA")=2,"SI APLICA","")</f>
        <v/>
      </c>
      <c r="AC1063" s="28"/>
    </row>
    <row r="1064" spans="1:29" s="30" customFormat="1" ht="15.75" customHeight="1">
      <c r="A1064" s="112" t="str">
        <f>"P"&amp;E1041</f>
        <v>P35</v>
      </c>
      <c r="B1064" s="791"/>
      <c r="C1064" s="54">
        <v>3</v>
      </c>
      <c r="D1064" s="100" t="str">
        <f>IF(AND(C1064&lt;=F1060,F1060&lt;&gt;""),VLOOKUP(VALUE(E1041&amp;","&amp;C1064),INTEGRANTES!$D$19:$F$192,2,0),"")</f>
        <v/>
      </c>
      <c r="E1064" s="107" t="str">
        <f>IF(D1064&lt;&gt;"",VLOOKUP(VALUE(E1041&amp;","&amp;C1064),INTEGRANTES!$D$19:$F$192,3,0),"")</f>
        <v/>
      </c>
      <c r="F1064" s="380" t="str">
        <f>IF(D1064="","",IF(OR(SUMIF($J1048:$J1054,D1064,$O1048:$O1054)=0,N1064="NO"),"NO APORTA",SUMIF($J1048:$J1054,D1064,$O1048:$O1054)))</f>
        <v/>
      </c>
      <c r="G1064" s="380" t="str">
        <f>IF($D1064="","",IF($F1060&lt;=1,"",ROUND(POSMMLV*PORPO,2)))</f>
        <v/>
      </c>
      <c r="H1064" s="765" t="str">
        <f t="shared" si="212"/>
        <v/>
      </c>
      <c r="I1064" s="766"/>
      <c r="J1064" s="108" t="str">
        <f>IF(D1064="","",IF(OR(AND(SUMIF($J1045:$J1054,D1064,$O1045:$O1054)&gt;=5%*POSMMLV,N1064="SI"),AND(SUMIF($J1045:$J1054,D1064,$O1045:$O1054)=0,E1064&lt;=5%,N1064="SI")),"CUMPLE","NO CUMPLE"))</f>
        <v/>
      </c>
      <c r="K1064" s="105" t="str">
        <f>IF(OR(D1064="",J1064=""),"",IF(AND(J1064="NO CUMPLE",F1064="NO APORTA",E1064&gt;5%),"EXP = 0 y PART &gt; 5%",IF(F1064&lt;5%*Q1067,"EXP &lt; 5%*PO","")))</f>
        <v/>
      </c>
      <c r="L1064" s="389" t="str">
        <f>IF(OR(D1064="",E1064=""),"",IF(AND(E1064&gt;=0.25,F1064&lt;&gt;"NO APORTA",F1064&gt;=$R1067*0.25),"SI","NO"))</f>
        <v/>
      </c>
      <c r="M1064" s="389"/>
      <c r="N1064" s="468"/>
      <c r="O1064" s="397"/>
      <c r="P1064" s="816"/>
      <c r="Q1064" s="816"/>
      <c r="R1064" s="816"/>
      <c r="S1064" s="820"/>
      <c r="T1064" s="308"/>
      <c r="U1064" s="308"/>
      <c r="V1064" s="309"/>
      <c r="W1064" s="284"/>
      <c r="X1064" s="542" t="str">
        <f>IF($F1060=1,"NO APLICA",$D1064)</f>
        <v>NO APLICA</v>
      </c>
      <c r="Y1064" s="543" t="str">
        <f>IF(OR($F1064="",$F1064="NO APORTA",$R1067=0,$X1064="NO APLICA"),"",ROUND($F1064/$Q1067,2))</f>
        <v/>
      </c>
      <c r="Z1064" s="544"/>
      <c r="AA1064" s="543"/>
      <c r="AB1064" s="540" t="str">
        <f>IF(COUNTIF(Z1064:AA1064,"SI APLICA")=2,"SI APLICA","")</f>
        <v/>
      </c>
      <c r="AC1064" s="28"/>
    </row>
    <row r="1065" spans="1:29" s="30" customFormat="1" ht="15.75" customHeight="1">
      <c r="A1065" s="112" t="str">
        <f>"Q"&amp;E1041</f>
        <v>Q35</v>
      </c>
      <c r="B1065" s="791"/>
      <c r="C1065" s="54">
        <v>4</v>
      </c>
      <c r="D1065" s="100" t="str">
        <f>IF(AND(C1065&lt;=F1060,F1060&lt;&gt;""),VLOOKUP(VALUE(E1041&amp;","&amp;C1065),INTEGRANTES!$D$19:$F$192,2,0),"")</f>
        <v/>
      </c>
      <c r="E1065" s="107" t="str">
        <f>IF(D1065&lt;&gt;"",VLOOKUP(VALUE(E1041&amp;","&amp;C1065),INTEGRANTES!$D$19:$F$192,3,0),"")</f>
        <v/>
      </c>
      <c r="F1065" s="380" t="str">
        <f>IF(D1065="","",IF(OR(SUMIF($J1048:$J1054,D1065,$O1048:$O1054)=0,N1065="NO"),"NO APORTA",SUMIF($J1048:$J1054,D1065,$O1048:$O1054)))</f>
        <v/>
      </c>
      <c r="G1065" s="380" t="str">
        <f>IF($D1065="","",IF($F1060&lt;=1,"",ROUND(POSMMLV*PORPO,2)))</f>
        <v/>
      </c>
      <c r="H1065" s="765" t="str">
        <f t="shared" si="212"/>
        <v/>
      </c>
      <c r="I1065" s="766"/>
      <c r="J1065" s="108" t="str">
        <f>IF(D1065="","",IF(OR(AND(SUMIF($J1045:$J1054,D1065,$O1045:$O1054)&gt;=5%*POSMMLV,N1065="SI"),AND(SUMIF($J1045:$J1054,D1065,$O1045:$O1054)=0,E1065&lt;=5%,N1065="SI")),"CUMPLE","NO CUMPLE"))</f>
        <v/>
      </c>
      <c r="K1065" s="105" t="str">
        <f>IF(OR(D1065="",J1065=""),"",IF(AND(J1065="NO CUMPLE",F1065="NO APORTA",E1065&gt;5%),"EXP = 0 y PART &gt; 5%",IF(F1065&lt;5%*Q1067,"EXP &lt; 5%*PO","")))</f>
        <v/>
      </c>
      <c r="L1065" s="389" t="str">
        <f>IF(OR(D1065="",E1065=""),"",IF(AND(E1065&gt;=0.25,F1065&lt;&gt;"NO APORTA",F1065&gt;=$R1067*0.25),"SI","NO"))</f>
        <v/>
      </c>
      <c r="M1065" s="389"/>
      <c r="N1065" s="468"/>
      <c r="O1065" s="788" t="s">
        <v>414</v>
      </c>
      <c r="P1065" s="769" t="s">
        <v>415</v>
      </c>
      <c r="Q1065" s="770"/>
      <c r="R1065" s="770"/>
      <c r="S1065" s="771"/>
      <c r="T1065" s="284"/>
      <c r="U1065" s="284"/>
      <c r="V1065" s="310"/>
      <c r="W1065" s="284"/>
      <c r="X1065" s="542" t="str">
        <f>IF($F1060=1,"NO APLICA",$D1065)</f>
        <v>NO APLICA</v>
      </c>
      <c r="Y1065" s="543" t="str">
        <f>IF(OR($F1065="",$F1065="NO APORTA",$R1067=0,$X1065="NO APLICA"),"",ROUND($F1065/$Q1067,2))</f>
        <v/>
      </c>
      <c r="Z1065" s="544"/>
      <c r="AA1065" s="543"/>
      <c r="AB1065" s="540" t="str">
        <f t="shared" ref="AB1065:AB1066" si="214">IF(COUNTIF(Z1065:AA1065,"SI APLICA")=2,"SI APLICA","")</f>
        <v/>
      </c>
      <c r="AC1065" s="28"/>
    </row>
    <row r="1066" spans="1:29" s="30" customFormat="1" ht="17.25" customHeight="1">
      <c r="A1066" s="112" t="str">
        <f>"R"&amp;E1041</f>
        <v>R35</v>
      </c>
      <c r="B1066" s="791"/>
      <c r="C1066" s="54">
        <v>5</v>
      </c>
      <c r="D1066" s="100" t="str">
        <f>IF(AND(C1066&lt;=F1060,F1060&lt;&gt;""),VLOOKUP(VALUE(E1041&amp;","&amp;C1066),INTEGRANTES!$D$19:$F$192,2,0),"")</f>
        <v/>
      </c>
      <c r="E1066" s="107" t="str">
        <f>IF(D1066&lt;&gt;"",VLOOKUP(VALUE(E1041&amp;","&amp;C1066),INTEGRANTES!$D$19:$F$192,3,0),"")</f>
        <v/>
      </c>
      <c r="F1066" s="380" t="str">
        <f>IF(D1066="","",IF(OR(SUMIF($J1048:$J1054,D1066,$O1048:$O1054)=0,N1066="NO"),"NO APORTA",SUMIF($J1048:$J1054,D1066,$O1048:$O1054)))</f>
        <v/>
      </c>
      <c r="G1066" s="380" t="str">
        <f>IF($D1066="","",IF($F1060&lt;=1,"",ROUND(POSMMLV*PORPO,2)))</f>
        <v/>
      </c>
      <c r="H1066" s="765" t="str">
        <f t="shared" si="212"/>
        <v/>
      </c>
      <c r="I1066" s="766"/>
      <c r="J1066" s="108" t="str">
        <f>IF(D1066="","",IF(OR(AND(SUMIF($J1045:$J1054,D1066,$O1045:$O1054)&gt;=5%*POSMMLV,N1066="SI"),AND(SUMIF($J1045:$J1054,D1066,$O1045:$O1054)=0,E1066&lt;=5%,N1066="SI")),"CUMPLE","NO CUMPLE"))</f>
        <v/>
      </c>
      <c r="K1066" s="105" t="str">
        <f>IF(OR(D1066="",J1066=""),"",IF(AND(J1066="NO CUMPLE",F1066="NO APORTA",E1066&gt;5%),"EXP = 0 y PART &gt; 5%",IF(F1066&lt;5%*Q1067,"EXP &lt; 5%*PO","")))</f>
        <v/>
      </c>
      <c r="L1066" s="389" t="str">
        <f>IF(OR(D1066="",E1066=""),"",IF(AND(E1066&gt;=0.25,F1066&lt;&gt;"NO APORTA",F1066&gt;=$R1067*0.25),"SI","NO"))</f>
        <v/>
      </c>
      <c r="M1066" s="389"/>
      <c r="N1066" s="468"/>
      <c r="O1066" s="789"/>
      <c r="P1066" s="504" t="s">
        <v>416</v>
      </c>
      <c r="Q1066" s="504" t="s">
        <v>417</v>
      </c>
      <c r="R1066" s="793" t="s">
        <v>418</v>
      </c>
      <c r="S1066" s="793"/>
      <c r="T1066" s="284"/>
      <c r="U1066" s="284"/>
      <c r="V1066" s="310"/>
      <c r="W1066" s="284"/>
      <c r="X1066" s="542" t="str">
        <f>IF($F1060=1,"NO APLICA",$D1066)</f>
        <v>NO APLICA</v>
      </c>
      <c r="Y1066" s="543" t="str">
        <f>IF(OR($F1066="",$F1066="NO APORTA",$R1067=0,$X1066="NO APLICA"),"",ROUND($F1066/$Q1067,2))</f>
        <v/>
      </c>
      <c r="Z1066" s="544"/>
      <c r="AA1066" s="543"/>
      <c r="AB1066" s="540" t="str">
        <f t="shared" si="214"/>
        <v/>
      </c>
      <c r="AC1066" s="28"/>
    </row>
    <row r="1067" spans="1:29" s="30" customFormat="1" ht="16.5" customHeight="1" thickBot="1">
      <c r="A1067" s="112" t="str">
        <f>"S"&amp;E1041</f>
        <v>S35</v>
      </c>
      <c r="B1067" s="791"/>
      <c r="C1067" s="109">
        <v>6</v>
      </c>
      <c r="D1067" s="110" t="str">
        <f>IF(AND(C1067&lt;=F1060,F1060&lt;&gt;""),VLOOKUP(VALUE(E1041&amp;","&amp;C1067),INTEGRANTES!$D$19:$F$192,2,0),"")</f>
        <v/>
      </c>
      <c r="E1067" s="111" t="str">
        <f>IF(D1067&lt;&gt;"",VLOOKUP(VALUE(E1041&amp;","&amp;C1067),INTEGRANTES!$D$19:$F$192,3,0),"")</f>
        <v/>
      </c>
      <c r="F1067" s="380" t="str">
        <f>IF(D1067="","",IF(OR(SUMIF($J1048:$J1054,D1067,$O1048:$O1054)=0,N1067="NO"),"NO APORTA",SUMIF($J1048:$J1054,D1067,$O1048:$O1054)))</f>
        <v/>
      </c>
      <c r="G1067" s="380" t="str">
        <f>IF($D1067="","",IF($F1060&lt;=1,"",ROUND(POSMMLV*PORPO,2)))</f>
        <v/>
      </c>
      <c r="H1067" s="765" t="str">
        <f>IF($D1067="","",IF(OR(F1067="NO APORTA",G1067&gt;F1067),"NO CUMPLE","CUMPLE"))</f>
        <v/>
      </c>
      <c r="I1067" s="766"/>
      <c r="J1067" s="108" t="str">
        <f>IF(D1067="","",IF(OR(AND(SUMIF($J1045:$J1054,D1067,$O1045:$O1054)&gt;=5%*POSMMLV,N1067="SI"),AND(SUMIF($J1045:$J1054,D1067,$O1045:$O1054)=0,E1067&lt;=5%,N1067="SI")),"CUMPLE","NO CUMPLE"))</f>
        <v/>
      </c>
      <c r="K1067" s="105" t="str">
        <f>IF(OR(D1067="",J1067=""),"",IF(AND(J1067="NO CUMPLE",F1067="NO APORTA",E1067&gt;5%),"EXP = 0 y PART &gt; 5%",IF(F1067&lt;5%*Q1067,"EXP &lt; 5%*PO","")))</f>
        <v/>
      </c>
      <c r="L1067" s="389" t="str">
        <f>IF(OR(D1067="",E1067=""),"",IF(AND(E1067&gt;=0.25,F1067&lt;&gt;"NO APORTA",F1067&gt;=$R1067*0.25),"SI","NO"))</f>
        <v/>
      </c>
      <c r="M1067" s="389"/>
      <c r="N1067" s="468"/>
      <c r="O1067" s="403" t="str">
        <f ca="1">IF(R1067&gt;=Q1067,"CUMPLE","NO CUMPLE")</f>
        <v>CUMPLE</v>
      </c>
      <c r="P1067" s="312">
        <f>NUMMOD</f>
        <v>1</v>
      </c>
      <c r="Q1067" s="313">
        <f ca="1">IF(P1067="","",ROUND(VLOOKUP(P1067,PRESUPUESTOS!$B$16:$L$16,9,FALSE),7))</f>
        <v>300</v>
      </c>
      <c r="R1067" s="834">
        <f>IF(OR(COUNTIF(O1045:O1054,"")&gt;9,S1061&lt;NUMMINCONT),0,SUM(O1045:O1054))</f>
        <v>1242.76</v>
      </c>
      <c r="S1067" s="834"/>
      <c r="T1067" s="284"/>
      <c r="U1067" s="284"/>
      <c r="V1067" s="310"/>
      <c r="W1067" s="284"/>
      <c r="X1067" s="545" t="str">
        <f>IF($F1060=1,"NO APLICA",$D1067)</f>
        <v>NO APLICA</v>
      </c>
      <c r="Y1067" s="543" t="str">
        <f>IF(OR($F1067="",$F1067="NO APORTA",$R1067=0,$X1067="NO APLICA"),"",ROUND($F1067/$Q1067,2))</f>
        <v/>
      </c>
      <c r="Z1067" s="544"/>
      <c r="AA1067" s="546"/>
      <c r="AB1067" s="540" t="str">
        <f>IF(COUNTIF(Z1067:AA1067,"SI APLICA")=2,"SI APLICA","")</f>
        <v/>
      </c>
      <c r="AC1067" s="28"/>
    </row>
    <row r="1068" spans="1:29" s="30" customFormat="1" ht="16.5" customHeight="1" thickBot="1">
      <c r="A1068" s="112" t="str">
        <f>"T"&amp;E1041</f>
        <v>T35</v>
      </c>
      <c r="B1068" s="792"/>
      <c r="C1068" s="821" t="s">
        <v>419</v>
      </c>
      <c r="D1068" s="822"/>
      <c r="E1068" s="822"/>
      <c r="F1068" s="518"/>
      <c r="G1068" s="519"/>
      <c r="H1068" s="794" t="str">
        <f>IF(OR($F1060="",SUM(E1062:E1067)=0),"",IF(COUNTIF(H1062:H1067,"CUMPLE")&gt;=1,"CUMPLE","NO CUMPLE"))</f>
        <v/>
      </c>
      <c r="I1068" s="795"/>
      <c r="J1068" s="314" t="str">
        <f>IF(COUNTIF(J1062:J1067,"")&gt;5,"",IF(COUNTIF(J1062:J1067,"NO CUMPLE")&gt;0,"NO CUMPLE","CUMPLE"))</f>
        <v/>
      </c>
      <c r="K1068" s="314" t="str">
        <f>IF(OR(AND(F1060=1,N1062="SI"),AND(COUNTIF(H1068:J1068,"CUMPLE")=2)),"CUMPLE","NO CUMPLE")</f>
        <v>CUMPLE</v>
      </c>
      <c r="L1068" s="519"/>
      <c r="M1068" s="519"/>
      <c r="N1068" s="519"/>
      <c r="O1068" s="833" t="str">
        <f ca="1">IF(ISNUMBER(F1041),"",IF(AND(O1067="NO CUMPLE",SUM(N1048:N1054)&lt;Q1067),"EL PROPONENTE SE DEBE REQUERIR POR EXPERIENCIA MINIMA EXIGIDA",""))</f>
        <v/>
      </c>
      <c r="P1068" s="833"/>
      <c r="Q1068" s="833"/>
      <c r="R1068" s="833"/>
      <c r="S1068" s="833"/>
      <c r="T1068" s="522"/>
      <c r="U1068" s="523"/>
      <c r="V1068" s="524"/>
      <c r="W1068" s="284"/>
      <c r="X1068" s="364" t="str">
        <f>IF(Y1068=1,"PROPONENTE INDIVIDUAL","PROPONENTE PLURAL")</f>
        <v>PROPONENTE INDIVIDUAL</v>
      </c>
      <c r="Y1068" s="276">
        <f>F1060</f>
        <v>1</v>
      </c>
      <c r="Z1068" s="277" t="str">
        <f>IF(OR(AND(Z1062="SI APLICA",AA1062="SI APLICA"),AND(Z1063="SI APLICA",AA1063="SI APLICA"),AND(Z1064="SI APLICA",AA1064="SI APLICA"),AND(Z1065="SI APLICA",AA1065="SI APLICA"),AND(Z1066="SI APLICA",AA1066="SI APLICA"),AND(Z1067="SI APLICA",AA1067="SI APLICA")),"SI APLICA","NO APLICA")</f>
        <v>SI APLICA</v>
      </c>
      <c r="AA1068" s="278" t="str">
        <f>IF(OR(AND(AA1062="SI APLICA",AB1062="SI APLICA"),AND(AA1063="SI APLICA",AB1063="SI APLICA"),AND(AA1064="SI APLICA",AB1064="SI APLICA"),AND(AA1065="SI APLICA",AB1065="SI APLICA"),AND(AA1066="SI APLICA",AB1066="SI APLICA"),AND(AA1067="SI APLICA",AB1067="SI APLICA")),"SI APLICA","NO APLICA")</f>
        <v>SI APLICA</v>
      </c>
      <c r="AB1068" s="278" t="str">
        <f>IF(COUNTIF(AB1062:AB1067,"SI APLICA")&gt;0,"SI APLICA","NO APLICA")</f>
        <v>SI APLICA</v>
      </c>
      <c r="AC1068" s="28"/>
    </row>
    <row r="1069" spans="1:29" ht="24.95" customHeight="1"/>
    <row r="1070" spans="1:29" ht="24.95" customHeight="1"/>
    <row r="1071" spans="1:29" s="41" customFormat="1" ht="24" thickBot="1">
      <c r="A1071" s="34">
        <v>36</v>
      </c>
      <c r="B1071" s="828" t="s">
        <v>355</v>
      </c>
      <c r="C1071" s="828"/>
      <c r="D1071" s="828"/>
      <c r="E1071" s="35">
        <f>VLOOKUP(A1071,PROPONENTES!$B$19:$E$108,2,FALSE)</f>
        <v>36</v>
      </c>
      <c r="F1071" s="36" t="str">
        <f>VLOOKUP(A1071,PROPONENTES!$B$19:$E$108,3,FALSE)</f>
        <v>EJE GROUP S.A.S</v>
      </c>
      <c r="G1071" s="37"/>
      <c r="H1071" s="37"/>
      <c r="I1071" s="36"/>
      <c r="J1071" s="36"/>
      <c r="K1071" s="36"/>
      <c r="L1071" s="36"/>
      <c r="M1071" s="38"/>
      <c r="N1071" s="38"/>
      <c r="O1071" s="37"/>
      <c r="P1071" s="37"/>
      <c r="Q1071" s="39"/>
      <c r="R1071" s="39"/>
      <c r="S1071" s="39"/>
      <c r="T1071" s="39"/>
      <c r="U1071" s="40"/>
      <c r="Y1071" s="52"/>
      <c r="Z1071" s="52"/>
      <c r="AA1071" s="52"/>
      <c r="AB1071" s="28"/>
      <c r="AC1071" s="28"/>
    </row>
    <row r="1072" spans="1:29" s="27" customFormat="1" ht="24.75" customHeight="1">
      <c r="A1072" s="22"/>
      <c r="B1072" s="829" t="s">
        <v>356</v>
      </c>
      <c r="C1072" s="501" t="s">
        <v>357</v>
      </c>
      <c r="D1072" s="502" t="s">
        <v>358</v>
      </c>
      <c r="E1072" s="502"/>
      <c r="F1072" s="502" t="s">
        <v>359</v>
      </c>
      <c r="G1072" s="503"/>
      <c r="H1072" s="803" t="s">
        <v>360</v>
      </c>
      <c r="I1072" s="831" t="s">
        <v>361</v>
      </c>
      <c r="J1072" s="803" t="s">
        <v>362</v>
      </c>
      <c r="K1072" s="803" t="s">
        <v>363</v>
      </c>
      <c r="L1072" s="803" t="s">
        <v>364</v>
      </c>
      <c r="M1072" s="803" t="s">
        <v>365</v>
      </c>
      <c r="N1072" s="804" t="s">
        <v>366</v>
      </c>
      <c r="O1072" s="805"/>
      <c r="P1072" s="806" t="s">
        <v>367</v>
      </c>
      <c r="Q1072" s="807"/>
      <c r="R1072" s="784" t="s">
        <v>368</v>
      </c>
      <c r="S1072" s="774"/>
      <c r="T1072" s="798" t="s">
        <v>369</v>
      </c>
      <c r="U1072" s="799"/>
      <c r="V1072" s="800"/>
      <c r="X1072" s="520"/>
      <c r="Y1072" s="520"/>
    </row>
    <row r="1073" spans="1:29" s="27" customFormat="1" ht="94.5" customHeight="1">
      <c r="A1073" s="22"/>
      <c r="B1073" s="830"/>
      <c r="C1073" s="504" t="s">
        <v>370</v>
      </c>
      <c r="D1073" s="505" t="s">
        <v>41</v>
      </c>
      <c r="E1073" s="505" t="s">
        <v>371</v>
      </c>
      <c r="F1073" s="505" t="s">
        <v>372</v>
      </c>
      <c r="G1073" s="506" t="s">
        <v>373</v>
      </c>
      <c r="H1073" s="793"/>
      <c r="I1073" s="832"/>
      <c r="J1073" s="793"/>
      <c r="K1073" s="793"/>
      <c r="L1073" s="793"/>
      <c r="M1073" s="793"/>
      <c r="N1073" s="504" t="s">
        <v>374</v>
      </c>
      <c r="O1073" s="505" t="s">
        <v>375</v>
      </c>
      <c r="P1073" s="801"/>
      <c r="Q1073" s="802"/>
      <c r="R1073" s="796"/>
      <c r="S1073" s="797"/>
      <c r="T1073" s="507" t="s">
        <v>376</v>
      </c>
      <c r="U1073" s="508" t="s">
        <v>377</v>
      </c>
      <c r="V1073" s="509" t="s">
        <v>378</v>
      </c>
      <c r="X1073" s="521" t="s">
        <v>379</v>
      </c>
      <c r="Y1073" s="521" t="s">
        <v>380</v>
      </c>
    </row>
    <row r="1074" spans="1:29" s="27" customFormat="1" ht="15" customHeight="1">
      <c r="A1074" s="22"/>
      <c r="B1074" s="594"/>
      <c r="C1074" s="595">
        <v>3</v>
      </c>
      <c r="D1074" s="595">
        <v>4</v>
      </c>
      <c r="E1074" s="595">
        <v>5</v>
      </c>
      <c r="F1074" s="595">
        <v>6</v>
      </c>
      <c r="G1074" s="595">
        <v>7</v>
      </c>
      <c r="H1074" s="595">
        <v>8</v>
      </c>
      <c r="I1074" s="595">
        <v>9</v>
      </c>
      <c r="J1074" s="595">
        <v>10</v>
      </c>
      <c r="K1074" s="595">
        <v>11</v>
      </c>
      <c r="L1074" s="595">
        <v>12</v>
      </c>
      <c r="M1074" s="595">
        <v>13</v>
      </c>
      <c r="N1074" s="595">
        <v>14</v>
      </c>
      <c r="O1074" s="595">
        <v>15</v>
      </c>
      <c r="P1074" s="596">
        <v>16</v>
      </c>
      <c r="Q1074" s="597">
        <v>17</v>
      </c>
      <c r="R1074" s="596">
        <v>18</v>
      </c>
      <c r="S1074" s="597">
        <v>19</v>
      </c>
      <c r="T1074" s="598">
        <v>20</v>
      </c>
      <c r="U1074" s="255">
        <v>21</v>
      </c>
      <c r="V1074" s="599">
        <v>22</v>
      </c>
      <c r="X1074" s="589"/>
      <c r="Y1074" s="590"/>
    </row>
    <row r="1075" spans="1:29" s="44" customFormat="1" ht="40.5" customHeight="1">
      <c r="A1075" s="42" t="str">
        <f>"A"&amp;E1071</f>
        <v>A36</v>
      </c>
      <c r="B1075" s="605">
        <f>IF(C1075&lt;&gt;"",B1074+1,"")</f>
        <v>1</v>
      </c>
      <c r="C1075" s="581" t="s">
        <v>673</v>
      </c>
      <c r="D1075" s="581" t="s">
        <v>674</v>
      </c>
      <c r="E1075" s="581" t="s">
        <v>675</v>
      </c>
      <c r="F1075" s="581" t="s">
        <v>580</v>
      </c>
      <c r="G1075" s="534">
        <v>1</v>
      </c>
      <c r="H1075" s="534" t="s">
        <v>385</v>
      </c>
      <c r="I1075" s="579" t="s">
        <v>384</v>
      </c>
      <c r="J1075" s="580" t="str">
        <f>IF(I1075="","",IF(I1075="I",$F1071,VLOOKUP(I1075,$C1092:$D1097,2,0)))</f>
        <v>EJE GROUP S.A.S</v>
      </c>
      <c r="K1075" s="535">
        <v>43767</v>
      </c>
      <c r="L1075" s="535">
        <v>44073</v>
      </c>
      <c r="M1075" s="536">
        <v>106.79</v>
      </c>
      <c r="N1075" s="232">
        <f t="shared" ref="N1075:N1084" si="215">IF(OR(G1075="",M1075=""),"",M1075*G1075)</f>
        <v>106.79</v>
      </c>
      <c r="O1075" s="650">
        <f t="shared" ref="O1075:O1084" si="216">IF(OR(H1075="",H1075="NO",K1075&lt;$Q$17,K1075&gt;$R$17,K1075="",M1075="",N1075=""),"",ROUND(N1075,7))</f>
        <v>106.79</v>
      </c>
      <c r="P1075" s="781"/>
      <c r="Q1075" s="782"/>
      <c r="R1075" s="767"/>
      <c r="S1075" s="768"/>
      <c r="T1075" s="538" t="s">
        <v>385</v>
      </c>
      <c r="U1075" s="539">
        <v>162</v>
      </c>
      <c r="V1075" s="641" t="s">
        <v>385</v>
      </c>
      <c r="X1075" s="541" t="s">
        <v>386</v>
      </c>
      <c r="Y1075" s="541" t="s">
        <v>439</v>
      </c>
    </row>
    <row r="1076" spans="1:29" s="44" customFormat="1" ht="45.75" customHeight="1">
      <c r="A1076" s="42" t="str">
        <f>"B"&amp;E1071</f>
        <v>B36</v>
      </c>
      <c r="B1076" s="605">
        <f t="shared" ref="B1076:B1084" si="217">IF(C1076&lt;&gt;"",B1075+1,"")</f>
        <v>2</v>
      </c>
      <c r="C1076" s="581" t="s">
        <v>676</v>
      </c>
      <c r="D1076" s="581" t="s">
        <v>677</v>
      </c>
      <c r="E1076" s="581" t="s">
        <v>678</v>
      </c>
      <c r="F1076" s="581" t="s">
        <v>580</v>
      </c>
      <c r="G1076" s="534">
        <v>1</v>
      </c>
      <c r="H1076" s="534" t="s">
        <v>385</v>
      </c>
      <c r="I1076" s="579" t="s">
        <v>384</v>
      </c>
      <c r="J1076" s="580" t="str">
        <f>IF(I1076="","",IF(I1076="I",$F1071,VLOOKUP(I1076,$C1092:$D1097,2,0)))</f>
        <v>EJE GROUP S.A.S</v>
      </c>
      <c r="K1076" s="535">
        <v>43627</v>
      </c>
      <c r="L1076" s="535">
        <v>43845</v>
      </c>
      <c r="M1076" s="536">
        <v>107.84</v>
      </c>
      <c r="N1076" s="232">
        <f t="shared" si="215"/>
        <v>107.84</v>
      </c>
      <c r="O1076" s="650">
        <f t="shared" si="216"/>
        <v>107.84</v>
      </c>
      <c r="P1076" s="781"/>
      <c r="Q1076" s="782"/>
      <c r="R1076" s="767"/>
      <c r="S1076" s="768"/>
      <c r="T1076" s="538" t="s">
        <v>385</v>
      </c>
      <c r="U1076" s="539">
        <v>12</v>
      </c>
      <c r="V1076" s="641" t="s">
        <v>385</v>
      </c>
      <c r="X1076" s="541" t="s">
        <v>386</v>
      </c>
      <c r="Y1076" s="541" t="s">
        <v>387</v>
      </c>
    </row>
    <row r="1077" spans="1:29" s="44" customFormat="1" ht="64.5" customHeight="1">
      <c r="A1077" s="42" t="str">
        <f>"C"&amp;E1071</f>
        <v>C36</v>
      </c>
      <c r="B1077" s="605">
        <f t="shared" si="217"/>
        <v>3</v>
      </c>
      <c r="C1077" s="581" t="s">
        <v>679</v>
      </c>
      <c r="D1077" s="581" t="s">
        <v>680</v>
      </c>
      <c r="E1077" s="581" t="s">
        <v>681</v>
      </c>
      <c r="F1077" s="581" t="s">
        <v>384</v>
      </c>
      <c r="G1077" s="534">
        <v>1</v>
      </c>
      <c r="H1077" s="534" t="s">
        <v>385</v>
      </c>
      <c r="I1077" s="579" t="s">
        <v>384</v>
      </c>
      <c r="J1077" s="580" t="str">
        <f>IF(I1077="","",IF(I1077="I",$F1071,VLOOKUP(I1077,$C1092:$D1097,2,0)))</f>
        <v>EJE GROUP S.A.S</v>
      </c>
      <c r="K1077" s="535">
        <v>43839</v>
      </c>
      <c r="L1077" s="535">
        <v>44431</v>
      </c>
      <c r="M1077" s="536">
        <v>110.8</v>
      </c>
      <c r="N1077" s="232">
        <f t="shared" si="215"/>
        <v>110.8</v>
      </c>
      <c r="O1077" s="650">
        <f t="shared" si="216"/>
        <v>110.8</v>
      </c>
      <c r="P1077" s="781"/>
      <c r="Q1077" s="782"/>
      <c r="R1077" s="767"/>
      <c r="S1077" s="768"/>
      <c r="T1077" s="538" t="s">
        <v>385</v>
      </c>
      <c r="U1077" s="539">
        <v>178</v>
      </c>
      <c r="V1077" s="641" t="s">
        <v>385</v>
      </c>
      <c r="X1077" s="541" t="s">
        <v>386</v>
      </c>
      <c r="Y1077" s="541" t="s">
        <v>435</v>
      </c>
    </row>
    <row r="1078" spans="1:29" s="44" customFormat="1" ht="24.95" customHeight="1">
      <c r="A1078" s="42" t="str">
        <f>"D"&amp;E1071</f>
        <v>D36</v>
      </c>
      <c r="B1078" s="605" t="str">
        <f t="shared" si="217"/>
        <v/>
      </c>
      <c r="C1078" s="581"/>
      <c r="D1078" s="581"/>
      <c r="E1078" s="581"/>
      <c r="F1078" s="581"/>
      <c r="G1078" s="534"/>
      <c r="H1078" s="534"/>
      <c r="I1078" s="579"/>
      <c r="J1078" s="580" t="str">
        <f>IF(I1078="","",IF(I1078="I",$F1071,VLOOKUP(I1078,$C1092:$D1097,2,0)))</f>
        <v/>
      </c>
      <c r="K1078" s="535"/>
      <c r="L1078" s="535"/>
      <c r="M1078" s="536"/>
      <c r="N1078" s="232" t="str">
        <f t="shared" si="215"/>
        <v/>
      </c>
      <c r="O1078" s="260" t="str">
        <f t="shared" si="216"/>
        <v/>
      </c>
      <c r="P1078" s="781"/>
      <c r="Q1078" s="782"/>
      <c r="R1078" s="767"/>
      <c r="S1078" s="768"/>
      <c r="T1078" s="538"/>
      <c r="U1078" s="539"/>
      <c r="V1078" s="540"/>
      <c r="X1078" s="541"/>
      <c r="Y1078" s="541"/>
    </row>
    <row r="1079" spans="1:29" s="44" customFormat="1" ht="24.95" customHeight="1">
      <c r="A1079" s="42" t="str">
        <f>"E"&amp;E1071</f>
        <v>E36</v>
      </c>
      <c r="B1079" s="605" t="str">
        <f t="shared" si="217"/>
        <v/>
      </c>
      <c r="C1079" s="581"/>
      <c r="D1079" s="581"/>
      <c r="E1079" s="581"/>
      <c r="F1079" s="581"/>
      <c r="G1079" s="534"/>
      <c r="H1079" s="534"/>
      <c r="I1079" s="579"/>
      <c r="J1079" s="580" t="str">
        <f>IF(I1079="","",IF(I1079="I",$F1071,VLOOKUP(I1079,$C1092:$D1097,2,0)))</f>
        <v/>
      </c>
      <c r="K1079" s="535"/>
      <c r="L1079" s="535"/>
      <c r="M1079" s="536"/>
      <c r="N1079" s="232" t="str">
        <f t="shared" si="215"/>
        <v/>
      </c>
      <c r="O1079" s="260" t="str">
        <f t="shared" si="216"/>
        <v/>
      </c>
      <c r="P1079" s="781"/>
      <c r="Q1079" s="782"/>
      <c r="R1079" s="767"/>
      <c r="S1079" s="768"/>
      <c r="T1079" s="538"/>
      <c r="U1079" s="539"/>
      <c r="V1079" s="540"/>
      <c r="X1079" s="541"/>
      <c r="Y1079" s="541"/>
    </row>
    <row r="1080" spans="1:29" s="44" customFormat="1" ht="24.95" customHeight="1">
      <c r="A1080" s="42" t="str">
        <f>"F"&amp;E1071</f>
        <v>F36</v>
      </c>
      <c r="B1080" s="605" t="str">
        <f t="shared" si="217"/>
        <v/>
      </c>
      <c r="C1080" s="581"/>
      <c r="D1080" s="581"/>
      <c r="E1080" s="581"/>
      <c r="F1080" s="581"/>
      <c r="G1080" s="534"/>
      <c r="H1080" s="534"/>
      <c r="I1080" s="579"/>
      <c r="J1080" s="580" t="str">
        <f>IF(I1080="","",IF(I1080="I",$F1071,VLOOKUP(I1080,$C1092:$D1097,2,0)))</f>
        <v/>
      </c>
      <c r="K1080" s="535"/>
      <c r="L1080" s="535"/>
      <c r="M1080" s="536"/>
      <c r="N1080" s="232" t="str">
        <f t="shared" si="215"/>
        <v/>
      </c>
      <c r="O1080" s="260" t="str">
        <f t="shared" si="216"/>
        <v/>
      </c>
      <c r="P1080" s="781"/>
      <c r="Q1080" s="782"/>
      <c r="R1080" s="767"/>
      <c r="S1080" s="768"/>
      <c r="T1080" s="538"/>
      <c r="U1080" s="539"/>
      <c r="V1080" s="540"/>
      <c r="X1080" s="541"/>
      <c r="Y1080" s="541"/>
    </row>
    <row r="1081" spans="1:29" s="44" customFormat="1" ht="24.95" customHeight="1">
      <c r="A1081" s="42" t="str">
        <f>"G"&amp;E1071</f>
        <v>G36</v>
      </c>
      <c r="B1081" s="605" t="str">
        <f t="shared" si="217"/>
        <v/>
      </c>
      <c r="C1081" s="581"/>
      <c r="D1081" s="581"/>
      <c r="E1081" s="581"/>
      <c r="F1081" s="581"/>
      <c r="G1081" s="534"/>
      <c r="H1081" s="534"/>
      <c r="I1081" s="579"/>
      <c r="J1081" s="580" t="str">
        <f>IF(I1081="","",IF(I1081="I",$F1071,VLOOKUP(I1081,$C1092:$D1097,2,0)))</f>
        <v/>
      </c>
      <c r="K1081" s="535"/>
      <c r="L1081" s="535"/>
      <c r="M1081" s="536"/>
      <c r="N1081" s="43" t="str">
        <f t="shared" si="215"/>
        <v/>
      </c>
      <c r="O1081" s="260" t="str">
        <f t="shared" si="216"/>
        <v/>
      </c>
      <c r="P1081" s="781"/>
      <c r="Q1081" s="782"/>
      <c r="R1081" s="767"/>
      <c r="S1081" s="768"/>
      <c r="T1081" s="538"/>
      <c r="U1081" s="539"/>
      <c r="V1081" s="540"/>
      <c r="X1081" s="541"/>
      <c r="Y1081" s="541"/>
    </row>
    <row r="1082" spans="1:29" s="44" customFormat="1" ht="24.95" customHeight="1">
      <c r="A1082" s="42" t="str">
        <f>"H"&amp;E1071</f>
        <v>H36</v>
      </c>
      <c r="B1082" s="605" t="str">
        <f t="shared" si="217"/>
        <v/>
      </c>
      <c r="C1082" s="581"/>
      <c r="D1082" s="581"/>
      <c r="E1082" s="581"/>
      <c r="F1082" s="581"/>
      <c r="G1082" s="534"/>
      <c r="H1082" s="534"/>
      <c r="I1082" s="579"/>
      <c r="J1082" s="580" t="str">
        <f>IF(I1082="","",IF(I1082="I",$F1071,VLOOKUP(I1082,$C1092:$D1097,2,0)))</f>
        <v/>
      </c>
      <c r="K1082" s="535"/>
      <c r="L1082" s="535"/>
      <c r="M1082" s="537"/>
      <c r="N1082" s="43" t="str">
        <f t="shared" si="215"/>
        <v/>
      </c>
      <c r="O1082" s="260" t="str">
        <f t="shared" si="216"/>
        <v/>
      </c>
      <c r="P1082" s="781"/>
      <c r="Q1082" s="782"/>
      <c r="R1082" s="767"/>
      <c r="S1082" s="768"/>
      <c r="T1082" s="538"/>
      <c r="U1082" s="539"/>
      <c r="V1082" s="540"/>
      <c r="X1082" s="541"/>
      <c r="Y1082" s="541"/>
    </row>
    <row r="1083" spans="1:29" s="44" customFormat="1" ht="24.95" customHeight="1">
      <c r="A1083" s="42" t="str">
        <f>"I"&amp;E1071</f>
        <v>I36</v>
      </c>
      <c r="B1083" s="605" t="str">
        <f t="shared" si="217"/>
        <v/>
      </c>
      <c r="C1083" s="581"/>
      <c r="D1083" s="581"/>
      <c r="E1083" s="581"/>
      <c r="F1083" s="581"/>
      <c r="G1083" s="534"/>
      <c r="H1083" s="534"/>
      <c r="I1083" s="579"/>
      <c r="J1083" s="580" t="str">
        <f>IF(I1083="","",IF(I1083="I",$F1071,VLOOKUP(I1083,$C1092:$D1097,2,0)))</f>
        <v/>
      </c>
      <c r="K1083" s="535"/>
      <c r="L1083" s="535"/>
      <c r="M1083" s="537"/>
      <c r="N1083" s="43" t="str">
        <f t="shared" si="215"/>
        <v/>
      </c>
      <c r="O1083" s="260" t="str">
        <f t="shared" si="216"/>
        <v/>
      </c>
      <c r="P1083" s="781"/>
      <c r="Q1083" s="782"/>
      <c r="R1083" s="767"/>
      <c r="S1083" s="768"/>
      <c r="T1083" s="538"/>
      <c r="U1083" s="539"/>
      <c r="V1083" s="540"/>
      <c r="X1083" s="541"/>
      <c r="Y1083" s="541"/>
    </row>
    <row r="1084" spans="1:29" s="44" customFormat="1" ht="24.95" customHeight="1" thickBot="1">
      <c r="A1084" s="42" t="str">
        <f>"J"&amp;E1071</f>
        <v>J36</v>
      </c>
      <c r="B1084" s="612" t="str">
        <f t="shared" si="217"/>
        <v/>
      </c>
      <c r="C1084" s="582"/>
      <c r="D1084" s="582"/>
      <c r="E1084" s="582"/>
      <c r="F1084" s="582"/>
      <c r="G1084" s="583"/>
      <c r="H1084" s="583"/>
      <c r="I1084" s="584"/>
      <c r="J1084" s="585" t="str">
        <f>IF(I1084="","",IF(I1084="I",$F1071,VLOOKUP(I1084,$C1092:$D1097,2,0)))</f>
        <v/>
      </c>
      <c r="K1084" s="586"/>
      <c r="L1084" s="586"/>
      <c r="M1084" s="587"/>
      <c r="N1084" s="43" t="str">
        <f t="shared" si="215"/>
        <v/>
      </c>
      <c r="O1084" s="260" t="str">
        <f t="shared" si="216"/>
        <v/>
      </c>
      <c r="P1084" s="781"/>
      <c r="Q1084" s="782"/>
      <c r="R1084" s="767"/>
      <c r="S1084" s="768"/>
      <c r="T1084" s="538"/>
      <c r="U1084" s="539"/>
      <c r="V1084" s="540"/>
      <c r="X1084" s="541"/>
      <c r="Y1084" s="541"/>
    </row>
    <row r="1085" spans="1:29" s="27" customFormat="1" ht="12" customHeight="1" thickBot="1">
      <c r="A1085" s="42"/>
      <c r="B1085" s="45"/>
      <c r="C1085" s="46"/>
      <c r="D1085" s="46"/>
      <c r="E1085" s="46"/>
      <c r="F1085" s="46"/>
      <c r="G1085" s="46"/>
      <c r="H1085" s="606"/>
      <c r="I1085" s="46"/>
      <c r="J1085" s="46"/>
      <c r="K1085" s="46"/>
      <c r="L1085" s="46"/>
      <c r="M1085" s="46"/>
      <c r="N1085" s="46"/>
      <c r="O1085" s="259"/>
      <c r="P1085" s="46"/>
      <c r="Q1085" s="46"/>
      <c r="R1085" s="259"/>
      <c r="S1085" s="46"/>
      <c r="T1085" s="46"/>
      <c r="U1085" s="47"/>
      <c r="V1085" s="48"/>
      <c r="X1085" s="592"/>
      <c r="Y1085" s="593"/>
      <c r="AB1085" s="378"/>
    </row>
    <row r="1086" spans="1:29" s="27" customFormat="1" ht="17.25" customHeight="1" thickBot="1">
      <c r="A1086" s="42" t="str">
        <f>"Z"&amp;E1071</f>
        <v>Z36</v>
      </c>
      <c r="B1086" s="510"/>
      <c r="C1086" s="511"/>
      <c r="D1086" s="511"/>
      <c r="E1086" s="511"/>
      <c r="F1086" s="511"/>
      <c r="G1086" s="511"/>
      <c r="H1086" s="511"/>
      <c r="I1086" s="511"/>
      <c r="J1086" s="511"/>
      <c r="K1086" s="511"/>
      <c r="L1086" s="511"/>
      <c r="M1086" s="511"/>
      <c r="N1086" s="437" t="s">
        <v>388</v>
      </c>
      <c r="O1086" s="438">
        <f>IF(COUNTIF(O1075:O1084,"")&gt;9,0,SUM(O1075:O1084)/(COUNTIF(H1075:H1084,"SI")))</f>
        <v>108.47666666666667</v>
      </c>
      <c r="P1086" s="511"/>
      <c r="Q1086" s="511"/>
      <c r="R1086" s="530"/>
      <c r="S1086" s="530"/>
      <c r="T1086" s="531"/>
      <c r="U1086" s="532"/>
      <c r="V1086" s="533"/>
      <c r="W1086" s="285"/>
      <c r="X1086" s="613" t="e">
        <f>COUNTIF(#REF!,"")-COUNTIF(#REF!,"CUMPLE")-1</f>
        <v>#REF!</v>
      </c>
      <c r="Y1086" s="591"/>
      <c r="AB1086" s="28"/>
    </row>
    <row r="1087" spans="1:29" ht="17.25" customHeight="1">
      <c r="B1087" s="50"/>
      <c r="C1087" s="50"/>
      <c r="D1087" s="50"/>
      <c r="E1087" s="50"/>
      <c r="F1087" s="50"/>
      <c r="G1087" s="51"/>
      <c r="H1087" s="51"/>
      <c r="I1087" s="51"/>
      <c r="J1087" s="51"/>
      <c r="K1087" s="51"/>
      <c r="L1087" s="51"/>
      <c r="M1087" s="51"/>
      <c r="N1087" s="51"/>
      <c r="O1087" s="51"/>
      <c r="P1087" s="51"/>
      <c r="Q1087" s="51"/>
      <c r="R1087" s="51"/>
      <c r="S1087" s="51"/>
      <c r="T1087" s="51"/>
      <c r="U1087" s="51"/>
      <c r="V1087" s="51"/>
      <c r="W1087" s="51"/>
      <c r="X1087" s="608"/>
      <c r="Y1087" s="51"/>
      <c r="Z1087" s="51"/>
      <c r="AA1087" s="51"/>
      <c r="AB1087" s="51"/>
      <c r="AC1087" s="50"/>
    </row>
    <row r="1088" spans="1:29" s="27" customFormat="1" ht="16.5" customHeight="1" thickBot="1">
      <c r="A1088" s="22"/>
      <c r="B1088" s="783" t="s">
        <v>389</v>
      </c>
      <c r="C1088" s="783"/>
      <c r="D1088" s="783"/>
      <c r="E1088" s="783"/>
      <c r="F1088" s="783"/>
      <c r="G1088" s="783"/>
      <c r="H1088" s="783"/>
      <c r="I1088" s="783"/>
      <c r="J1088" s="783"/>
      <c r="K1088" s="783"/>
      <c r="L1088" s="783"/>
      <c r="M1088" s="783"/>
      <c r="N1088" s="783"/>
      <c r="O1088" s="783"/>
      <c r="P1088" s="783"/>
      <c r="Q1088" s="783"/>
      <c r="R1088" s="783"/>
      <c r="S1088" s="783"/>
      <c r="T1088" s="783"/>
      <c r="U1088" s="783"/>
      <c r="V1088" s="783"/>
      <c r="W1088" s="286"/>
      <c r="X1088" s="607"/>
      <c r="Y1088" s="52"/>
      <c r="Z1088" s="52"/>
      <c r="AA1088" s="52"/>
      <c r="AB1088" s="28"/>
      <c r="AC1088" s="28"/>
    </row>
    <row r="1089" spans="1:29" s="30" customFormat="1" ht="22.5" customHeight="1">
      <c r="A1089" s="112" t="str">
        <f>"K"&amp;E1071</f>
        <v>K36</v>
      </c>
      <c r="B1089" s="790" t="s">
        <v>390</v>
      </c>
      <c r="C1089" s="772" t="s">
        <v>391</v>
      </c>
      <c r="D1089" s="773"/>
      <c r="E1089" s="773"/>
      <c r="F1089" s="773"/>
      <c r="G1089" s="773"/>
      <c r="H1089" s="773"/>
      <c r="I1089" s="773"/>
      <c r="J1089" s="773"/>
      <c r="K1089" s="773"/>
      <c r="L1089" s="773"/>
      <c r="M1089" s="774"/>
      <c r="N1089" s="525"/>
      <c r="O1089" s="588"/>
      <c r="P1089" s="772" t="s">
        <v>392</v>
      </c>
      <c r="Q1089" s="773"/>
      <c r="R1089" s="773"/>
      <c r="S1089" s="774"/>
      <c r="T1089" s="784" t="s">
        <v>393</v>
      </c>
      <c r="U1089" s="774"/>
      <c r="V1089" s="811"/>
      <c r="W1089" s="284"/>
      <c r="X1089" s="778" t="s">
        <v>394</v>
      </c>
      <c r="Y1089" s="779"/>
      <c r="Z1089" s="779"/>
      <c r="AA1089" s="779" t="s">
        <v>395</v>
      </c>
      <c r="AB1089" s="808" t="s">
        <v>396</v>
      </c>
      <c r="AC1089" s="28"/>
    </row>
    <row r="1090" spans="1:29" s="30" customFormat="1" ht="22.5" customHeight="1">
      <c r="A1090" s="112" t="str">
        <f>"L"&amp;E1071</f>
        <v>L36</v>
      </c>
      <c r="B1090" s="791"/>
      <c r="C1090" s="769" t="s">
        <v>397</v>
      </c>
      <c r="D1090" s="770"/>
      <c r="E1090" s="771"/>
      <c r="F1090" s="512">
        <f>IF(VLOOKUP(E1071,PROPONENTES!$C$19:$E$108,3,0)="","",VLOOKUP(E1071,PROPONENTES!$C$19:$E$108,3,0))</f>
        <v>1</v>
      </c>
      <c r="G1090" s="824" t="s">
        <v>398</v>
      </c>
      <c r="H1090" s="793" t="s">
        <v>399</v>
      </c>
      <c r="I1090" s="793"/>
      <c r="J1090" s="769" t="s">
        <v>400</v>
      </c>
      <c r="K1090" s="823"/>
      <c r="L1090" s="513" t="s">
        <v>401</v>
      </c>
      <c r="M1090" s="513"/>
      <c r="N1090" s="526"/>
      <c r="O1090" s="527"/>
      <c r="P1090" s="775"/>
      <c r="Q1090" s="776"/>
      <c r="R1090" s="776"/>
      <c r="S1090" s="777"/>
      <c r="T1090" s="796"/>
      <c r="U1090" s="797"/>
      <c r="V1090" s="812"/>
      <c r="W1090" s="284"/>
      <c r="X1090" s="780" t="s">
        <v>402</v>
      </c>
      <c r="Y1090" s="810" t="s">
        <v>403</v>
      </c>
      <c r="Z1090" s="810"/>
      <c r="AA1090" s="810"/>
      <c r="AB1090" s="809"/>
      <c r="AC1090" s="28"/>
    </row>
    <row r="1091" spans="1:29" s="30" customFormat="1" ht="51.75" customHeight="1" thickBot="1">
      <c r="A1091" s="112" t="str">
        <f>"M"&amp;E1071</f>
        <v>M36</v>
      </c>
      <c r="B1091" s="791"/>
      <c r="C1091" s="770" t="s">
        <v>404</v>
      </c>
      <c r="D1091" s="771"/>
      <c r="E1091" s="514" t="s">
        <v>405</v>
      </c>
      <c r="F1091" s="515" t="s">
        <v>406</v>
      </c>
      <c r="G1091" s="824"/>
      <c r="H1091" s="793"/>
      <c r="I1091" s="793"/>
      <c r="J1091" s="504" t="s">
        <v>407</v>
      </c>
      <c r="K1091" s="516" t="s">
        <v>408</v>
      </c>
      <c r="L1091" s="517" t="s">
        <v>409</v>
      </c>
      <c r="M1091" s="517"/>
      <c r="N1091" s="528" t="s">
        <v>410</v>
      </c>
      <c r="O1091" s="529"/>
      <c r="P1091" s="386"/>
      <c r="Q1091" s="387" t="s">
        <v>411</v>
      </c>
      <c r="R1091" s="388"/>
      <c r="S1091" s="113">
        <f>COUNTIFS(H1075:H1084,"SI",O1075:O1084,"&gt;0")</f>
        <v>3</v>
      </c>
      <c r="T1091" s="785"/>
      <c r="U1091" s="787"/>
      <c r="V1091" s="813"/>
      <c r="W1091" s="284"/>
      <c r="X1091" s="780"/>
      <c r="Y1091" s="810"/>
      <c r="Z1091" s="810"/>
      <c r="AA1091" s="810"/>
      <c r="AB1091" s="809"/>
      <c r="AC1091" s="28"/>
    </row>
    <row r="1092" spans="1:29" s="30" customFormat="1" ht="15.75" customHeight="1">
      <c r="A1092" s="112" t="str">
        <f>"N"&amp;E1071</f>
        <v>N36</v>
      </c>
      <c r="B1092" s="791"/>
      <c r="C1092" s="54">
        <v>1</v>
      </c>
      <c r="D1092" s="100" t="str">
        <f>IF(AND(C1092&lt;=F1090,F1090&gt;1,F1090&lt;&gt;""),VLOOKUP(VALUE(E1071&amp;","&amp;C1092),INTEGRANTES!$D$19:$F$192,2,0),"")</f>
        <v/>
      </c>
      <c r="E1092" s="107" t="str">
        <f>IF(D1092&lt;&gt;"",VLOOKUP(VALUE(E1071&amp;","&amp;C1092),INTEGRANTES!$D$19:$F$192,3,0),"")</f>
        <v/>
      </c>
      <c r="F1092" s="380" t="str">
        <f>IF(D1092="","",IF(OR(SUMIF($J1078:$J1084,D1092,$O1078:$O1084)=0,N1092="NO"),"NO APORTA",SUMIF($J1078:$J1084,D1092,$O1078:$O1084)))</f>
        <v/>
      </c>
      <c r="G1092" s="380" t="str">
        <f>IF($D1092="","",IF($F1090&lt;=1,"",ROUND(POSMMLV*PORPO,2)))</f>
        <v/>
      </c>
      <c r="H1092" s="765" t="str">
        <f>IF($D1092="","",IF(OR(F1092="NO APORTA",G1092&gt;F1092),"NO CUMPLE","CUMPLE"))</f>
        <v/>
      </c>
      <c r="I1092" s="766"/>
      <c r="J1092" s="108" t="str">
        <f>IF(D1092="","",IF(OR(AND(SUMIF($J1075:$J1084,D1092,$O1075:$O1084)&gt;=5%*POSMMLV,N1092="SI"),AND(SUMIF($J1075:$J1084,D1092,$O1075:$O1084)=0,E1092&lt;=5%,N1092="SI")),"CUMPLE","NO CUMPLE"))</f>
        <v/>
      </c>
      <c r="K1092" s="105" t="str">
        <f>IF(OR(D1092="",J1092=""),"",IF(AND(J1092="NO CUMPLE",F1092="NO APORTA",E1092&gt;5%),"EXP = 0 y PART &gt; 5%",IF(F1092&lt;5%*Q1097,"EXP &lt; 5%*PO","")))</f>
        <v/>
      </c>
      <c r="L1092" s="389" t="str">
        <f>IF(OR(D1092="",E1092=""),"",IF(AND(E1092&gt;=0.25,F1092&lt;&gt;"NO APORTA",F1092&gt;=$R1097*0.25),"SI","NO"))</f>
        <v/>
      </c>
      <c r="M1092" s="389"/>
      <c r="N1092" s="468" t="s">
        <v>385</v>
      </c>
      <c r="O1092" s="396">
        <f>COUNTIFS(O1075:O1084,"&gt;0",H1075:H1084,"SI")</f>
        <v>3</v>
      </c>
      <c r="P1092" s="814" t="s">
        <v>139</v>
      </c>
      <c r="Q1092" s="814"/>
      <c r="R1092" s="817">
        <f>E1071</f>
        <v>36</v>
      </c>
      <c r="S1092" s="818"/>
      <c r="T1092" s="784" t="s">
        <v>412</v>
      </c>
      <c r="U1092" s="773"/>
      <c r="V1092" s="774"/>
      <c r="W1092" s="283"/>
      <c r="X1092" s="542" t="str">
        <f>IF($F1090=1,"NO APLICA",$D1092)</f>
        <v>NO APLICA</v>
      </c>
      <c r="Y1092" s="543" t="str">
        <f>IF(OR($F1092="",$F1092="NO APORTA",$R1097=0,$X1092="NO APLICA"),"",ROUND($F1092/$Q1097,2))</f>
        <v/>
      </c>
      <c r="Z1092" s="544" t="str">
        <f>IF(Y1098=1,"SI APLICA",IF(OR($X1092="",$X1092="NO APLICA",$F1092="",$F1092="NO APORTA"),"",IF(ROUND($F1092/Q1097,7)&gt;=0.4,"SI APLICA","NO APLICA")))</f>
        <v>SI APLICA</v>
      </c>
      <c r="AA1092" s="543" t="s">
        <v>413</v>
      </c>
      <c r="AB1092" s="540" t="str">
        <f>IF(COUNTIF(Z1092:AA1092,"SI APLICA")=2,"SI APLICA","")</f>
        <v>SI APLICA</v>
      </c>
      <c r="AC1092" s="28"/>
    </row>
    <row r="1093" spans="1:29" s="30" customFormat="1" ht="15.75" customHeight="1" thickBot="1">
      <c r="A1093" s="112" t="str">
        <f>"O"&amp;E1071</f>
        <v>O36</v>
      </c>
      <c r="B1093" s="791"/>
      <c r="C1093" s="54">
        <v>2</v>
      </c>
      <c r="D1093" s="100" t="str">
        <f>IF(AND(C1093&lt;=F1090,F1090&lt;&gt;""),VLOOKUP(VALUE(E1071&amp;","&amp;C1093),INTEGRANTES!$D$19:$F$192,2,0),"")</f>
        <v/>
      </c>
      <c r="E1093" s="107" t="str">
        <f>IF(D1093&lt;&gt;"",VLOOKUP(VALUE(E1071&amp;","&amp;C1093),INTEGRANTES!$D$19:$F$192,3,0),"")</f>
        <v/>
      </c>
      <c r="F1093" s="380" t="str">
        <f>IF(D1093="","",IF(OR(SUMIF($J1078:$J1084,D1093,$O1078:$O1084)=0,N1093="NO"),"NO APORTA",SUMIF($J1078:$J1084,D1093,$O1078:$O1084)))</f>
        <v/>
      </c>
      <c r="G1093" s="380" t="str">
        <f>IF($D1093="","",IF($F1090&lt;=1,"",ROUND(POSMMLV*PORPO,2)))</f>
        <v/>
      </c>
      <c r="H1093" s="765" t="str">
        <f t="shared" ref="H1093:H1096" si="218">IF($D1093="","",IF(OR(F1093="NO APORTA",G1093&gt;F1093),"NO CUMPLE","CUMPLE"))</f>
        <v/>
      </c>
      <c r="I1093" s="766"/>
      <c r="J1093" s="108" t="str">
        <f>IF(D1093="","",IF(OR(AND(SUMIF($J1075:$J1084,D1093,$O1075:$O1084)&gt;=5%*POSMMLV,N1093="SI"),AND(SUMIF($J1075:$J1084,D1093,$O1075:$O1084)=0,E1093&lt;=5%,N1093="SI")),"CUMPLE","NO CUMPLE"))</f>
        <v/>
      </c>
      <c r="K1093" s="105" t="str">
        <f>IF(OR(D1093="",J1093=""),"",IF(AND(J1093="NO CUMPLE",F1093="NO APORTA",E1093&gt;5%),"EXP = 0 y PART &gt; 5%",IF(F1093&lt;5%*Q1097,"EXP &lt; 5%*PO","")))</f>
        <v/>
      </c>
      <c r="L1093" s="389" t="str">
        <f>IF(OR(D1093="",E1093=""),"",IF(AND(E1093&gt;=0.25,F1093&lt;&gt;"NO APORTA",F1093&gt;=$R1097*0.25),"SI","NO"))</f>
        <v/>
      </c>
      <c r="M1093" s="389"/>
      <c r="N1093" s="468"/>
      <c r="O1093" s="396"/>
      <c r="P1093" s="815"/>
      <c r="Q1093" s="815"/>
      <c r="R1093" s="815"/>
      <c r="S1093" s="819"/>
      <c r="T1093" s="785"/>
      <c r="U1093" s="786"/>
      <c r="V1093" s="787"/>
      <c r="W1093" s="283"/>
      <c r="X1093" s="542" t="str">
        <f>IF($F1090=1,"NO APLICA",$D1093)</f>
        <v>NO APLICA</v>
      </c>
      <c r="Y1093" s="543" t="str">
        <f>IF(OR($F1093="",$F1093="NO APORTA",$R1097=0,$X1093="NO APLICA"),"",ROUND($F1093/$Q1097,2))</f>
        <v/>
      </c>
      <c r="Z1093" s="544"/>
      <c r="AA1093" s="543"/>
      <c r="AB1093" s="540" t="str">
        <f t="shared" ref="AB1093" si="219">IF(COUNTIF(Z1093:AA1093,"SI APLICA")=2,"SI APLICA","")</f>
        <v/>
      </c>
      <c r="AC1093" s="28"/>
    </row>
    <row r="1094" spans="1:29" s="30" customFormat="1" ht="15.75" customHeight="1">
      <c r="A1094" s="112" t="str">
        <f>"P"&amp;E1071</f>
        <v>P36</v>
      </c>
      <c r="B1094" s="791"/>
      <c r="C1094" s="54">
        <v>3</v>
      </c>
      <c r="D1094" s="100" t="str">
        <f>IF(AND(C1094&lt;=F1090,F1090&lt;&gt;""),VLOOKUP(VALUE(E1071&amp;","&amp;C1094),INTEGRANTES!$D$19:$F$192,2,0),"")</f>
        <v/>
      </c>
      <c r="E1094" s="107" t="str">
        <f>IF(D1094&lt;&gt;"",VLOOKUP(VALUE(E1071&amp;","&amp;C1094),INTEGRANTES!$D$19:$F$192,3,0),"")</f>
        <v/>
      </c>
      <c r="F1094" s="380" t="str">
        <f>IF(D1094="","",IF(OR(SUMIF($J1078:$J1084,D1094,$O1078:$O1084)=0,N1094="NO"),"NO APORTA",SUMIF($J1078:$J1084,D1094,$O1078:$O1084)))</f>
        <v/>
      </c>
      <c r="G1094" s="380" t="str">
        <f>IF($D1094="","",IF($F1090&lt;=1,"",ROUND(POSMMLV*PORPO,2)))</f>
        <v/>
      </c>
      <c r="H1094" s="765" t="str">
        <f t="shared" si="218"/>
        <v/>
      </c>
      <c r="I1094" s="766"/>
      <c r="J1094" s="108" t="str">
        <f>IF(D1094="","",IF(OR(AND(SUMIF($J1075:$J1084,D1094,$O1075:$O1084)&gt;=5%*POSMMLV,N1094="SI"),AND(SUMIF($J1075:$J1084,D1094,$O1075:$O1084)=0,E1094&lt;=5%,N1094="SI")),"CUMPLE","NO CUMPLE"))</f>
        <v/>
      </c>
      <c r="K1094" s="105" t="str">
        <f>IF(OR(D1094="",J1094=""),"",IF(AND(J1094="NO CUMPLE",F1094="NO APORTA",E1094&gt;5%),"EXP = 0 y PART &gt; 5%",IF(F1094&lt;5%*Q1097,"EXP &lt; 5%*PO","")))</f>
        <v/>
      </c>
      <c r="L1094" s="389" t="str">
        <f>IF(OR(D1094="",E1094=""),"",IF(AND(E1094&gt;=0.25,F1094&lt;&gt;"NO APORTA",F1094&gt;=$R1097*0.25),"SI","NO"))</f>
        <v/>
      </c>
      <c r="M1094" s="389"/>
      <c r="N1094" s="468"/>
      <c r="O1094" s="397"/>
      <c r="P1094" s="816"/>
      <c r="Q1094" s="816"/>
      <c r="R1094" s="816"/>
      <c r="S1094" s="820"/>
      <c r="T1094" s="308"/>
      <c r="U1094" s="308"/>
      <c r="V1094" s="309"/>
      <c r="W1094" s="284"/>
      <c r="X1094" s="542" t="str">
        <f>IF($F1090=1,"NO APLICA",$D1094)</f>
        <v>NO APLICA</v>
      </c>
      <c r="Y1094" s="543" t="str">
        <f>IF(OR($F1094="",$F1094="NO APORTA",$R1097=0,$X1094="NO APLICA"),"",ROUND($F1094/$Q1097,2))</f>
        <v/>
      </c>
      <c r="Z1094" s="544"/>
      <c r="AA1094" s="543"/>
      <c r="AB1094" s="540" t="str">
        <f>IF(COUNTIF(Z1094:AA1094,"SI APLICA")=2,"SI APLICA","")</f>
        <v/>
      </c>
      <c r="AC1094" s="28"/>
    </row>
    <row r="1095" spans="1:29" s="30" customFormat="1" ht="15.75" customHeight="1">
      <c r="A1095" s="112" t="str">
        <f>"Q"&amp;E1071</f>
        <v>Q36</v>
      </c>
      <c r="B1095" s="791"/>
      <c r="C1095" s="54">
        <v>4</v>
      </c>
      <c r="D1095" s="100" t="str">
        <f>IF(AND(C1095&lt;=F1090,F1090&lt;&gt;""),VLOOKUP(VALUE(E1071&amp;","&amp;C1095),INTEGRANTES!$D$19:$F$192,2,0),"")</f>
        <v/>
      </c>
      <c r="E1095" s="107" t="str">
        <f>IF(D1095&lt;&gt;"",VLOOKUP(VALUE(E1071&amp;","&amp;C1095),INTEGRANTES!$D$19:$F$192,3,0),"")</f>
        <v/>
      </c>
      <c r="F1095" s="380" t="str">
        <f>IF(D1095="","",IF(OR(SUMIF($J1078:$J1084,D1095,$O1078:$O1084)=0,N1095="NO"),"NO APORTA",SUMIF($J1078:$J1084,D1095,$O1078:$O1084)))</f>
        <v/>
      </c>
      <c r="G1095" s="380" t="str">
        <f>IF($D1095="","",IF($F1090&lt;=1,"",ROUND(POSMMLV*PORPO,2)))</f>
        <v/>
      </c>
      <c r="H1095" s="765" t="str">
        <f t="shared" si="218"/>
        <v/>
      </c>
      <c r="I1095" s="766"/>
      <c r="J1095" s="108" t="str">
        <f>IF(D1095="","",IF(OR(AND(SUMIF($J1075:$J1084,D1095,$O1075:$O1084)&gt;=5%*POSMMLV,N1095="SI"),AND(SUMIF($J1075:$J1084,D1095,$O1075:$O1084)=0,E1095&lt;=5%,N1095="SI")),"CUMPLE","NO CUMPLE"))</f>
        <v/>
      </c>
      <c r="K1095" s="105" t="str">
        <f>IF(OR(D1095="",J1095=""),"",IF(AND(J1095="NO CUMPLE",F1095="NO APORTA",E1095&gt;5%),"EXP = 0 y PART &gt; 5%",IF(F1095&lt;5%*Q1097,"EXP &lt; 5%*PO","")))</f>
        <v/>
      </c>
      <c r="L1095" s="389" t="str">
        <f>IF(OR(D1095="",E1095=""),"",IF(AND(E1095&gt;=0.25,F1095&lt;&gt;"NO APORTA",F1095&gt;=$R1097*0.25),"SI","NO"))</f>
        <v/>
      </c>
      <c r="M1095" s="389"/>
      <c r="N1095" s="468"/>
      <c r="O1095" s="788" t="s">
        <v>414</v>
      </c>
      <c r="P1095" s="769" t="s">
        <v>415</v>
      </c>
      <c r="Q1095" s="770"/>
      <c r="R1095" s="770"/>
      <c r="S1095" s="771"/>
      <c r="T1095" s="284"/>
      <c r="U1095" s="284"/>
      <c r="V1095" s="310"/>
      <c r="W1095" s="284"/>
      <c r="X1095" s="542" t="str">
        <f>IF($F1090=1,"NO APLICA",$D1095)</f>
        <v>NO APLICA</v>
      </c>
      <c r="Y1095" s="543" t="str">
        <f>IF(OR($F1095="",$F1095="NO APORTA",$R1097=0,$X1095="NO APLICA"),"",ROUND($F1095/$Q1097,2))</f>
        <v/>
      </c>
      <c r="Z1095" s="544"/>
      <c r="AA1095" s="543"/>
      <c r="AB1095" s="540" t="str">
        <f t="shared" ref="AB1095:AB1096" si="220">IF(COUNTIF(Z1095:AA1095,"SI APLICA")=2,"SI APLICA","")</f>
        <v/>
      </c>
      <c r="AC1095" s="28"/>
    </row>
    <row r="1096" spans="1:29" s="30" customFormat="1" ht="17.25" customHeight="1">
      <c r="A1096" s="112" t="str">
        <f>"R"&amp;E1071</f>
        <v>R36</v>
      </c>
      <c r="B1096" s="791"/>
      <c r="C1096" s="54">
        <v>5</v>
      </c>
      <c r="D1096" s="100" t="str">
        <f>IF(AND(C1096&lt;=F1090,F1090&lt;&gt;""),VLOOKUP(VALUE(E1071&amp;","&amp;C1096),INTEGRANTES!$D$19:$F$192,2,0),"")</f>
        <v/>
      </c>
      <c r="E1096" s="107" t="str">
        <f>IF(D1096&lt;&gt;"",VLOOKUP(VALUE(E1071&amp;","&amp;C1096),INTEGRANTES!$D$19:$F$192,3,0),"")</f>
        <v/>
      </c>
      <c r="F1096" s="380" t="str">
        <f>IF(D1096="","",IF(OR(SUMIF($J1078:$J1084,D1096,$O1078:$O1084)=0,N1096="NO"),"NO APORTA",SUMIF($J1078:$J1084,D1096,$O1078:$O1084)))</f>
        <v/>
      </c>
      <c r="G1096" s="380" t="str">
        <f>IF($D1096="","",IF($F1090&lt;=1,"",ROUND(POSMMLV*PORPO,2)))</f>
        <v/>
      </c>
      <c r="H1096" s="765" t="str">
        <f t="shared" si="218"/>
        <v/>
      </c>
      <c r="I1096" s="766"/>
      <c r="J1096" s="108" t="str">
        <f>IF(D1096="","",IF(OR(AND(SUMIF($J1075:$J1084,D1096,$O1075:$O1084)&gt;=5%*POSMMLV,N1096="SI"),AND(SUMIF($J1075:$J1084,D1096,$O1075:$O1084)=0,E1096&lt;=5%,N1096="SI")),"CUMPLE","NO CUMPLE"))</f>
        <v/>
      </c>
      <c r="K1096" s="105" t="str">
        <f>IF(OR(D1096="",J1096=""),"",IF(AND(J1096="NO CUMPLE",F1096="NO APORTA",E1096&gt;5%),"EXP = 0 y PART &gt; 5%",IF(F1096&lt;5%*Q1097,"EXP &lt; 5%*PO","")))</f>
        <v/>
      </c>
      <c r="L1096" s="389" t="str">
        <f>IF(OR(D1096="",E1096=""),"",IF(AND(E1096&gt;=0.25,F1096&lt;&gt;"NO APORTA",F1096&gt;=$R1097*0.25),"SI","NO"))</f>
        <v/>
      </c>
      <c r="M1096" s="389"/>
      <c r="N1096" s="468"/>
      <c r="O1096" s="789"/>
      <c r="P1096" s="504" t="s">
        <v>416</v>
      </c>
      <c r="Q1096" s="504" t="s">
        <v>417</v>
      </c>
      <c r="R1096" s="793" t="s">
        <v>418</v>
      </c>
      <c r="S1096" s="793"/>
      <c r="T1096" s="284"/>
      <c r="U1096" s="284"/>
      <c r="V1096" s="310"/>
      <c r="W1096" s="284"/>
      <c r="X1096" s="542" t="str">
        <f>IF($F1090=1,"NO APLICA",$D1096)</f>
        <v>NO APLICA</v>
      </c>
      <c r="Y1096" s="543" t="str">
        <f>IF(OR($F1096="",$F1096="NO APORTA",$R1097=0,$X1096="NO APLICA"),"",ROUND($F1096/$Q1097,2))</f>
        <v/>
      </c>
      <c r="Z1096" s="544"/>
      <c r="AA1096" s="543"/>
      <c r="AB1096" s="540" t="str">
        <f t="shared" si="220"/>
        <v/>
      </c>
      <c r="AC1096" s="28"/>
    </row>
    <row r="1097" spans="1:29" s="30" customFormat="1" ht="16.5" customHeight="1" thickBot="1">
      <c r="A1097" s="112" t="str">
        <f>"S"&amp;E1071</f>
        <v>S36</v>
      </c>
      <c r="B1097" s="791"/>
      <c r="C1097" s="109">
        <v>6</v>
      </c>
      <c r="D1097" s="110" t="str">
        <f>IF(AND(C1097&lt;=F1090,F1090&lt;&gt;""),VLOOKUP(VALUE(E1071&amp;","&amp;C1097),INTEGRANTES!$D$19:$F$192,2,0),"")</f>
        <v/>
      </c>
      <c r="E1097" s="111" t="str">
        <f>IF(D1097&lt;&gt;"",VLOOKUP(VALUE(E1071&amp;","&amp;C1097),INTEGRANTES!$D$19:$F$192,3,0),"")</f>
        <v/>
      </c>
      <c r="F1097" s="380" t="str">
        <f>IF(D1097="","",IF(OR(SUMIF($J1078:$J1084,D1097,$O1078:$O1084)=0,N1097="NO"),"NO APORTA",SUMIF($J1078:$J1084,D1097,$O1078:$O1084)))</f>
        <v/>
      </c>
      <c r="G1097" s="380" t="str">
        <f>IF($D1097="","",IF($F1090&lt;=1,"",ROUND(POSMMLV*PORPO,2)))</f>
        <v/>
      </c>
      <c r="H1097" s="765" t="str">
        <f>IF($D1097="","",IF(OR(F1097="NO APORTA",G1097&gt;F1097),"NO CUMPLE","CUMPLE"))</f>
        <v/>
      </c>
      <c r="I1097" s="766"/>
      <c r="J1097" s="108" t="str">
        <f>IF(D1097="","",IF(OR(AND(SUMIF($J1075:$J1084,D1097,$O1075:$O1084)&gt;=5%*POSMMLV,N1097="SI"),AND(SUMIF($J1075:$J1084,D1097,$O1075:$O1084)=0,E1097&lt;=5%,N1097="SI")),"CUMPLE","NO CUMPLE"))</f>
        <v/>
      </c>
      <c r="K1097" s="105" t="str">
        <f>IF(OR(D1097="",J1097=""),"",IF(AND(J1097="NO CUMPLE",F1097="NO APORTA",E1097&gt;5%),"EXP = 0 y PART &gt; 5%",IF(F1097&lt;5%*Q1097,"EXP &lt; 5%*PO","")))</f>
        <v/>
      </c>
      <c r="L1097" s="389" t="str">
        <f>IF(OR(D1097="",E1097=""),"",IF(AND(E1097&gt;=0.25,F1097&lt;&gt;"NO APORTA",F1097&gt;=$R1097*0.25),"SI","NO"))</f>
        <v/>
      </c>
      <c r="M1097" s="389"/>
      <c r="N1097" s="468"/>
      <c r="O1097" s="403" t="str">
        <f ca="1">IF(R1097&gt;=Q1097,"CUMPLE","NO CUMPLE")</f>
        <v>CUMPLE</v>
      </c>
      <c r="P1097" s="312">
        <f>NUMMOD</f>
        <v>1</v>
      </c>
      <c r="Q1097" s="313">
        <f ca="1">IF(P1097="","",ROUND(VLOOKUP(P1097,PRESUPUESTOS!$B$16:$L$16,9,FALSE),7))</f>
        <v>300</v>
      </c>
      <c r="R1097" s="834">
        <f>IF(OR(COUNTIF(O1075:O1084,"")&gt;9,S1091&lt;NUMMINCONT),0,SUM(O1075:O1084))</f>
        <v>325.43</v>
      </c>
      <c r="S1097" s="834"/>
      <c r="T1097" s="284"/>
      <c r="U1097" s="284"/>
      <c r="V1097" s="310"/>
      <c r="W1097" s="284"/>
      <c r="X1097" s="545" t="str">
        <f>IF($F1090=1,"NO APLICA",$D1097)</f>
        <v>NO APLICA</v>
      </c>
      <c r="Y1097" s="543" t="str">
        <f>IF(OR($F1097="",$F1097="NO APORTA",$R1097=0,$X1097="NO APLICA"),"",ROUND($F1097/$Q1097,2))</f>
        <v/>
      </c>
      <c r="Z1097" s="544"/>
      <c r="AA1097" s="546"/>
      <c r="AB1097" s="540" t="str">
        <f>IF(COUNTIF(Z1097:AA1097,"SI APLICA")=2,"SI APLICA","")</f>
        <v/>
      </c>
      <c r="AC1097" s="28"/>
    </row>
    <row r="1098" spans="1:29" s="30" customFormat="1" ht="16.5" customHeight="1" thickBot="1">
      <c r="A1098" s="112" t="str">
        <f>"T"&amp;E1071</f>
        <v>T36</v>
      </c>
      <c r="B1098" s="792"/>
      <c r="C1098" s="821" t="s">
        <v>419</v>
      </c>
      <c r="D1098" s="822"/>
      <c r="E1098" s="822"/>
      <c r="F1098" s="518"/>
      <c r="G1098" s="519"/>
      <c r="H1098" s="794" t="str">
        <f>IF(OR($F1090="",SUM(E1092:E1097)=0),"",IF(COUNTIF(H1092:H1097,"CUMPLE")&gt;=1,"CUMPLE","NO CUMPLE"))</f>
        <v/>
      </c>
      <c r="I1098" s="795"/>
      <c r="J1098" s="314" t="str">
        <f>IF(COUNTIF(J1092:J1097,"")&gt;5,"",IF(COUNTIF(J1092:J1097,"NO CUMPLE")&gt;0,"NO CUMPLE","CUMPLE"))</f>
        <v/>
      </c>
      <c r="K1098" s="314" t="str">
        <f>IF(OR(AND(F1090=1,N1092="SI"),AND(COUNTIF(H1098:J1098,"CUMPLE")=2)),"CUMPLE","NO CUMPLE")</f>
        <v>CUMPLE</v>
      </c>
      <c r="L1098" s="519"/>
      <c r="M1098" s="519"/>
      <c r="N1098" s="519"/>
      <c r="O1098" s="833" t="str">
        <f ca="1">IF(ISNUMBER(F1071),"",IF(AND(O1097="NO CUMPLE",SUM(N1078:N1084)&lt;Q1097),"EL PROPONENTE SE DEBE REQUERIR POR EXPERIENCIA MINIMA EXIGIDA",""))</f>
        <v/>
      </c>
      <c r="P1098" s="833"/>
      <c r="Q1098" s="833"/>
      <c r="R1098" s="833"/>
      <c r="S1098" s="833"/>
      <c r="T1098" s="522"/>
      <c r="U1098" s="523"/>
      <c r="V1098" s="524"/>
      <c r="W1098" s="284"/>
      <c r="X1098" s="364" t="str">
        <f>IF(Y1098=1,"PROPONENTE INDIVIDUAL","PROPONENTE PLURAL")</f>
        <v>PROPONENTE INDIVIDUAL</v>
      </c>
      <c r="Y1098" s="276">
        <f>F1090</f>
        <v>1</v>
      </c>
      <c r="Z1098" s="277" t="str">
        <f>IF(OR(AND(Z1092="SI APLICA",AA1092="SI APLICA"),AND(Z1093="SI APLICA",AA1093="SI APLICA"),AND(Z1094="SI APLICA",AA1094="SI APLICA"),AND(Z1095="SI APLICA",AA1095="SI APLICA"),AND(Z1096="SI APLICA",AA1096="SI APLICA"),AND(Z1097="SI APLICA",AA1097="SI APLICA")),"SI APLICA","NO APLICA")</f>
        <v>SI APLICA</v>
      </c>
      <c r="AA1098" s="278" t="str">
        <f>IF(OR(AND(AA1092="SI APLICA",AB1092="SI APLICA"),AND(AA1093="SI APLICA",AB1093="SI APLICA"),AND(AA1094="SI APLICA",AB1094="SI APLICA"),AND(AA1095="SI APLICA",AB1095="SI APLICA"),AND(AA1096="SI APLICA",AB1096="SI APLICA"),AND(AA1097="SI APLICA",AB1097="SI APLICA")),"SI APLICA","NO APLICA")</f>
        <v>SI APLICA</v>
      </c>
      <c r="AB1098" s="278" t="str">
        <f>IF(COUNTIF(AB1092:AB1097,"SI APLICA")&gt;0,"SI APLICA","NO APLICA")</f>
        <v>SI APLICA</v>
      </c>
      <c r="AC1098" s="28"/>
    </row>
    <row r="1099" spans="1:29" ht="24.95" customHeight="1"/>
    <row r="1100" spans="1:29" ht="24.95" customHeight="1"/>
    <row r="1101" spans="1:29" s="41" customFormat="1" ht="24" thickBot="1">
      <c r="A1101" s="34">
        <v>37</v>
      </c>
      <c r="B1101" s="828" t="s">
        <v>355</v>
      </c>
      <c r="C1101" s="828"/>
      <c r="D1101" s="828"/>
      <c r="E1101" s="35">
        <f>VLOOKUP(A1101,PROPONENTES!$B$19:$E$108,2,FALSE)</f>
        <v>37</v>
      </c>
      <c r="F1101" s="36" t="str">
        <f>VLOOKUP(A1101,PROPONENTES!$B$19:$E$108,3,FALSE)</f>
        <v>JORES INGENIERIA LTDA. JORES LTDA</v>
      </c>
      <c r="G1101" s="37"/>
      <c r="H1101" s="37"/>
      <c r="I1101" s="36"/>
      <c r="J1101" s="36"/>
      <c r="K1101" s="36"/>
      <c r="L1101" s="36"/>
      <c r="M1101" s="38"/>
      <c r="N1101" s="38"/>
      <c r="O1101" s="37"/>
      <c r="P1101" s="37"/>
      <c r="Q1101" s="39"/>
      <c r="R1101" s="39"/>
      <c r="S1101" s="39"/>
      <c r="T1101" s="39"/>
      <c r="U1101" s="40"/>
      <c r="Y1101" s="52"/>
      <c r="Z1101" s="52"/>
      <c r="AA1101" s="52"/>
      <c r="AB1101" s="28"/>
      <c r="AC1101" s="28"/>
    </row>
    <row r="1102" spans="1:29" s="27" customFormat="1" ht="24.75" customHeight="1">
      <c r="A1102" s="22"/>
      <c r="B1102" s="829" t="s">
        <v>356</v>
      </c>
      <c r="C1102" s="501" t="s">
        <v>357</v>
      </c>
      <c r="D1102" s="502" t="s">
        <v>358</v>
      </c>
      <c r="E1102" s="502"/>
      <c r="F1102" s="502" t="s">
        <v>359</v>
      </c>
      <c r="G1102" s="503"/>
      <c r="H1102" s="803" t="s">
        <v>360</v>
      </c>
      <c r="I1102" s="831" t="s">
        <v>361</v>
      </c>
      <c r="J1102" s="803" t="s">
        <v>362</v>
      </c>
      <c r="K1102" s="803" t="s">
        <v>363</v>
      </c>
      <c r="L1102" s="803" t="s">
        <v>364</v>
      </c>
      <c r="M1102" s="803" t="s">
        <v>365</v>
      </c>
      <c r="N1102" s="804" t="s">
        <v>366</v>
      </c>
      <c r="O1102" s="805"/>
      <c r="P1102" s="806" t="s">
        <v>367</v>
      </c>
      <c r="Q1102" s="807"/>
      <c r="R1102" s="784" t="s">
        <v>368</v>
      </c>
      <c r="S1102" s="774"/>
      <c r="T1102" s="798" t="s">
        <v>369</v>
      </c>
      <c r="U1102" s="799"/>
      <c r="V1102" s="800"/>
      <c r="X1102" s="520"/>
      <c r="Y1102" s="520"/>
    </row>
    <row r="1103" spans="1:29" s="27" customFormat="1" ht="94.5" customHeight="1">
      <c r="A1103" s="22"/>
      <c r="B1103" s="830"/>
      <c r="C1103" s="504" t="s">
        <v>370</v>
      </c>
      <c r="D1103" s="505" t="s">
        <v>41</v>
      </c>
      <c r="E1103" s="505" t="s">
        <v>371</v>
      </c>
      <c r="F1103" s="505" t="s">
        <v>372</v>
      </c>
      <c r="G1103" s="506" t="s">
        <v>373</v>
      </c>
      <c r="H1103" s="793"/>
      <c r="I1103" s="832"/>
      <c r="J1103" s="793"/>
      <c r="K1103" s="793"/>
      <c r="L1103" s="793"/>
      <c r="M1103" s="793"/>
      <c r="N1103" s="504" t="s">
        <v>374</v>
      </c>
      <c r="O1103" s="505" t="s">
        <v>375</v>
      </c>
      <c r="P1103" s="801"/>
      <c r="Q1103" s="802"/>
      <c r="R1103" s="796"/>
      <c r="S1103" s="797"/>
      <c r="T1103" s="507" t="s">
        <v>376</v>
      </c>
      <c r="U1103" s="508" t="s">
        <v>377</v>
      </c>
      <c r="V1103" s="509" t="s">
        <v>378</v>
      </c>
      <c r="X1103" s="521" t="s">
        <v>379</v>
      </c>
      <c r="Y1103" s="521" t="s">
        <v>380</v>
      </c>
    </row>
    <row r="1104" spans="1:29" s="27" customFormat="1" ht="15" customHeight="1">
      <c r="A1104" s="22"/>
      <c r="B1104" s="594"/>
      <c r="C1104" s="595">
        <v>3</v>
      </c>
      <c r="D1104" s="595">
        <v>4</v>
      </c>
      <c r="E1104" s="595">
        <v>5</v>
      </c>
      <c r="F1104" s="595">
        <v>6</v>
      </c>
      <c r="G1104" s="595">
        <v>7</v>
      </c>
      <c r="H1104" s="595">
        <v>8</v>
      </c>
      <c r="I1104" s="595">
        <v>9</v>
      </c>
      <c r="J1104" s="595">
        <v>10</v>
      </c>
      <c r="K1104" s="595">
        <v>11</v>
      </c>
      <c r="L1104" s="595">
        <v>12</v>
      </c>
      <c r="M1104" s="595">
        <v>13</v>
      </c>
      <c r="N1104" s="595">
        <v>14</v>
      </c>
      <c r="O1104" s="595">
        <v>15</v>
      </c>
      <c r="P1104" s="596">
        <v>16</v>
      </c>
      <c r="Q1104" s="597">
        <v>17</v>
      </c>
      <c r="R1104" s="596">
        <v>18</v>
      </c>
      <c r="S1104" s="597">
        <v>19</v>
      </c>
      <c r="T1104" s="598">
        <v>20</v>
      </c>
      <c r="U1104" s="255">
        <v>21</v>
      </c>
      <c r="V1104" s="599">
        <v>22</v>
      </c>
      <c r="X1104" s="589"/>
      <c r="Y1104" s="590"/>
    </row>
    <row r="1105" spans="1:29" s="44" customFormat="1" ht="67.5" customHeight="1">
      <c r="A1105" s="42" t="str">
        <f>"A"&amp;E1101</f>
        <v>A37</v>
      </c>
      <c r="B1105" s="605">
        <f>IF(C1105&lt;&gt;"",B1104+1,"")</f>
        <v>1</v>
      </c>
      <c r="C1105" s="581" t="s">
        <v>682</v>
      </c>
      <c r="D1105" s="581" t="s">
        <v>683</v>
      </c>
      <c r="E1105" s="581" t="s">
        <v>684</v>
      </c>
      <c r="F1105" s="581" t="s">
        <v>431</v>
      </c>
      <c r="G1105" s="534">
        <v>0.4</v>
      </c>
      <c r="H1105" s="534" t="s">
        <v>385</v>
      </c>
      <c r="I1105" s="579" t="s">
        <v>384</v>
      </c>
      <c r="J1105" s="580" t="str">
        <f>IF(I1105="","",IF(I1105="I",$F1101,VLOOKUP(I1105,$C1122:$D1127,2,0)))</f>
        <v>JORES INGENIERIA LTDA. JORES LTDA</v>
      </c>
      <c r="K1105" s="535">
        <v>40122</v>
      </c>
      <c r="L1105" s="535">
        <v>40331</v>
      </c>
      <c r="M1105" s="536">
        <v>1081.3499999999999</v>
      </c>
      <c r="N1105" s="232">
        <f t="shared" ref="N1105:N1114" si="221">IF(OR(G1105="",M1105=""),"",M1105*G1105)</f>
        <v>432.53999999999996</v>
      </c>
      <c r="O1105" s="260">
        <f t="shared" ref="O1105:O1114" si="222">IF(OR(H1105="",H1105="NO",K1105&lt;$Q$17,K1105&gt;$R$17,K1105="",M1105="",N1105=""),"",ROUND(N1105,7))</f>
        <v>432.54</v>
      </c>
      <c r="P1105" s="781"/>
      <c r="Q1105" s="782"/>
      <c r="R1105" s="767"/>
      <c r="S1105" s="768"/>
      <c r="T1105" s="538" t="s">
        <v>385</v>
      </c>
      <c r="U1105" s="539">
        <v>12</v>
      </c>
      <c r="V1105" s="540" t="s">
        <v>385</v>
      </c>
      <c r="X1105" s="541" t="s">
        <v>463</v>
      </c>
      <c r="Y1105" s="541" t="s">
        <v>439</v>
      </c>
    </row>
    <row r="1106" spans="1:29" s="44" customFormat="1" ht="24.95" customHeight="1">
      <c r="A1106" s="42" t="str">
        <f>"B"&amp;E1101</f>
        <v>B37</v>
      </c>
      <c r="B1106" s="605" t="str">
        <f t="shared" ref="B1106:B1114" si="223">IF(C1106&lt;&gt;"",B1105+1,"")</f>
        <v/>
      </c>
      <c r="C1106" s="581"/>
      <c r="D1106" s="581"/>
      <c r="E1106" s="581"/>
      <c r="F1106" s="581"/>
      <c r="G1106" s="534"/>
      <c r="H1106" s="534"/>
      <c r="I1106" s="579"/>
      <c r="J1106" s="580" t="str">
        <f>IF(I1106="","",IF(I1106="I",$F1101,VLOOKUP(I1106,$C1122:$D1127,2,0)))</f>
        <v/>
      </c>
      <c r="K1106" s="535"/>
      <c r="L1106" s="535"/>
      <c r="M1106" s="536"/>
      <c r="N1106" s="232" t="str">
        <f t="shared" si="221"/>
        <v/>
      </c>
      <c r="O1106" s="260" t="str">
        <f t="shared" si="222"/>
        <v/>
      </c>
      <c r="P1106" s="781"/>
      <c r="Q1106" s="782"/>
      <c r="R1106" s="767"/>
      <c r="S1106" s="768"/>
      <c r="T1106" s="538"/>
      <c r="U1106" s="539"/>
      <c r="V1106" s="540"/>
      <c r="X1106" s="541"/>
      <c r="Y1106" s="541"/>
    </row>
    <row r="1107" spans="1:29" s="44" customFormat="1" ht="24.95" customHeight="1">
      <c r="A1107" s="42" t="str">
        <f>"C"&amp;E1101</f>
        <v>C37</v>
      </c>
      <c r="B1107" s="605" t="str">
        <f t="shared" si="223"/>
        <v/>
      </c>
      <c r="C1107" s="581"/>
      <c r="D1107" s="581"/>
      <c r="E1107" s="581"/>
      <c r="F1107" s="581"/>
      <c r="G1107" s="534"/>
      <c r="H1107" s="534"/>
      <c r="I1107" s="579"/>
      <c r="J1107" s="580" t="str">
        <f>IF(I1107="","",IF(I1107="I",$F1101,VLOOKUP(I1107,$C1122:$D1127,2,0)))</f>
        <v/>
      </c>
      <c r="K1107" s="535"/>
      <c r="L1107" s="535"/>
      <c r="M1107" s="536"/>
      <c r="N1107" s="232" t="str">
        <f t="shared" si="221"/>
        <v/>
      </c>
      <c r="O1107" s="260" t="str">
        <f t="shared" si="222"/>
        <v/>
      </c>
      <c r="P1107" s="781"/>
      <c r="Q1107" s="782"/>
      <c r="R1107" s="767"/>
      <c r="S1107" s="768"/>
      <c r="T1107" s="538"/>
      <c r="U1107" s="539"/>
      <c r="V1107" s="540"/>
      <c r="X1107" s="541"/>
      <c r="Y1107" s="541"/>
    </row>
    <row r="1108" spans="1:29" s="44" customFormat="1" ht="24.95" customHeight="1">
      <c r="A1108" s="42" t="str">
        <f>"D"&amp;E1101</f>
        <v>D37</v>
      </c>
      <c r="B1108" s="605" t="str">
        <f t="shared" si="223"/>
        <v/>
      </c>
      <c r="C1108" s="581"/>
      <c r="D1108" s="581"/>
      <c r="E1108" s="581"/>
      <c r="F1108" s="581"/>
      <c r="G1108" s="534"/>
      <c r="H1108" s="534"/>
      <c r="I1108" s="579"/>
      <c r="J1108" s="580" t="str">
        <f>IF(I1108="","",IF(I1108="I",$F1101,VLOOKUP(I1108,$C1122:$D1127,2,0)))</f>
        <v/>
      </c>
      <c r="K1108" s="535"/>
      <c r="L1108" s="535"/>
      <c r="M1108" s="536"/>
      <c r="N1108" s="232" t="str">
        <f t="shared" si="221"/>
        <v/>
      </c>
      <c r="O1108" s="260" t="str">
        <f t="shared" si="222"/>
        <v/>
      </c>
      <c r="P1108" s="781"/>
      <c r="Q1108" s="782"/>
      <c r="R1108" s="767"/>
      <c r="S1108" s="768"/>
      <c r="T1108" s="538"/>
      <c r="U1108" s="539"/>
      <c r="V1108" s="540"/>
      <c r="X1108" s="541"/>
      <c r="Y1108" s="541"/>
    </row>
    <row r="1109" spans="1:29" s="44" customFormat="1" ht="24.95" customHeight="1">
      <c r="A1109" s="42" t="str">
        <f>"E"&amp;E1101</f>
        <v>E37</v>
      </c>
      <c r="B1109" s="605" t="str">
        <f t="shared" si="223"/>
        <v/>
      </c>
      <c r="C1109" s="581"/>
      <c r="D1109" s="581"/>
      <c r="E1109" s="581"/>
      <c r="F1109" s="581"/>
      <c r="G1109" s="534"/>
      <c r="H1109" s="534"/>
      <c r="I1109" s="579"/>
      <c r="J1109" s="580" t="str">
        <f>IF(I1109="","",IF(I1109="I",$F1101,VLOOKUP(I1109,$C1122:$D1127,2,0)))</f>
        <v/>
      </c>
      <c r="K1109" s="535"/>
      <c r="L1109" s="535"/>
      <c r="M1109" s="536"/>
      <c r="N1109" s="232" t="str">
        <f t="shared" si="221"/>
        <v/>
      </c>
      <c r="O1109" s="260" t="str">
        <f t="shared" si="222"/>
        <v/>
      </c>
      <c r="P1109" s="781"/>
      <c r="Q1109" s="782"/>
      <c r="R1109" s="767"/>
      <c r="S1109" s="768"/>
      <c r="T1109" s="538"/>
      <c r="U1109" s="539"/>
      <c r="V1109" s="540"/>
      <c r="X1109" s="541"/>
      <c r="Y1109" s="541"/>
    </row>
    <row r="1110" spans="1:29" s="44" customFormat="1" ht="24.95" customHeight="1">
      <c r="A1110" s="42" t="str">
        <f>"F"&amp;E1101</f>
        <v>F37</v>
      </c>
      <c r="B1110" s="605" t="str">
        <f t="shared" si="223"/>
        <v/>
      </c>
      <c r="C1110" s="581"/>
      <c r="D1110" s="581"/>
      <c r="E1110" s="581"/>
      <c r="F1110" s="581"/>
      <c r="G1110" s="534"/>
      <c r="H1110" s="534"/>
      <c r="I1110" s="579"/>
      <c r="J1110" s="580" t="str">
        <f>IF(I1110="","",IF(I1110="I",$F1101,VLOOKUP(I1110,$C1122:$D1127,2,0)))</f>
        <v/>
      </c>
      <c r="K1110" s="535"/>
      <c r="L1110" s="535"/>
      <c r="M1110" s="536"/>
      <c r="N1110" s="232" t="str">
        <f t="shared" si="221"/>
        <v/>
      </c>
      <c r="O1110" s="260" t="str">
        <f t="shared" si="222"/>
        <v/>
      </c>
      <c r="P1110" s="781"/>
      <c r="Q1110" s="782"/>
      <c r="R1110" s="767"/>
      <c r="S1110" s="768"/>
      <c r="T1110" s="538"/>
      <c r="U1110" s="539"/>
      <c r="V1110" s="540"/>
      <c r="X1110" s="541"/>
      <c r="Y1110" s="541"/>
    </row>
    <row r="1111" spans="1:29" s="44" customFormat="1" ht="24.95" customHeight="1">
      <c r="A1111" s="42" t="str">
        <f>"G"&amp;E1101</f>
        <v>G37</v>
      </c>
      <c r="B1111" s="605" t="str">
        <f t="shared" si="223"/>
        <v/>
      </c>
      <c r="C1111" s="581"/>
      <c r="D1111" s="581"/>
      <c r="E1111" s="581"/>
      <c r="F1111" s="581"/>
      <c r="G1111" s="534"/>
      <c r="H1111" s="534"/>
      <c r="I1111" s="579"/>
      <c r="J1111" s="580" t="str">
        <f>IF(I1111="","",IF(I1111="I",$F1101,VLOOKUP(I1111,$C1122:$D1127,2,0)))</f>
        <v/>
      </c>
      <c r="K1111" s="535"/>
      <c r="L1111" s="535"/>
      <c r="M1111" s="536"/>
      <c r="N1111" s="43" t="str">
        <f t="shared" si="221"/>
        <v/>
      </c>
      <c r="O1111" s="260" t="str">
        <f t="shared" si="222"/>
        <v/>
      </c>
      <c r="P1111" s="781"/>
      <c r="Q1111" s="782"/>
      <c r="R1111" s="767"/>
      <c r="S1111" s="768"/>
      <c r="T1111" s="538"/>
      <c r="U1111" s="539"/>
      <c r="V1111" s="540"/>
      <c r="X1111" s="541"/>
      <c r="Y1111" s="541"/>
    </row>
    <row r="1112" spans="1:29" s="44" customFormat="1" ht="24.95" customHeight="1">
      <c r="A1112" s="42" t="str">
        <f>"H"&amp;E1101</f>
        <v>H37</v>
      </c>
      <c r="B1112" s="605" t="str">
        <f t="shared" si="223"/>
        <v/>
      </c>
      <c r="C1112" s="581"/>
      <c r="D1112" s="581"/>
      <c r="E1112" s="581"/>
      <c r="F1112" s="581"/>
      <c r="G1112" s="534"/>
      <c r="H1112" s="534"/>
      <c r="I1112" s="579"/>
      <c r="J1112" s="580" t="str">
        <f>IF(I1112="","",IF(I1112="I",$F1101,VLOOKUP(I1112,$C1122:$D1127,2,0)))</f>
        <v/>
      </c>
      <c r="K1112" s="535"/>
      <c r="L1112" s="535"/>
      <c r="M1112" s="537"/>
      <c r="N1112" s="43" t="str">
        <f t="shared" si="221"/>
        <v/>
      </c>
      <c r="O1112" s="260" t="str">
        <f t="shared" si="222"/>
        <v/>
      </c>
      <c r="P1112" s="781"/>
      <c r="Q1112" s="782"/>
      <c r="R1112" s="767"/>
      <c r="S1112" s="768"/>
      <c r="T1112" s="538"/>
      <c r="U1112" s="539"/>
      <c r="V1112" s="540"/>
      <c r="X1112" s="541"/>
      <c r="Y1112" s="541"/>
    </row>
    <row r="1113" spans="1:29" s="44" customFormat="1" ht="24.95" customHeight="1">
      <c r="A1113" s="42" t="str">
        <f>"I"&amp;E1101</f>
        <v>I37</v>
      </c>
      <c r="B1113" s="605" t="str">
        <f t="shared" si="223"/>
        <v/>
      </c>
      <c r="C1113" s="581"/>
      <c r="D1113" s="581"/>
      <c r="E1113" s="581"/>
      <c r="F1113" s="581"/>
      <c r="G1113" s="534"/>
      <c r="H1113" s="534"/>
      <c r="I1113" s="579"/>
      <c r="J1113" s="580" t="str">
        <f>IF(I1113="","",IF(I1113="I",$F1101,VLOOKUP(I1113,$C1122:$D1127,2,0)))</f>
        <v/>
      </c>
      <c r="K1113" s="535"/>
      <c r="L1113" s="535"/>
      <c r="M1113" s="537"/>
      <c r="N1113" s="43" t="str">
        <f t="shared" si="221"/>
        <v/>
      </c>
      <c r="O1113" s="260" t="str">
        <f t="shared" si="222"/>
        <v/>
      </c>
      <c r="P1113" s="781"/>
      <c r="Q1113" s="782"/>
      <c r="R1113" s="767"/>
      <c r="S1113" s="768"/>
      <c r="T1113" s="538"/>
      <c r="U1113" s="539"/>
      <c r="V1113" s="540"/>
      <c r="X1113" s="541"/>
      <c r="Y1113" s="541"/>
    </row>
    <row r="1114" spans="1:29" s="44" customFormat="1" ht="24.95" customHeight="1" thickBot="1">
      <c r="A1114" s="42" t="str">
        <f>"J"&amp;E1101</f>
        <v>J37</v>
      </c>
      <c r="B1114" s="612" t="str">
        <f t="shared" si="223"/>
        <v/>
      </c>
      <c r="C1114" s="582"/>
      <c r="D1114" s="582"/>
      <c r="E1114" s="582"/>
      <c r="F1114" s="582"/>
      <c r="G1114" s="583"/>
      <c r="H1114" s="583"/>
      <c r="I1114" s="584"/>
      <c r="J1114" s="585" t="str">
        <f>IF(I1114="","",IF(I1114="I",$F1101,VLOOKUP(I1114,$C1122:$D1127,2,0)))</f>
        <v/>
      </c>
      <c r="K1114" s="586"/>
      <c r="L1114" s="586"/>
      <c r="M1114" s="587"/>
      <c r="N1114" s="43" t="str">
        <f t="shared" si="221"/>
        <v/>
      </c>
      <c r="O1114" s="260" t="str">
        <f t="shared" si="222"/>
        <v/>
      </c>
      <c r="P1114" s="781"/>
      <c r="Q1114" s="782"/>
      <c r="R1114" s="767"/>
      <c r="S1114" s="768"/>
      <c r="T1114" s="538"/>
      <c r="U1114" s="539"/>
      <c r="V1114" s="540"/>
      <c r="X1114" s="541"/>
      <c r="Y1114" s="541"/>
    </row>
    <row r="1115" spans="1:29" s="27" customFormat="1" ht="12" customHeight="1" thickBot="1">
      <c r="A1115" s="42"/>
      <c r="B1115" s="45"/>
      <c r="C1115" s="46"/>
      <c r="D1115" s="46"/>
      <c r="E1115" s="46"/>
      <c r="F1115" s="46"/>
      <c r="G1115" s="46"/>
      <c r="H1115" s="606"/>
      <c r="I1115" s="46"/>
      <c r="J1115" s="46"/>
      <c r="K1115" s="46"/>
      <c r="L1115" s="46"/>
      <c r="M1115" s="46"/>
      <c r="N1115" s="46"/>
      <c r="O1115" s="259"/>
      <c r="P1115" s="46"/>
      <c r="Q1115" s="46"/>
      <c r="R1115" s="259"/>
      <c r="S1115" s="46"/>
      <c r="T1115" s="46"/>
      <c r="U1115" s="47"/>
      <c r="V1115" s="48"/>
      <c r="X1115" s="592"/>
      <c r="Y1115" s="593"/>
      <c r="AB1115" s="378"/>
    </row>
    <row r="1116" spans="1:29" s="27" customFormat="1" ht="17.25" customHeight="1" thickBot="1">
      <c r="A1116" s="42" t="str">
        <f>"Z"&amp;E1101</f>
        <v>Z37</v>
      </c>
      <c r="B1116" s="510"/>
      <c r="C1116" s="511"/>
      <c r="D1116" s="511"/>
      <c r="E1116" s="511"/>
      <c r="F1116" s="511"/>
      <c r="G1116" s="511"/>
      <c r="H1116" s="511"/>
      <c r="I1116" s="511"/>
      <c r="J1116" s="511"/>
      <c r="K1116" s="511"/>
      <c r="L1116" s="511"/>
      <c r="M1116" s="511"/>
      <c r="N1116" s="437" t="s">
        <v>388</v>
      </c>
      <c r="O1116" s="438">
        <f>IF(COUNTIF(O1105:O1114,"")&gt;9,0,SUM(O1105:O1114)/(COUNTIF(H1105:H1114,"SI")))</f>
        <v>432.54</v>
      </c>
      <c r="P1116" s="511"/>
      <c r="Q1116" s="511"/>
      <c r="R1116" s="530"/>
      <c r="S1116" s="530"/>
      <c r="T1116" s="531"/>
      <c r="U1116" s="532"/>
      <c r="V1116" s="533"/>
      <c r="W1116" s="285"/>
      <c r="X1116" s="613" t="e">
        <f>COUNTIF(#REF!,"")-COUNTIF(#REF!,"CUMPLE")-1</f>
        <v>#REF!</v>
      </c>
      <c r="Y1116" s="591"/>
      <c r="AB1116" s="28"/>
    </row>
    <row r="1117" spans="1:29" ht="17.25" customHeight="1">
      <c r="B1117" s="50"/>
      <c r="C1117" s="50"/>
      <c r="D1117" s="50"/>
      <c r="E1117" s="50"/>
      <c r="F1117" s="50"/>
      <c r="G1117" s="51"/>
      <c r="H1117" s="51"/>
      <c r="I1117" s="51"/>
      <c r="J1117" s="51"/>
      <c r="K1117" s="51"/>
      <c r="L1117" s="51"/>
      <c r="M1117" s="51"/>
      <c r="N1117" s="51"/>
      <c r="O1117" s="51"/>
      <c r="P1117" s="51"/>
      <c r="Q1117" s="51"/>
      <c r="R1117" s="51"/>
      <c r="S1117" s="51"/>
      <c r="T1117" s="51"/>
      <c r="U1117" s="51"/>
      <c r="V1117" s="51"/>
      <c r="W1117" s="51"/>
      <c r="X1117" s="608"/>
      <c r="Y1117" s="51"/>
      <c r="Z1117" s="51"/>
      <c r="AA1117" s="51"/>
      <c r="AB1117" s="51"/>
      <c r="AC1117" s="50"/>
    </row>
    <row r="1118" spans="1:29" s="27" customFormat="1" ht="16.5" customHeight="1" thickBot="1">
      <c r="A1118" s="22"/>
      <c r="B1118" s="783" t="s">
        <v>389</v>
      </c>
      <c r="C1118" s="783"/>
      <c r="D1118" s="783"/>
      <c r="E1118" s="783"/>
      <c r="F1118" s="783"/>
      <c r="G1118" s="783"/>
      <c r="H1118" s="783"/>
      <c r="I1118" s="783"/>
      <c r="J1118" s="783"/>
      <c r="K1118" s="783"/>
      <c r="L1118" s="783"/>
      <c r="M1118" s="783"/>
      <c r="N1118" s="783"/>
      <c r="O1118" s="783"/>
      <c r="P1118" s="783"/>
      <c r="Q1118" s="783"/>
      <c r="R1118" s="783"/>
      <c r="S1118" s="783"/>
      <c r="T1118" s="783"/>
      <c r="U1118" s="783"/>
      <c r="V1118" s="783"/>
      <c r="W1118" s="286"/>
      <c r="X1118" s="607"/>
      <c r="Y1118" s="52"/>
      <c r="Z1118" s="52"/>
      <c r="AA1118" s="52"/>
      <c r="AB1118" s="28"/>
      <c r="AC1118" s="28"/>
    </row>
    <row r="1119" spans="1:29" s="30" customFormat="1" ht="22.5" customHeight="1">
      <c r="A1119" s="112" t="str">
        <f>"K"&amp;E1101</f>
        <v>K37</v>
      </c>
      <c r="B1119" s="790" t="s">
        <v>390</v>
      </c>
      <c r="C1119" s="772" t="s">
        <v>391</v>
      </c>
      <c r="D1119" s="773"/>
      <c r="E1119" s="773"/>
      <c r="F1119" s="773"/>
      <c r="G1119" s="773"/>
      <c r="H1119" s="773"/>
      <c r="I1119" s="773"/>
      <c r="J1119" s="773"/>
      <c r="K1119" s="773"/>
      <c r="L1119" s="773"/>
      <c r="M1119" s="774"/>
      <c r="N1119" s="525"/>
      <c r="O1119" s="588"/>
      <c r="P1119" s="772" t="s">
        <v>392</v>
      </c>
      <c r="Q1119" s="773"/>
      <c r="R1119" s="773"/>
      <c r="S1119" s="774"/>
      <c r="T1119" s="784" t="s">
        <v>393</v>
      </c>
      <c r="U1119" s="774"/>
      <c r="V1119" s="811"/>
      <c r="W1119" s="284"/>
      <c r="X1119" s="778" t="s">
        <v>394</v>
      </c>
      <c r="Y1119" s="779"/>
      <c r="Z1119" s="779"/>
      <c r="AA1119" s="779" t="s">
        <v>395</v>
      </c>
      <c r="AB1119" s="808" t="s">
        <v>396</v>
      </c>
      <c r="AC1119" s="28"/>
    </row>
    <row r="1120" spans="1:29" s="30" customFormat="1" ht="22.5" customHeight="1">
      <c r="A1120" s="112" t="str">
        <f>"L"&amp;E1101</f>
        <v>L37</v>
      </c>
      <c r="B1120" s="791"/>
      <c r="C1120" s="769" t="s">
        <v>397</v>
      </c>
      <c r="D1120" s="770"/>
      <c r="E1120" s="771"/>
      <c r="F1120" s="512">
        <f>IF(VLOOKUP(E1101,PROPONENTES!$C$19:$E$108,3,0)="","",VLOOKUP(E1101,PROPONENTES!$C$19:$E$108,3,0))</f>
        <v>1</v>
      </c>
      <c r="G1120" s="824" t="s">
        <v>398</v>
      </c>
      <c r="H1120" s="793" t="s">
        <v>399</v>
      </c>
      <c r="I1120" s="793"/>
      <c r="J1120" s="769" t="s">
        <v>400</v>
      </c>
      <c r="K1120" s="823"/>
      <c r="L1120" s="513" t="s">
        <v>401</v>
      </c>
      <c r="M1120" s="513"/>
      <c r="N1120" s="526"/>
      <c r="O1120" s="527"/>
      <c r="P1120" s="775"/>
      <c r="Q1120" s="776"/>
      <c r="R1120" s="776"/>
      <c r="S1120" s="777"/>
      <c r="T1120" s="796"/>
      <c r="U1120" s="797"/>
      <c r="V1120" s="812"/>
      <c r="W1120" s="284"/>
      <c r="X1120" s="780" t="s">
        <v>402</v>
      </c>
      <c r="Y1120" s="810" t="s">
        <v>403</v>
      </c>
      <c r="Z1120" s="810"/>
      <c r="AA1120" s="810"/>
      <c r="AB1120" s="809"/>
      <c r="AC1120" s="28"/>
    </row>
    <row r="1121" spans="1:29" s="30" customFormat="1" ht="51.75" customHeight="1" thickBot="1">
      <c r="A1121" s="112" t="str">
        <f>"M"&amp;E1101</f>
        <v>M37</v>
      </c>
      <c r="B1121" s="791"/>
      <c r="C1121" s="770" t="s">
        <v>404</v>
      </c>
      <c r="D1121" s="771"/>
      <c r="E1121" s="514" t="s">
        <v>405</v>
      </c>
      <c r="F1121" s="515" t="s">
        <v>406</v>
      </c>
      <c r="G1121" s="824"/>
      <c r="H1121" s="793"/>
      <c r="I1121" s="793"/>
      <c r="J1121" s="504" t="s">
        <v>407</v>
      </c>
      <c r="K1121" s="516" t="s">
        <v>408</v>
      </c>
      <c r="L1121" s="517" t="s">
        <v>409</v>
      </c>
      <c r="M1121" s="517"/>
      <c r="N1121" s="528" t="s">
        <v>410</v>
      </c>
      <c r="O1121" s="529"/>
      <c r="P1121" s="386"/>
      <c r="Q1121" s="387" t="s">
        <v>411</v>
      </c>
      <c r="R1121" s="388"/>
      <c r="S1121" s="113">
        <f>COUNTIFS(H1105:H1114,"SI",O1105:O1114,"&gt;0")</f>
        <v>1</v>
      </c>
      <c r="T1121" s="785"/>
      <c r="U1121" s="787"/>
      <c r="V1121" s="813"/>
      <c r="W1121" s="284"/>
      <c r="X1121" s="780"/>
      <c r="Y1121" s="810"/>
      <c r="Z1121" s="810"/>
      <c r="AA1121" s="810"/>
      <c r="AB1121" s="809"/>
      <c r="AC1121" s="28"/>
    </row>
    <row r="1122" spans="1:29" s="30" customFormat="1" ht="15.75" customHeight="1">
      <c r="A1122" s="112" t="str">
        <f>"N"&amp;E1101</f>
        <v>N37</v>
      </c>
      <c r="B1122" s="791"/>
      <c r="C1122" s="54">
        <v>1</v>
      </c>
      <c r="D1122" s="100" t="str">
        <f>IF(AND(C1122&lt;=F1120,F1120&gt;1,F1120&lt;&gt;""),VLOOKUP(VALUE(E1101&amp;","&amp;C1122),INTEGRANTES!$D$19:$F$192,2,0),"")</f>
        <v/>
      </c>
      <c r="E1122" s="107" t="str">
        <f>IF(D1122&lt;&gt;"",VLOOKUP(VALUE(E1101&amp;","&amp;C1122),INTEGRANTES!$D$19:$F$192,3,0),"")</f>
        <v/>
      </c>
      <c r="F1122" s="380" t="str">
        <f>IF(D1122="","",IF(OR(SUMIF($J1108:$J1114,D1122,$O1108:$O1114)=0,N1122="NO"),"NO APORTA",SUMIF($J1108:$J1114,D1122,$O1108:$O1114)))</f>
        <v/>
      </c>
      <c r="G1122" s="380" t="str">
        <f>IF($D1122="","",IF($F1120&lt;=1,"",ROUND(POSMMLV*PORPO,2)))</f>
        <v/>
      </c>
      <c r="H1122" s="765" t="str">
        <f>IF($D1122="","",IF(OR(F1122="NO APORTA",G1122&gt;F1122),"NO CUMPLE","CUMPLE"))</f>
        <v/>
      </c>
      <c r="I1122" s="766"/>
      <c r="J1122" s="108" t="str">
        <f>IF(D1122="","",IF(OR(AND(SUMIF($J1105:$J1114,D1122,$O1105:$O1114)&gt;=5%*POSMMLV,N1122="SI"),AND(SUMIF($J1105:$J1114,D1122,$O1105:$O1114)=0,E1122&lt;=5%,N1122="SI")),"CUMPLE","NO CUMPLE"))</f>
        <v/>
      </c>
      <c r="K1122" s="105" t="str">
        <f>IF(OR(D1122="",J1122=""),"",IF(AND(J1122="NO CUMPLE",F1122="NO APORTA",E1122&gt;5%),"EXP = 0 y PART &gt; 5%",IF(F1122&lt;5%*Q1127,"EXP &lt; 5%*PO","")))</f>
        <v/>
      </c>
      <c r="L1122" s="389" t="str">
        <f>IF(OR(D1122="",E1122=""),"",IF(AND(E1122&gt;=0.25,F1122&lt;&gt;"NO APORTA",F1122&gt;=$R1127*0.25),"SI","NO"))</f>
        <v/>
      </c>
      <c r="M1122" s="389"/>
      <c r="N1122" s="468" t="s">
        <v>385</v>
      </c>
      <c r="O1122" s="396">
        <f>COUNTIFS(O1105:O1114,"&gt;0",H1105:H1114,"SI")</f>
        <v>1</v>
      </c>
      <c r="P1122" s="814" t="s">
        <v>139</v>
      </c>
      <c r="Q1122" s="814"/>
      <c r="R1122" s="817">
        <f>E1101</f>
        <v>37</v>
      </c>
      <c r="S1122" s="818"/>
      <c r="T1122" s="784" t="s">
        <v>412</v>
      </c>
      <c r="U1122" s="773"/>
      <c r="V1122" s="774"/>
      <c r="W1122" s="283"/>
      <c r="X1122" s="542" t="str">
        <f>IF($F1120=1,"NO APLICA",$D1122)</f>
        <v>NO APLICA</v>
      </c>
      <c r="Y1122" s="543" t="str">
        <f>IF(OR($F1122="",$F1122="NO APORTA",$R1127=0,$X1122="NO APLICA"),"",ROUND($F1122/$Q1127,2))</f>
        <v/>
      </c>
      <c r="Z1122" s="544" t="str">
        <f>IF(Y1128=1,"SI APLICA",IF(OR($X1122="",$X1122="NO APLICA",$F1122="",$F1122="NO APORTA"),"",IF(ROUND($F1122/Q1127,7)&gt;=0.4,"SI APLICA","NO APLICA")))</f>
        <v>SI APLICA</v>
      </c>
      <c r="AA1122" s="543" t="s">
        <v>413</v>
      </c>
      <c r="AB1122" s="540" t="str">
        <f>IF(COUNTIF(Z1122:AA1122,"SI APLICA")=2,"SI APLICA","")</f>
        <v>SI APLICA</v>
      </c>
      <c r="AC1122" s="28"/>
    </row>
    <row r="1123" spans="1:29" s="30" customFormat="1" ht="15.75" customHeight="1" thickBot="1">
      <c r="A1123" s="112" t="str">
        <f>"O"&amp;E1101</f>
        <v>O37</v>
      </c>
      <c r="B1123" s="791"/>
      <c r="C1123" s="54">
        <v>2</v>
      </c>
      <c r="D1123" s="100" t="str">
        <f>IF(AND(C1123&lt;=F1120,F1120&lt;&gt;""),VLOOKUP(VALUE(E1101&amp;","&amp;C1123),INTEGRANTES!$D$19:$F$192,2,0),"")</f>
        <v/>
      </c>
      <c r="E1123" s="107" t="str">
        <f>IF(D1123&lt;&gt;"",VLOOKUP(VALUE(E1101&amp;","&amp;C1123),INTEGRANTES!$D$19:$F$192,3,0),"")</f>
        <v/>
      </c>
      <c r="F1123" s="380" t="str">
        <f>IF(D1123="","",IF(OR(SUMIF($J1108:$J1114,D1123,$O1108:$O1114)=0,N1123="NO"),"NO APORTA",SUMIF($J1108:$J1114,D1123,$O1108:$O1114)))</f>
        <v/>
      </c>
      <c r="G1123" s="380" t="str">
        <f>IF($D1123="","",IF($F1120&lt;=1,"",ROUND(POSMMLV*PORPO,2)))</f>
        <v/>
      </c>
      <c r="H1123" s="765" t="str">
        <f t="shared" ref="H1123:H1126" si="224">IF($D1123="","",IF(OR(F1123="NO APORTA",G1123&gt;F1123),"NO CUMPLE","CUMPLE"))</f>
        <v/>
      </c>
      <c r="I1123" s="766"/>
      <c r="J1123" s="108" t="str">
        <f>IF(D1123="","",IF(OR(AND(SUMIF($J1105:$J1114,D1123,$O1105:$O1114)&gt;=5%*POSMMLV,N1123="SI"),AND(SUMIF($J1105:$J1114,D1123,$O1105:$O1114)=0,E1123&lt;=5%,N1123="SI")),"CUMPLE","NO CUMPLE"))</f>
        <v/>
      </c>
      <c r="K1123" s="105" t="str">
        <f>IF(OR(D1123="",J1123=""),"",IF(AND(J1123="NO CUMPLE",F1123="NO APORTA",E1123&gt;5%),"EXP = 0 y PART &gt; 5%",IF(F1123&lt;5%*Q1127,"EXP &lt; 5%*PO","")))</f>
        <v/>
      </c>
      <c r="L1123" s="389" t="str">
        <f>IF(OR(D1123="",E1123=""),"",IF(AND(E1123&gt;=0.25,F1123&lt;&gt;"NO APORTA",F1123&gt;=$R1127*0.25),"SI","NO"))</f>
        <v/>
      </c>
      <c r="M1123" s="389"/>
      <c r="N1123" s="468"/>
      <c r="O1123" s="396"/>
      <c r="P1123" s="815"/>
      <c r="Q1123" s="815"/>
      <c r="R1123" s="815"/>
      <c r="S1123" s="819"/>
      <c r="T1123" s="785"/>
      <c r="U1123" s="786"/>
      <c r="V1123" s="787"/>
      <c r="W1123" s="283"/>
      <c r="X1123" s="542" t="str">
        <f>IF($F1120=1,"NO APLICA",$D1123)</f>
        <v>NO APLICA</v>
      </c>
      <c r="Y1123" s="543" t="str">
        <f>IF(OR($F1123="",$F1123="NO APORTA",$R1127=0,$X1123="NO APLICA"),"",ROUND($F1123/$Q1127,2))</f>
        <v/>
      </c>
      <c r="Z1123" s="544"/>
      <c r="AA1123" s="543"/>
      <c r="AB1123" s="540" t="str">
        <f t="shared" ref="AB1123" si="225">IF(COUNTIF(Z1123:AA1123,"SI APLICA")=2,"SI APLICA","")</f>
        <v/>
      </c>
      <c r="AC1123" s="28"/>
    </row>
    <row r="1124" spans="1:29" s="30" customFormat="1" ht="15.75" customHeight="1">
      <c r="A1124" s="112" t="str">
        <f>"P"&amp;E1101</f>
        <v>P37</v>
      </c>
      <c r="B1124" s="791"/>
      <c r="C1124" s="54">
        <v>3</v>
      </c>
      <c r="D1124" s="100" t="str">
        <f>IF(AND(C1124&lt;=F1120,F1120&lt;&gt;""),VLOOKUP(VALUE(E1101&amp;","&amp;C1124),INTEGRANTES!$D$19:$F$192,2,0),"")</f>
        <v/>
      </c>
      <c r="E1124" s="107" t="str">
        <f>IF(D1124&lt;&gt;"",VLOOKUP(VALUE(E1101&amp;","&amp;C1124),INTEGRANTES!$D$19:$F$192,3,0),"")</f>
        <v/>
      </c>
      <c r="F1124" s="380" t="str">
        <f>IF(D1124="","",IF(OR(SUMIF($J1108:$J1114,D1124,$O1108:$O1114)=0,N1124="NO"),"NO APORTA",SUMIF($J1108:$J1114,D1124,$O1108:$O1114)))</f>
        <v/>
      </c>
      <c r="G1124" s="380" t="str">
        <f>IF($D1124="","",IF($F1120&lt;=1,"",ROUND(POSMMLV*PORPO,2)))</f>
        <v/>
      </c>
      <c r="H1124" s="765" t="str">
        <f t="shared" si="224"/>
        <v/>
      </c>
      <c r="I1124" s="766"/>
      <c r="J1124" s="108" t="str">
        <f>IF(D1124="","",IF(OR(AND(SUMIF($J1105:$J1114,D1124,$O1105:$O1114)&gt;=5%*POSMMLV,N1124="SI"),AND(SUMIF($J1105:$J1114,D1124,$O1105:$O1114)=0,E1124&lt;=5%,N1124="SI")),"CUMPLE","NO CUMPLE"))</f>
        <v/>
      </c>
      <c r="K1124" s="105" t="str">
        <f>IF(OR(D1124="",J1124=""),"",IF(AND(J1124="NO CUMPLE",F1124="NO APORTA",E1124&gt;5%),"EXP = 0 y PART &gt; 5%",IF(F1124&lt;5%*Q1127,"EXP &lt; 5%*PO","")))</f>
        <v/>
      </c>
      <c r="L1124" s="389" t="str">
        <f>IF(OR(D1124="",E1124=""),"",IF(AND(E1124&gt;=0.25,F1124&lt;&gt;"NO APORTA",F1124&gt;=$R1127*0.25),"SI","NO"))</f>
        <v/>
      </c>
      <c r="M1124" s="389"/>
      <c r="N1124" s="468"/>
      <c r="O1124" s="397"/>
      <c r="P1124" s="816"/>
      <c r="Q1124" s="816"/>
      <c r="R1124" s="816"/>
      <c r="S1124" s="820"/>
      <c r="T1124" s="308"/>
      <c r="U1124" s="308"/>
      <c r="V1124" s="309"/>
      <c r="W1124" s="284"/>
      <c r="X1124" s="542" t="str">
        <f>IF($F1120=1,"NO APLICA",$D1124)</f>
        <v>NO APLICA</v>
      </c>
      <c r="Y1124" s="543" t="str">
        <f>IF(OR($F1124="",$F1124="NO APORTA",$R1127=0,$X1124="NO APLICA"),"",ROUND($F1124/$Q1127,2))</f>
        <v/>
      </c>
      <c r="Z1124" s="544"/>
      <c r="AA1124" s="543"/>
      <c r="AB1124" s="540" t="str">
        <f>IF(COUNTIF(Z1124:AA1124,"SI APLICA")=2,"SI APLICA","")</f>
        <v/>
      </c>
      <c r="AC1124" s="28"/>
    </row>
    <row r="1125" spans="1:29" s="30" customFormat="1" ht="15.75" customHeight="1">
      <c r="A1125" s="112" t="str">
        <f>"Q"&amp;E1101</f>
        <v>Q37</v>
      </c>
      <c r="B1125" s="791"/>
      <c r="C1125" s="54">
        <v>4</v>
      </c>
      <c r="D1125" s="100" t="str">
        <f>IF(AND(C1125&lt;=F1120,F1120&lt;&gt;""),VLOOKUP(VALUE(E1101&amp;","&amp;C1125),INTEGRANTES!$D$19:$F$192,2,0),"")</f>
        <v/>
      </c>
      <c r="E1125" s="107" t="str">
        <f>IF(D1125&lt;&gt;"",VLOOKUP(VALUE(E1101&amp;","&amp;C1125),INTEGRANTES!$D$19:$F$192,3,0),"")</f>
        <v/>
      </c>
      <c r="F1125" s="380" t="str">
        <f>IF(D1125="","",IF(OR(SUMIF($J1108:$J1114,D1125,$O1108:$O1114)=0,N1125="NO"),"NO APORTA",SUMIF($J1108:$J1114,D1125,$O1108:$O1114)))</f>
        <v/>
      </c>
      <c r="G1125" s="380" t="str">
        <f>IF($D1125="","",IF($F1120&lt;=1,"",ROUND(POSMMLV*PORPO,2)))</f>
        <v/>
      </c>
      <c r="H1125" s="765" t="str">
        <f t="shared" si="224"/>
        <v/>
      </c>
      <c r="I1125" s="766"/>
      <c r="J1125" s="108" t="str">
        <f>IF(D1125="","",IF(OR(AND(SUMIF($J1105:$J1114,D1125,$O1105:$O1114)&gt;=5%*POSMMLV,N1125="SI"),AND(SUMIF($J1105:$J1114,D1125,$O1105:$O1114)=0,E1125&lt;=5%,N1125="SI")),"CUMPLE","NO CUMPLE"))</f>
        <v/>
      </c>
      <c r="K1125" s="105" t="str">
        <f>IF(OR(D1125="",J1125=""),"",IF(AND(J1125="NO CUMPLE",F1125="NO APORTA",E1125&gt;5%),"EXP = 0 y PART &gt; 5%",IF(F1125&lt;5%*Q1127,"EXP &lt; 5%*PO","")))</f>
        <v/>
      </c>
      <c r="L1125" s="389" t="str">
        <f>IF(OR(D1125="",E1125=""),"",IF(AND(E1125&gt;=0.25,F1125&lt;&gt;"NO APORTA",F1125&gt;=$R1127*0.25),"SI","NO"))</f>
        <v/>
      </c>
      <c r="M1125" s="389"/>
      <c r="N1125" s="468"/>
      <c r="O1125" s="788" t="s">
        <v>414</v>
      </c>
      <c r="P1125" s="769" t="s">
        <v>415</v>
      </c>
      <c r="Q1125" s="770"/>
      <c r="R1125" s="770"/>
      <c r="S1125" s="771"/>
      <c r="T1125" s="284"/>
      <c r="U1125" s="284"/>
      <c r="V1125" s="310"/>
      <c r="W1125" s="284"/>
      <c r="X1125" s="542" t="str">
        <f>IF($F1120=1,"NO APLICA",$D1125)</f>
        <v>NO APLICA</v>
      </c>
      <c r="Y1125" s="543" t="str">
        <f>IF(OR($F1125="",$F1125="NO APORTA",$R1127=0,$X1125="NO APLICA"),"",ROUND($F1125/$Q1127,2))</f>
        <v/>
      </c>
      <c r="Z1125" s="544"/>
      <c r="AA1125" s="543"/>
      <c r="AB1125" s="540" t="str">
        <f t="shared" ref="AB1125:AB1126" si="226">IF(COUNTIF(Z1125:AA1125,"SI APLICA")=2,"SI APLICA","")</f>
        <v/>
      </c>
      <c r="AC1125" s="28"/>
    </row>
    <row r="1126" spans="1:29" s="30" customFormat="1" ht="17.25" customHeight="1">
      <c r="A1126" s="112" t="str">
        <f>"R"&amp;E1101</f>
        <v>R37</v>
      </c>
      <c r="B1126" s="791"/>
      <c r="C1126" s="54">
        <v>5</v>
      </c>
      <c r="D1126" s="100" t="str">
        <f>IF(AND(C1126&lt;=F1120,F1120&lt;&gt;""),VLOOKUP(VALUE(E1101&amp;","&amp;C1126),INTEGRANTES!$D$19:$F$192,2,0),"")</f>
        <v/>
      </c>
      <c r="E1126" s="107" t="str">
        <f>IF(D1126&lt;&gt;"",VLOOKUP(VALUE(E1101&amp;","&amp;C1126),INTEGRANTES!$D$19:$F$192,3,0),"")</f>
        <v/>
      </c>
      <c r="F1126" s="380" t="str">
        <f>IF(D1126="","",IF(OR(SUMIF($J1108:$J1114,D1126,$O1108:$O1114)=0,N1126="NO"),"NO APORTA",SUMIF($J1108:$J1114,D1126,$O1108:$O1114)))</f>
        <v/>
      </c>
      <c r="G1126" s="380" t="str">
        <f>IF($D1126="","",IF($F1120&lt;=1,"",ROUND(POSMMLV*PORPO,2)))</f>
        <v/>
      </c>
      <c r="H1126" s="765" t="str">
        <f t="shared" si="224"/>
        <v/>
      </c>
      <c r="I1126" s="766"/>
      <c r="J1126" s="108" t="str">
        <f>IF(D1126="","",IF(OR(AND(SUMIF($J1105:$J1114,D1126,$O1105:$O1114)&gt;=5%*POSMMLV,N1126="SI"),AND(SUMIF($J1105:$J1114,D1126,$O1105:$O1114)=0,E1126&lt;=5%,N1126="SI")),"CUMPLE","NO CUMPLE"))</f>
        <v/>
      </c>
      <c r="K1126" s="105" t="str">
        <f>IF(OR(D1126="",J1126=""),"",IF(AND(J1126="NO CUMPLE",F1126="NO APORTA",E1126&gt;5%),"EXP = 0 y PART &gt; 5%",IF(F1126&lt;5%*Q1127,"EXP &lt; 5%*PO","")))</f>
        <v/>
      </c>
      <c r="L1126" s="389" t="str">
        <f>IF(OR(D1126="",E1126=""),"",IF(AND(E1126&gt;=0.25,F1126&lt;&gt;"NO APORTA",F1126&gt;=$R1127*0.25),"SI","NO"))</f>
        <v/>
      </c>
      <c r="M1126" s="389"/>
      <c r="N1126" s="468"/>
      <c r="O1126" s="789"/>
      <c r="P1126" s="504" t="s">
        <v>416</v>
      </c>
      <c r="Q1126" s="504" t="s">
        <v>417</v>
      </c>
      <c r="R1126" s="793" t="s">
        <v>418</v>
      </c>
      <c r="S1126" s="793"/>
      <c r="T1126" s="284"/>
      <c r="U1126" s="284"/>
      <c r="V1126" s="310"/>
      <c r="W1126" s="284"/>
      <c r="X1126" s="542" t="str">
        <f>IF($F1120=1,"NO APLICA",$D1126)</f>
        <v>NO APLICA</v>
      </c>
      <c r="Y1126" s="543" t="str">
        <f>IF(OR($F1126="",$F1126="NO APORTA",$R1127=0,$X1126="NO APLICA"),"",ROUND($F1126/$Q1127,2))</f>
        <v/>
      </c>
      <c r="Z1126" s="544"/>
      <c r="AA1126" s="543"/>
      <c r="AB1126" s="540" t="str">
        <f t="shared" si="226"/>
        <v/>
      </c>
      <c r="AC1126" s="28"/>
    </row>
    <row r="1127" spans="1:29" s="30" customFormat="1" ht="16.5" customHeight="1" thickBot="1">
      <c r="A1127" s="112" t="str">
        <f>"S"&amp;E1101</f>
        <v>S37</v>
      </c>
      <c r="B1127" s="791"/>
      <c r="C1127" s="109">
        <v>6</v>
      </c>
      <c r="D1127" s="110" t="str">
        <f>IF(AND(C1127&lt;=F1120,F1120&lt;&gt;""),VLOOKUP(VALUE(E1101&amp;","&amp;C1127),INTEGRANTES!$D$19:$F$192,2,0),"")</f>
        <v/>
      </c>
      <c r="E1127" s="111" t="str">
        <f>IF(D1127&lt;&gt;"",VLOOKUP(VALUE(E1101&amp;","&amp;C1127),INTEGRANTES!$D$19:$F$192,3,0),"")</f>
        <v/>
      </c>
      <c r="F1127" s="380" t="str">
        <f>IF(D1127="","",IF(OR(SUMIF($J1108:$J1114,D1127,$O1108:$O1114)=0,N1127="NO"),"NO APORTA",SUMIF($J1108:$J1114,D1127,$O1108:$O1114)))</f>
        <v/>
      </c>
      <c r="G1127" s="380" t="str">
        <f>IF($D1127="","",IF($F1120&lt;=1,"",ROUND(POSMMLV*PORPO,2)))</f>
        <v/>
      </c>
      <c r="H1127" s="765" t="str">
        <f>IF($D1127="","",IF(OR(F1127="NO APORTA",G1127&gt;F1127),"NO CUMPLE","CUMPLE"))</f>
        <v/>
      </c>
      <c r="I1127" s="766"/>
      <c r="J1127" s="108" t="str">
        <f>IF(D1127="","",IF(OR(AND(SUMIF($J1105:$J1114,D1127,$O1105:$O1114)&gt;=5%*POSMMLV,N1127="SI"),AND(SUMIF($J1105:$J1114,D1127,$O1105:$O1114)=0,E1127&lt;=5%,N1127="SI")),"CUMPLE","NO CUMPLE"))</f>
        <v/>
      </c>
      <c r="K1127" s="105" t="str">
        <f>IF(OR(D1127="",J1127=""),"",IF(AND(J1127="NO CUMPLE",F1127="NO APORTA",E1127&gt;5%),"EXP = 0 y PART &gt; 5%",IF(F1127&lt;5%*Q1127,"EXP &lt; 5%*PO","")))</f>
        <v/>
      </c>
      <c r="L1127" s="389" t="str">
        <f>IF(OR(D1127="",E1127=""),"",IF(AND(E1127&gt;=0.25,F1127&lt;&gt;"NO APORTA",F1127&gt;=$R1127*0.25),"SI","NO"))</f>
        <v/>
      </c>
      <c r="M1127" s="389"/>
      <c r="N1127" s="468"/>
      <c r="O1127" s="403" t="str">
        <f ca="1">IF(R1127&gt;=Q1127,"CUMPLE","NO CUMPLE")</f>
        <v>CUMPLE</v>
      </c>
      <c r="P1127" s="312">
        <f>NUMMOD</f>
        <v>1</v>
      </c>
      <c r="Q1127" s="313">
        <f ca="1">IF(P1127="","",ROUND(VLOOKUP(P1127,PRESUPUESTOS!$B$16:$L$16,9,FALSE),7))</f>
        <v>300</v>
      </c>
      <c r="R1127" s="834">
        <f>IF(OR(COUNTIF(O1105:O1114,"")&gt;9,S1121&lt;NUMMINCONT),0,SUM(O1105:O1114))</f>
        <v>432.54</v>
      </c>
      <c r="S1127" s="834"/>
      <c r="T1127" s="284"/>
      <c r="U1127" s="284"/>
      <c r="V1127" s="310"/>
      <c r="W1127" s="284"/>
      <c r="X1127" s="545" t="str">
        <f>IF($F1120=1,"NO APLICA",$D1127)</f>
        <v>NO APLICA</v>
      </c>
      <c r="Y1127" s="543" t="str">
        <f>IF(OR($F1127="",$F1127="NO APORTA",$R1127=0,$X1127="NO APLICA"),"",ROUND($F1127/$Q1127,2))</f>
        <v/>
      </c>
      <c r="Z1127" s="544"/>
      <c r="AA1127" s="546"/>
      <c r="AB1127" s="540" t="str">
        <f>IF(COUNTIF(Z1127:AA1127,"SI APLICA")=2,"SI APLICA","")</f>
        <v/>
      </c>
      <c r="AC1127" s="28"/>
    </row>
    <row r="1128" spans="1:29" s="30" customFormat="1" ht="16.5" customHeight="1" thickBot="1">
      <c r="A1128" s="112" t="str">
        <f>"T"&amp;E1101</f>
        <v>T37</v>
      </c>
      <c r="B1128" s="792"/>
      <c r="C1128" s="821" t="s">
        <v>419</v>
      </c>
      <c r="D1128" s="822"/>
      <c r="E1128" s="822"/>
      <c r="F1128" s="518"/>
      <c r="G1128" s="519"/>
      <c r="H1128" s="794" t="str">
        <f>IF(OR($F1120="",SUM(E1122:E1127)=0),"",IF(COUNTIF(H1122:H1127,"CUMPLE")&gt;=1,"CUMPLE","NO CUMPLE"))</f>
        <v/>
      </c>
      <c r="I1128" s="795"/>
      <c r="J1128" s="314" t="str">
        <f>IF(COUNTIF(J1122:J1127,"")&gt;5,"",IF(COUNTIF(J1122:J1127,"NO CUMPLE")&gt;0,"NO CUMPLE","CUMPLE"))</f>
        <v/>
      </c>
      <c r="K1128" s="314" t="str">
        <f>IF(OR(AND(F1120=1,N1122="SI"),AND(COUNTIF(H1128:J1128,"CUMPLE")=2)),"CUMPLE","NO CUMPLE")</f>
        <v>CUMPLE</v>
      </c>
      <c r="L1128" s="519"/>
      <c r="M1128" s="519"/>
      <c r="N1128" s="519"/>
      <c r="O1128" s="833" t="str">
        <f ca="1">IF(ISNUMBER(F1101),"",IF(AND(O1127="NO CUMPLE",SUM(N1108:N1114)&lt;Q1127),"EL PROPONENTE SE DEBE REQUERIR POR EXPERIENCIA MINIMA EXIGIDA",""))</f>
        <v/>
      </c>
      <c r="P1128" s="833"/>
      <c r="Q1128" s="833"/>
      <c r="R1128" s="833"/>
      <c r="S1128" s="833"/>
      <c r="T1128" s="522"/>
      <c r="U1128" s="523"/>
      <c r="V1128" s="524"/>
      <c r="W1128" s="284"/>
      <c r="X1128" s="364" t="str">
        <f>IF(Y1128=1,"PROPONENTE INDIVIDUAL","PROPONENTE PLURAL")</f>
        <v>PROPONENTE INDIVIDUAL</v>
      </c>
      <c r="Y1128" s="276">
        <f>F1120</f>
        <v>1</v>
      </c>
      <c r="Z1128" s="277" t="str">
        <f>IF(OR(AND(Z1122="SI APLICA",AA1122="SI APLICA"),AND(Z1123="SI APLICA",AA1123="SI APLICA"),AND(Z1124="SI APLICA",AA1124="SI APLICA"),AND(Z1125="SI APLICA",AA1125="SI APLICA"),AND(Z1126="SI APLICA",AA1126="SI APLICA"),AND(Z1127="SI APLICA",AA1127="SI APLICA")),"SI APLICA","NO APLICA")</f>
        <v>SI APLICA</v>
      </c>
      <c r="AA1128" s="278" t="str">
        <f>IF(OR(AND(AA1122="SI APLICA",AB1122="SI APLICA"),AND(AA1123="SI APLICA",AB1123="SI APLICA"),AND(AA1124="SI APLICA",AB1124="SI APLICA"),AND(AA1125="SI APLICA",AB1125="SI APLICA"),AND(AA1126="SI APLICA",AB1126="SI APLICA"),AND(AA1127="SI APLICA",AB1127="SI APLICA")),"SI APLICA","NO APLICA")</f>
        <v>SI APLICA</v>
      </c>
      <c r="AB1128" s="278" t="str">
        <f>IF(COUNTIF(AB1122:AB1127,"SI APLICA")&gt;0,"SI APLICA","NO APLICA")</f>
        <v>SI APLICA</v>
      </c>
      <c r="AC1128" s="28"/>
    </row>
    <row r="1129" spans="1:29" ht="24.95" customHeight="1"/>
    <row r="1130" spans="1:29" ht="24.95" customHeight="1"/>
    <row r="1131" spans="1:29" s="41" customFormat="1" ht="24" thickBot="1">
      <c r="A1131" s="34">
        <v>38</v>
      </c>
      <c r="B1131" s="828" t="s">
        <v>355</v>
      </c>
      <c r="C1131" s="828"/>
      <c r="D1131" s="828"/>
      <c r="E1131" s="35">
        <f>VLOOKUP(A1131,PROPONENTES!$B$19:$E$108,2,FALSE)</f>
        <v>38</v>
      </c>
      <c r="F1131" s="36" t="str">
        <f>VLOOKUP(A1131,PROPONENTES!$B$19:$E$108,3,FALSE)</f>
        <v>CONSORCIO INTERTOLIMA CR</v>
      </c>
      <c r="G1131" s="37"/>
      <c r="H1131" s="37"/>
      <c r="I1131" s="36"/>
      <c r="J1131" s="36"/>
      <c r="K1131" s="36"/>
      <c r="L1131" s="36"/>
      <c r="M1131" s="38"/>
      <c r="N1131" s="38"/>
      <c r="O1131" s="37"/>
      <c r="P1131" s="37"/>
      <c r="Q1131" s="39"/>
      <c r="R1131" s="39"/>
      <c r="S1131" s="39"/>
      <c r="T1131" s="39"/>
      <c r="U1131" s="40"/>
      <c r="Y1131" s="52"/>
      <c r="Z1131" s="52"/>
      <c r="AA1131" s="52"/>
      <c r="AB1131" s="28"/>
      <c r="AC1131" s="28"/>
    </row>
    <row r="1132" spans="1:29" s="27" customFormat="1" ht="24.75" customHeight="1">
      <c r="A1132" s="22"/>
      <c r="B1132" s="829" t="s">
        <v>356</v>
      </c>
      <c r="C1132" s="501" t="s">
        <v>357</v>
      </c>
      <c r="D1132" s="502" t="s">
        <v>358</v>
      </c>
      <c r="E1132" s="502"/>
      <c r="F1132" s="502" t="s">
        <v>359</v>
      </c>
      <c r="G1132" s="503"/>
      <c r="H1132" s="803" t="s">
        <v>360</v>
      </c>
      <c r="I1132" s="831" t="s">
        <v>361</v>
      </c>
      <c r="J1132" s="803" t="s">
        <v>362</v>
      </c>
      <c r="K1132" s="803" t="s">
        <v>363</v>
      </c>
      <c r="L1132" s="803" t="s">
        <v>364</v>
      </c>
      <c r="M1132" s="803" t="s">
        <v>365</v>
      </c>
      <c r="N1132" s="804" t="s">
        <v>366</v>
      </c>
      <c r="O1132" s="805"/>
      <c r="P1132" s="806" t="s">
        <v>367</v>
      </c>
      <c r="Q1132" s="807"/>
      <c r="R1132" s="784" t="s">
        <v>368</v>
      </c>
      <c r="S1132" s="774"/>
      <c r="T1132" s="798" t="s">
        <v>369</v>
      </c>
      <c r="U1132" s="799"/>
      <c r="V1132" s="800"/>
      <c r="X1132" s="520"/>
      <c r="Y1132" s="520"/>
    </row>
    <row r="1133" spans="1:29" s="27" customFormat="1" ht="94.5" customHeight="1">
      <c r="A1133" s="22"/>
      <c r="B1133" s="830"/>
      <c r="C1133" s="504" t="s">
        <v>370</v>
      </c>
      <c r="D1133" s="505" t="s">
        <v>41</v>
      </c>
      <c r="E1133" s="505" t="s">
        <v>371</v>
      </c>
      <c r="F1133" s="505" t="s">
        <v>372</v>
      </c>
      <c r="G1133" s="506" t="s">
        <v>373</v>
      </c>
      <c r="H1133" s="793"/>
      <c r="I1133" s="832"/>
      <c r="J1133" s="793"/>
      <c r="K1133" s="793"/>
      <c r="L1133" s="793"/>
      <c r="M1133" s="793"/>
      <c r="N1133" s="504" t="s">
        <v>374</v>
      </c>
      <c r="O1133" s="505" t="s">
        <v>375</v>
      </c>
      <c r="P1133" s="801"/>
      <c r="Q1133" s="802"/>
      <c r="R1133" s="796"/>
      <c r="S1133" s="797"/>
      <c r="T1133" s="507" t="s">
        <v>376</v>
      </c>
      <c r="U1133" s="508" t="s">
        <v>377</v>
      </c>
      <c r="V1133" s="509" t="s">
        <v>378</v>
      </c>
      <c r="X1133" s="521" t="s">
        <v>379</v>
      </c>
      <c r="Y1133" s="521" t="s">
        <v>380</v>
      </c>
    </row>
    <row r="1134" spans="1:29" s="27" customFormat="1" ht="15" customHeight="1">
      <c r="A1134" s="22"/>
      <c r="B1134" s="594"/>
      <c r="C1134" s="595">
        <v>3</v>
      </c>
      <c r="D1134" s="595">
        <v>4</v>
      </c>
      <c r="E1134" s="595">
        <v>5</v>
      </c>
      <c r="F1134" s="595">
        <v>6</v>
      </c>
      <c r="G1134" s="595">
        <v>7</v>
      </c>
      <c r="H1134" s="595">
        <v>8</v>
      </c>
      <c r="I1134" s="595">
        <v>9</v>
      </c>
      <c r="J1134" s="595">
        <v>10</v>
      </c>
      <c r="K1134" s="595">
        <v>11</v>
      </c>
      <c r="L1134" s="595">
        <v>12</v>
      </c>
      <c r="M1134" s="595">
        <v>13</v>
      </c>
      <c r="N1134" s="595">
        <v>14</v>
      </c>
      <c r="O1134" s="595">
        <v>15</v>
      </c>
      <c r="P1134" s="596">
        <v>16</v>
      </c>
      <c r="Q1134" s="597">
        <v>17</v>
      </c>
      <c r="R1134" s="596">
        <v>18</v>
      </c>
      <c r="S1134" s="597">
        <v>19</v>
      </c>
      <c r="T1134" s="598">
        <v>20</v>
      </c>
      <c r="U1134" s="255">
        <v>21</v>
      </c>
      <c r="V1134" s="599">
        <v>22</v>
      </c>
      <c r="X1134" s="589"/>
      <c r="Y1134" s="590"/>
    </row>
    <row r="1135" spans="1:29" s="44" customFormat="1" ht="51.75" customHeight="1">
      <c r="A1135" s="42" t="str">
        <f>"A"&amp;E1131</f>
        <v>A38</v>
      </c>
      <c r="B1135" s="605">
        <f>IF(C1135&lt;&gt;"",B1134+1,"")</f>
        <v>1</v>
      </c>
      <c r="C1135" s="581" t="s">
        <v>685</v>
      </c>
      <c r="D1135" s="581" t="s">
        <v>686</v>
      </c>
      <c r="E1135" s="581" t="s">
        <v>687</v>
      </c>
      <c r="F1135" s="581" t="s">
        <v>431</v>
      </c>
      <c r="G1135" s="534">
        <v>0.8</v>
      </c>
      <c r="H1135" s="534" t="s">
        <v>385</v>
      </c>
      <c r="I1135" s="579">
        <v>2</v>
      </c>
      <c r="J1135" s="580" t="str">
        <f>IF(I1135="","",IF(I1135="I",$F1131,VLOOKUP(I1135,$C1152:$D1157,2,0)))</f>
        <v>PONCE DE LEON CONSULTORIAS S. A. S</v>
      </c>
      <c r="K1135" s="535">
        <v>41995</v>
      </c>
      <c r="L1135" s="535">
        <v>42353</v>
      </c>
      <c r="M1135" s="536">
        <v>1302.27</v>
      </c>
      <c r="N1135" s="232">
        <f t="shared" ref="N1135:N1144" si="227">IF(OR(G1135="",M1135=""),"",M1135*G1135)</f>
        <v>1041.816</v>
      </c>
      <c r="O1135" s="260">
        <f t="shared" ref="O1135:O1144" si="228">IF(OR(H1135="",H1135="NO",K1135&lt;$Q$17,K1135&gt;$R$17,K1135="",M1135="",N1135=""),"",ROUND(N1135,7))</f>
        <v>1041.816</v>
      </c>
      <c r="P1135" s="781"/>
      <c r="Q1135" s="782"/>
      <c r="R1135" s="767"/>
      <c r="S1135" s="768"/>
      <c r="T1135" s="538" t="s">
        <v>385</v>
      </c>
      <c r="U1135" s="539">
        <v>3</v>
      </c>
      <c r="V1135" s="540" t="s">
        <v>385</v>
      </c>
      <c r="X1135" s="541" t="s">
        <v>386</v>
      </c>
      <c r="Y1135" s="541" t="s">
        <v>439</v>
      </c>
    </row>
    <row r="1136" spans="1:29" s="44" customFormat="1" ht="24.95" customHeight="1">
      <c r="A1136" s="42" t="str">
        <f>"B"&amp;E1131</f>
        <v>B38</v>
      </c>
      <c r="B1136" s="605" t="str">
        <f t="shared" ref="B1136:B1144" si="229">IF(C1136&lt;&gt;"",B1135+1,"")</f>
        <v/>
      </c>
      <c r="C1136" s="581"/>
      <c r="D1136" s="581"/>
      <c r="E1136" s="581"/>
      <c r="F1136" s="581"/>
      <c r="G1136" s="534"/>
      <c r="H1136" s="534"/>
      <c r="I1136" s="579"/>
      <c r="J1136" s="580" t="str">
        <f>IF(I1136="","",IF(I1136="I",$F1130,VLOOKUP(I1136,$C1151:$D1156,2,0)))</f>
        <v/>
      </c>
      <c r="K1136" s="535"/>
      <c r="L1136" s="535"/>
      <c r="M1136" s="536"/>
      <c r="N1136" s="232" t="str">
        <f t="shared" si="227"/>
        <v/>
      </c>
      <c r="O1136" s="260" t="str">
        <f t="shared" si="228"/>
        <v/>
      </c>
      <c r="P1136" s="781"/>
      <c r="Q1136" s="782"/>
      <c r="R1136" s="767"/>
      <c r="S1136" s="768"/>
      <c r="T1136" s="538"/>
      <c r="U1136" s="539"/>
      <c r="V1136" s="540"/>
      <c r="X1136" s="541"/>
      <c r="Y1136" s="541"/>
    </row>
    <row r="1137" spans="1:29" s="44" customFormat="1" ht="24.95" customHeight="1">
      <c r="A1137" s="42" t="str">
        <f>"C"&amp;E1131</f>
        <v>C38</v>
      </c>
      <c r="B1137" s="605" t="str">
        <f t="shared" si="229"/>
        <v/>
      </c>
      <c r="C1137" s="581"/>
      <c r="D1137" s="581"/>
      <c r="E1137" s="581"/>
      <c r="F1137" s="581"/>
      <c r="G1137" s="534"/>
      <c r="H1137" s="534"/>
      <c r="I1137" s="579"/>
      <c r="J1137" s="580" t="str">
        <f>IF(I1137="","",IF(I1137="I",$F1131,VLOOKUP(I1137,$C1152:$D1157,2,0)))</f>
        <v/>
      </c>
      <c r="K1137" s="535"/>
      <c r="L1137" s="535"/>
      <c r="M1137" s="536"/>
      <c r="N1137" s="232" t="str">
        <f t="shared" si="227"/>
        <v/>
      </c>
      <c r="O1137" s="260" t="str">
        <f t="shared" si="228"/>
        <v/>
      </c>
      <c r="P1137" s="781"/>
      <c r="Q1137" s="782"/>
      <c r="R1137" s="767"/>
      <c r="S1137" s="768"/>
      <c r="T1137" s="538"/>
      <c r="U1137" s="539"/>
      <c r="V1137" s="540"/>
      <c r="X1137" s="541"/>
      <c r="Y1137" s="541"/>
    </row>
    <row r="1138" spans="1:29" s="44" customFormat="1" ht="24.95" customHeight="1">
      <c r="A1138" s="42" t="str">
        <f>"D"&amp;E1131</f>
        <v>D38</v>
      </c>
      <c r="B1138" s="605" t="str">
        <f t="shared" si="229"/>
        <v/>
      </c>
      <c r="C1138" s="581"/>
      <c r="D1138" s="581"/>
      <c r="E1138" s="581"/>
      <c r="F1138" s="581"/>
      <c r="G1138" s="534"/>
      <c r="H1138" s="534"/>
      <c r="I1138" s="579"/>
      <c r="J1138" s="580" t="str">
        <f>IF(I1138="","",IF(I1138="I",$F1131,VLOOKUP(I1138,$C1152:$D1157,2,0)))</f>
        <v/>
      </c>
      <c r="K1138" s="535"/>
      <c r="L1138" s="535"/>
      <c r="M1138" s="536"/>
      <c r="N1138" s="232" t="str">
        <f t="shared" si="227"/>
        <v/>
      </c>
      <c r="O1138" s="260" t="str">
        <f t="shared" si="228"/>
        <v/>
      </c>
      <c r="P1138" s="781"/>
      <c r="Q1138" s="782"/>
      <c r="R1138" s="767"/>
      <c r="S1138" s="768"/>
      <c r="T1138" s="538"/>
      <c r="U1138" s="539"/>
      <c r="V1138" s="540"/>
      <c r="X1138" s="541"/>
      <c r="Y1138" s="541"/>
    </row>
    <row r="1139" spans="1:29" s="44" customFormat="1" ht="24.95" customHeight="1">
      <c r="A1139" s="42" t="str">
        <f>"E"&amp;E1131</f>
        <v>E38</v>
      </c>
      <c r="B1139" s="605" t="str">
        <f t="shared" si="229"/>
        <v/>
      </c>
      <c r="C1139" s="581"/>
      <c r="D1139" s="581"/>
      <c r="E1139" s="581"/>
      <c r="F1139" s="581"/>
      <c r="G1139" s="534"/>
      <c r="H1139" s="534"/>
      <c r="I1139" s="579"/>
      <c r="J1139" s="580" t="str">
        <f>IF(I1139="","",IF(I1139="I",$F1131,VLOOKUP(I1139,$C1152:$D1157,2,0)))</f>
        <v/>
      </c>
      <c r="K1139" s="535"/>
      <c r="L1139" s="535"/>
      <c r="M1139" s="536"/>
      <c r="N1139" s="232" t="str">
        <f t="shared" si="227"/>
        <v/>
      </c>
      <c r="O1139" s="260" t="str">
        <f t="shared" si="228"/>
        <v/>
      </c>
      <c r="P1139" s="781"/>
      <c r="Q1139" s="782"/>
      <c r="R1139" s="767"/>
      <c r="S1139" s="768"/>
      <c r="T1139" s="538"/>
      <c r="U1139" s="539"/>
      <c r="V1139" s="540"/>
      <c r="X1139" s="541"/>
      <c r="Y1139" s="541"/>
    </row>
    <row r="1140" spans="1:29" s="44" customFormat="1" ht="24.95" customHeight="1">
      <c r="A1140" s="42" t="str">
        <f>"F"&amp;E1131</f>
        <v>F38</v>
      </c>
      <c r="B1140" s="605" t="str">
        <f t="shared" si="229"/>
        <v/>
      </c>
      <c r="C1140" s="581"/>
      <c r="D1140" s="581"/>
      <c r="E1140" s="581"/>
      <c r="F1140" s="581"/>
      <c r="G1140" s="534"/>
      <c r="H1140" s="534"/>
      <c r="I1140" s="579"/>
      <c r="J1140" s="580" t="str">
        <f>IF(I1140="","",IF(I1140="I",$F1131,VLOOKUP(I1140,$C1152:$D1157,2,0)))</f>
        <v/>
      </c>
      <c r="K1140" s="535"/>
      <c r="L1140" s="535"/>
      <c r="M1140" s="536"/>
      <c r="N1140" s="232" t="str">
        <f t="shared" si="227"/>
        <v/>
      </c>
      <c r="O1140" s="260" t="str">
        <f t="shared" si="228"/>
        <v/>
      </c>
      <c r="P1140" s="781"/>
      <c r="Q1140" s="782"/>
      <c r="R1140" s="767"/>
      <c r="S1140" s="768"/>
      <c r="T1140" s="538"/>
      <c r="U1140" s="539"/>
      <c r="V1140" s="540"/>
      <c r="X1140" s="541"/>
      <c r="Y1140" s="541"/>
    </row>
    <row r="1141" spans="1:29" s="44" customFormat="1" ht="24.95" customHeight="1">
      <c r="A1141" s="42" t="str">
        <f>"G"&amp;E1131</f>
        <v>G38</v>
      </c>
      <c r="B1141" s="605" t="str">
        <f t="shared" si="229"/>
        <v/>
      </c>
      <c r="C1141" s="581"/>
      <c r="D1141" s="581"/>
      <c r="E1141" s="581"/>
      <c r="F1141" s="581"/>
      <c r="G1141" s="534"/>
      <c r="H1141" s="534"/>
      <c r="I1141" s="579"/>
      <c r="J1141" s="580" t="str">
        <f>IF(I1141="","",IF(I1141="I",$F1131,VLOOKUP(I1141,$C1152:$D1157,2,0)))</f>
        <v/>
      </c>
      <c r="K1141" s="535"/>
      <c r="L1141" s="535"/>
      <c r="M1141" s="536"/>
      <c r="N1141" s="43" t="str">
        <f t="shared" si="227"/>
        <v/>
      </c>
      <c r="O1141" s="260" t="str">
        <f t="shared" si="228"/>
        <v/>
      </c>
      <c r="P1141" s="781"/>
      <c r="Q1141" s="782"/>
      <c r="R1141" s="767"/>
      <c r="S1141" s="768"/>
      <c r="T1141" s="538"/>
      <c r="U1141" s="539"/>
      <c r="V1141" s="540"/>
      <c r="X1141" s="541"/>
      <c r="Y1141" s="541"/>
    </row>
    <row r="1142" spans="1:29" s="44" customFormat="1" ht="24.95" customHeight="1">
      <c r="A1142" s="42" t="str">
        <f>"H"&amp;E1131</f>
        <v>H38</v>
      </c>
      <c r="B1142" s="605" t="str">
        <f t="shared" si="229"/>
        <v/>
      </c>
      <c r="C1142" s="581"/>
      <c r="D1142" s="581"/>
      <c r="E1142" s="581"/>
      <c r="F1142" s="581"/>
      <c r="G1142" s="534"/>
      <c r="H1142" s="534"/>
      <c r="I1142" s="579"/>
      <c r="J1142" s="580" t="str">
        <f>IF(I1142="","",IF(I1142="I",$F1131,VLOOKUP(I1142,$C1152:$D1157,2,0)))</f>
        <v/>
      </c>
      <c r="K1142" s="535"/>
      <c r="L1142" s="535"/>
      <c r="M1142" s="537"/>
      <c r="N1142" s="43" t="str">
        <f t="shared" si="227"/>
        <v/>
      </c>
      <c r="O1142" s="260" t="str">
        <f t="shared" si="228"/>
        <v/>
      </c>
      <c r="P1142" s="781"/>
      <c r="Q1142" s="782"/>
      <c r="R1142" s="767"/>
      <c r="S1142" s="768"/>
      <c r="T1142" s="538"/>
      <c r="U1142" s="539"/>
      <c r="V1142" s="540"/>
      <c r="X1142" s="541"/>
      <c r="Y1142" s="541"/>
    </row>
    <row r="1143" spans="1:29" s="44" customFormat="1" ht="24.95" customHeight="1">
      <c r="A1143" s="42" t="str">
        <f>"I"&amp;E1131</f>
        <v>I38</v>
      </c>
      <c r="B1143" s="605" t="str">
        <f t="shared" si="229"/>
        <v/>
      </c>
      <c r="C1143" s="581"/>
      <c r="D1143" s="581"/>
      <c r="E1143" s="581"/>
      <c r="F1143" s="581"/>
      <c r="G1143" s="534"/>
      <c r="H1143" s="534"/>
      <c r="I1143" s="579"/>
      <c r="J1143" s="580" t="str">
        <f>IF(I1143="","",IF(I1143="I",$F1131,VLOOKUP(I1143,$C1152:$D1157,2,0)))</f>
        <v/>
      </c>
      <c r="K1143" s="535"/>
      <c r="L1143" s="535"/>
      <c r="M1143" s="537"/>
      <c r="N1143" s="43" t="str">
        <f t="shared" si="227"/>
        <v/>
      </c>
      <c r="O1143" s="260" t="str">
        <f t="shared" si="228"/>
        <v/>
      </c>
      <c r="P1143" s="781"/>
      <c r="Q1143" s="782"/>
      <c r="R1143" s="767"/>
      <c r="S1143" s="768"/>
      <c r="T1143" s="538"/>
      <c r="U1143" s="539"/>
      <c r="V1143" s="540"/>
      <c r="X1143" s="541"/>
      <c r="Y1143" s="541"/>
    </row>
    <row r="1144" spans="1:29" s="44" customFormat="1" ht="24.95" customHeight="1" thickBot="1">
      <c r="A1144" s="42" t="str">
        <f>"J"&amp;E1131</f>
        <v>J38</v>
      </c>
      <c r="B1144" s="612" t="str">
        <f t="shared" si="229"/>
        <v/>
      </c>
      <c r="C1144" s="582"/>
      <c r="D1144" s="582"/>
      <c r="E1144" s="582"/>
      <c r="F1144" s="582"/>
      <c r="G1144" s="583"/>
      <c r="H1144" s="583"/>
      <c r="I1144" s="584"/>
      <c r="J1144" s="585" t="str">
        <f>IF(I1144="","",IF(I1144="I",$F1131,VLOOKUP(I1144,$C1152:$D1157,2,0)))</f>
        <v/>
      </c>
      <c r="K1144" s="586"/>
      <c r="L1144" s="586"/>
      <c r="M1144" s="587"/>
      <c r="N1144" s="43" t="str">
        <f t="shared" si="227"/>
        <v/>
      </c>
      <c r="O1144" s="260" t="str">
        <f t="shared" si="228"/>
        <v/>
      </c>
      <c r="P1144" s="781"/>
      <c r="Q1144" s="782"/>
      <c r="R1144" s="767"/>
      <c r="S1144" s="768"/>
      <c r="T1144" s="538"/>
      <c r="U1144" s="539"/>
      <c r="V1144" s="540"/>
      <c r="X1144" s="541"/>
      <c r="Y1144" s="541"/>
    </row>
    <row r="1145" spans="1:29" s="27" customFormat="1" ht="12" customHeight="1" thickBot="1">
      <c r="A1145" s="42"/>
      <c r="B1145" s="45"/>
      <c r="C1145" s="46"/>
      <c r="D1145" s="46"/>
      <c r="E1145" s="46"/>
      <c r="F1145" s="46"/>
      <c r="G1145" s="46"/>
      <c r="H1145" s="606"/>
      <c r="I1145" s="46"/>
      <c r="J1145" s="46"/>
      <c r="K1145" s="46"/>
      <c r="L1145" s="46"/>
      <c r="M1145" s="46"/>
      <c r="N1145" s="46"/>
      <c r="O1145" s="259"/>
      <c r="P1145" s="46"/>
      <c r="Q1145" s="46"/>
      <c r="R1145" s="259"/>
      <c r="S1145" s="46"/>
      <c r="T1145" s="46"/>
      <c r="U1145" s="47"/>
      <c r="V1145" s="48"/>
      <c r="X1145" s="592"/>
      <c r="Y1145" s="593"/>
      <c r="AB1145" s="378"/>
    </row>
    <row r="1146" spans="1:29" s="27" customFormat="1" ht="17.25" customHeight="1" thickBot="1">
      <c r="A1146" s="42" t="str">
        <f>"Z"&amp;E1131</f>
        <v>Z38</v>
      </c>
      <c r="B1146" s="510"/>
      <c r="C1146" s="511"/>
      <c r="D1146" s="511"/>
      <c r="E1146" s="511"/>
      <c r="F1146" s="511"/>
      <c r="G1146" s="511"/>
      <c r="H1146" s="511"/>
      <c r="I1146" s="511"/>
      <c r="J1146" s="511"/>
      <c r="K1146" s="511"/>
      <c r="L1146" s="511"/>
      <c r="M1146" s="511"/>
      <c r="N1146" s="437" t="s">
        <v>388</v>
      </c>
      <c r="O1146" s="438">
        <f>IF(COUNTIF(O1135:O1144,"")&gt;9,0,SUM(O1135:O1144)/(COUNTIF(H1135:H1144,"SI")))</f>
        <v>1041.816</v>
      </c>
      <c r="P1146" s="511"/>
      <c r="Q1146" s="511"/>
      <c r="R1146" s="530"/>
      <c r="S1146" s="530"/>
      <c r="T1146" s="531"/>
      <c r="U1146" s="532"/>
      <c r="V1146" s="533"/>
      <c r="W1146" s="285"/>
      <c r="X1146" s="613" t="e">
        <f>COUNTIF(#REF!,"")-COUNTIF(#REF!,"CUMPLE")-1</f>
        <v>#REF!</v>
      </c>
      <c r="Y1146" s="591"/>
      <c r="AB1146" s="28"/>
    </row>
    <row r="1147" spans="1:29" ht="17.25" customHeight="1">
      <c r="B1147" s="50"/>
      <c r="C1147" s="50"/>
      <c r="D1147" s="50"/>
      <c r="E1147" s="50"/>
      <c r="F1147" s="50"/>
      <c r="G1147" s="51"/>
      <c r="H1147" s="51"/>
      <c r="I1147" s="51"/>
      <c r="J1147" s="51"/>
      <c r="K1147" s="51"/>
      <c r="L1147" s="51"/>
      <c r="M1147" s="51"/>
      <c r="N1147" s="51"/>
      <c r="O1147" s="51"/>
      <c r="P1147" s="51"/>
      <c r="Q1147" s="51"/>
      <c r="R1147" s="51"/>
      <c r="S1147" s="51"/>
      <c r="T1147" s="51"/>
      <c r="U1147" s="51"/>
      <c r="V1147" s="51"/>
      <c r="W1147" s="51"/>
      <c r="X1147" s="608"/>
      <c r="Y1147" s="51"/>
      <c r="Z1147" s="51"/>
      <c r="AA1147" s="51"/>
      <c r="AB1147" s="51"/>
      <c r="AC1147" s="50"/>
    </row>
    <row r="1148" spans="1:29" s="27" customFormat="1" ht="16.5" customHeight="1" thickBot="1">
      <c r="A1148" s="22"/>
      <c r="B1148" s="783" t="s">
        <v>389</v>
      </c>
      <c r="C1148" s="783"/>
      <c r="D1148" s="783"/>
      <c r="E1148" s="783"/>
      <c r="F1148" s="783"/>
      <c r="G1148" s="783"/>
      <c r="H1148" s="783"/>
      <c r="I1148" s="783"/>
      <c r="J1148" s="783"/>
      <c r="K1148" s="783"/>
      <c r="L1148" s="783"/>
      <c r="M1148" s="783"/>
      <c r="N1148" s="783"/>
      <c r="O1148" s="783"/>
      <c r="P1148" s="783"/>
      <c r="Q1148" s="783"/>
      <c r="R1148" s="783"/>
      <c r="S1148" s="783"/>
      <c r="T1148" s="783"/>
      <c r="U1148" s="783"/>
      <c r="V1148" s="783"/>
      <c r="W1148" s="286"/>
      <c r="X1148" s="607"/>
      <c r="Y1148" s="52"/>
      <c r="Z1148" s="52"/>
      <c r="AA1148" s="52"/>
      <c r="AB1148" s="28"/>
      <c r="AC1148" s="28"/>
    </row>
    <row r="1149" spans="1:29" s="30" customFormat="1" ht="22.5" customHeight="1">
      <c r="A1149" s="112" t="str">
        <f>"K"&amp;E1131</f>
        <v>K38</v>
      </c>
      <c r="B1149" s="790" t="s">
        <v>390</v>
      </c>
      <c r="C1149" s="772" t="s">
        <v>391</v>
      </c>
      <c r="D1149" s="773"/>
      <c r="E1149" s="773"/>
      <c r="F1149" s="773"/>
      <c r="G1149" s="773"/>
      <c r="H1149" s="773"/>
      <c r="I1149" s="773"/>
      <c r="J1149" s="773"/>
      <c r="K1149" s="773"/>
      <c r="L1149" s="773"/>
      <c r="M1149" s="774"/>
      <c r="N1149" s="525"/>
      <c r="O1149" s="588"/>
      <c r="P1149" s="772" t="s">
        <v>392</v>
      </c>
      <c r="Q1149" s="773"/>
      <c r="R1149" s="773"/>
      <c r="S1149" s="774"/>
      <c r="T1149" s="784" t="s">
        <v>393</v>
      </c>
      <c r="U1149" s="774"/>
      <c r="V1149" s="811"/>
      <c r="W1149" s="284"/>
      <c r="X1149" s="778" t="s">
        <v>394</v>
      </c>
      <c r="Y1149" s="779"/>
      <c r="Z1149" s="779"/>
      <c r="AA1149" s="779" t="s">
        <v>395</v>
      </c>
      <c r="AB1149" s="808" t="s">
        <v>396</v>
      </c>
      <c r="AC1149" s="28"/>
    </row>
    <row r="1150" spans="1:29" s="30" customFormat="1" ht="22.5" customHeight="1">
      <c r="A1150" s="112" t="str">
        <f>"L"&amp;E1131</f>
        <v>L38</v>
      </c>
      <c r="B1150" s="791"/>
      <c r="C1150" s="769" t="s">
        <v>397</v>
      </c>
      <c r="D1150" s="770"/>
      <c r="E1150" s="771"/>
      <c r="F1150" s="512">
        <f>IF(VLOOKUP(E1131,PROPONENTES!$C$19:$E$108,3,0)="","",VLOOKUP(E1131,PROPONENTES!$C$19:$E$108,3,0))</f>
        <v>2</v>
      </c>
      <c r="G1150" s="824" t="s">
        <v>398</v>
      </c>
      <c r="H1150" s="793" t="s">
        <v>399</v>
      </c>
      <c r="I1150" s="793"/>
      <c r="J1150" s="769" t="s">
        <v>400</v>
      </c>
      <c r="K1150" s="823"/>
      <c r="L1150" s="513" t="s">
        <v>401</v>
      </c>
      <c r="M1150" s="513"/>
      <c r="N1150" s="526"/>
      <c r="O1150" s="527"/>
      <c r="P1150" s="775"/>
      <c r="Q1150" s="776"/>
      <c r="R1150" s="776"/>
      <c r="S1150" s="777"/>
      <c r="T1150" s="796"/>
      <c r="U1150" s="797"/>
      <c r="V1150" s="812"/>
      <c r="W1150" s="284"/>
      <c r="X1150" s="780" t="s">
        <v>402</v>
      </c>
      <c r="Y1150" s="810" t="s">
        <v>403</v>
      </c>
      <c r="Z1150" s="810"/>
      <c r="AA1150" s="810"/>
      <c r="AB1150" s="809"/>
      <c r="AC1150" s="28"/>
    </row>
    <row r="1151" spans="1:29" s="30" customFormat="1" ht="51.75" customHeight="1" thickBot="1">
      <c r="A1151" s="112" t="str">
        <f>"M"&amp;E1131</f>
        <v>M38</v>
      </c>
      <c r="B1151" s="791"/>
      <c r="C1151" s="770" t="s">
        <v>404</v>
      </c>
      <c r="D1151" s="771"/>
      <c r="E1151" s="514" t="s">
        <v>405</v>
      </c>
      <c r="F1151" s="515" t="s">
        <v>406</v>
      </c>
      <c r="G1151" s="824"/>
      <c r="H1151" s="793"/>
      <c r="I1151" s="793"/>
      <c r="J1151" s="504" t="s">
        <v>407</v>
      </c>
      <c r="K1151" s="516" t="s">
        <v>408</v>
      </c>
      <c r="L1151" s="517" t="s">
        <v>409</v>
      </c>
      <c r="M1151" s="517"/>
      <c r="N1151" s="528" t="s">
        <v>410</v>
      </c>
      <c r="O1151" s="529"/>
      <c r="P1151" s="386"/>
      <c r="Q1151" s="387" t="s">
        <v>411</v>
      </c>
      <c r="R1151" s="388"/>
      <c r="S1151" s="113">
        <f>COUNTIFS(H1135:H1144,"SI",O1135:O1144,"&gt;0")</f>
        <v>1</v>
      </c>
      <c r="T1151" s="785"/>
      <c r="U1151" s="787"/>
      <c r="V1151" s="813"/>
      <c r="W1151" s="284"/>
      <c r="X1151" s="780"/>
      <c r="Y1151" s="810"/>
      <c r="Z1151" s="810"/>
      <c r="AA1151" s="810"/>
      <c r="AB1151" s="809"/>
      <c r="AC1151" s="28"/>
    </row>
    <row r="1152" spans="1:29" s="30" customFormat="1" ht="15.75" customHeight="1">
      <c r="A1152" s="112" t="str">
        <f>"N"&amp;E1131</f>
        <v>N38</v>
      </c>
      <c r="B1152" s="791"/>
      <c r="C1152" s="54">
        <v>1</v>
      </c>
      <c r="D1152" s="100" t="str">
        <f>IF(AND(C1152&lt;=F1150,F1150&gt;1,F1150&lt;&gt;""),VLOOKUP(VALUE(E1131&amp;","&amp;C1152),INTEGRANTES!$D$19:$F$192,2,0),"")</f>
        <v>INTERURBANO CR S.A.S</v>
      </c>
      <c r="E1152" s="107">
        <f>IF(D1152&lt;&gt;"",VLOOKUP(VALUE(E1131&amp;","&amp;C1152),INTEGRANTES!$D$19:$F$192,3,0),"")</f>
        <v>0.05</v>
      </c>
      <c r="F1152" s="380" t="str">
        <f>IF(D1152="","",IF(OR(SUMIF($J1135:$J1144,D1152,$O1135:$O1144)=0,N1152="NO"),"NO APORTA",SUMIF($J1135:$J1144,D1152,$O1135:$O1144)))</f>
        <v>NO APORTA</v>
      </c>
      <c r="G1152" s="380">
        <f ca="1">IF($D1152="","",IF($F1150&lt;=1,"",ROUND(POSMMLV*PORPO,2)))</f>
        <v>150</v>
      </c>
      <c r="H1152" s="765" t="str">
        <f ca="1">IF($D1152="","",IF(OR(F1152="NO APORTA",G1152&gt;F1152),"NO CUMPLE","CUMPLE"))</f>
        <v>NO CUMPLE</v>
      </c>
      <c r="I1152" s="766"/>
      <c r="J1152" s="108" t="str">
        <f ca="1">IF(D1152="","",IF(OR(AND(SUMIF($J1135:$J1144,D1152,$O1135:$O1144)&gt;=5%*POSMMLV,N1152="SI"),AND(SUMIF($J1135:$J1144,D1152,$O1135:$O1144)=0,E1152&lt;=5%,N1152="SI")),"CUMPLE","NO CUMPLE"))</f>
        <v>CUMPLE</v>
      </c>
      <c r="K1152" s="105" t="str">
        <f ca="1">IF(OR(D1152="",J1152=""),"",IF(AND(J1152="NO CUMPLE",F1152="NO APORTA",E1152&gt;5%),"EXP = 0 y PART &gt; 5%",IF(F1152&lt;5%*Q1157,"EXP &lt; 5%*PO","")))</f>
        <v/>
      </c>
      <c r="L1152" s="389" t="str">
        <f>IF(OR(D1152="",E1152=""),"",IF(AND(E1152&gt;=0.25,F1152&lt;&gt;"NO APORTA",F1152&gt;=$R1157*0.25),"SI","NO"))</f>
        <v>NO</v>
      </c>
      <c r="M1152" s="389"/>
      <c r="N1152" s="468" t="s">
        <v>385</v>
      </c>
      <c r="O1152" s="396">
        <f>COUNTIFS(O1135:O1144,"&gt;0",H1135:H1144,"SI")</f>
        <v>1</v>
      </c>
      <c r="P1152" s="814" t="s">
        <v>139</v>
      </c>
      <c r="Q1152" s="814"/>
      <c r="R1152" s="817">
        <f>E1131</f>
        <v>38</v>
      </c>
      <c r="S1152" s="818"/>
      <c r="T1152" s="784" t="s">
        <v>412</v>
      </c>
      <c r="U1152" s="773"/>
      <c r="V1152" s="774"/>
      <c r="W1152" s="283"/>
      <c r="X1152" s="542" t="str">
        <f>IF($F1150=1,"NO APLICA",$D1152)</f>
        <v>INTERURBANO CR S.A.S</v>
      </c>
      <c r="Y1152" s="543" t="str">
        <f>IF(OR($F1152="",$F1152="NO APORTA",$R1157=0,$X1152="NO APLICA"),"",ROUND($F1152/$Q1157,2))</f>
        <v/>
      </c>
      <c r="Z1152" s="544" t="str">
        <f>IF(Y1158=1,"SI APLICA",IF(OR($X1152="",$X1152="NO APLICA",$F1152="",$F1152="NO APORTA"),"",IF(ROUND($F1152/Q1157,7)&gt;=0.4,"SI APLICA","NO APLICA")))</f>
        <v/>
      </c>
      <c r="AA1152" s="543"/>
      <c r="AB1152" s="540" t="str">
        <f>IF(COUNTIF(Z1152:AA1152,"SI APLICA")=2,"SI APLICA","")</f>
        <v/>
      </c>
      <c r="AC1152" s="28"/>
    </row>
    <row r="1153" spans="1:29" s="30" customFormat="1" ht="27" customHeight="1" thickBot="1">
      <c r="A1153" s="112" t="str">
        <f>"O"&amp;E1131</f>
        <v>O38</v>
      </c>
      <c r="B1153" s="791"/>
      <c r="C1153" s="54">
        <v>2</v>
      </c>
      <c r="D1153" s="100" t="str">
        <f>IF(AND(C1153&lt;=F1150,F1150&lt;&gt;""),VLOOKUP(VALUE(E1131&amp;","&amp;C1153),INTEGRANTES!$D$19:$F$192,2,0),"")</f>
        <v>PONCE DE LEON CONSULTORIAS S. A. S</v>
      </c>
      <c r="E1153" s="107">
        <f>IF(D1153&lt;&gt;"",VLOOKUP(VALUE(E1131&amp;","&amp;C1153),INTEGRANTES!$D$19:$F$192,3,0),"")</f>
        <v>0.95</v>
      </c>
      <c r="F1153" s="380">
        <f>IF(D1153="","",IF(OR(SUMIF($J1135:$J1144,D1153,$O1135:$O1144)=0,N1153="NO"),"NO APORTA",SUMIF($J1135:$J1144,D1153,$O1135:$O1144)))</f>
        <v>1041.816</v>
      </c>
      <c r="G1153" s="380">
        <f ca="1">IF($D1153="","",IF($F1150&lt;=1,"",ROUND(POSMMLV*PORPO,2)))</f>
        <v>150</v>
      </c>
      <c r="H1153" s="765" t="str">
        <f t="shared" ref="H1153:H1156" ca="1" si="230">IF($D1153="","",IF(OR(F1153="NO APORTA",G1153&gt;F1153),"NO CUMPLE","CUMPLE"))</f>
        <v>CUMPLE</v>
      </c>
      <c r="I1153" s="766"/>
      <c r="J1153" s="108" t="str">
        <f ca="1">IF(D1153="","",IF(OR(AND(SUMIF($J1135:$J1144,D1153,$O1135:$O1144)&gt;=5%*POSMMLV,N1153="SI"),AND(SUMIF($J1135:$J1144,D1153,$O1135:$O1144)=0,E1153&lt;=5%,N1153="SI")),"CUMPLE","NO CUMPLE"))</f>
        <v>CUMPLE</v>
      </c>
      <c r="K1153" s="105" t="str">
        <f ca="1">IF(OR(D1153="",J1153=""),"",IF(AND(J1153="NO CUMPLE",F1153="NO APORTA",E1153&gt;5%),"EXP = 0 y PART &gt; 5%",IF(F1153&lt;5%*Q1157,"EXP &lt; 5%*PO","")))</f>
        <v/>
      </c>
      <c r="L1153" s="389" t="str">
        <f>IF(OR(D1153="",E1153=""),"",IF(AND(E1153&gt;=0.25,F1153&lt;&gt;"NO APORTA",F1153&gt;=$R1157*0.25),"SI","NO"))</f>
        <v>SI</v>
      </c>
      <c r="M1153" s="389"/>
      <c r="N1153" s="468" t="s">
        <v>385</v>
      </c>
      <c r="O1153" s="396"/>
      <c r="P1153" s="815"/>
      <c r="Q1153" s="815"/>
      <c r="R1153" s="815"/>
      <c r="S1153" s="819"/>
      <c r="T1153" s="785"/>
      <c r="U1153" s="786"/>
      <c r="V1153" s="787"/>
      <c r="W1153" s="283"/>
      <c r="X1153" s="542" t="str">
        <f>IF($F1150=1,"NO APLICA",$D1153)</f>
        <v>PONCE DE LEON CONSULTORIAS S. A. S</v>
      </c>
      <c r="Y1153" s="543">
        <f ca="1">IF(OR($F1153="",$F1153="NO APORTA",$R1157=0,$X1153="NO APLICA"),"",ROUND($F1153/$Q1157,2))</f>
        <v>3.47</v>
      </c>
      <c r="Z1153" s="544" t="str">
        <f ca="1">IF(Y1158=1,"SI APLICA",IF(OR($X1153="",$X1153="NO APLICA",$F1153="",$F1153="NO APORTA"),"",IF(ROUND($F1153/Q1157,7)&gt;=0.4,"SI APLICA","NO APLICA")))</f>
        <v>SI APLICA</v>
      </c>
      <c r="AA1153" s="543" t="s">
        <v>413</v>
      </c>
      <c r="AB1153" s="540" t="str">
        <f t="shared" ref="AB1153" ca="1" si="231">IF(COUNTIF(Z1153:AA1153,"SI APLICA")=2,"SI APLICA","")</f>
        <v>SI APLICA</v>
      </c>
      <c r="AC1153" s="28"/>
    </row>
    <row r="1154" spans="1:29" s="30" customFormat="1" ht="15.75" customHeight="1">
      <c r="A1154" s="112" t="str">
        <f>"P"&amp;E1131</f>
        <v>P38</v>
      </c>
      <c r="B1154" s="791"/>
      <c r="C1154" s="54">
        <v>3</v>
      </c>
      <c r="D1154" s="100" t="str">
        <f>IF(AND(C1154&lt;=F1150,F1150&lt;&gt;""),VLOOKUP(VALUE(E1131&amp;","&amp;C1154),INTEGRANTES!$D$19:$F$192,2,0),"")</f>
        <v/>
      </c>
      <c r="E1154" s="107" t="str">
        <f>IF(D1154&lt;&gt;"",VLOOKUP(VALUE(E1131&amp;","&amp;C1154),INTEGRANTES!$D$19:$F$192,3,0),"")</f>
        <v/>
      </c>
      <c r="F1154" s="380" t="str">
        <f>IF(D1154="","",IF(OR(SUMIF($J1138:$J1144,D1154,$O1138:$O1144)=0,N1154="NO"),"NO APORTA",SUMIF($J1138:$J1144,D1154,$O1138:$O1144)))</f>
        <v/>
      </c>
      <c r="G1154" s="380" t="str">
        <f>IF($D1154="","",IF($F1150&lt;=1,"",ROUND(POSMMLV*PORPO,2)))</f>
        <v/>
      </c>
      <c r="H1154" s="765" t="str">
        <f t="shared" si="230"/>
        <v/>
      </c>
      <c r="I1154" s="766"/>
      <c r="J1154" s="108" t="str">
        <f>IF(D1154="","",IF(OR(AND(SUMIF($J1135:$J1144,D1154,$O1135:$O1144)&gt;=5%*POSMMLV,N1154="SI"),AND(SUMIF($J1135:$J1144,D1154,$O1135:$O1144)=0,E1154&lt;=5%,N1154="SI")),"CUMPLE","NO CUMPLE"))</f>
        <v/>
      </c>
      <c r="K1154" s="105" t="str">
        <f>IF(OR(D1154="",J1154=""),"",IF(AND(J1154="NO CUMPLE",F1154="NO APORTA",E1154&gt;5%),"EXP = 0 y PART &gt; 5%",IF(F1154&lt;5%*Q1157,"EXP &lt; 5%*PO","")))</f>
        <v/>
      </c>
      <c r="L1154" s="389" t="str">
        <f>IF(OR(D1154="",E1154=""),"",IF(AND(E1154&gt;=0.25,F1154&lt;&gt;"NO APORTA",F1154&gt;=$R1157*0.25),"SI","NO"))</f>
        <v/>
      </c>
      <c r="M1154" s="389"/>
      <c r="N1154" s="468"/>
      <c r="O1154" s="397"/>
      <c r="P1154" s="816"/>
      <c r="Q1154" s="816"/>
      <c r="R1154" s="816"/>
      <c r="S1154" s="820"/>
      <c r="T1154" s="308"/>
      <c r="U1154" s="308"/>
      <c r="V1154" s="309"/>
      <c r="W1154" s="284"/>
      <c r="X1154" s="542" t="str">
        <f>IF($F1150=1,"NO APLICA",$D1154)</f>
        <v/>
      </c>
      <c r="Y1154" s="543" t="str">
        <f>IF(OR($F1154="",$F1154="NO APORTA",$R1157=0,$X1154="NO APLICA"),"",ROUND($F1154/$Q1157,2))</f>
        <v/>
      </c>
      <c r="Z1154" s="544" t="str">
        <f>IF(Y1158=1,"SI APLICA",IF(OR($X1154="",$X1154="NO APLICA",$F1154="",$F1154="NO APORTA"),"",IF(ROUND($F1154/Q1157,7)&gt;=0.4,"SI APLICA","NO APLICA")))</f>
        <v/>
      </c>
      <c r="AA1154" s="543"/>
      <c r="AB1154" s="540" t="str">
        <f>IF(COUNTIF(Z1154:AA1154,"SI APLICA")=2,"SI APLICA","")</f>
        <v/>
      </c>
      <c r="AC1154" s="28"/>
    </row>
    <row r="1155" spans="1:29" s="30" customFormat="1" ht="15.75" customHeight="1">
      <c r="A1155" s="112" t="str">
        <f>"Q"&amp;E1131</f>
        <v>Q38</v>
      </c>
      <c r="B1155" s="791"/>
      <c r="C1155" s="54">
        <v>4</v>
      </c>
      <c r="D1155" s="100" t="str">
        <f>IF(AND(C1155&lt;=F1150,F1150&lt;&gt;""),VLOOKUP(VALUE(E1131&amp;","&amp;C1155),INTEGRANTES!$D$19:$F$192,2,0),"")</f>
        <v/>
      </c>
      <c r="E1155" s="107" t="str">
        <f>IF(D1155&lt;&gt;"",VLOOKUP(VALUE(E1131&amp;","&amp;C1155),INTEGRANTES!$D$19:$F$192,3,0),"")</f>
        <v/>
      </c>
      <c r="F1155" s="380" t="str">
        <f>IF(D1155="","",IF(OR(SUMIF($J1138:$J1144,D1155,$O1138:$O1144)=0,N1155="NO"),"NO APORTA",SUMIF($J1138:$J1144,D1155,$O1138:$O1144)))</f>
        <v/>
      </c>
      <c r="G1155" s="380" t="str">
        <f>IF($D1155="","",IF($F1150&lt;=1,"",ROUND(POSMMLV*PORPO,2)))</f>
        <v/>
      </c>
      <c r="H1155" s="765" t="str">
        <f t="shared" si="230"/>
        <v/>
      </c>
      <c r="I1155" s="766"/>
      <c r="J1155" s="108" t="str">
        <f>IF(D1155="","",IF(OR(AND(SUMIF($J1135:$J1144,D1155,$O1135:$O1144)&gt;=5%*POSMMLV,N1155="SI"),AND(SUMIF($J1135:$J1144,D1155,$O1135:$O1144)=0,E1155&lt;=5%,N1155="SI")),"CUMPLE","NO CUMPLE"))</f>
        <v/>
      </c>
      <c r="K1155" s="105" t="str">
        <f>IF(OR(D1155="",J1155=""),"",IF(AND(J1155="NO CUMPLE",F1155="NO APORTA",E1155&gt;5%),"EXP = 0 y PART &gt; 5%",IF(F1155&lt;5%*Q1157,"EXP &lt; 5%*PO","")))</f>
        <v/>
      </c>
      <c r="L1155" s="389" t="str">
        <f>IF(OR(D1155="",E1155=""),"",IF(AND(E1155&gt;=0.25,F1155&lt;&gt;"NO APORTA",F1155&gt;=$R1157*0.25),"SI","NO"))</f>
        <v/>
      </c>
      <c r="M1155" s="389"/>
      <c r="N1155" s="468"/>
      <c r="O1155" s="788" t="s">
        <v>414</v>
      </c>
      <c r="P1155" s="769" t="s">
        <v>415</v>
      </c>
      <c r="Q1155" s="770"/>
      <c r="R1155" s="770"/>
      <c r="S1155" s="771"/>
      <c r="T1155" s="284"/>
      <c r="U1155" s="284"/>
      <c r="V1155" s="310"/>
      <c r="W1155" s="284"/>
      <c r="X1155" s="542" t="str">
        <f>IF($F1150=1,"NO APLICA",$D1155)</f>
        <v/>
      </c>
      <c r="Y1155" s="543" t="str">
        <f>IF(OR($F1155="",$F1155="NO APORTA",$R1157=0,$X1155="NO APLICA"),"",ROUND($F1155/$Q1157,2))</f>
        <v/>
      </c>
      <c r="Z1155" s="544" t="str">
        <f>IF(Y1158=1,"SI APLICA",IF(OR($X1155="",$X1155="NO APLICA",$F1155="",$F1155="NO APORTA"),"",IF(ROUND($F1155/Q1157,7)&gt;=0.4,"SI APLICA","NO APLICA")))</f>
        <v/>
      </c>
      <c r="AA1155" s="543"/>
      <c r="AB1155" s="540" t="str">
        <f t="shared" ref="AB1155:AB1156" si="232">IF(COUNTIF(Z1155:AA1155,"SI APLICA")=2,"SI APLICA","")</f>
        <v/>
      </c>
      <c r="AC1155" s="28"/>
    </row>
    <row r="1156" spans="1:29" s="30" customFormat="1" ht="17.25" customHeight="1">
      <c r="A1156" s="112" t="str">
        <f>"R"&amp;E1131</f>
        <v>R38</v>
      </c>
      <c r="B1156" s="791"/>
      <c r="C1156" s="54">
        <v>5</v>
      </c>
      <c r="D1156" s="100" t="str">
        <f>IF(AND(C1156&lt;=F1150,F1150&lt;&gt;""),VLOOKUP(VALUE(E1131&amp;","&amp;C1156),INTEGRANTES!$D$19:$F$192,2,0),"")</f>
        <v/>
      </c>
      <c r="E1156" s="107" t="str">
        <f>IF(D1156&lt;&gt;"",VLOOKUP(VALUE(E1131&amp;","&amp;C1156),INTEGRANTES!$D$19:$F$192,3,0),"")</f>
        <v/>
      </c>
      <c r="F1156" s="380" t="str">
        <f>IF(D1156="","",IF(OR(SUMIF($J1138:$J1144,D1156,$O1138:$O1144)=0,N1156="NO"),"NO APORTA",SUMIF($J1138:$J1144,D1156,$O1138:$O1144)))</f>
        <v/>
      </c>
      <c r="G1156" s="380" t="str">
        <f>IF($D1156="","",IF($F1150&lt;=1,"",ROUND(POSMMLV*PORPO,2)))</f>
        <v/>
      </c>
      <c r="H1156" s="765" t="str">
        <f t="shared" si="230"/>
        <v/>
      </c>
      <c r="I1156" s="766"/>
      <c r="J1156" s="108" t="str">
        <f>IF(D1156="","",IF(OR(AND(SUMIF($J1135:$J1144,D1156,$O1135:$O1144)&gt;=5%*POSMMLV,N1156="SI"),AND(SUMIF($J1135:$J1144,D1156,$O1135:$O1144)=0,E1156&lt;=5%,N1156="SI")),"CUMPLE","NO CUMPLE"))</f>
        <v/>
      </c>
      <c r="K1156" s="105" t="str">
        <f>IF(OR(D1156="",J1156=""),"",IF(AND(J1156="NO CUMPLE",F1156="NO APORTA",E1156&gt;5%),"EXP = 0 y PART &gt; 5%",IF(F1156&lt;5%*Q1157,"EXP &lt; 5%*PO","")))</f>
        <v/>
      </c>
      <c r="L1156" s="389" t="str">
        <f>IF(OR(D1156="",E1156=""),"",IF(AND(E1156&gt;=0.25,F1156&lt;&gt;"NO APORTA",F1156&gt;=$R1157*0.25),"SI","NO"))</f>
        <v/>
      </c>
      <c r="M1156" s="389"/>
      <c r="N1156" s="468"/>
      <c r="O1156" s="789"/>
      <c r="P1156" s="504" t="s">
        <v>416</v>
      </c>
      <c r="Q1156" s="504" t="s">
        <v>417</v>
      </c>
      <c r="R1156" s="793" t="s">
        <v>418</v>
      </c>
      <c r="S1156" s="793"/>
      <c r="T1156" s="284"/>
      <c r="U1156" s="284"/>
      <c r="V1156" s="310"/>
      <c r="W1156" s="284"/>
      <c r="X1156" s="542" t="str">
        <f>IF($F1150=1,"NO APLICA",$D1156)</f>
        <v/>
      </c>
      <c r="Y1156" s="543" t="str">
        <f>IF(OR($F1156="",$F1156="NO APORTA",$R1157=0,$X1156="NO APLICA"),"",ROUND($F1156/$Q1157,2))</f>
        <v/>
      </c>
      <c r="Z1156" s="544" t="str">
        <f>IF(Y1158=1,"SI APLICA",IF(OR($X1156="",$X1156="NO APLICA",$F1156="",$F1156="NO APORTA"),"",IF(ROUND($F1156/Q1157,7)&gt;=0.4,"SI APLICA","NO APLICA")))</f>
        <v/>
      </c>
      <c r="AA1156" s="543"/>
      <c r="AB1156" s="540" t="str">
        <f t="shared" si="232"/>
        <v/>
      </c>
      <c r="AC1156" s="28"/>
    </row>
    <row r="1157" spans="1:29" s="30" customFormat="1" ht="16.5" customHeight="1" thickBot="1">
      <c r="A1157" s="112" t="str">
        <f>"S"&amp;E1131</f>
        <v>S38</v>
      </c>
      <c r="B1157" s="791"/>
      <c r="C1157" s="109">
        <v>6</v>
      </c>
      <c r="D1157" s="110" t="str">
        <f>IF(AND(C1157&lt;=F1150,F1150&lt;&gt;""),VLOOKUP(VALUE(E1131&amp;","&amp;C1157),INTEGRANTES!$D$19:$F$192,2,0),"")</f>
        <v/>
      </c>
      <c r="E1157" s="111" t="str">
        <f>IF(D1157&lt;&gt;"",VLOOKUP(VALUE(E1131&amp;","&amp;C1157),INTEGRANTES!$D$19:$F$192,3,0),"")</f>
        <v/>
      </c>
      <c r="F1157" s="380" t="str">
        <f>IF(D1157="","",IF(OR(SUMIF($J1138:$J1144,D1157,$O1138:$O1144)=0,N1157="NO"),"NO APORTA",SUMIF($J1138:$J1144,D1157,$O1138:$O1144)))</f>
        <v/>
      </c>
      <c r="G1157" s="380" t="str">
        <f>IF($D1157="","",IF($F1150&lt;=1,"",ROUND(POSMMLV*PORPO,2)))</f>
        <v/>
      </c>
      <c r="H1157" s="765" t="str">
        <f>IF($D1157="","",IF(OR(F1157="NO APORTA",G1157&gt;F1157),"NO CUMPLE","CUMPLE"))</f>
        <v/>
      </c>
      <c r="I1157" s="766"/>
      <c r="J1157" s="108" t="str">
        <f>IF(D1157="","",IF(OR(AND(SUMIF($J1135:$J1144,D1157,$O1135:$O1144)&gt;=5%*POSMMLV,N1157="SI"),AND(SUMIF($J1135:$J1144,D1157,$O1135:$O1144)=0,E1157&lt;=5%,N1157="SI")),"CUMPLE","NO CUMPLE"))</f>
        <v/>
      </c>
      <c r="K1157" s="105" t="str">
        <f>IF(OR(D1157="",J1157=""),"",IF(AND(J1157="NO CUMPLE",F1157="NO APORTA",E1157&gt;5%),"EXP = 0 y PART &gt; 5%",IF(F1157&lt;5%*Q1157,"EXP &lt; 5%*PO","")))</f>
        <v/>
      </c>
      <c r="L1157" s="389" t="str">
        <f>IF(OR(D1157="",E1157=""),"",IF(AND(E1157&gt;=0.25,F1157&lt;&gt;"NO APORTA",F1157&gt;=$R1157*0.25),"SI","NO"))</f>
        <v/>
      </c>
      <c r="M1157" s="389"/>
      <c r="N1157" s="468"/>
      <c r="O1157" s="403" t="str">
        <f ca="1">IF(R1157&gt;=Q1157,"CUMPLE","NO CUMPLE")</f>
        <v>CUMPLE</v>
      </c>
      <c r="P1157" s="312">
        <f>NUMMOD</f>
        <v>1</v>
      </c>
      <c r="Q1157" s="313">
        <f ca="1">IF(P1157="","",ROUND(VLOOKUP(P1157,PRESUPUESTOS!$B$16:$L$16,9,FALSE),7))</f>
        <v>300</v>
      </c>
      <c r="R1157" s="834">
        <f>IF(OR(COUNTIF(O1135:O1144,"")&gt;9,S1151&lt;NUMMINCONT),0,SUM(O1135:O1144))</f>
        <v>1041.816</v>
      </c>
      <c r="S1157" s="834"/>
      <c r="T1157" s="284"/>
      <c r="U1157" s="284"/>
      <c r="V1157" s="310"/>
      <c r="W1157" s="284"/>
      <c r="X1157" s="545" t="str">
        <f>IF($F1150=1,"NO APLICA",$D1157)</f>
        <v/>
      </c>
      <c r="Y1157" s="543" t="str">
        <f>IF(OR($F1157="",$F1157="NO APORTA",$R1157=0,$X1157="NO APLICA"),"",ROUND($F1157/$Q1157,2))</f>
        <v/>
      </c>
      <c r="Z1157" s="544" t="str">
        <f>IF(Y1158=1,"SI APLICA",IF(OR($X1157="",$X1157="NO APLICA",$F1157="",$F1157="NO APORTA"),"",IF(ROUND($F1157/Q1157,7)&gt;=0.4,"SI APLICA","NO APLICA")))</f>
        <v/>
      </c>
      <c r="AA1157" s="546"/>
      <c r="AB1157" s="540" t="str">
        <f>IF(COUNTIF(Z1157:AA1157,"SI APLICA")=2,"SI APLICA","")</f>
        <v/>
      </c>
      <c r="AC1157" s="28"/>
    </row>
    <row r="1158" spans="1:29" s="30" customFormat="1" ht="16.5" customHeight="1" thickBot="1">
      <c r="A1158" s="112" t="str">
        <f>"T"&amp;E1131</f>
        <v>T38</v>
      </c>
      <c r="B1158" s="792"/>
      <c r="C1158" s="821" t="s">
        <v>419</v>
      </c>
      <c r="D1158" s="822"/>
      <c r="E1158" s="822"/>
      <c r="F1158" s="518"/>
      <c r="G1158" s="519"/>
      <c r="H1158" s="794" t="str">
        <f ca="1">IF(OR($F1150="",SUM(E1152:E1157)=0),"",IF(COUNTIF(H1152:H1157,"CUMPLE")&gt;=1,"CUMPLE","NO CUMPLE"))</f>
        <v>CUMPLE</v>
      </c>
      <c r="I1158" s="795"/>
      <c r="J1158" s="314" t="str">
        <f ca="1">IF(COUNTIF(J1152:J1157,"")&gt;5,"",IF(COUNTIF(J1152:J1157,"NO CUMPLE")&gt;0,"NO CUMPLE","CUMPLE"))</f>
        <v>CUMPLE</v>
      </c>
      <c r="K1158" s="314" t="str">
        <f ca="1">IF(OR(AND(F1150=1,N1152="SI"),AND(COUNTIF(H1158:J1158,"CUMPLE")=2)),"CUMPLE","NO CUMPLE")</f>
        <v>CUMPLE</v>
      </c>
      <c r="L1158" s="519"/>
      <c r="M1158" s="519"/>
      <c r="N1158" s="519"/>
      <c r="O1158" s="833" t="str">
        <f ca="1">IF(ISNUMBER(F1131),"",IF(AND(O1157="NO CUMPLE",SUM(N1138:N1144)&lt;Q1157),"EL PROPONENTE SE DEBE REQUERIR POR EXPERIENCIA MINIMA EXIGIDA",""))</f>
        <v/>
      </c>
      <c r="P1158" s="833"/>
      <c r="Q1158" s="833"/>
      <c r="R1158" s="833"/>
      <c r="S1158" s="833"/>
      <c r="T1158" s="522"/>
      <c r="U1158" s="523"/>
      <c r="V1158" s="524"/>
      <c r="W1158" s="284"/>
      <c r="X1158" s="364" t="str">
        <f>IF(Y1158=1,"PROPONENTE INDIVIDUAL","PROPONENTE PLURAL")</f>
        <v>PROPONENTE PLURAL</v>
      </c>
      <c r="Y1158" s="276">
        <f>F1150</f>
        <v>2</v>
      </c>
      <c r="Z1158" s="277" t="str">
        <f ca="1">IF(OR(AND(Z1152="SI APLICA",AA1152="SI APLICA"),AND(Z1153="SI APLICA",AA1153="SI APLICA"),AND(Z1154="SI APLICA",AA1154="SI APLICA"),AND(Z1155="SI APLICA",AA1155="SI APLICA"),AND(Z1156="SI APLICA",AA1156="SI APLICA"),AND(Z1157="SI APLICA",AA1157="SI APLICA")),"SI APLICA","NO APLICA")</f>
        <v>SI APLICA</v>
      </c>
      <c r="AA1158" s="278" t="str">
        <f ca="1">IF(OR(AND(AA1152="SI APLICA",AB1152="SI APLICA"),AND(AA1153="SI APLICA",AB1153="SI APLICA"),AND(AA1154="SI APLICA",AB1154="SI APLICA"),AND(AA1155="SI APLICA",AB1155="SI APLICA"),AND(AA1156="SI APLICA",AB1156="SI APLICA"),AND(AA1157="SI APLICA",AB1157="SI APLICA")),"SI APLICA","NO APLICA")</f>
        <v>SI APLICA</v>
      </c>
      <c r="AB1158" s="278" t="str">
        <f ca="1">IF(COUNTIF(AB1152:AB1157,"SI APLICA")&gt;0,"SI APLICA","NO APLICA")</f>
        <v>SI APLICA</v>
      </c>
      <c r="AC1158" s="28"/>
    </row>
    <row r="1159" spans="1:29" ht="24.95" customHeight="1"/>
    <row r="1160" spans="1:29" ht="24.95" customHeight="1"/>
    <row r="1161" spans="1:29" s="41" customFormat="1" ht="24" thickBot="1">
      <c r="A1161" s="34">
        <v>39</v>
      </c>
      <c r="B1161" s="828" t="s">
        <v>355</v>
      </c>
      <c r="C1161" s="828"/>
      <c r="D1161" s="828"/>
      <c r="E1161" s="35">
        <f>VLOOKUP(A1161,PROPONENTES!$B$19:$E$108,2,FALSE)</f>
        <v>39</v>
      </c>
      <c r="F1161" s="36" t="str">
        <f>VLOOKUP(A1161,PROPONENTES!$B$19:$E$108,3,FALSE)</f>
        <v>CONSORCIO TOLIMA G2</v>
      </c>
      <c r="G1161" s="37"/>
      <c r="H1161" s="37"/>
      <c r="I1161" s="36"/>
      <c r="J1161" s="36"/>
      <c r="K1161" s="36"/>
      <c r="L1161" s="36"/>
      <c r="M1161" s="38"/>
      <c r="N1161" s="38"/>
      <c r="O1161" s="37"/>
      <c r="P1161" s="37"/>
      <c r="Q1161" s="39"/>
      <c r="R1161" s="39"/>
      <c r="S1161" s="39"/>
      <c r="T1161" s="39"/>
      <c r="U1161" s="40"/>
      <c r="Y1161" s="52"/>
      <c r="Z1161" s="52"/>
      <c r="AA1161" s="52"/>
      <c r="AB1161" s="28"/>
      <c r="AC1161" s="28"/>
    </row>
    <row r="1162" spans="1:29" s="27" customFormat="1" ht="24.75" customHeight="1">
      <c r="A1162" s="22"/>
      <c r="B1162" s="829" t="s">
        <v>356</v>
      </c>
      <c r="C1162" s="501" t="s">
        <v>357</v>
      </c>
      <c r="D1162" s="502" t="s">
        <v>358</v>
      </c>
      <c r="E1162" s="502"/>
      <c r="F1162" s="502" t="s">
        <v>359</v>
      </c>
      <c r="G1162" s="503"/>
      <c r="H1162" s="803" t="s">
        <v>360</v>
      </c>
      <c r="I1162" s="831" t="s">
        <v>361</v>
      </c>
      <c r="J1162" s="803" t="s">
        <v>362</v>
      </c>
      <c r="K1162" s="803" t="s">
        <v>363</v>
      </c>
      <c r="L1162" s="803" t="s">
        <v>364</v>
      </c>
      <c r="M1162" s="803" t="s">
        <v>365</v>
      </c>
      <c r="N1162" s="804" t="s">
        <v>366</v>
      </c>
      <c r="O1162" s="805"/>
      <c r="P1162" s="806" t="s">
        <v>367</v>
      </c>
      <c r="Q1162" s="807"/>
      <c r="R1162" s="784" t="s">
        <v>368</v>
      </c>
      <c r="S1162" s="774"/>
      <c r="T1162" s="798" t="s">
        <v>369</v>
      </c>
      <c r="U1162" s="799"/>
      <c r="V1162" s="800"/>
      <c r="X1162" s="520"/>
      <c r="Y1162" s="520"/>
    </row>
    <row r="1163" spans="1:29" s="27" customFormat="1" ht="94.5" customHeight="1">
      <c r="A1163" s="22"/>
      <c r="B1163" s="830"/>
      <c r="C1163" s="504" t="s">
        <v>370</v>
      </c>
      <c r="D1163" s="505" t="s">
        <v>41</v>
      </c>
      <c r="E1163" s="505" t="s">
        <v>371</v>
      </c>
      <c r="F1163" s="505" t="s">
        <v>372</v>
      </c>
      <c r="G1163" s="506" t="s">
        <v>373</v>
      </c>
      <c r="H1163" s="793"/>
      <c r="I1163" s="832"/>
      <c r="J1163" s="793"/>
      <c r="K1163" s="793"/>
      <c r="L1163" s="793"/>
      <c r="M1163" s="793"/>
      <c r="N1163" s="504" t="s">
        <v>374</v>
      </c>
      <c r="O1163" s="505" t="s">
        <v>375</v>
      </c>
      <c r="P1163" s="801"/>
      <c r="Q1163" s="802"/>
      <c r="R1163" s="796"/>
      <c r="S1163" s="797"/>
      <c r="T1163" s="507" t="s">
        <v>376</v>
      </c>
      <c r="U1163" s="508" t="s">
        <v>377</v>
      </c>
      <c r="V1163" s="509" t="s">
        <v>378</v>
      </c>
      <c r="X1163" s="521" t="s">
        <v>379</v>
      </c>
      <c r="Y1163" s="521" t="s">
        <v>380</v>
      </c>
    </row>
    <row r="1164" spans="1:29" s="27" customFormat="1" ht="15" customHeight="1">
      <c r="A1164" s="22"/>
      <c r="B1164" s="594"/>
      <c r="C1164" s="595">
        <v>3</v>
      </c>
      <c r="D1164" s="595">
        <v>4</v>
      </c>
      <c r="E1164" s="595">
        <v>5</v>
      </c>
      <c r="F1164" s="595">
        <v>6</v>
      </c>
      <c r="G1164" s="595">
        <v>7</v>
      </c>
      <c r="H1164" s="595">
        <v>8</v>
      </c>
      <c r="I1164" s="595">
        <v>9</v>
      </c>
      <c r="J1164" s="595">
        <v>10</v>
      </c>
      <c r="K1164" s="595">
        <v>11</v>
      </c>
      <c r="L1164" s="595">
        <v>12</v>
      </c>
      <c r="M1164" s="595">
        <v>13</v>
      </c>
      <c r="N1164" s="595">
        <v>14</v>
      </c>
      <c r="O1164" s="595">
        <v>15</v>
      </c>
      <c r="P1164" s="596">
        <v>16</v>
      </c>
      <c r="Q1164" s="597">
        <v>17</v>
      </c>
      <c r="R1164" s="596">
        <v>18</v>
      </c>
      <c r="S1164" s="597">
        <v>19</v>
      </c>
      <c r="T1164" s="598">
        <v>20</v>
      </c>
      <c r="U1164" s="255">
        <v>21</v>
      </c>
      <c r="V1164" s="599">
        <v>22</v>
      </c>
      <c r="X1164" s="589"/>
      <c r="Y1164" s="590"/>
    </row>
    <row r="1165" spans="1:29" s="44" customFormat="1" ht="60" customHeight="1">
      <c r="A1165" s="42" t="str">
        <f>"A"&amp;E1161</f>
        <v>A39</v>
      </c>
      <c r="B1165" s="605">
        <f>IF(C1165&lt;&gt;"",B1164+1,"")</f>
        <v>1</v>
      </c>
      <c r="C1165" s="581" t="s">
        <v>688</v>
      </c>
      <c r="D1165" s="581" t="s">
        <v>689</v>
      </c>
      <c r="E1165" s="581" t="s">
        <v>690</v>
      </c>
      <c r="F1165" s="581" t="s">
        <v>580</v>
      </c>
      <c r="G1165" s="534">
        <v>1</v>
      </c>
      <c r="H1165" s="534" t="s">
        <v>385</v>
      </c>
      <c r="I1165" s="579">
        <v>2</v>
      </c>
      <c r="J1165" s="580" t="str">
        <f>IF(I1165="","",IF(I1165="I",$F1161,VLOOKUP(I1165,$C1182:$D1187,2,0)))</f>
        <v>INP SERVICIOS S.A.S</v>
      </c>
      <c r="K1165" s="535">
        <v>43500</v>
      </c>
      <c r="L1165" s="535">
        <v>44053</v>
      </c>
      <c r="M1165" s="536">
        <v>884.29</v>
      </c>
      <c r="N1165" s="651">
        <f t="shared" ref="N1165:N1174" si="233">IF(OR(G1165="",M1165=""),"",M1165*G1165)</f>
        <v>884.29</v>
      </c>
      <c r="O1165" s="629">
        <f t="shared" ref="O1165:O1174" si="234">IF(OR(H1165="",H1165="NO",K1165&lt;$Q$17,K1165&gt;$R$17,K1165="",M1165="",N1165=""),"",ROUND(N1165,7))</f>
        <v>884.29</v>
      </c>
      <c r="P1165" s="781"/>
      <c r="Q1165" s="782"/>
      <c r="R1165" s="767"/>
      <c r="S1165" s="768"/>
      <c r="T1165" s="538" t="s">
        <v>385</v>
      </c>
      <c r="U1165" s="539">
        <v>324</v>
      </c>
      <c r="V1165" s="540" t="s">
        <v>385</v>
      </c>
      <c r="X1165" s="541" t="s">
        <v>386</v>
      </c>
      <c r="Y1165" s="541" t="s">
        <v>387</v>
      </c>
    </row>
    <row r="1166" spans="1:29" s="44" customFormat="1" ht="53.25" customHeight="1">
      <c r="A1166" s="42" t="str">
        <f>"B"&amp;E1161</f>
        <v>B39</v>
      </c>
      <c r="B1166" s="605">
        <f t="shared" ref="B1166:B1174" si="235">IF(C1166&lt;&gt;"",B1165+1,"")</f>
        <v>2</v>
      </c>
      <c r="C1166" s="581" t="s">
        <v>691</v>
      </c>
      <c r="D1166" s="581" t="s">
        <v>692</v>
      </c>
      <c r="E1166" s="581" t="s">
        <v>693</v>
      </c>
      <c r="F1166" s="581" t="s">
        <v>384</v>
      </c>
      <c r="G1166" s="534">
        <v>1</v>
      </c>
      <c r="H1166" s="534" t="s">
        <v>385</v>
      </c>
      <c r="I1166" s="579">
        <v>2</v>
      </c>
      <c r="J1166" s="580" t="str">
        <f>IF(I1166="","",IF(I1166="I",$F1161,VLOOKUP(I1166,$C1182:$D1187,2,0)))</f>
        <v>INP SERVICIOS S.A.S</v>
      </c>
      <c r="K1166" s="535">
        <v>43327</v>
      </c>
      <c r="L1166" s="535">
        <v>43712</v>
      </c>
      <c r="M1166" s="536">
        <v>388.98</v>
      </c>
      <c r="N1166" s="651">
        <f t="shared" si="233"/>
        <v>388.98</v>
      </c>
      <c r="O1166" s="629">
        <f t="shared" si="234"/>
        <v>388.98</v>
      </c>
      <c r="P1166" s="781"/>
      <c r="Q1166" s="782"/>
      <c r="R1166" s="841"/>
      <c r="S1166" s="842"/>
      <c r="T1166" s="538" t="s">
        <v>385</v>
      </c>
      <c r="U1166" s="539">
        <v>299</v>
      </c>
      <c r="V1166" s="540" t="s">
        <v>385</v>
      </c>
      <c r="X1166" s="541" t="s">
        <v>386</v>
      </c>
      <c r="Y1166" s="541" t="s">
        <v>439</v>
      </c>
    </row>
    <row r="1167" spans="1:29" s="44" customFormat="1" ht="50.25" customHeight="1">
      <c r="A1167" s="42" t="str">
        <f>"C"&amp;E1161</f>
        <v>C39</v>
      </c>
      <c r="B1167" s="605">
        <f t="shared" si="235"/>
        <v>3</v>
      </c>
      <c r="C1167" s="581" t="s">
        <v>694</v>
      </c>
      <c r="D1167" s="581" t="s">
        <v>695</v>
      </c>
      <c r="E1167" s="581" t="s">
        <v>696</v>
      </c>
      <c r="F1167" s="581" t="s">
        <v>431</v>
      </c>
      <c r="G1167" s="534">
        <v>0.3</v>
      </c>
      <c r="H1167" s="534" t="s">
        <v>385</v>
      </c>
      <c r="I1167" s="579">
        <v>2</v>
      </c>
      <c r="J1167" s="580" t="str">
        <f>IF(I1167="","",IF(I1167="I",$F1161,VLOOKUP(I1167,$C1182:$D1187,2,0)))</f>
        <v>INP SERVICIOS S.A.S</v>
      </c>
      <c r="K1167" s="535">
        <v>41255</v>
      </c>
      <c r="L1167" s="535">
        <v>41682</v>
      </c>
      <c r="M1167" s="536">
        <v>877.62</v>
      </c>
      <c r="N1167" s="651">
        <f t="shared" si="233"/>
        <v>263.286</v>
      </c>
      <c r="O1167" s="629">
        <f t="shared" si="234"/>
        <v>263.286</v>
      </c>
      <c r="P1167" s="781"/>
      <c r="Q1167" s="782"/>
      <c r="R1167" s="841"/>
      <c r="S1167" s="842"/>
      <c r="T1167" s="538" t="s">
        <v>385</v>
      </c>
      <c r="U1167" s="539">
        <v>98</v>
      </c>
      <c r="V1167" s="540" t="s">
        <v>385</v>
      </c>
      <c r="X1167" s="541" t="s">
        <v>449</v>
      </c>
      <c r="Y1167" s="541" t="s">
        <v>387</v>
      </c>
    </row>
    <row r="1168" spans="1:29" s="44" customFormat="1" ht="59.25" customHeight="1">
      <c r="A1168" s="42" t="str">
        <f>"D"&amp;E1161</f>
        <v>D39</v>
      </c>
      <c r="B1168" s="605">
        <f t="shared" si="235"/>
        <v>4</v>
      </c>
      <c r="C1168" s="581" t="s">
        <v>697</v>
      </c>
      <c r="D1168" s="581" t="s">
        <v>698</v>
      </c>
      <c r="E1168" s="581" t="s">
        <v>699</v>
      </c>
      <c r="F1168" s="581" t="s">
        <v>431</v>
      </c>
      <c r="G1168" s="534">
        <v>0.6</v>
      </c>
      <c r="H1168" s="534" t="s">
        <v>385</v>
      </c>
      <c r="I1168" s="579">
        <v>1</v>
      </c>
      <c r="J1168" s="580" t="str">
        <f>IF(I1168="","",IF(I1168="I",$F1161,VLOOKUP(I1168,$C1182:$D1187,2,0)))</f>
        <v>PING INGENIERIA S.A.S.</v>
      </c>
      <c r="K1168" s="535">
        <v>43356</v>
      </c>
      <c r="L1168" s="535">
        <v>43697</v>
      </c>
      <c r="M1168" s="536">
        <v>147.15</v>
      </c>
      <c r="N1168" s="651">
        <f t="shared" si="233"/>
        <v>88.29</v>
      </c>
      <c r="O1168" s="629">
        <f t="shared" si="234"/>
        <v>88.29</v>
      </c>
      <c r="P1168" s="781"/>
      <c r="Q1168" s="782"/>
      <c r="R1168" s="841"/>
      <c r="S1168" s="842"/>
      <c r="T1168" s="538" t="s">
        <v>385</v>
      </c>
      <c r="U1168" s="539">
        <v>8</v>
      </c>
      <c r="V1168" s="540" t="s">
        <v>385</v>
      </c>
      <c r="X1168" s="541" t="s">
        <v>386</v>
      </c>
      <c r="Y1168" s="541" t="s">
        <v>439</v>
      </c>
    </row>
    <row r="1169" spans="1:29" s="44" customFormat="1" ht="24.95" customHeight="1">
      <c r="A1169" s="42" t="str">
        <f>"E"&amp;E1161</f>
        <v>E39</v>
      </c>
      <c r="B1169" s="605" t="str">
        <f t="shared" si="235"/>
        <v/>
      </c>
      <c r="C1169" s="581"/>
      <c r="D1169" s="581"/>
      <c r="E1169" s="581"/>
      <c r="F1169" s="581"/>
      <c r="G1169" s="534"/>
      <c r="H1169" s="534"/>
      <c r="I1169" s="579"/>
      <c r="J1169" s="580" t="str">
        <f>IF(I1169="","",IF(I1169="I",$F1161,VLOOKUP(I1169,$C1182:$D1187,2,0)))</f>
        <v/>
      </c>
      <c r="K1169" s="535"/>
      <c r="L1169" s="535"/>
      <c r="M1169" s="536"/>
      <c r="N1169" s="232" t="str">
        <f t="shared" si="233"/>
        <v/>
      </c>
      <c r="O1169" s="260" t="str">
        <f t="shared" si="234"/>
        <v/>
      </c>
      <c r="P1169" s="781"/>
      <c r="Q1169" s="782"/>
      <c r="R1169" s="767"/>
      <c r="S1169" s="768"/>
      <c r="T1169" s="538"/>
      <c r="U1169" s="539"/>
      <c r="V1169" s="540"/>
      <c r="X1169" s="541"/>
      <c r="Y1169" s="541"/>
    </row>
    <row r="1170" spans="1:29" s="44" customFormat="1" ht="24.95" customHeight="1">
      <c r="A1170" s="42" t="str">
        <f>"F"&amp;E1161</f>
        <v>F39</v>
      </c>
      <c r="B1170" s="605" t="str">
        <f t="shared" si="235"/>
        <v/>
      </c>
      <c r="C1170" s="581"/>
      <c r="D1170" s="581"/>
      <c r="E1170" s="581"/>
      <c r="F1170" s="581"/>
      <c r="G1170" s="534"/>
      <c r="H1170" s="534"/>
      <c r="I1170" s="579"/>
      <c r="J1170" s="580" t="str">
        <f>IF(I1170="","",IF(I1170="I",$F1161,VLOOKUP(I1170,$C1182:$D1187,2,0)))</f>
        <v/>
      </c>
      <c r="K1170" s="535"/>
      <c r="L1170" s="535"/>
      <c r="M1170" s="536"/>
      <c r="N1170" s="232" t="str">
        <f t="shared" si="233"/>
        <v/>
      </c>
      <c r="O1170" s="260" t="str">
        <f t="shared" si="234"/>
        <v/>
      </c>
      <c r="P1170" s="781"/>
      <c r="Q1170" s="782"/>
      <c r="R1170" s="767"/>
      <c r="S1170" s="768"/>
      <c r="T1170" s="538"/>
      <c r="U1170" s="539"/>
      <c r="V1170" s="540"/>
      <c r="X1170" s="541"/>
      <c r="Y1170" s="541"/>
    </row>
    <row r="1171" spans="1:29" s="44" customFormat="1" ht="24.95" customHeight="1">
      <c r="A1171" s="42" t="str">
        <f>"G"&amp;E1161</f>
        <v>G39</v>
      </c>
      <c r="B1171" s="605" t="str">
        <f t="shared" si="235"/>
        <v/>
      </c>
      <c r="C1171" s="581"/>
      <c r="D1171" s="581"/>
      <c r="E1171" s="581"/>
      <c r="F1171" s="581"/>
      <c r="G1171" s="534"/>
      <c r="H1171" s="534"/>
      <c r="I1171" s="579"/>
      <c r="J1171" s="580" t="str">
        <f>IF(I1171="","",IF(I1171="I",$F1161,VLOOKUP(I1171,$C1182:$D1187,2,0)))</f>
        <v/>
      </c>
      <c r="K1171" s="535"/>
      <c r="L1171" s="535"/>
      <c r="M1171" s="536"/>
      <c r="N1171" s="43" t="str">
        <f t="shared" si="233"/>
        <v/>
      </c>
      <c r="O1171" s="260" t="str">
        <f t="shared" si="234"/>
        <v/>
      </c>
      <c r="P1171" s="781"/>
      <c r="Q1171" s="782"/>
      <c r="R1171" s="767"/>
      <c r="S1171" s="768"/>
      <c r="T1171" s="538"/>
      <c r="U1171" s="539"/>
      <c r="V1171" s="540"/>
      <c r="X1171" s="541"/>
      <c r="Y1171" s="541"/>
    </row>
    <row r="1172" spans="1:29" s="44" customFormat="1" ht="24.95" customHeight="1">
      <c r="A1172" s="42" t="str">
        <f>"H"&amp;E1161</f>
        <v>H39</v>
      </c>
      <c r="B1172" s="605" t="str">
        <f t="shared" si="235"/>
        <v/>
      </c>
      <c r="C1172" s="581"/>
      <c r="D1172" s="581"/>
      <c r="E1172" s="581"/>
      <c r="F1172" s="581"/>
      <c r="G1172" s="534"/>
      <c r="H1172" s="534"/>
      <c r="I1172" s="579"/>
      <c r="J1172" s="580" t="str">
        <f>IF(I1172="","",IF(I1172="I",$F1161,VLOOKUP(I1172,$C1182:$D1187,2,0)))</f>
        <v/>
      </c>
      <c r="K1172" s="535"/>
      <c r="L1172" s="535"/>
      <c r="M1172" s="537"/>
      <c r="N1172" s="43" t="str">
        <f t="shared" si="233"/>
        <v/>
      </c>
      <c r="O1172" s="260" t="str">
        <f t="shared" si="234"/>
        <v/>
      </c>
      <c r="P1172" s="781"/>
      <c r="Q1172" s="782"/>
      <c r="R1172" s="767"/>
      <c r="S1172" s="768"/>
      <c r="T1172" s="538"/>
      <c r="U1172" s="539"/>
      <c r="V1172" s="540"/>
      <c r="X1172" s="541"/>
      <c r="Y1172" s="541"/>
    </row>
    <row r="1173" spans="1:29" s="44" customFormat="1" ht="24.95" customHeight="1">
      <c r="A1173" s="42" t="str">
        <f>"I"&amp;E1161</f>
        <v>I39</v>
      </c>
      <c r="B1173" s="605" t="str">
        <f t="shared" si="235"/>
        <v/>
      </c>
      <c r="C1173" s="581"/>
      <c r="D1173" s="581"/>
      <c r="E1173" s="581"/>
      <c r="F1173" s="581"/>
      <c r="G1173" s="534"/>
      <c r="H1173" s="534"/>
      <c r="I1173" s="579"/>
      <c r="J1173" s="580" t="str">
        <f>IF(I1173="","",IF(I1173="I",$F1161,VLOOKUP(I1173,$C1182:$D1187,2,0)))</f>
        <v/>
      </c>
      <c r="K1173" s="535"/>
      <c r="L1173" s="535"/>
      <c r="M1173" s="537"/>
      <c r="N1173" s="43" t="str">
        <f t="shared" si="233"/>
        <v/>
      </c>
      <c r="O1173" s="260" t="str">
        <f t="shared" si="234"/>
        <v/>
      </c>
      <c r="P1173" s="781"/>
      <c r="Q1173" s="782"/>
      <c r="R1173" s="767"/>
      <c r="S1173" s="768"/>
      <c r="T1173" s="538"/>
      <c r="U1173" s="539"/>
      <c r="V1173" s="540"/>
      <c r="X1173" s="541"/>
      <c r="Y1173" s="541"/>
    </row>
    <row r="1174" spans="1:29" s="44" customFormat="1" ht="24.95" customHeight="1" thickBot="1">
      <c r="A1174" s="42" t="str">
        <f>"J"&amp;E1161</f>
        <v>J39</v>
      </c>
      <c r="B1174" s="612" t="str">
        <f t="shared" si="235"/>
        <v/>
      </c>
      <c r="C1174" s="582"/>
      <c r="D1174" s="582"/>
      <c r="E1174" s="582"/>
      <c r="F1174" s="582"/>
      <c r="G1174" s="583"/>
      <c r="H1174" s="583"/>
      <c r="I1174" s="584"/>
      <c r="J1174" s="585" t="str">
        <f>IF(I1174="","",IF(I1174="I",$F1161,VLOOKUP(I1174,$C1182:$D1187,2,0)))</f>
        <v/>
      </c>
      <c r="K1174" s="586"/>
      <c r="L1174" s="586"/>
      <c r="M1174" s="587"/>
      <c r="N1174" s="43" t="str">
        <f t="shared" si="233"/>
        <v/>
      </c>
      <c r="O1174" s="260" t="str">
        <f t="shared" si="234"/>
        <v/>
      </c>
      <c r="P1174" s="781"/>
      <c r="Q1174" s="782"/>
      <c r="R1174" s="767"/>
      <c r="S1174" s="768"/>
      <c r="T1174" s="538"/>
      <c r="U1174" s="539"/>
      <c r="V1174" s="540"/>
      <c r="X1174" s="541"/>
      <c r="Y1174" s="541"/>
    </row>
    <row r="1175" spans="1:29" s="27" customFormat="1" ht="12" customHeight="1" thickBot="1">
      <c r="A1175" s="42"/>
      <c r="B1175" s="45"/>
      <c r="C1175" s="46"/>
      <c r="D1175" s="46"/>
      <c r="E1175" s="46"/>
      <c r="F1175" s="46"/>
      <c r="G1175" s="46"/>
      <c r="H1175" s="606"/>
      <c r="I1175" s="46"/>
      <c r="J1175" s="46"/>
      <c r="K1175" s="46"/>
      <c r="L1175" s="46"/>
      <c r="M1175" s="46"/>
      <c r="N1175" s="46"/>
      <c r="O1175" s="259"/>
      <c r="P1175" s="46"/>
      <c r="Q1175" s="46"/>
      <c r="R1175" s="259"/>
      <c r="S1175" s="46"/>
      <c r="T1175" s="46"/>
      <c r="U1175" s="47"/>
      <c r="V1175" s="48"/>
      <c r="X1175" s="592"/>
      <c r="Y1175" s="593"/>
      <c r="AB1175" s="378"/>
    </row>
    <row r="1176" spans="1:29" s="27" customFormat="1" ht="17.25" customHeight="1" thickBot="1">
      <c r="A1176" s="42" t="str">
        <f>"Z"&amp;E1161</f>
        <v>Z39</v>
      </c>
      <c r="B1176" s="510"/>
      <c r="C1176" s="511"/>
      <c r="D1176" s="511"/>
      <c r="E1176" s="511"/>
      <c r="F1176" s="511"/>
      <c r="G1176" s="511"/>
      <c r="H1176" s="511"/>
      <c r="I1176" s="511"/>
      <c r="J1176" s="511"/>
      <c r="K1176" s="511"/>
      <c r="L1176" s="511"/>
      <c r="M1176" s="511"/>
      <c r="N1176" s="437" t="s">
        <v>388</v>
      </c>
      <c r="O1176" s="438">
        <f>IF(COUNTIF(O1165:O1174,"")&gt;9,0,SUM(O1165:O1174)/(COUNTIF(H1165:H1174,"SI")))</f>
        <v>406.2115</v>
      </c>
      <c r="P1176" s="511"/>
      <c r="Q1176" s="511"/>
      <c r="R1176" s="530"/>
      <c r="S1176" s="530"/>
      <c r="T1176" s="531"/>
      <c r="U1176" s="532"/>
      <c r="V1176" s="533"/>
      <c r="W1176" s="285"/>
      <c r="X1176" s="613" t="e">
        <f>COUNTIF(#REF!,"")-COUNTIF(#REF!,"CUMPLE")-1</f>
        <v>#REF!</v>
      </c>
      <c r="Y1176" s="591"/>
      <c r="AB1176" s="28"/>
    </row>
    <row r="1177" spans="1:29" ht="17.25" customHeight="1">
      <c r="B1177" s="50"/>
      <c r="C1177" s="50"/>
      <c r="D1177" s="50"/>
      <c r="E1177" s="50"/>
      <c r="F1177" s="50"/>
      <c r="G1177" s="51"/>
      <c r="H1177" s="51"/>
      <c r="I1177" s="51"/>
      <c r="J1177" s="51"/>
      <c r="K1177" s="51"/>
      <c r="L1177" s="51"/>
      <c r="M1177" s="51"/>
      <c r="N1177" s="51"/>
      <c r="O1177" s="51"/>
      <c r="P1177" s="51"/>
      <c r="Q1177" s="51"/>
      <c r="R1177" s="51"/>
      <c r="S1177" s="51"/>
      <c r="T1177" s="51"/>
      <c r="U1177" s="51"/>
      <c r="V1177" s="51"/>
      <c r="W1177" s="51"/>
      <c r="X1177" s="608"/>
      <c r="Y1177" s="51"/>
      <c r="Z1177" s="51"/>
      <c r="AA1177" s="51"/>
      <c r="AB1177" s="51"/>
      <c r="AC1177" s="50"/>
    </row>
    <row r="1178" spans="1:29" s="27" customFormat="1" ht="16.5" customHeight="1" thickBot="1">
      <c r="A1178" s="22"/>
      <c r="B1178" s="783" t="s">
        <v>389</v>
      </c>
      <c r="C1178" s="783"/>
      <c r="D1178" s="783"/>
      <c r="E1178" s="783"/>
      <c r="F1178" s="783"/>
      <c r="G1178" s="783"/>
      <c r="H1178" s="783"/>
      <c r="I1178" s="783"/>
      <c r="J1178" s="783"/>
      <c r="K1178" s="783"/>
      <c r="L1178" s="783"/>
      <c r="M1178" s="783"/>
      <c r="N1178" s="783"/>
      <c r="O1178" s="783"/>
      <c r="P1178" s="783"/>
      <c r="Q1178" s="783"/>
      <c r="R1178" s="783"/>
      <c r="S1178" s="783"/>
      <c r="T1178" s="783"/>
      <c r="U1178" s="783"/>
      <c r="V1178" s="783"/>
      <c r="W1178" s="286"/>
      <c r="X1178" s="607"/>
      <c r="Y1178" s="52"/>
      <c r="Z1178" s="52"/>
      <c r="AA1178" s="52"/>
      <c r="AB1178" s="28"/>
      <c r="AC1178" s="28"/>
    </row>
    <row r="1179" spans="1:29" s="30" customFormat="1" ht="22.5" customHeight="1">
      <c r="A1179" s="112" t="str">
        <f>"K"&amp;E1161</f>
        <v>K39</v>
      </c>
      <c r="B1179" s="790" t="s">
        <v>390</v>
      </c>
      <c r="C1179" s="772" t="s">
        <v>391</v>
      </c>
      <c r="D1179" s="773"/>
      <c r="E1179" s="773"/>
      <c r="F1179" s="773"/>
      <c r="G1179" s="773"/>
      <c r="H1179" s="773"/>
      <c r="I1179" s="773"/>
      <c r="J1179" s="773"/>
      <c r="K1179" s="773"/>
      <c r="L1179" s="773"/>
      <c r="M1179" s="774"/>
      <c r="N1179" s="525"/>
      <c r="O1179" s="588"/>
      <c r="P1179" s="772" t="s">
        <v>392</v>
      </c>
      <c r="Q1179" s="773"/>
      <c r="R1179" s="773"/>
      <c r="S1179" s="774"/>
      <c r="T1179" s="784" t="s">
        <v>393</v>
      </c>
      <c r="U1179" s="774"/>
      <c r="V1179" s="811"/>
      <c r="W1179" s="284"/>
      <c r="X1179" s="778" t="s">
        <v>394</v>
      </c>
      <c r="Y1179" s="779"/>
      <c r="Z1179" s="779"/>
      <c r="AA1179" s="779" t="s">
        <v>395</v>
      </c>
      <c r="AB1179" s="808" t="s">
        <v>396</v>
      </c>
      <c r="AC1179" s="28"/>
    </row>
    <row r="1180" spans="1:29" s="30" customFormat="1" ht="22.5" customHeight="1">
      <c r="A1180" s="112" t="str">
        <f>"L"&amp;E1161</f>
        <v>L39</v>
      </c>
      <c r="B1180" s="791"/>
      <c r="C1180" s="769" t="s">
        <v>397</v>
      </c>
      <c r="D1180" s="770"/>
      <c r="E1180" s="771"/>
      <c r="F1180" s="512">
        <f>IF(VLOOKUP(E1161,PROPONENTES!$C$19:$E$108,3,0)="","",VLOOKUP(E1161,PROPONENTES!$C$19:$E$108,3,0))</f>
        <v>2</v>
      </c>
      <c r="G1180" s="824" t="s">
        <v>398</v>
      </c>
      <c r="H1180" s="793" t="s">
        <v>399</v>
      </c>
      <c r="I1180" s="793"/>
      <c r="J1180" s="769" t="s">
        <v>400</v>
      </c>
      <c r="K1180" s="823"/>
      <c r="L1180" s="513" t="s">
        <v>401</v>
      </c>
      <c r="M1180" s="513"/>
      <c r="N1180" s="526"/>
      <c r="O1180" s="527"/>
      <c r="P1180" s="775"/>
      <c r="Q1180" s="776"/>
      <c r="R1180" s="776"/>
      <c r="S1180" s="777"/>
      <c r="T1180" s="796"/>
      <c r="U1180" s="797"/>
      <c r="V1180" s="812"/>
      <c r="W1180" s="284"/>
      <c r="X1180" s="780" t="s">
        <v>402</v>
      </c>
      <c r="Y1180" s="810" t="s">
        <v>403</v>
      </c>
      <c r="Z1180" s="810"/>
      <c r="AA1180" s="810"/>
      <c r="AB1180" s="809"/>
      <c r="AC1180" s="28"/>
    </row>
    <row r="1181" spans="1:29" s="30" customFormat="1" ht="51.75" customHeight="1" thickBot="1">
      <c r="A1181" s="112" t="str">
        <f>"M"&amp;E1161</f>
        <v>M39</v>
      </c>
      <c r="B1181" s="791"/>
      <c r="C1181" s="770" t="s">
        <v>404</v>
      </c>
      <c r="D1181" s="771"/>
      <c r="E1181" s="514" t="s">
        <v>405</v>
      </c>
      <c r="F1181" s="515" t="s">
        <v>406</v>
      </c>
      <c r="G1181" s="824"/>
      <c r="H1181" s="793"/>
      <c r="I1181" s="793"/>
      <c r="J1181" s="504" t="s">
        <v>407</v>
      </c>
      <c r="K1181" s="516" t="s">
        <v>408</v>
      </c>
      <c r="L1181" s="517" t="s">
        <v>409</v>
      </c>
      <c r="M1181" s="517"/>
      <c r="N1181" s="528" t="s">
        <v>410</v>
      </c>
      <c r="O1181" s="529"/>
      <c r="P1181" s="386"/>
      <c r="Q1181" s="387" t="s">
        <v>411</v>
      </c>
      <c r="R1181" s="388"/>
      <c r="S1181" s="113">
        <f>COUNTIFS(H1165:H1174,"SI",O1165:O1174,"&gt;0")</f>
        <v>4</v>
      </c>
      <c r="T1181" s="785"/>
      <c r="U1181" s="787"/>
      <c r="V1181" s="813"/>
      <c r="W1181" s="284"/>
      <c r="X1181" s="780"/>
      <c r="Y1181" s="810"/>
      <c r="Z1181" s="810"/>
      <c r="AA1181" s="810"/>
      <c r="AB1181" s="809"/>
      <c r="AC1181" s="28"/>
    </row>
    <row r="1182" spans="1:29" s="30" customFormat="1" ht="15.75" customHeight="1">
      <c r="A1182" s="112" t="str">
        <f>"N"&amp;E1161</f>
        <v>N39</v>
      </c>
      <c r="B1182" s="791"/>
      <c r="C1182" s="54">
        <v>1</v>
      </c>
      <c r="D1182" s="100" t="str">
        <f>IF(AND(C1182&lt;=F1180,F1180&gt;1,F1180&lt;&gt;""),VLOOKUP(VALUE(E1161&amp;","&amp;C1182),INTEGRANTES!$D$19:$F$192,2,0),"")</f>
        <v>PING INGENIERIA S.A.S.</v>
      </c>
      <c r="E1182" s="107">
        <f>IF(D1182&lt;&gt;"",VLOOKUP(VALUE(E1161&amp;","&amp;C1182),INTEGRANTES!$D$19:$F$192,3,0),"")</f>
        <v>0.1</v>
      </c>
      <c r="F1182" s="380">
        <f>IF(D1182="","",IF(OR(SUMIF($J1165:$J1174,D1182,$O1165:$O1174)=0,N1182="NO"),"NO APORTA",SUMIF($J1165:$J1174,D1182,$O1165:$O1174)))</f>
        <v>88.29</v>
      </c>
      <c r="G1182" s="380">
        <f ca="1">IF($D1182="","",IF($F1180&lt;=1,"",ROUND(POSMMLV*PORPO,2)))</f>
        <v>150</v>
      </c>
      <c r="H1182" s="765" t="str">
        <f ca="1">IF($D1182="","",IF(OR(F1182="NO APORTA",G1182&gt;F1182),"NO CUMPLE","CUMPLE"))</f>
        <v>NO CUMPLE</v>
      </c>
      <c r="I1182" s="766"/>
      <c r="J1182" s="108" t="str">
        <f ca="1">IF(D1182="","",IF(OR(AND(SUMIF($J1165:$J1174,D1182,$O1165:$O1174)&gt;=5%*POSMMLV,N1182="SI"),AND(SUMIF($J1165:$J1174,D1182,$O1165:$O1174)=0,E1182&lt;=5%,N1182="SI")),"CUMPLE","NO CUMPLE"))</f>
        <v>CUMPLE</v>
      </c>
      <c r="K1182" s="105" t="str">
        <f ca="1">IF(OR(D1182="",J1182=""),"",IF(AND(J1182="NO CUMPLE",F1182="NO APORTA",E1182&gt;5%),"EXP = 0 y PART &gt; 5%",IF(F1182&lt;5%*Q1187,"EXP &lt; 5%*PO","")))</f>
        <v/>
      </c>
      <c r="L1182" s="389" t="str">
        <f>IF(OR(D1182="",E1182=""),"",IF(AND(E1182&gt;=0.25,F1182&lt;&gt;"NO APORTA",F1182&gt;=$R1187*0.25),"SI","NO"))</f>
        <v>NO</v>
      </c>
      <c r="M1182" s="389"/>
      <c r="N1182" s="468" t="s">
        <v>385</v>
      </c>
      <c r="O1182" s="396">
        <f>COUNTIFS(O1165:O1174,"&gt;0",H1165:H1174,"SI")</f>
        <v>4</v>
      </c>
      <c r="P1182" s="814" t="s">
        <v>139</v>
      </c>
      <c r="Q1182" s="814"/>
      <c r="R1182" s="817">
        <f>E1161</f>
        <v>39</v>
      </c>
      <c r="S1182" s="818"/>
      <c r="T1182" s="784" t="s">
        <v>412</v>
      </c>
      <c r="U1182" s="773"/>
      <c r="V1182" s="774"/>
      <c r="W1182" s="283"/>
      <c r="X1182" s="542" t="str">
        <f>IF($F1180=1,"NO APLICA",$D1182)</f>
        <v>PING INGENIERIA S.A.S.</v>
      </c>
      <c r="Y1182" s="543">
        <f ca="1">IF(OR($F1182="",$F1182="NO APORTA",$R1187=0,$X1182="NO APLICA"),"",ROUND($F1182/$Q1187,2))</f>
        <v>0.28999999999999998</v>
      </c>
      <c r="Z1182" s="544" t="str">
        <f ca="1">IF(Y1188=1,"SI APLICA",IF(OR($X1182="",$X1182="NO APLICA",$F1182="",$F1182="NO APORTA"),"",IF(ROUND($F1182/Q1187,7)&gt;=0.4,"SI APLICA","NO APLICA")))</f>
        <v>NO APLICA</v>
      </c>
      <c r="AA1182" s="543" t="s">
        <v>516</v>
      </c>
      <c r="AB1182" s="540" t="str">
        <f ca="1">IF(COUNTIF(Z1182:AA1182,"SI APLICA")=2,"SI APLICA","")</f>
        <v/>
      </c>
      <c r="AC1182" s="28"/>
    </row>
    <row r="1183" spans="1:29" s="30" customFormat="1" ht="15.75" customHeight="1" thickBot="1">
      <c r="A1183" s="112" t="str">
        <f>"O"&amp;E1161</f>
        <v>O39</v>
      </c>
      <c r="B1183" s="791"/>
      <c r="C1183" s="54">
        <v>2</v>
      </c>
      <c r="D1183" s="100" t="str">
        <f>IF(AND(C1183&lt;=F1180,F1180&lt;&gt;""),VLOOKUP(VALUE(E1161&amp;","&amp;C1183),INTEGRANTES!$D$19:$F$192,2,0),"")</f>
        <v>INP SERVICIOS S.A.S</v>
      </c>
      <c r="E1183" s="107">
        <f>IF(D1183&lt;&gt;"",VLOOKUP(VALUE(E1161&amp;","&amp;C1183),INTEGRANTES!$D$19:$F$192,3,0),"")</f>
        <v>0.9</v>
      </c>
      <c r="F1183" s="380">
        <f>IF(D1183="","",IF(OR(SUMIF($J1165:$J1174,D1183,$O1165:$O1174)=0,N1183="NO"),"NO APORTA",SUMIF($J1165:$J1174,D1183,$O1165:$O1174)))</f>
        <v>1536.556</v>
      </c>
      <c r="G1183" s="380">
        <f ca="1">IF($D1183="","",IF($F1180&lt;=1,"",ROUND(POSMMLV*PORPO,2)))</f>
        <v>150</v>
      </c>
      <c r="H1183" s="765" t="str">
        <f t="shared" ref="H1183:H1186" ca="1" si="236">IF($D1183="","",IF(OR(F1183="NO APORTA",G1183&gt;F1183),"NO CUMPLE","CUMPLE"))</f>
        <v>CUMPLE</v>
      </c>
      <c r="I1183" s="766"/>
      <c r="J1183" s="108" t="str">
        <f ca="1">IF(D1183="","",IF(OR(AND(SUMIF($J1165:$J1174,D1183,$O1165:$O1174)&gt;=5%*POSMMLV,N1183="SI"),AND(SUMIF($J1165:$J1174,D1183,$O1165:$O1174)=0,E1183&lt;=5%,N1183="SI")),"CUMPLE","NO CUMPLE"))</f>
        <v>CUMPLE</v>
      </c>
      <c r="K1183" s="105" t="str">
        <f ca="1">IF(OR(D1183="",J1183=""),"",IF(AND(J1183="NO CUMPLE",F1183="NO APORTA",E1183&gt;5%),"EXP = 0 y PART &gt; 5%",IF(F1183&lt;5%*Q1187,"EXP &lt; 5%*PO","")))</f>
        <v/>
      </c>
      <c r="L1183" s="389" t="str">
        <f>IF(OR(D1183="",E1183=""),"",IF(AND(E1183&gt;=0.25,F1183&lt;&gt;"NO APORTA",F1183&gt;=$R1187*0.25),"SI","NO"))</f>
        <v>SI</v>
      </c>
      <c r="M1183" s="389"/>
      <c r="N1183" s="468" t="s">
        <v>385</v>
      </c>
      <c r="O1183" s="396"/>
      <c r="P1183" s="815"/>
      <c r="Q1183" s="815"/>
      <c r="R1183" s="815"/>
      <c r="S1183" s="819"/>
      <c r="T1183" s="785"/>
      <c r="U1183" s="786"/>
      <c r="V1183" s="787"/>
      <c r="W1183" s="283"/>
      <c r="X1183" s="542" t="str">
        <f>IF($F1180=1,"NO APLICA",$D1183)</f>
        <v>INP SERVICIOS S.A.S</v>
      </c>
      <c r="Y1183" s="543">
        <f ca="1">IF(OR($F1183="",$F1183="NO APORTA",$R1187=0,$X1183="NO APLICA"),"",ROUND($F1183/$Q1187,2))</f>
        <v>5.12</v>
      </c>
      <c r="Z1183" s="544" t="str">
        <f ca="1">IF(Y1188=1,"SI APLICA",IF(OR($X1183="",$X1183="NO APLICA",$F1183="",$F1183="NO APORTA"),"",IF(ROUND($F1183/Q1187,7)&gt;=0.4,"SI APLICA","NO APLICA")))</f>
        <v>SI APLICA</v>
      </c>
      <c r="AA1183" s="543" t="s">
        <v>413</v>
      </c>
      <c r="AB1183" s="540" t="str">
        <f t="shared" ref="AB1183" ca="1" si="237">IF(COUNTIF(Z1183:AA1183,"SI APLICA")=2,"SI APLICA","")</f>
        <v>SI APLICA</v>
      </c>
      <c r="AC1183" s="28"/>
    </row>
    <row r="1184" spans="1:29" s="30" customFormat="1" ht="15.75" customHeight="1">
      <c r="A1184" s="112" t="str">
        <f>"P"&amp;E1161</f>
        <v>P39</v>
      </c>
      <c r="B1184" s="791"/>
      <c r="C1184" s="54">
        <v>3</v>
      </c>
      <c r="D1184" s="100" t="str">
        <f>IF(AND(C1184&lt;=F1180,F1180&lt;&gt;""),VLOOKUP(VALUE(E1161&amp;","&amp;C1184),INTEGRANTES!$D$19:$F$192,2,0),"")</f>
        <v/>
      </c>
      <c r="E1184" s="107" t="str">
        <f>IF(D1184&lt;&gt;"",VLOOKUP(VALUE(E1161&amp;","&amp;C1184),INTEGRANTES!$D$19:$F$192,3,0),"")</f>
        <v/>
      </c>
      <c r="F1184" s="380" t="str">
        <f>IF(D1184="","",IF(OR(SUMIF($J1168:$J1174,D1184,$O1168:$O1174)=0,N1184="NO"),"NO APORTA",SUMIF($J1168:$J1174,D1184,$O1168:$O1174)))</f>
        <v/>
      </c>
      <c r="G1184" s="380" t="str">
        <f>IF($D1184="","",IF($F1180&lt;=1,"",ROUND(POSMMLV*PORPO,2)))</f>
        <v/>
      </c>
      <c r="H1184" s="765" t="str">
        <f t="shared" si="236"/>
        <v/>
      </c>
      <c r="I1184" s="766"/>
      <c r="J1184" s="108" t="str">
        <f>IF(D1184="","",IF(OR(AND(SUMIF($J1165:$J1174,D1184,$O1165:$O1174)&gt;=5%*POSMMLV,N1184="SI"),AND(SUMIF($J1165:$J1174,D1184,$O1165:$O1174)=0,E1184&lt;=5%,N1184="SI")),"CUMPLE","NO CUMPLE"))</f>
        <v/>
      </c>
      <c r="K1184" s="105" t="str">
        <f>IF(OR(D1184="",J1184=""),"",IF(AND(J1184="NO CUMPLE",F1184="NO APORTA",E1184&gt;5%),"EXP = 0 y PART &gt; 5%",IF(F1184&lt;5%*Q1187,"EXP &lt; 5%*PO","")))</f>
        <v/>
      </c>
      <c r="L1184" s="389" t="str">
        <f>IF(OR(D1184="",E1184=""),"",IF(AND(E1184&gt;=0.25,F1184&lt;&gt;"NO APORTA",F1184&gt;=$R1187*0.25),"SI","NO"))</f>
        <v/>
      </c>
      <c r="M1184" s="389"/>
      <c r="N1184" s="468"/>
      <c r="O1184" s="397"/>
      <c r="P1184" s="816"/>
      <c r="Q1184" s="816"/>
      <c r="R1184" s="816"/>
      <c r="S1184" s="820"/>
      <c r="T1184" s="308"/>
      <c r="U1184" s="308"/>
      <c r="V1184" s="309"/>
      <c r="W1184" s="284"/>
      <c r="X1184" s="542" t="str">
        <f>IF($F1180=1,"NO APLICA",$D1184)</f>
        <v/>
      </c>
      <c r="Y1184" s="543" t="str">
        <f>IF(OR($F1184="",$F1184="NO APORTA",$R1187=0,$X1184="NO APLICA"),"",ROUND($F1184/$Q1187,2))</f>
        <v/>
      </c>
      <c r="Z1184" s="544" t="str">
        <f>IF(Y1188=1,"SI APLICA",IF(OR($X1184="",$X1184="NO APLICA",$F1184="",$F1184="NO APORTA"),"",IF(ROUND($F1184/Q1187,7)&gt;=0.4,"SI APLICA","NO APLICA")))</f>
        <v/>
      </c>
      <c r="AA1184" s="543"/>
      <c r="AB1184" s="540" t="str">
        <f>IF(COUNTIF(Z1184:AA1184,"SI APLICA")=2,"SI APLICA","")</f>
        <v/>
      </c>
      <c r="AC1184" s="28"/>
    </row>
    <row r="1185" spans="1:29" s="30" customFormat="1" ht="15.75" customHeight="1">
      <c r="A1185" s="112" t="str">
        <f>"Q"&amp;E1161</f>
        <v>Q39</v>
      </c>
      <c r="B1185" s="791"/>
      <c r="C1185" s="54">
        <v>4</v>
      </c>
      <c r="D1185" s="100" t="str">
        <f>IF(AND(C1185&lt;=F1180,F1180&lt;&gt;""),VLOOKUP(VALUE(E1161&amp;","&amp;C1185),INTEGRANTES!$D$19:$F$192,2,0),"")</f>
        <v/>
      </c>
      <c r="E1185" s="107" t="str">
        <f>IF(D1185&lt;&gt;"",VLOOKUP(VALUE(E1161&amp;","&amp;C1185),INTEGRANTES!$D$19:$F$192,3,0),"")</f>
        <v/>
      </c>
      <c r="F1185" s="380" t="str">
        <f>IF(D1185="","",IF(OR(SUMIF($J1168:$J1174,D1185,$O1168:$O1174)=0,N1185="NO"),"NO APORTA",SUMIF($J1168:$J1174,D1185,$O1168:$O1174)))</f>
        <v/>
      </c>
      <c r="G1185" s="380" t="str">
        <f>IF($D1185="","",IF($F1180&lt;=1,"",ROUND(POSMMLV*PORPO,2)))</f>
        <v/>
      </c>
      <c r="H1185" s="765" t="str">
        <f t="shared" si="236"/>
        <v/>
      </c>
      <c r="I1185" s="766"/>
      <c r="J1185" s="108" t="str">
        <f>IF(D1185="","",IF(OR(AND(SUMIF($J1165:$J1174,D1185,$O1165:$O1174)&gt;=5%*POSMMLV,N1185="SI"),AND(SUMIF($J1165:$J1174,D1185,$O1165:$O1174)=0,E1185&lt;=5%,N1185="SI")),"CUMPLE","NO CUMPLE"))</f>
        <v/>
      </c>
      <c r="K1185" s="105" t="str">
        <f>IF(OR(D1185="",J1185=""),"",IF(AND(J1185="NO CUMPLE",F1185="NO APORTA",E1185&gt;5%),"EXP = 0 y PART &gt; 5%",IF(F1185&lt;5%*Q1187,"EXP &lt; 5%*PO","")))</f>
        <v/>
      </c>
      <c r="L1185" s="389" t="str">
        <f>IF(OR(D1185="",E1185=""),"",IF(AND(E1185&gt;=0.25,F1185&lt;&gt;"NO APORTA",F1185&gt;=$R1187*0.25),"SI","NO"))</f>
        <v/>
      </c>
      <c r="M1185" s="389"/>
      <c r="N1185" s="468"/>
      <c r="O1185" s="788" t="s">
        <v>414</v>
      </c>
      <c r="P1185" s="769" t="s">
        <v>415</v>
      </c>
      <c r="Q1185" s="770"/>
      <c r="R1185" s="770"/>
      <c r="S1185" s="771"/>
      <c r="T1185" s="284"/>
      <c r="U1185" s="284"/>
      <c r="V1185" s="310"/>
      <c r="W1185" s="284"/>
      <c r="X1185" s="542" t="str">
        <f>IF($F1180=1,"NO APLICA",$D1185)</f>
        <v/>
      </c>
      <c r="Y1185" s="543" t="str">
        <f>IF(OR($F1185="",$F1185="NO APORTA",$R1187=0,$X1185="NO APLICA"),"",ROUND($F1185/$Q1187,2))</f>
        <v/>
      </c>
      <c r="Z1185" s="544" t="str">
        <f>IF(Y1188=1,"SI APLICA",IF(OR($X1185="",$X1185="NO APLICA",$F1185="",$F1185="NO APORTA"),"",IF(ROUND($F1185/Q1187,7)&gt;=0.4,"SI APLICA","NO APLICA")))</f>
        <v/>
      </c>
      <c r="AA1185" s="543"/>
      <c r="AB1185" s="540" t="str">
        <f t="shared" ref="AB1185:AB1186" si="238">IF(COUNTIF(Z1185:AA1185,"SI APLICA")=2,"SI APLICA","")</f>
        <v/>
      </c>
      <c r="AC1185" s="28"/>
    </row>
    <row r="1186" spans="1:29" s="30" customFormat="1" ht="17.25" customHeight="1">
      <c r="A1186" s="112" t="str">
        <f>"R"&amp;E1161</f>
        <v>R39</v>
      </c>
      <c r="B1186" s="791"/>
      <c r="C1186" s="54">
        <v>5</v>
      </c>
      <c r="D1186" s="100" t="str">
        <f>IF(AND(C1186&lt;=F1180,F1180&lt;&gt;""),VLOOKUP(VALUE(E1161&amp;","&amp;C1186),INTEGRANTES!$D$19:$F$192,2,0),"")</f>
        <v/>
      </c>
      <c r="E1186" s="107" t="str">
        <f>IF(D1186&lt;&gt;"",VLOOKUP(VALUE(E1161&amp;","&amp;C1186),INTEGRANTES!$D$19:$F$192,3,0),"")</f>
        <v/>
      </c>
      <c r="F1186" s="380" t="str">
        <f>IF(D1186="","",IF(OR(SUMIF($J1168:$J1174,D1186,$O1168:$O1174)=0,N1186="NO"),"NO APORTA",SUMIF($J1168:$J1174,D1186,$O1168:$O1174)))</f>
        <v/>
      </c>
      <c r="G1186" s="380" t="str">
        <f>IF($D1186="","",IF($F1180&lt;=1,"",ROUND(POSMMLV*PORPO,2)))</f>
        <v/>
      </c>
      <c r="H1186" s="765" t="str">
        <f t="shared" si="236"/>
        <v/>
      </c>
      <c r="I1186" s="766"/>
      <c r="J1186" s="108" t="str">
        <f>IF(D1186="","",IF(OR(AND(SUMIF($J1165:$J1174,D1186,$O1165:$O1174)&gt;=5%*POSMMLV,N1186="SI"),AND(SUMIF($J1165:$J1174,D1186,$O1165:$O1174)=0,E1186&lt;=5%,N1186="SI")),"CUMPLE","NO CUMPLE"))</f>
        <v/>
      </c>
      <c r="K1186" s="105" t="str">
        <f>IF(OR(D1186="",J1186=""),"",IF(AND(J1186="NO CUMPLE",F1186="NO APORTA",E1186&gt;5%),"EXP = 0 y PART &gt; 5%",IF(F1186&lt;5%*Q1187,"EXP &lt; 5%*PO","")))</f>
        <v/>
      </c>
      <c r="L1186" s="389" t="str">
        <f>IF(OR(D1186="",E1186=""),"",IF(AND(E1186&gt;=0.25,F1186&lt;&gt;"NO APORTA",F1186&gt;=$R1187*0.25),"SI","NO"))</f>
        <v/>
      </c>
      <c r="M1186" s="389"/>
      <c r="N1186" s="468"/>
      <c r="O1186" s="789"/>
      <c r="P1186" s="504" t="s">
        <v>416</v>
      </c>
      <c r="Q1186" s="504" t="s">
        <v>417</v>
      </c>
      <c r="R1186" s="793" t="s">
        <v>418</v>
      </c>
      <c r="S1186" s="793"/>
      <c r="T1186" s="284"/>
      <c r="U1186" s="284"/>
      <c r="V1186" s="310"/>
      <c r="W1186" s="284"/>
      <c r="X1186" s="542" t="str">
        <f>IF($F1180=1,"NO APLICA",$D1186)</f>
        <v/>
      </c>
      <c r="Y1186" s="543" t="str">
        <f>IF(OR($F1186="",$F1186="NO APORTA",$R1187=0,$X1186="NO APLICA"),"",ROUND($F1186/$Q1187,2))</f>
        <v/>
      </c>
      <c r="Z1186" s="544" t="str">
        <f>IF(Y1188=1,"SI APLICA",IF(OR($X1186="",$X1186="NO APLICA",$F1186="",$F1186="NO APORTA"),"",IF(ROUND($F1186/Q1187,7)&gt;=0.4,"SI APLICA","NO APLICA")))</f>
        <v/>
      </c>
      <c r="AA1186" s="543"/>
      <c r="AB1186" s="540" t="str">
        <f t="shared" si="238"/>
        <v/>
      </c>
      <c r="AC1186" s="28"/>
    </row>
    <row r="1187" spans="1:29" s="30" customFormat="1" ht="16.5" customHeight="1" thickBot="1">
      <c r="A1187" s="112" t="str">
        <f>"S"&amp;E1161</f>
        <v>S39</v>
      </c>
      <c r="B1187" s="791"/>
      <c r="C1187" s="109">
        <v>6</v>
      </c>
      <c r="D1187" s="110" t="str">
        <f>IF(AND(C1187&lt;=F1180,F1180&lt;&gt;""),VLOOKUP(VALUE(E1161&amp;","&amp;C1187),INTEGRANTES!$D$19:$F$192,2,0),"")</f>
        <v/>
      </c>
      <c r="E1187" s="111" t="str">
        <f>IF(D1187&lt;&gt;"",VLOOKUP(VALUE(E1161&amp;","&amp;C1187),INTEGRANTES!$D$19:$F$192,3,0),"")</f>
        <v/>
      </c>
      <c r="F1187" s="380" t="str">
        <f>IF(D1187="","",IF(OR(SUMIF($J1168:$J1174,D1187,$O1168:$O1174)=0,N1187="NO"),"NO APORTA",SUMIF($J1168:$J1174,D1187,$O1168:$O1174)))</f>
        <v/>
      </c>
      <c r="G1187" s="380" t="str">
        <f>IF($D1187="","",IF($F1180&lt;=1,"",ROUND(POSMMLV*PORPO,2)))</f>
        <v/>
      </c>
      <c r="H1187" s="765" t="str">
        <f>IF($D1187="","",IF(OR(F1187="NO APORTA",G1187&gt;F1187),"NO CUMPLE","CUMPLE"))</f>
        <v/>
      </c>
      <c r="I1187" s="766"/>
      <c r="J1187" s="108" t="str">
        <f>IF(D1187="","",IF(OR(AND(SUMIF($J1165:$J1174,D1187,$O1165:$O1174)&gt;=5%*POSMMLV,N1187="SI"),AND(SUMIF($J1165:$J1174,D1187,$O1165:$O1174)=0,E1187&lt;=5%,N1187="SI")),"CUMPLE","NO CUMPLE"))</f>
        <v/>
      </c>
      <c r="K1187" s="105" t="str">
        <f>IF(OR(D1187="",J1187=""),"",IF(AND(J1187="NO CUMPLE",F1187="NO APORTA",E1187&gt;5%),"EXP = 0 y PART &gt; 5%",IF(F1187&lt;5%*Q1187,"EXP &lt; 5%*PO","")))</f>
        <v/>
      </c>
      <c r="L1187" s="389" t="str">
        <f>IF(OR(D1187="",E1187=""),"",IF(AND(E1187&gt;=0.25,F1187&lt;&gt;"NO APORTA",F1187&gt;=$R1187*0.25),"SI","NO"))</f>
        <v/>
      </c>
      <c r="M1187" s="389"/>
      <c r="N1187" s="468"/>
      <c r="O1187" s="403" t="str">
        <f ca="1">IF(R1187&gt;=Q1187,"CUMPLE","NO CUMPLE")</f>
        <v>CUMPLE</v>
      </c>
      <c r="P1187" s="312">
        <f>NUMMOD</f>
        <v>1</v>
      </c>
      <c r="Q1187" s="313">
        <f ca="1">IF(P1187="","",ROUND(VLOOKUP(P1187,PRESUPUESTOS!$B$16:$L$16,9,FALSE),7))</f>
        <v>300</v>
      </c>
      <c r="R1187" s="834">
        <f>IF(OR(COUNTIF(O1165:O1174,"")&gt;9,S1181&lt;NUMMINCONT),0,SUM(O1165:O1174))</f>
        <v>1624.846</v>
      </c>
      <c r="S1187" s="834"/>
      <c r="T1187" s="284"/>
      <c r="U1187" s="284"/>
      <c r="V1187" s="310"/>
      <c r="W1187" s="284"/>
      <c r="X1187" s="545" t="str">
        <f>IF($F1180=1,"NO APLICA",$D1187)</f>
        <v/>
      </c>
      <c r="Y1187" s="543" t="str">
        <f>IF(OR($F1187="",$F1187="NO APORTA",$R1187=0,$X1187="NO APLICA"),"",ROUND($F1187/$Q1187,2))</f>
        <v/>
      </c>
      <c r="Z1187" s="544" t="str">
        <f>IF(Y1188=1,"SI APLICA",IF(OR($X1187="",$X1187="NO APLICA",$F1187="",$F1187="NO APORTA"),"",IF(ROUND($F1187/Q1187,7)&gt;=0.4,"SI APLICA","NO APLICA")))</f>
        <v/>
      </c>
      <c r="AA1187" s="546"/>
      <c r="AB1187" s="540" t="str">
        <f>IF(COUNTIF(Z1187:AA1187,"SI APLICA")=2,"SI APLICA","")</f>
        <v/>
      </c>
      <c r="AC1187" s="28"/>
    </row>
    <row r="1188" spans="1:29" s="30" customFormat="1" ht="16.5" customHeight="1" thickBot="1">
      <c r="A1188" s="112" t="str">
        <f>"T"&amp;E1161</f>
        <v>T39</v>
      </c>
      <c r="B1188" s="792"/>
      <c r="C1188" s="821" t="s">
        <v>419</v>
      </c>
      <c r="D1188" s="822"/>
      <c r="E1188" s="822"/>
      <c r="F1188" s="518"/>
      <c r="G1188" s="519"/>
      <c r="H1188" s="794" t="str">
        <f ca="1">IF(OR($F1180="",SUM(E1182:E1187)=0),"",IF(COUNTIF(H1182:H1187,"CUMPLE")&gt;=1,"CUMPLE","NO CUMPLE"))</f>
        <v>CUMPLE</v>
      </c>
      <c r="I1188" s="795"/>
      <c r="J1188" s="314" t="str">
        <f ca="1">IF(COUNTIF(J1182:J1187,"")&gt;5,"",IF(COUNTIF(J1182:J1187,"NO CUMPLE")&gt;0,"NO CUMPLE","CUMPLE"))</f>
        <v>CUMPLE</v>
      </c>
      <c r="K1188" s="314" t="str">
        <f ca="1">IF(OR(AND(F1180=1,N1182="SI"),AND(COUNTIF(H1188:J1188,"CUMPLE")=2)),"CUMPLE","NO CUMPLE")</f>
        <v>CUMPLE</v>
      </c>
      <c r="L1188" s="519"/>
      <c r="M1188" s="519"/>
      <c r="N1188" s="519"/>
      <c r="O1188" s="833" t="str">
        <f ca="1">IF(ISNUMBER(F1161),"",IF(AND(O1187="NO CUMPLE",SUM(N1168:N1174)&lt;Q1187),"EL PROPONENTE SE DEBE REQUERIR POR EXPERIENCIA MINIMA EXIGIDA",""))</f>
        <v/>
      </c>
      <c r="P1188" s="833"/>
      <c r="Q1188" s="833"/>
      <c r="R1188" s="833"/>
      <c r="S1188" s="833"/>
      <c r="T1188" s="522"/>
      <c r="U1188" s="523"/>
      <c r="V1188" s="524"/>
      <c r="W1188" s="284"/>
      <c r="X1188" s="364" t="str">
        <f>IF(Y1188=1,"PROPONENTE INDIVIDUAL","PROPONENTE PLURAL")</f>
        <v>PROPONENTE PLURAL</v>
      </c>
      <c r="Y1188" s="276">
        <f>F1180</f>
        <v>2</v>
      </c>
      <c r="Z1188" s="277" t="str">
        <f ca="1">IF(OR(AND(Z1182="SI APLICA",AA1182="SI APLICA"),AND(Z1183="SI APLICA",AA1183="SI APLICA"),AND(Z1184="SI APLICA",AA1184="SI APLICA"),AND(Z1185="SI APLICA",AA1185="SI APLICA"),AND(Z1186="SI APLICA",AA1186="SI APLICA"),AND(Z1187="SI APLICA",AA1187="SI APLICA")),"SI APLICA","NO APLICA")</f>
        <v>SI APLICA</v>
      </c>
      <c r="AA1188" s="278" t="str">
        <f ca="1">IF(OR(AND(AA1182="SI APLICA",AB1182="SI APLICA"),AND(AA1183="SI APLICA",AB1183="SI APLICA"),AND(AA1184="SI APLICA",AB1184="SI APLICA"),AND(AA1185="SI APLICA",AB1185="SI APLICA"),AND(AA1186="SI APLICA",AB1186="SI APLICA"),AND(AA1187="SI APLICA",AB1187="SI APLICA")),"SI APLICA","NO APLICA")</f>
        <v>SI APLICA</v>
      </c>
      <c r="AB1188" s="278" t="str">
        <f ca="1">IF(COUNTIF(AB1182:AB1187,"SI APLICA")&gt;0,"SI APLICA","NO APLICA")</f>
        <v>SI APLICA</v>
      </c>
      <c r="AC1188" s="28"/>
    </row>
    <row r="1189" spans="1:29" ht="24.95" customHeight="1"/>
    <row r="1190" spans="1:29" ht="24.95" customHeight="1"/>
    <row r="1191" spans="1:29" s="41" customFormat="1" ht="24" thickBot="1">
      <c r="A1191" s="34">
        <v>40</v>
      </c>
      <c r="B1191" s="828" t="s">
        <v>355</v>
      </c>
      <c r="C1191" s="828"/>
      <c r="D1191" s="828"/>
      <c r="E1191" s="35">
        <f>VLOOKUP(A1191,PROPONENTES!$B$19:$E$108,2,FALSE)</f>
        <v>40</v>
      </c>
      <c r="F1191" s="36" t="str">
        <f>VLOOKUP(A1191,PROPONENTES!$B$19:$E$108,3,FALSE)</f>
        <v>CONSORCIO INVIAS 001</v>
      </c>
      <c r="G1191" s="37"/>
      <c r="H1191" s="37"/>
      <c r="I1191" s="36"/>
      <c r="J1191" s="36"/>
      <c r="K1191" s="36"/>
      <c r="L1191" s="36"/>
      <c r="M1191" s="38"/>
      <c r="N1191" s="38"/>
      <c r="O1191" s="37"/>
      <c r="P1191" s="37"/>
      <c r="Q1191" s="39"/>
      <c r="R1191" s="39"/>
      <c r="S1191" s="39"/>
      <c r="T1191" s="39"/>
      <c r="U1191" s="40"/>
      <c r="Y1191" s="52"/>
      <c r="Z1191" s="52"/>
      <c r="AA1191" s="52"/>
      <c r="AB1191" s="28"/>
      <c r="AC1191" s="28"/>
    </row>
    <row r="1192" spans="1:29" s="27" customFormat="1" ht="24.75" customHeight="1">
      <c r="A1192" s="22"/>
      <c r="B1192" s="829" t="s">
        <v>356</v>
      </c>
      <c r="C1192" s="501" t="s">
        <v>357</v>
      </c>
      <c r="D1192" s="502" t="s">
        <v>358</v>
      </c>
      <c r="E1192" s="502"/>
      <c r="F1192" s="502" t="s">
        <v>359</v>
      </c>
      <c r="G1192" s="503"/>
      <c r="H1192" s="803" t="s">
        <v>360</v>
      </c>
      <c r="I1192" s="831" t="s">
        <v>361</v>
      </c>
      <c r="J1192" s="803" t="s">
        <v>362</v>
      </c>
      <c r="K1192" s="803" t="s">
        <v>363</v>
      </c>
      <c r="L1192" s="803" t="s">
        <v>364</v>
      </c>
      <c r="M1192" s="803" t="s">
        <v>365</v>
      </c>
      <c r="N1192" s="804" t="s">
        <v>366</v>
      </c>
      <c r="O1192" s="805"/>
      <c r="P1192" s="806" t="s">
        <v>367</v>
      </c>
      <c r="Q1192" s="807"/>
      <c r="R1192" s="784" t="s">
        <v>368</v>
      </c>
      <c r="S1192" s="774"/>
      <c r="T1192" s="798" t="s">
        <v>369</v>
      </c>
      <c r="U1192" s="799"/>
      <c r="V1192" s="800"/>
      <c r="X1192" s="520"/>
      <c r="Y1192" s="520"/>
    </row>
    <row r="1193" spans="1:29" s="27" customFormat="1" ht="94.5" customHeight="1">
      <c r="A1193" s="22"/>
      <c r="B1193" s="830"/>
      <c r="C1193" s="504" t="s">
        <v>370</v>
      </c>
      <c r="D1193" s="505" t="s">
        <v>41</v>
      </c>
      <c r="E1193" s="505" t="s">
        <v>371</v>
      </c>
      <c r="F1193" s="505" t="s">
        <v>372</v>
      </c>
      <c r="G1193" s="506" t="s">
        <v>373</v>
      </c>
      <c r="H1193" s="793"/>
      <c r="I1193" s="832"/>
      <c r="J1193" s="793"/>
      <c r="K1193" s="793"/>
      <c r="L1193" s="793"/>
      <c r="M1193" s="793"/>
      <c r="N1193" s="504" t="s">
        <v>374</v>
      </c>
      <c r="O1193" s="505" t="s">
        <v>375</v>
      </c>
      <c r="P1193" s="801"/>
      <c r="Q1193" s="802"/>
      <c r="R1193" s="796"/>
      <c r="S1193" s="797"/>
      <c r="T1193" s="507" t="s">
        <v>376</v>
      </c>
      <c r="U1193" s="508" t="s">
        <v>377</v>
      </c>
      <c r="V1193" s="509" t="s">
        <v>378</v>
      </c>
      <c r="X1193" s="521" t="s">
        <v>379</v>
      </c>
      <c r="Y1193" s="521" t="s">
        <v>380</v>
      </c>
    </row>
    <row r="1194" spans="1:29" s="27" customFormat="1" ht="15" customHeight="1">
      <c r="A1194" s="22"/>
      <c r="B1194" s="594"/>
      <c r="C1194" s="595">
        <v>3</v>
      </c>
      <c r="D1194" s="595">
        <v>4</v>
      </c>
      <c r="E1194" s="595">
        <v>5</v>
      </c>
      <c r="F1194" s="595">
        <v>6</v>
      </c>
      <c r="G1194" s="595">
        <v>7</v>
      </c>
      <c r="H1194" s="595">
        <v>8</v>
      </c>
      <c r="I1194" s="595">
        <v>9</v>
      </c>
      <c r="J1194" s="595">
        <v>10</v>
      </c>
      <c r="K1194" s="595">
        <v>11</v>
      </c>
      <c r="L1194" s="595">
        <v>12</v>
      </c>
      <c r="M1194" s="595">
        <v>13</v>
      </c>
      <c r="N1194" s="595">
        <v>14</v>
      </c>
      <c r="O1194" s="595">
        <v>15</v>
      </c>
      <c r="P1194" s="596">
        <v>16</v>
      </c>
      <c r="Q1194" s="597">
        <v>17</v>
      </c>
      <c r="R1194" s="596">
        <v>18</v>
      </c>
      <c r="S1194" s="597">
        <v>19</v>
      </c>
      <c r="T1194" s="598">
        <v>20</v>
      </c>
      <c r="U1194" s="255">
        <v>21</v>
      </c>
      <c r="V1194" s="599">
        <v>22</v>
      </c>
      <c r="X1194" s="589"/>
      <c r="Y1194" s="590"/>
    </row>
    <row r="1195" spans="1:29" s="44" customFormat="1" ht="39.75" customHeight="1">
      <c r="A1195" s="42" t="str">
        <f>"A"&amp;E1191</f>
        <v>A40</v>
      </c>
      <c r="B1195" s="605">
        <f>IF(C1195&lt;&gt;"",B1194+1,"")</f>
        <v>1</v>
      </c>
      <c r="C1195" s="581" t="s">
        <v>700</v>
      </c>
      <c r="D1195" s="581" t="s">
        <v>701</v>
      </c>
      <c r="E1195" s="581" t="s">
        <v>702</v>
      </c>
      <c r="F1195" s="581" t="s">
        <v>580</v>
      </c>
      <c r="G1195" s="534">
        <v>1</v>
      </c>
      <c r="H1195" s="534" t="s">
        <v>385</v>
      </c>
      <c r="I1195" s="579">
        <v>1</v>
      </c>
      <c r="J1195" s="580" t="str">
        <f>IF(I1195="","",IF(I1195="I",$F1191,VLOOKUP(I1195,$C1212:$D1217,2,0)))</f>
        <v>TOP SUELOS INGENIERIA SAS</v>
      </c>
      <c r="K1195" s="535">
        <v>41437</v>
      </c>
      <c r="L1195" s="535">
        <v>42078</v>
      </c>
      <c r="M1195" s="536">
        <v>882.78</v>
      </c>
      <c r="N1195" s="232">
        <f>IF(OR(G1195="",M1195=""),"",M1195*G1195)</f>
        <v>882.78</v>
      </c>
      <c r="O1195" s="260">
        <f t="shared" ref="O1195:O1204" si="239">IF(OR(H1195="",H1195="NO",K1195&lt;$Q$17,K1195&gt;$R$17,K1195="",M1195="",N1195=""),"",ROUND(N1195,7))</f>
        <v>882.78</v>
      </c>
      <c r="P1195" s="781"/>
      <c r="Q1195" s="782"/>
      <c r="R1195" s="767"/>
      <c r="S1195" s="768"/>
      <c r="T1195" s="538" t="s">
        <v>385</v>
      </c>
      <c r="U1195" s="539">
        <v>84</v>
      </c>
      <c r="V1195" s="540" t="s">
        <v>385</v>
      </c>
      <c r="X1195" s="541" t="s">
        <v>386</v>
      </c>
      <c r="Y1195" s="541" t="s">
        <v>435</v>
      </c>
    </row>
    <row r="1196" spans="1:29" s="44" customFormat="1" ht="62.25" customHeight="1">
      <c r="A1196" s="42" t="str">
        <f>"B"&amp;E1191</f>
        <v>B40</v>
      </c>
      <c r="B1196" s="605">
        <f t="shared" ref="B1196:B1204" si="240">IF(C1196&lt;&gt;"",B1195+1,"")</f>
        <v>2</v>
      </c>
      <c r="C1196" s="581" t="s">
        <v>526</v>
      </c>
      <c r="D1196" s="581" t="s">
        <v>703</v>
      </c>
      <c r="E1196" s="581" t="s">
        <v>704</v>
      </c>
      <c r="F1196" s="581" t="s">
        <v>431</v>
      </c>
      <c r="G1196" s="534">
        <v>0.25</v>
      </c>
      <c r="H1196" s="534" t="s">
        <v>385</v>
      </c>
      <c r="I1196" s="579">
        <v>2</v>
      </c>
      <c r="J1196" s="580" t="str">
        <f>IF(I1196="","",IF(I1196="I",$F1191,VLOOKUP(I1196,$C1212:$D1217,2,0)))</f>
        <v>GHF INGENIERIAS Y CONSTRUCCIONES S.A.S</v>
      </c>
      <c r="K1196" s="535">
        <v>42387</v>
      </c>
      <c r="L1196" s="535">
        <v>43269</v>
      </c>
      <c r="M1196" s="536">
        <v>221.66</v>
      </c>
      <c r="N1196" s="232">
        <f t="shared" ref="N1196:N1204" si="241">IF(OR(G1196="",M1196=""),"",M1196*G1196)</f>
        <v>55.414999999999999</v>
      </c>
      <c r="O1196" s="260">
        <f t="shared" si="239"/>
        <v>55.414999999999999</v>
      </c>
      <c r="P1196" s="781"/>
      <c r="Q1196" s="782"/>
      <c r="R1196" s="767"/>
      <c r="S1196" s="768"/>
      <c r="T1196" s="538" t="s">
        <v>385</v>
      </c>
      <c r="U1196" s="539">
        <v>126</v>
      </c>
      <c r="V1196" s="540" t="s">
        <v>385</v>
      </c>
      <c r="X1196" s="541" t="s">
        <v>446</v>
      </c>
      <c r="Y1196" s="541" t="s">
        <v>439</v>
      </c>
    </row>
    <row r="1197" spans="1:29" s="44" customFormat="1" ht="24.95" customHeight="1">
      <c r="A1197" s="42" t="str">
        <f>"C"&amp;E1191</f>
        <v>C40</v>
      </c>
      <c r="B1197" s="605" t="str">
        <f t="shared" si="240"/>
        <v/>
      </c>
      <c r="C1197" s="581"/>
      <c r="D1197" s="581"/>
      <c r="E1197" s="581"/>
      <c r="F1197" s="581"/>
      <c r="G1197" s="534"/>
      <c r="H1197" s="534"/>
      <c r="I1197" s="579"/>
      <c r="J1197" s="580" t="str">
        <f>IF(I1197="","",IF(I1197="I",$F1191,VLOOKUP(I1197,$C1212:$D1217,2,0)))</f>
        <v/>
      </c>
      <c r="K1197" s="535"/>
      <c r="L1197" s="535"/>
      <c r="M1197" s="536"/>
      <c r="N1197" s="232" t="str">
        <f t="shared" si="241"/>
        <v/>
      </c>
      <c r="O1197" s="260" t="str">
        <f t="shared" si="239"/>
        <v/>
      </c>
      <c r="P1197" s="781"/>
      <c r="Q1197" s="782"/>
      <c r="R1197" s="767"/>
      <c r="S1197" s="768"/>
      <c r="T1197" s="538"/>
      <c r="U1197" s="539"/>
      <c r="V1197" s="540"/>
      <c r="X1197" s="541"/>
      <c r="Y1197" s="541"/>
    </row>
    <row r="1198" spans="1:29" s="44" customFormat="1" ht="24.95" customHeight="1">
      <c r="A1198" s="42" t="str">
        <f>"D"&amp;E1191</f>
        <v>D40</v>
      </c>
      <c r="B1198" s="605" t="str">
        <f t="shared" si="240"/>
        <v/>
      </c>
      <c r="C1198" s="581"/>
      <c r="D1198" s="581"/>
      <c r="E1198" s="581"/>
      <c r="F1198" s="581"/>
      <c r="G1198" s="534"/>
      <c r="H1198" s="534"/>
      <c r="I1198" s="579"/>
      <c r="J1198" s="580" t="str">
        <f>IF(I1198="","",IF(I1198="I",$F1191,VLOOKUP(I1198,$C1212:$D1217,2,0)))</f>
        <v/>
      </c>
      <c r="K1198" s="535"/>
      <c r="L1198" s="535"/>
      <c r="M1198" s="536"/>
      <c r="N1198" s="232" t="str">
        <f t="shared" si="241"/>
        <v/>
      </c>
      <c r="O1198" s="260" t="str">
        <f t="shared" si="239"/>
        <v/>
      </c>
      <c r="P1198" s="781"/>
      <c r="Q1198" s="782"/>
      <c r="R1198" s="767"/>
      <c r="S1198" s="768"/>
      <c r="T1198" s="538"/>
      <c r="U1198" s="539"/>
      <c r="V1198" s="540"/>
      <c r="X1198" s="541"/>
      <c r="Y1198" s="541"/>
    </row>
    <row r="1199" spans="1:29" s="44" customFormat="1" ht="24.95" customHeight="1">
      <c r="A1199" s="42" t="str">
        <f>"E"&amp;E1191</f>
        <v>E40</v>
      </c>
      <c r="B1199" s="605" t="str">
        <f t="shared" si="240"/>
        <v/>
      </c>
      <c r="C1199" s="581"/>
      <c r="D1199" s="581"/>
      <c r="E1199" s="581"/>
      <c r="F1199" s="581"/>
      <c r="G1199" s="534"/>
      <c r="H1199" s="534"/>
      <c r="I1199" s="579"/>
      <c r="J1199" s="580" t="str">
        <f>IF(I1199="","",IF(I1199="I",$F1191,VLOOKUP(I1199,$C1212:$D1217,2,0)))</f>
        <v/>
      </c>
      <c r="K1199" s="535"/>
      <c r="L1199" s="535"/>
      <c r="M1199" s="536"/>
      <c r="N1199" s="232" t="str">
        <f t="shared" si="241"/>
        <v/>
      </c>
      <c r="O1199" s="260" t="str">
        <f t="shared" si="239"/>
        <v/>
      </c>
      <c r="P1199" s="781"/>
      <c r="Q1199" s="782"/>
      <c r="R1199" s="767"/>
      <c r="S1199" s="768"/>
      <c r="T1199" s="538"/>
      <c r="U1199" s="539"/>
      <c r="V1199" s="540"/>
      <c r="X1199" s="541"/>
      <c r="Y1199" s="541"/>
    </row>
    <row r="1200" spans="1:29" s="44" customFormat="1" ht="24.95" customHeight="1">
      <c r="A1200" s="42" t="str">
        <f>"F"&amp;E1191</f>
        <v>F40</v>
      </c>
      <c r="B1200" s="605" t="str">
        <f t="shared" si="240"/>
        <v/>
      </c>
      <c r="C1200" s="581"/>
      <c r="D1200" s="581"/>
      <c r="E1200" s="581"/>
      <c r="F1200" s="581"/>
      <c r="G1200" s="534"/>
      <c r="H1200" s="534"/>
      <c r="I1200" s="579"/>
      <c r="J1200" s="580" t="str">
        <f>IF(I1200="","",IF(I1200="I",$F1191,VLOOKUP(I1200,$C1212:$D1217,2,0)))</f>
        <v/>
      </c>
      <c r="K1200" s="535"/>
      <c r="L1200" s="535"/>
      <c r="M1200" s="536"/>
      <c r="N1200" s="232" t="str">
        <f t="shared" si="241"/>
        <v/>
      </c>
      <c r="O1200" s="260" t="str">
        <f t="shared" si="239"/>
        <v/>
      </c>
      <c r="P1200" s="781"/>
      <c r="Q1200" s="782"/>
      <c r="R1200" s="767"/>
      <c r="S1200" s="768"/>
      <c r="T1200" s="538"/>
      <c r="U1200" s="539"/>
      <c r="V1200" s="540"/>
      <c r="X1200" s="541"/>
      <c r="Y1200" s="541"/>
    </row>
    <row r="1201" spans="1:29" s="44" customFormat="1" ht="24.95" customHeight="1">
      <c r="A1201" s="42" t="str">
        <f>"G"&amp;E1191</f>
        <v>G40</v>
      </c>
      <c r="B1201" s="605" t="str">
        <f t="shared" si="240"/>
        <v/>
      </c>
      <c r="C1201" s="581"/>
      <c r="D1201" s="581"/>
      <c r="E1201" s="581"/>
      <c r="F1201" s="581"/>
      <c r="G1201" s="534"/>
      <c r="H1201" s="534"/>
      <c r="I1201" s="579"/>
      <c r="J1201" s="580" t="str">
        <f>IF(I1201="","",IF(I1201="I",$F1191,VLOOKUP(I1201,$C1212:$D1217,2,0)))</f>
        <v/>
      </c>
      <c r="K1201" s="535"/>
      <c r="L1201" s="535"/>
      <c r="M1201" s="536"/>
      <c r="N1201" s="43" t="str">
        <f t="shared" si="241"/>
        <v/>
      </c>
      <c r="O1201" s="260" t="str">
        <f t="shared" si="239"/>
        <v/>
      </c>
      <c r="P1201" s="781"/>
      <c r="Q1201" s="782"/>
      <c r="R1201" s="767"/>
      <c r="S1201" s="768"/>
      <c r="T1201" s="538"/>
      <c r="U1201" s="539"/>
      <c r="V1201" s="540"/>
      <c r="X1201" s="541"/>
      <c r="Y1201" s="541"/>
    </row>
    <row r="1202" spans="1:29" s="44" customFormat="1" ht="24.95" customHeight="1">
      <c r="A1202" s="42" t="str">
        <f>"H"&amp;E1191</f>
        <v>H40</v>
      </c>
      <c r="B1202" s="605" t="str">
        <f t="shared" si="240"/>
        <v/>
      </c>
      <c r="C1202" s="581"/>
      <c r="D1202" s="581"/>
      <c r="E1202" s="581"/>
      <c r="F1202" s="581"/>
      <c r="G1202" s="534"/>
      <c r="H1202" s="534"/>
      <c r="I1202" s="579"/>
      <c r="J1202" s="580" t="str">
        <f>IF(I1202="","",IF(I1202="I",$F1191,VLOOKUP(I1202,$C1212:$D1217,2,0)))</f>
        <v/>
      </c>
      <c r="K1202" s="535"/>
      <c r="L1202" s="535"/>
      <c r="M1202" s="537"/>
      <c r="N1202" s="43" t="str">
        <f t="shared" si="241"/>
        <v/>
      </c>
      <c r="O1202" s="260" t="str">
        <f t="shared" si="239"/>
        <v/>
      </c>
      <c r="P1202" s="781"/>
      <c r="Q1202" s="782"/>
      <c r="R1202" s="767"/>
      <c r="S1202" s="768"/>
      <c r="T1202" s="538"/>
      <c r="U1202" s="539"/>
      <c r="V1202" s="540"/>
      <c r="X1202" s="541"/>
      <c r="Y1202" s="541"/>
    </row>
    <row r="1203" spans="1:29" s="44" customFormat="1" ht="24.95" customHeight="1">
      <c r="A1203" s="42" t="str">
        <f>"I"&amp;E1191</f>
        <v>I40</v>
      </c>
      <c r="B1203" s="605" t="str">
        <f t="shared" si="240"/>
        <v/>
      </c>
      <c r="C1203" s="581"/>
      <c r="D1203" s="581"/>
      <c r="E1203" s="581"/>
      <c r="F1203" s="581"/>
      <c r="G1203" s="534"/>
      <c r="H1203" s="534"/>
      <c r="I1203" s="579"/>
      <c r="J1203" s="580" t="str">
        <f>IF(I1203="","",IF(I1203="I",$F1191,VLOOKUP(I1203,$C1212:$D1217,2,0)))</f>
        <v/>
      </c>
      <c r="K1203" s="535"/>
      <c r="L1203" s="535"/>
      <c r="M1203" s="537"/>
      <c r="N1203" s="43" t="str">
        <f t="shared" si="241"/>
        <v/>
      </c>
      <c r="O1203" s="260" t="str">
        <f t="shared" si="239"/>
        <v/>
      </c>
      <c r="P1203" s="781"/>
      <c r="Q1203" s="782"/>
      <c r="R1203" s="767"/>
      <c r="S1203" s="768"/>
      <c r="T1203" s="538"/>
      <c r="U1203" s="539"/>
      <c r="V1203" s="540"/>
      <c r="X1203" s="541"/>
      <c r="Y1203" s="541"/>
    </row>
    <row r="1204" spans="1:29" s="44" customFormat="1" ht="24.95" customHeight="1" thickBot="1">
      <c r="A1204" s="42" t="str">
        <f>"J"&amp;E1191</f>
        <v>J40</v>
      </c>
      <c r="B1204" s="612" t="str">
        <f t="shared" si="240"/>
        <v/>
      </c>
      <c r="C1204" s="582"/>
      <c r="D1204" s="582"/>
      <c r="E1204" s="582"/>
      <c r="F1204" s="582"/>
      <c r="G1204" s="583"/>
      <c r="H1204" s="583"/>
      <c r="I1204" s="584"/>
      <c r="J1204" s="585" t="str">
        <f>IF(I1204="","",IF(I1204="I",$F1191,VLOOKUP(I1204,$C1212:$D1217,2,0)))</f>
        <v/>
      </c>
      <c r="K1204" s="586"/>
      <c r="L1204" s="586"/>
      <c r="M1204" s="587"/>
      <c r="N1204" s="43" t="str">
        <f t="shared" si="241"/>
        <v/>
      </c>
      <c r="O1204" s="260" t="str">
        <f t="shared" si="239"/>
        <v/>
      </c>
      <c r="P1204" s="781"/>
      <c r="Q1204" s="782"/>
      <c r="R1204" s="767"/>
      <c r="S1204" s="768"/>
      <c r="T1204" s="538"/>
      <c r="U1204" s="539"/>
      <c r="V1204" s="540"/>
      <c r="X1204" s="541"/>
      <c r="Y1204" s="541"/>
    </row>
    <row r="1205" spans="1:29" s="27" customFormat="1" ht="12" customHeight="1" thickBot="1">
      <c r="A1205" s="42"/>
      <c r="B1205" s="45"/>
      <c r="C1205" s="46"/>
      <c r="D1205" s="46"/>
      <c r="E1205" s="46"/>
      <c r="F1205" s="46"/>
      <c r="G1205" s="46"/>
      <c r="H1205" s="606"/>
      <c r="I1205" s="46"/>
      <c r="J1205" s="46"/>
      <c r="K1205" s="46"/>
      <c r="L1205" s="46"/>
      <c r="M1205" s="46"/>
      <c r="N1205" s="46"/>
      <c r="O1205" s="259"/>
      <c r="P1205" s="46"/>
      <c r="Q1205" s="46"/>
      <c r="R1205" s="259"/>
      <c r="S1205" s="46"/>
      <c r="T1205" s="46"/>
      <c r="U1205" s="47"/>
      <c r="V1205" s="48"/>
      <c r="X1205" s="592"/>
      <c r="Y1205" s="593"/>
      <c r="AB1205" s="378"/>
    </row>
    <row r="1206" spans="1:29" s="27" customFormat="1" ht="17.25" customHeight="1" thickBot="1">
      <c r="A1206" s="42" t="str">
        <f>"Z"&amp;E1191</f>
        <v>Z40</v>
      </c>
      <c r="B1206" s="510"/>
      <c r="C1206" s="511"/>
      <c r="D1206" s="511"/>
      <c r="E1206" s="511"/>
      <c r="F1206" s="511"/>
      <c r="G1206" s="511"/>
      <c r="H1206" s="511"/>
      <c r="I1206" s="511"/>
      <c r="J1206" s="511"/>
      <c r="K1206" s="511"/>
      <c r="L1206" s="511"/>
      <c r="M1206" s="511"/>
      <c r="N1206" s="437" t="s">
        <v>388</v>
      </c>
      <c r="O1206" s="438">
        <f>IF(COUNTIF(O1195:O1204,"")&gt;9,0,SUM(O1195:O1204)/(COUNTIF(H1195:H1204,"SI")))</f>
        <v>469.09749999999997</v>
      </c>
      <c r="P1206" s="511"/>
      <c r="Q1206" s="511"/>
      <c r="R1206" s="530"/>
      <c r="S1206" s="530"/>
      <c r="T1206" s="531"/>
      <c r="U1206" s="532"/>
      <c r="V1206" s="533"/>
      <c r="W1206" s="285"/>
      <c r="X1206" s="613" t="e">
        <f>COUNTIF(#REF!,"")-COUNTIF(#REF!,"CUMPLE")-1</f>
        <v>#REF!</v>
      </c>
      <c r="Y1206" s="591"/>
      <c r="AB1206" s="28"/>
    </row>
    <row r="1207" spans="1:29" ht="17.25" customHeight="1">
      <c r="B1207" s="50"/>
      <c r="C1207" s="50"/>
      <c r="D1207" s="50"/>
      <c r="E1207" s="50"/>
      <c r="F1207" s="50"/>
      <c r="G1207" s="51"/>
      <c r="H1207" s="51"/>
      <c r="I1207" s="51"/>
      <c r="J1207" s="51"/>
      <c r="K1207" s="51"/>
      <c r="L1207" s="51"/>
      <c r="M1207" s="51"/>
      <c r="N1207" s="51"/>
      <c r="O1207" s="51"/>
      <c r="P1207" s="51"/>
      <c r="Q1207" s="51"/>
      <c r="R1207" s="51"/>
      <c r="S1207" s="51"/>
      <c r="T1207" s="51"/>
      <c r="U1207" s="51"/>
      <c r="V1207" s="51"/>
      <c r="W1207" s="51"/>
      <c r="X1207" s="608"/>
      <c r="Y1207" s="51"/>
      <c r="Z1207" s="51"/>
      <c r="AA1207" s="51"/>
      <c r="AB1207" s="51"/>
      <c r="AC1207" s="50"/>
    </row>
    <row r="1208" spans="1:29" s="27" customFormat="1" ht="16.5" customHeight="1" thickBot="1">
      <c r="A1208" s="22"/>
      <c r="B1208" s="783" t="s">
        <v>389</v>
      </c>
      <c r="C1208" s="783"/>
      <c r="D1208" s="783"/>
      <c r="E1208" s="783"/>
      <c r="F1208" s="783"/>
      <c r="G1208" s="783"/>
      <c r="H1208" s="783"/>
      <c r="I1208" s="783"/>
      <c r="J1208" s="783"/>
      <c r="K1208" s="783"/>
      <c r="L1208" s="783"/>
      <c r="M1208" s="783"/>
      <c r="N1208" s="783"/>
      <c r="O1208" s="783"/>
      <c r="P1208" s="783"/>
      <c r="Q1208" s="783"/>
      <c r="R1208" s="783"/>
      <c r="S1208" s="783"/>
      <c r="T1208" s="783"/>
      <c r="U1208" s="783"/>
      <c r="V1208" s="783"/>
      <c r="W1208" s="286"/>
      <c r="X1208" s="607"/>
      <c r="Y1208" s="52"/>
      <c r="Z1208" s="52"/>
      <c r="AA1208" s="52"/>
      <c r="AB1208" s="28"/>
      <c r="AC1208" s="28"/>
    </row>
    <row r="1209" spans="1:29" s="30" customFormat="1" ht="22.5" customHeight="1">
      <c r="A1209" s="112" t="str">
        <f>"K"&amp;E1191</f>
        <v>K40</v>
      </c>
      <c r="B1209" s="790" t="s">
        <v>390</v>
      </c>
      <c r="C1209" s="772" t="s">
        <v>391</v>
      </c>
      <c r="D1209" s="773"/>
      <c r="E1209" s="773"/>
      <c r="F1209" s="773"/>
      <c r="G1209" s="773"/>
      <c r="H1209" s="773"/>
      <c r="I1209" s="773"/>
      <c r="J1209" s="773"/>
      <c r="K1209" s="773"/>
      <c r="L1209" s="773"/>
      <c r="M1209" s="774"/>
      <c r="N1209" s="525"/>
      <c r="O1209" s="588"/>
      <c r="P1209" s="772" t="s">
        <v>392</v>
      </c>
      <c r="Q1209" s="773"/>
      <c r="R1209" s="773"/>
      <c r="S1209" s="774"/>
      <c r="T1209" s="784" t="s">
        <v>393</v>
      </c>
      <c r="U1209" s="774"/>
      <c r="V1209" s="811"/>
      <c r="W1209" s="284"/>
      <c r="X1209" s="778" t="s">
        <v>394</v>
      </c>
      <c r="Y1209" s="779"/>
      <c r="Z1209" s="779"/>
      <c r="AA1209" s="779" t="s">
        <v>395</v>
      </c>
      <c r="AB1209" s="808" t="s">
        <v>396</v>
      </c>
      <c r="AC1209" s="28"/>
    </row>
    <row r="1210" spans="1:29" s="30" customFormat="1" ht="22.5" customHeight="1">
      <c r="A1210" s="112" t="str">
        <f>"L"&amp;E1191</f>
        <v>L40</v>
      </c>
      <c r="B1210" s="791"/>
      <c r="C1210" s="769" t="s">
        <v>397</v>
      </c>
      <c r="D1210" s="770"/>
      <c r="E1210" s="771"/>
      <c r="F1210" s="512">
        <f>IF(VLOOKUP(E1191,PROPONENTES!$C$19:$E$108,3,0)="","",VLOOKUP(E1191,PROPONENTES!$C$19:$E$108,3,0))</f>
        <v>2</v>
      </c>
      <c r="G1210" s="824" t="s">
        <v>398</v>
      </c>
      <c r="H1210" s="793" t="s">
        <v>399</v>
      </c>
      <c r="I1210" s="793"/>
      <c r="J1210" s="769" t="s">
        <v>400</v>
      </c>
      <c r="K1210" s="823"/>
      <c r="L1210" s="513" t="s">
        <v>401</v>
      </c>
      <c r="M1210" s="513"/>
      <c r="N1210" s="526"/>
      <c r="O1210" s="527"/>
      <c r="P1210" s="775"/>
      <c r="Q1210" s="776"/>
      <c r="R1210" s="776"/>
      <c r="S1210" s="777"/>
      <c r="T1210" s="796"/>
      <c r="U1210" s="797"/>
      <c r="V1210" s="812"/>
      <c r="W1210" s="284"/>
      <c r="X1210" s="780" t="s">
        <v>402</v>
      </c>
      <c r="Y1210" s="810" t="s">
        <v>403</v>
      </c>
      <c r="Z1210" s="810"/>
      <c r="AA1210" s="810"/>
      <c r="AB1210" s="809"/>
      <c r="AC1210" s="28"/>
    </row>
    <row r="1211" spans="1:29" s="30" customFormat="1" ht="51.75" customHeight="1" thickBot="1">
      <c r="A1211" s="112" t="str">
        <f>"M"&amp;E1191</f>
        <v>M40</v>
      </c>
      <c r="B1211" s="791"/>
      <c r="C1211" s="770" t="s">
        <v>404</v>
      </c>
      <c r="D1211" s="771"/>
      <c r="E1211" s="514" t="s">
        <v>405</v>
      </c>
      <c r="F1211" s="515" t="s">
        <v>406</v>
      </c>
      <c r="G1211" s="824"/>
      <c r="H1211" s="793"/>
      <c r="I1211" s="793"/>
      <c r="J1211" s="504" t="s">
        <v>407</v>
      </c>
      <c r="K1211" s="516" t="s">
        <v>408</v>
      </c>
      <c r="L1211" s="517" t="s">
        <v>409</v>
      </c>
      <c r="M1211" s="517"/>
      <c r="N1211" s="528" t="s">
        <v>410</v>
      </c>
      <c r="O1211" s="529"/>
      <c r="P1211" s="386"/>
      <c r="Q1211" s="387" t="s">
        <v>411</v>
      </c>
      <c r="R1211" s="388"/>
      <c r="S1211" s="113">
        <f>COUNTIFS(H1195:H1204,"SI",O1195:O1204,"&gt;0")</f>
        <v>2</v>
      </c>
      <c r="T1211" s="785"/>
      <c r="U1211" s="787"/>
      <c r="V1211" s="813"/>
      <c r="W1211" s="284"/>
      <c r="X1211" s="780"/>
      <c r="Y1211" s="810"/>
      <c r="Z1211" s="810"/>
      <c r="AA1211" s="810"/>
      <c r="AB1211" s="809"/>
      <c r="AC1211" s="28"/>
    </row>
    <row r="1212" spans="1:29" s="30" customFormat="1" ht="15.75" customHeight="1">
      <c r="A1212" s="112" t="str">
        <f>"N"&amp;E1191</f>
        <v>N40</v>
      </c>
      <c r="B1212" s="791"/>
      <c r="C1212" s="54">
        <v>1</v>
      </c>
      <c r="D1212" s="100" t="str">
        <f>IF(AND(C1212&lt;=F1210,F1210&gt;1,F1210&lt;&gt;""),VLOOKUP(VALUE(E1191&amp;","&amp;C1212),INTEGRANTES!$D$19:$F$192,2,0),"")</f>
        <v>TOP SUELOS INGENIERIA SAS</v>
      </c>
      <c r="E1212" s="107">
        <f>IF(D1212&lt;&gt;"",VLOOKUP(VALUE(E1191&amp;","&amp;C1212),INTEGRANTES!$D$19:$F$192,3,0),"")</f>
        <v>0.25</v>
      </c>
      <c r="F1212" s="380">
        <f>IF(D1212="","",IF(OR(SUMIF($J1195:$J1204,D1212,$O1195:$O1204)=0,N1212="NO"),"NO APORTA",SUMIF($J1195:$J1204,D1212,$O1195:$O1204)))</f>
        <v>882.78</v>
      </c>
      <c r="G1212" s="380">
        <f ca="1">IF($D1212="","",IF($F1210&lt;=1,"",ROUND(POSMMLV*PORPO,2)))</f>
        <v>150</v>
      </c>
      <c r="H1212" s="765" t="str">
        <f ca="1">IF($D1212="","",IF(OR(F1212="NO APORTA",G1212&gt;F1212),"NO CUMPLE","CUMPLE"))</f>
        <v>CUMPLE</v>
      </c>
      <c r="I1212" s="766"/>
      <c r="J1212" s="108" t="str">
        <f ca="1">IF(D1212="","",IF(OR(AND(SUMIF($J1195:$J1204,D1212,$O1195:$O1204)&gt;=5%*POSMMLV,N1212="SI"),AND(SUMIF($J1195:$J1204,D1212,$O1195:$O1204)=0,E1212&lt;=5%,N1212="SI")),"CUMPLE","NO CUMPLE"))</f>
        <v>CUMPLE</v>
      </c>
      <c r="K1212" s="105" t="str">
        <f ca="1">IF(OR(D1212="",J1212=""),"",IF(AND(J1212="NO CUMPLE",F1212="NO APORTA",E1212&gt;5%),"EXP = 0 y PART &gt; 5%",IF(F1212&lt;5%*Q1217,"EXP &lt; 5%*PO","")))</f>
        <v/>
      </c>
      <c r="L1212" s="389" t="str">
        <f>IF(OR(D1212="",E1212=""),"",IF(AND(E1212&gt;=0.25,F1212&lt;&gt;"NO APORTA",F1212&gt;=$R1217*0.25),"SI","NO"))</f>
        <v>SI</v>
      </c>
      <c r="M1212" s="389"/>
      <c r="N1212" s="468" t="s">
        <v>385</v>
      </c>
      <c r="O1212" s="396">
        <f>COUNTIFS(O1195:O1204,"&gt;0",H1195:H1204,"SI")</f>
        <v>2</v>
      </c>
      <c r="P1212" s="814" t="s">
        <v>139</v>
      </c>
      <c r="Q1212" s="814"/>
      <c r="R1212" s="817">
        <f>E1191</f>
        <v>40</v>
      </c>
      <c r="S1212" s="818"/>
      <c r="T1212" s="784" t="s">
        <v>412</v>
      </c>
      <c r="U1212" s="773"/>
      <c r="V1212" s="774"/>
      <c r="W1212" s="283"/>
      <c r="X1212" s="542" t="str">
        <f>IF($F1210=1,"NO APLICA",$D1212)</f>
        <v>TOP SUELOS INGENIERIA SAS</v>
      </c>
      <c r="Y1212" s="543">
        <f ca="1">IF(OR($F1212="",$F1212="NO APORTA",$R1217=0,$X1212="NO APLICA"),"",ROUND($F1212/$Q1217,2))</f>
        <v>2.94</v>
      </c>
      <c r="Z1212" s="544" t="str">
        <f ca="1">IF(Y1218=1,"SI APLICA",IF(OR($X1212="",$X1212="NO APLICA",$F1212="",$F1212="NO APORTA"),"",IF(ROUND($F1212/Q1217,7)&gt;=0.4,"SI APLICA","NO APLICA")))</f>
        <v>SI APLICA</v>
      </c>
      <c r="AA1212" s="543" t="s">
        <v>413</v>
      </c>
      <c r="AB1212" s="540" t="str">
        <f ca="1">IF(COUNTIF(Z1212:AA1212,"SI APLICA")=2,"SI APLICA","")</f>
        <v>SI APLICA</v>
      </c>
      <c r="AC1212" s="28"/>
    </row>
    <row r="1213" spans="1:29" s="30" customFormat="1" ht="27.75" customHeight="1" thickBot="1">
      <c r="A1213" s="112" t="str">
        <f>"O"&amp;E1191</f>
        <v>O40</v>
      </c>
      <c r="B1213" s="791"/>
      <c r="C1213" s="54">
        <v>2</v>
      </c>
      <c r="D1213" s="100" t="str">
        <f>IF(AND(C1213&lt;=F1210,F1210&lt;&gt;""),VLOOKUP(VALUE(E1191&amp;","&amp;C1213),INTEGRANTES!$D$19:$F$192,2,0),"")</f>
        <v>GHF INGENIERIAS Y CONSTRUCCIONES S.A.S</v>
      </c>
      <c r="E1213" s="107">
        <f>IF(D1213&lt;&gt;"",VLOOKUP(VALUE(E1191&amp;","&amp;C1213),INTEGRANTES!$D$19:$F$192,3,0),"")</f>
        <v>0.75</v>
      </c>
      <c r="F1213" s="380">
        <f>IF(D1213="","",IF(OR(SUMIF($J1195:$J1204,D1213,$O1195:$O1204)=0,N1213="NO"),"NO APORTA",SUMIF($J1195:$J1204,D1213,$O1195:$O1204)))</f>
        <v>55.414999999999999</v>
      </c>
      <c r="G1213" s="380">
        <f ca="1">IF($D1213="","",IF($F1210&lt;=1,"",ROUND(POSMMLV*PORPO,2)))</f>
        <v>150</v>
      </c>
      <c r="H1213" s="765" t="str">
        <f t="shared" ref="H1213:H1216" ca="1" si="242">IF($D1213="","",IF(OR(F1213="NO APORTA",G1213&gt;F1213),"NO CUMPLE","CUMPLE"))</f>
        <v>NO CUMPLE</v>
      </c>
      <c r="I1213" s="766"/>
      <c r="J1213" s="108" t="str">
        <f ca="1">IF(D1213="","",IF(OR(AND(SUMIF($J1195:$J1204,D1213,$O1195:$O1204)&gt;=5%*POSMMLV,N1213="SI"),AND(SUMIF($J1195:$J1204,D1213,$O1195:$O1204)=0,E1213&lt;=5%,N1213="SI")),"CUMPLE","NO CUMPLE"))</f>
        <v>CUMPLE</v>
      </c>
      <c r="K1213" s="105" t="str">
        <f ca="1">IF(OR(D1213="",J1213=""),"",IF(AND(J1213="NO CUMPLE",F1213="NO APORTA",E1213&gt;5%),"EXP = 0 y PART &gt; 5%",IF(F1213&lt;5%*Q1217,"EXP &lt; 5%*PO","")))</f>
        <v/>
      </c>
      <c r="L1213" s="389" t="str">
        <f>IF(OR(D1213="",E1213=""),"",IF(AND(E1213&gt;=0.25,F1213&lt;&gt;"NO APORTA",F1213&gt;=$R1217*0.25),"SI","NO"))</f>
        <v>NO</v>
      </c>
      <c r="M1213" s="389"/>
      <c r="N1213" s="468" t="s">
        <v>385</v>
      </c>
      <c r="O1213" s="396"/>
      <c r="P1213" s="815"/>
      <c r="Q1213" s="815"/>
      <c r="R1213" s="815"/>
      <c r="S1213" s="819"/>
      <c r="T1213" s="785"/>
      <c r="U1213" s="786"/>
      <c r="V1213" s="787"/>
      <c r="W1213" s="283"/>
      <c r="X1213" s="542" t="str">
        <f>IF($F1210=1,"NO APLICA",$D1213)</f>
        <v>GHF INGENIERIAS Y CONSTRUCCIONES S.A.S</v>
      </c>
      <c r="Y1213" s="543">
        <f ca="1">IF(OR($F1213="",$F1213="NO APORTA",$R1217=0,$X1213="NO APLICA"),"",ROUND($F1213/$Q1217,2))</f>
        <v>0.18</v>
      </c>
      <c r="Z1213" s="544" t="str">
        <f ca="1">IF(Y1218=1,"SI APLICA",IF(OR($X1213="",$X1213="NO APLICA",$F1213="",$F1213="NO APORTA"),"",IF(ROUND($F1213/Q1217,7)&gt;=0.4,"SI APLICA","NO APLICA")))</f>
        <v>NO APLICA</v>
      </c>
      <c r="AA1213" s="543" t="s">
        <v>516</v>
      </c>
      <c r="AB1213" s="540" t="str">
        <f t="shared" ref="AB1213" ca="1" si="243">IF(COUNTIF(Z1213:AA1213,"SI APLICA")=2,"SI APLICA","")</f>
        <v/>
      </c>
      <c r="AC1213" s="28"/>
    </row>
    <row r="1214" spans="1:29" s="30" customFormat="1" ht="15.75" customHeight="1">
      <c r="A1214" s="112" t="str">
        <f>"P"&amp;E1191</f>
        <v>P40</v>
      </c>
      <c r="B1214" s="791"/>
      <c r="C1214" s="54">
        <v>3</v>
      </c>
      <c r="D1214" s="100" t="str">
        <f>IF(AND(C1214&lt;=F1210,F1210&lt;&gt;""),VLOOKUP(VALUE(E1191&amp;","&amp;C1214),INTEGRANTES!$D$19:$F$192,2,0),"")</f>
        <v/>
      </c>
      <c r="E1214" s="107" t="str">
        <f>IF(D1214&lt;&gt;"",VLOOKUP(VALUE(E1191&amp;","&amp;C1214),INTEGRANTES!$D$19:$F$192,3,0),"")</f>
        <v/>
      </c>
      <c r="F1214" s="380" t="str">
        <f>IF(D1214="","",IF(OR(SUMIF($J1198:$J1204,D1214,$O1198:$O1204)=0,N1214="NO"),"NO APORTA",SUMIF($J1198:$J1204,D1214,$O1198:$O1204)))</f>
        <v/>
      </c>
      <c r="G1214" s="380" t="str">
        <f>IF($D1214="","",IF($F1210&lt;=1,"",ROUND(POSMMLV*PORPO,2)))</f>
        <v/>
      </c>
      <c r="H1214" s="765" t="str">
        <f t="shared" si="242"/>
        <v/>
      </c>
      <c r="I1214" s="766"/>
      <c r="J1214" s="108" t="str">
        <f>IF(D1214="","",IF(OR(AND(SUMIF($J1195:$J1204,D1214,$O1195:$O1204)&gt;=5%*POSMMLV,N1214="SI"),AND(SUMIF($J1195:$J1204,D1214,$O1195:$O1204)=0,E1214&lt;=5%,N1214="SI")),"CUMPLE","NO CUMPLE"))</f>
        <v/>
      </c>
      <c r="K1214" s="105" t="str">
        <f>IF(OR(D1214="",J1214=""),"",IF(AND(J1214="NO CUMPLE",F1214="NO APORTA",E1214&gt;5%),"EXP = 0 y PART &gt; 5%",IF(F1214&lt;5%*Q1217,"EXP &lt; 5%*PO","")))</f>
        <v/>
      </c>
      <c r="L1214" s="389" t="str">
        <f>IF(OR(D1214="",E1214=""),"",IF(AND(E1214&gt;=0.25,F1214&lt;&gt;"NO APORTA",F1214&gt;=$R1217*0.25),"SI","NO"))</f>
        <v/>
      </c>
      <c r="M1214" s="389"/>
      <c r="N1214" s="468"/>
      <c r="O1214" s="397"/>
      <c r="P1214" s="816"/>
      <c r="Q1214" s="816"/>
      <c r="R1214" s="816"/>
      <c r="S1214" s="820"/>
      <c r="T1214" s="308"/>
      <c r="U1214" s="308"/>
      <c r="V1214" s="309"/>
      <c r="W1214" s="284"/>
      <c r="X1214" s="542" t="str">
        <f>IF($F1210=1,"NO APLICA",$D1214)</f>
        <v/>
      </c>
      <c r="Y1214" s="543" t="str">
        <f>IF(OR($F1214="",$F1214="NO APORTA",$R1217=0,$X1214="NO APLICA"),"",ROUND($F1214/$Q1217,2))</f>
        <v/>
      </c>
      <c r="Z1214" s="544" t="str">
        <f>IF(Y1218=1,"SI APLICA",IF(OR($X1214="",$X1214="NO APLICA",$F1214="",$F1214="NO APORTA"),"",IF(ROUND($F1214/Q1217,7)&gt;=0.4,"SI APLICA","NO APLICA")))</f>
        <v/>
      </c>
      <c r="AA1214" s="543"/>
      <c r="AB1214" s="540" t="str">
        <f>IF(COUNTIF(Z1214:AA1214,"SI APLICA")=2,"SI APLICA","")</f>
        <v/>
      </c>
      <c r="AC1214" s="28"/>
    </row>
    <row r="1215" spans="1:29" s="30" customFormat="1" ht="15.75" customHeight="1">
      <c r="A1215" s="112" t="str">
        <f>"Q"&amp;E1191</f>
        <v>Q40</v>
      </c>
      <c r="B1215" s="791"/>
      <c r="C1215" s="54">
        <v>4</v>
      </c>
      <c r="D1215" s="100" t="str">
        <f>IF(AND(C1215&lt;=F1210,F1210&lt;&gt;""),VLOOKUP(VALUE(E1191&amp;","&amp;C1215),INTEGRANTES!$D$19:$F$192,2,0),"")</f>
        <v/>
      </c>
      <c r="E1215" s="107" t="str">
        <f>IF(D1215&lt;&gt;"",VLOOKUP(VALUE(E1191&amp;","&amp;C1215),INTEGRANTES!$D$19:$F$192,3,0),"")</f>
        <v/>
      </c>
      <c r="F1215" s="380" t="str">
        <f>IF(D1215="","",IF(OR(SUMIF($J1198:$J1204,D1215,$O1198:$O1204)=0,N1215="NO"),"NO APORTA",SUMIF($J1198:$J1204,D1215,$O1198:$O1204)))</f>
        <v/>
      </c>
      <c r="G1215" s="380" t="str">
        <f>IF($D1215="","",IF($F1210&lt;=1,"",ROUND(POSMMLV*PORPO,2)))</f>
        <v/>
      </c>
      <c r="H1215" s="765" t="str">
        <f t="shared" si="242"/>
        <v/>
      </c>
      <c r="I1215" s="766"/>
      <c r="J1215" s="108" t="str">
        <f>IF(D1215="","",IF(OR(AND(SUMIF($J1195:$J1204,D1215,$O1195:$O1204)&gt;=5%*POSMMLV,N1215="SI"),AND(SUMIF($J1195:$J1204,D1215,$O1195:$O1204)=0,E1215&lt;=5%,N1215="SI")),"CUMPLE","NO CUMPLE"))</f>
        <v/>
      </c>
      <c r="K1215" s="105" t="str">
        <f>IF(OR(D1215="",J1215=""),"",IF(AND(J1215="NO CUMPLE",F1215="NO APORTA",E1215&gt;5%),"EXP = 0 y PART &gt; 5%",IF(F1215&lt;5%*Q1217,"EXP &lt; 5%*PO","")))</f>
        <v/>
      </c>
      <c r="L1215" s="389" t="str">
        <f>IF(OR(D1215="",E1215=""),"",IF(AND(E1215&gt;=0.25,F1215&lt;&gt;"NO APORTA",F1215&gt;=$R1217*0.25),"SI","NO"))</f>
        <v/>
      </c>
      <c r="M1215" s="389"/>
      <c r="N1215" s="468"/>
      <c r="O1215" s="788" t="s">
        <v>414</v>
      </c>
      <c r="P1215" s="769" t="s">
        <v>415</v>
      </c>
      <c r="Q1215" s="770"/>
      <c r="R1215" s="770"/>
      <c r="S1215" s="771"/>
      <c r="T1215" s="284"/>
      <c r="U1215" s="284"/>
      <c r="V1215" s="310"/>
      <c r="W1215" s="284"/>
      <c r="X1215" s="542" t="str">
        <f>IF($F1210=1,"NO APLICA",$D1215)</f>
        <v/>
      </c>
      <c r="Y1215" s="543" t="str">
        <f>IF(OR($F1215="",$F1215="NO APORTA",$R1217=0,$X1215="NO APLICA"),"",ROUND($F1215/$Q1217,2))</f>
        <v/>
      </c>
      <c r="Z1215" s="544" t="str">
        <f>IF(Y1218=1,"SI APLICA",IF(OR($X1215="",$X1215="NO APLICA",$F1215="",$F1215="NO APORTA"),"",IF(ROUND($F1215/Q1217,7)&gt;=0.4,"SI APLICA","NO APLICA")))</f>
        <v/>
      </c>
      <c r="AA1215" s="543"/>
      <c r="AB1215" s="540" t="str">
        <f t="shared" ref="AB1215:AB1216" si="244">IF(COUNTIF(Z1215:AA1215,"SI APLICA")=2,"SI APLICA","")</f>
        <v/>
      </c>
      <c r="AC1215" s="28"/>
    </row>
    <row r="1216" spans="1:29" s="30" customFormat="1" ht="17.25" customHeight="1">
      <c r="A1216" s="112" t="str">
        <f>"R"&amp;E1191</f>
        <v>R40</v>
      </c>
      <c r="B1216" s="791"/>
      <c r="C1216" s="54">
        <v>5</v>
      </c>
      <c r="D1216" s="100" t="str">
        <f>IF(AND(C1216&lt;=F1210,F1210&lt;&gt;""),VLOOKUP(VALUE(E1191&amp;","&amp;C1216),INTEGRANTES!$D$19:$F$192,2,0),"")</f>
        <v/>
      </c>
      <c r="E1216" s="107" t="str">
        <f>IF(D1216&lt;&gt;"",VLOOKUP(VALUE(E1191&amp;","&amp;C1216),INTEGRANTES!$D$19:$F$192,3,0),"")</f>
        <v/>
      </c>
      <c r="F1216" s="380" t="str">
        <f>IF(D1216="","",IF(OR(SUMIF($J1198:$J1204,D1216,$O1198:$O1204)=0,N1216="NO"),"NO APORTA",SUMIF($J1198:$J1204,D1216,$O1198:$O1204)))</f>
        <v/>
      </c>
      <c r="G1216" s="380" t="str">
        <f>IF($D1216="","",IF($F1210&lt;=1,"",ROUND(POSMMLV*PORPO,2)))</f>
        <v/>
      </c>
      <c r="H1216" s="765" t="str">
        <f t="shared" si="242"/>
        <v/>
      </c>
      <c r="I1216" s="766"/>
      <c r="J1216" s="108" t="str">
        <f>IF(D1216="","",IF(OR(AND(SUMIF($J1195:$J1204,D1216,$O1195:$O1204)&gt;=5%*POSMMLV,N1216="SI"),AND(SUMIF($J1195:$J1204,D1216,$O1195:$O1204)=0,E1216&lt;=5%,N1216="SI")),"CUMPLE","NO CUMPLE"))</f>
        <v/>
      </c>
      <c r="K1216" s="105" t="str">
        <f>IF(OR(D1216="",J1216=""),"",IF(AND(J1216="NO CUMPLE",F1216="NO APORTA",E1216&gt;5%),"EXP = 0 y PART &gt; 5%",IF(F1216&lt;5%*Q1217,"EXP &lt; 5%*PO","")))</f>
        <v/>
      </c>
      <c r="L1216" s="389" t="str">
        <f>IF(OR(D1216="",E1216=""),"",IF(AND(E1216&gt;=0.25,F1216&lt;&gt;"NO APORTA",F1216&gt;=$R1217*0.25),"SI","NO"))</f>
        <v/>
      </c>
      <c r="M1216" s="389"/>
      <c r="N1216" s="468"/>
      <c r="O1216" s="789"/>
      <c r="P1216" s="504" t="s">
        <v>416</v>
      </c>
      <c r="Q1216" s="504" t="s">
        <v>417</v>
      </c>
      <c r="R1216" s="793" t="s">
        <v>418</v>
      </c>
      <c r="S1216" s="793"/>
      <c r="T1216" s="284"/>
      <c r="U1216" s="284"/>
      <c r="V1216" s="310"/>
      <c r="W1216" s="284"/>
      <c r="X1216" s="542" t="str">
        <f>IF($F1210=1,"NO APLICA",$D1216)</f>
        <v/>
      </c>
      <c r="Y1216" s="543" t="str">
        <f>IF(OR($F1216="",$F1216="NO APORTA",$R1217=0,$X1216="NO APLICA"),"",ROUND($F1216/$Q1217,2))</f>
        <v/>
      </c>
      <c r="Z1216" s="544" t="str">
        <f>IF(Y1218=1,"SI APLICA",IF(OR($X1216="",$X1216="NO APLICA",$F1216="",$F1216="NO APORTA"),"",IF(ROUND($F1216/Q1217,7)&gt;=0.4,"SI APLICA","NO APLICA")))</f>
        <v/>
      </c>
      <c r="AA1216" s="543"/>
      <c r="AB1216" s="540" t="str">
        <f t="shared" si="244"/>
        <v/>
      </c>
      <c r="AC1216" s="28"/>
    </row>
    <row r="1217" spans="1:29" s="30" customFormat="1" ht="16.5" customHeight="1" thickBot="1">
      <c r="A1217" s="112" t="str">
        <f>"S"&amp;E1191</f>
        <v>S40</v>
      </c>
      <c r="B1217" s="791"/>
      <c r="C1217" s="109">
        <v>6</v>
      </c>
      <c r="D1217" s="110" t="str">
        <f>IF(AND(C1217&lt;=F1210,F1210&lt;&gt;""),VLOOKUP(VALUE(E1191&amp;","&amp;C1217),INTEGRANTES!$D$19:$F$192,2,0),"")</f>
        <v/>
      </c>
      <c r="E1217" s="111" t="str">
        <f>IF(D1217&lt;&gt;"",VLOOKUP(VALUE(E1191&amp;","&amp;C1217),INTEGRANTES!$D$19:$F$192,3,0),"")</f>
        <v/>
      </c>
      <c r="F1217" s="380" t="str">
        <f>IF(D1217="","",IF(OR(SUMIF($J1198:$J1204,D1217,$O1198:$O1204)=0,N1217="NO"),"NO APORTA",SUMIF($J1198:$J1204,D1217,$O1198:$O1204)))</f>
        <v/>
      </c>
      <c r="G1217" s="380" t="str">
        <f>IF($D1217="","",IF($F1210&lt;=1,"",ROUND(POSMMLV*PORPO,2)))</f>
        <v/>
      </c>
      <c r="H1217" s="765" t="str">
        <f>IF($D1217="","",IF(OR(F1217="NO APORTA",G1217&gt;F1217),"NO CUMPLE","CUMPLE"))</f>
        <v/>
      </c>
      <c r="I1217" s="766"/>
      <c r="J1217" s="108" t="str">
        <f>IF(D1217="","",IF(OR(AND(SUMIF($J1195:$J1204,D1217,$O1195:$O1204)&gt;=5%*POSMMLV,N1217="SI"),AND(SUMIF($J1195:$J1204,D1217,$O1195:$O1204)=0,E1217&lt;=5%,N1217="SI")),"CUMPLE","NO CUMPLE"))</f>
        <v/>
      </c>
      <c r="K1217" s="105" t="str">
        <f>IF(OR(D1217="",J1217=""),"",IF(AND(J1217="NO CUMPLE",F1217="NO APORTA",E1217&gt;5%),"EXP = 0 y PART &gt; 5%",IF(F1217&lt;5%*Q1217,"EXP &lt; 5%*PO","")))</f>
        <v/>
      </c>
      <c r="L1217" s="389" t="str">
        <f>IF(OR(D1217="",E1217=""),"",IF(AND(E1217&gt;=0.25,F1217&lt;&gt;"NO APORTA",F1217&gt;=$R1217*0.25),"SI","NO"))</f>
        <v/>
      </c>
      <c r="M1217" s="389"/>
      <c r="N1217" s="468"/>
      <c r="O1217" s="403" t="str">
        <f ca="1">IF(R1217&gt;=Q1217,"CUMPLE","NO CUMPLE")</f>
        <v>CUMPLE</v>
      </c>
      <c r="P1217" s="312">
        <f>NUMMOD</f>
        <v>1</v>
      </c>
      <c r="Q1217" s="313">
        <f ca="1">IF(P1217="","",ROUND(VLOOKUP(P1217,PRESUPUESTOS!$B$16:$L$16,9,FALSE),7))</f>
        <v>300</v>
      </c>
      <c r="R1217" s="834">
        <f>IF(OR(COUNTIF(O1195:O1204,"")&gt;9,S1211&lt;NUMMINCONT),0,SUM(O1195:O1204))</f>
        <v>938.19499999999994</v>
      </c>
      <c r="S1217" s="834"/>
      <c r="T1217" s="284"/>
      <c r="U1217" s="284"/>
      <c r="V1217" s="310"/>
      <c r="W1217" s="284"/>
      <c r="X1217" s="545" t="str">
        <f>IF($F1210=1,"NO APLICA",$D1217)</f>
        <v/>
      </c>
      <c r="Y1217" s="543" t="str">
        <f>IF(OR($F1217="",$F1217="NO APORTA",$R1217=0,$X1217="NO APLICA"),"",ROUND($F1217/$Q1217,2))</f>
        <v/>
      </c>
      <c r="Z1217" s="544" t="str">
        <f>IF(Y1218=1,"SI APLICA",IF(OR($X1217="",$X1217="NO APLICA",$F1217="",$F1217="NO APORTA"),"",IF(ROUND($F1217/Q1217,7)&gt;=0.4,"SI APLICA","NO APLICA")))</f>
        <v/>
      </c>
      <c r="AA1217" s="546"/>
      <c r="AB1217" s="540" t="str">
        <f>IF(COUNTIF(Z1217:AA1217,"SI APLICA")=2,"SI APLICA","")</f>
        <v/>
      </c>
      <c r="AC1217" s="28"/>
    </row>
    <row r="1218" spans="1:29" s="30" customFormat="1" ht="16.5" customHeight="1" thickBot="1">
      <c r="A1218" s="112" t="str">
        <f>"T"&amp;E1191</f>
        <v>T40</v>
      </c>
      <c r="B1218" s="792"/>
      <c r="C1218" s="821" t="s">
        <v>419</v>
      </c>
      <c r="D1218" s="822"/>
      <c r="E1218" s="822"/>
      <c r="F1218" s="518"/>
      <c r="G1218" s="519"/>
      <c r="H1218" s="794" t="str">
        <f ca="1">IF(OR($F1210="",SUM(E1212:E1217)=0),"",IF(COUNTIF(H1212:H1217,"CUMPLE")&gt;=1,"CUMPLE","NO CUMPLE"))</f>
        <v>CUMPLE</v>
      </c>
      <c r="I1218" s="795"/>
      <c r="J1218" s="314" t="str">
        <f ca="1">IF(COUNTIF(J1212:J1217,"")&gt;5,"",IF(COUNTIF(J1212:J1217,"NO CUMPLE")&gt;0,"NO CUMPLE","CUMPLE"))</f>
        <v>CUMPLE</v>
      </c>
      <c r="K1218" s="314" t="str">
        <f ca="1">IF(OR(AND(F1210=1,N1212="SI"),AND(COUNTIF(H1218:J1218,"CUMPLE")=2)),"CUMPLE","NO CUMPLE")</f>
        <v>CUMPLE</v>
      </c>
      <c r="L1218" s="519"/>
      <c r="M1218" s="519"/>
      <c r="N1218" s="519"/>
      <c r="O1218" s="833" t="str">
        <f ca="1">IF(ISNUMBER(F1191),"",IF(AND(O1217="NO CUMPLE",SUM(N1198:N1204)&lt;Q1217),"EL PROPONENTE SE DEBE REQUERIR POR EXPERIENCIA MINIMA EXIGIDA",""))</f>
        <v/>
      </c>
      <c r="P1218" s="833"/>
      <c r="Q1218" s="833"/>
      <c r="R1218" s="833"/>
      <c r="S1218" s="833"/>
      <c r="T1218" s="522"/>
      <c r="U1218" s="523"/>
      <c r="V1218" s="524"/>
      <c r="W1218" s="284"/>
      <c r="X1218" s="364" t="str">
        <f>IF(Y1218=1,"PROPONENTE INDIVIDUAL","PROPONENTE PLURAL")</f>
        <v>PROPONENTE PLURAL</v>
      </c>
      <c r="Y1218" s="276">
        <f>F1210</f>
        <v>2</v>
      </c>
      <c r="Z1218" s="277" t="str">
        <f ca="1">IF(OR(AND(Z1212="SI APLICA",AA1212="SI APLICA"),AND(Z1213="SI APLICA",AA1213="SI APLICA"),AND(Z1214="SI APLICA",AA1214="SI APLICA"),AND(Z1215="SI APLICA",AA1215="SI APLICA"),AND(Z1216="SI APLICA",AA1216="SI APLICA"),AND(Z1217="SI APLICA",AA1217="SI APLICA")),"SI APLICA","NO APLICA")</f>
        <v>SI APLICA</v>
      </c>
      <c r="AA1218" s="278" t="str">
        <f ca="1">IF(OR(AND(AA1212="SI APLICA",AB1212="SI APLICA"),AND(AA1213="SI APLICA",AB1213="SI APLICA"),AND(AA1214="SI APLICA",AB1214="SI APLICA"),AND(AA1215="SI APLICA",AB1215="SI APLICA"),AND(AA1216="SI APLICA",AB1216="SI APLICA"),AND(AA1217="SI APLICA",AB1217="SI APLICA")),"SI APLICA","NO APLICA")</f>
        <v>SI APLICA</v>
      </c>
      <c r="AB1218" s="278" t="str">
        <f ca="1">IF(COUNTIF(AB1212:AB1217,"SI APLICA")&gt;0,"SI APLICA","NO APLICA")</f>
        <v>SI APLICA</v>
      </c>
      <c r="AC1218" s="28"/>
    </row>
    <row r="1219" spans="1:29" ht="24.95" customHeight="1"/>
    <row r="1220" spans="1:29" ht="24.95" customHeight="1"/>
    <row r="1221" spans="1:29" s="41" customFormat="1" ht="24" thickBot="1">
      <c r="A1221" s="34">
        <v>41</v>
      </c>
      <c r="B1221" s="828" t="s">
        <v>355</v>
      </c>
      <c r="C1221" s="828"/>
      <c r="D1221" s="828"/>
      <c r="E1221" s="35">
        <f>VLOOKUP(A1221,PROPONENTES!$B$19:$E$108,2,FALSE)</f>
        <v>41</v>
      </c>
      <c r="F1221" s="36" t="str">
        <f>VLOOKUP(A1221,PROPONENTES!$B$19:$E$108,3,FALSE)</f>
        <v>CONSORCIO SF</v>
      </c>
      <c r="G1221" s="37"/>
      <c r="H1221" s="37"/>
      <c r="I1221" s="36"/>
      <c r="J1221" s="36"/>
      <c r="K1221" s="36"/>
      <c r="L1221" s="36"/>
      <c r="M1221" s="38"/>
      <c r="N1221" s="38"/>
      <c r="O1221" s="37"/>
      <c r="P1221" s="37"/>
      <c r="Q1221" s="39"/>
      <c r="R1221" s="39"/>
      <c r="S1221" s="39"/>
      <c r="T1221" s="39"/>
      <c r="U1221" s="40"/>
      <c r="Y1221" s="52"/>
      <c r="Z1221" s="52"/>
      <c r="AA1221" s="52"/>
      <c r="AB1221" s="28"/>
      <c r="AC1221" s="28"/>
    </row>
    <row r="1222" spans="1:29" s="27" customFormat="1" ht="24.75" customHeight="1">
      <c r="A1222" s="22"/>
      <c r="B1222" s="829" t="s">
        <v>356</v>
      </c>
      <c r="C1222" s="501" t="s">
        <v>357</v>
      </c>
      <c r="D1222" s="502" t="s">
        <v>358</v>
      </c>
      <c r="E1222" s="502"/>
      <c r="F1222" s="502" t="s">
        <v>359</v>
      </c>
      <c r="G1222" s="503"/>
      <c r="H1222" s="803" t="s">
        <v>360</v>
      </c>
      <c r="I1222" s="831" t="s">
        <v>361</v>
      </c>
      <c r="J1222" s="803" t="s">
        <v>362</v>
      </c>
      <c r="K1222" s="803" t="s">
        <v>363</v>
      </c>
      <c r="L1222" s="803" t="s">
        <v>364</v>
      </c>
      <c r="M1222" s="803" t="s">
        <v>365</v>
      </c>
      <c r="N1222" s="804" t="s">
        <v>366</v>
      </c>
      <c r="O1222" s="805"/>
      <c r="P1222" s="806" t="s">
        <v>367</v>
      </c>
      <c r="Q1222" s="807"/>
      <c r="R1222" s="784" t="s">
        <v>368</v>
      </c>
      <c r="S1222" s="774"/>
      <c r="T1222" s="798" t="s">
        <v>369</v>
      </c>
      <c r="U1222" s="799"/>
      <c r="V1222" s="800"/>
      <c r="X1222" s="520"/>
      <c r="Y1222" s="520"/>
    </row>
    <row r="1223" spans="1:29" s="27" customFormat="1" ht="94.5" customHeight="1">
      <c r="A1223" s="22"/>
      <c r="B1223" s="830"/>
      <c r="C1223" s="504" t="s">
        <v>370</v>
      </c>
      <c r="D1223" s="505" t="s">
        <v>41</v>
      </c>
      <c r="E1223" s="505" t="s">
        <v>371</v>
      </c>
      <c r="F1223" s="505" t="s">
        <v>372</v>
      </c>
      <c r="G1223" s="506" t="s">
        <v>373</v>
      </c>
      <c r="H1223" s="793"/>
      <c r="I1223" s="832"/>
      <c r="J1223" s="793"/>
      <c r="K1223" s="793"/>
      <c r="L1223" s="793"/>
      <c r="M1223" s="793"/>
      <c r="N1223" s="504" t="s">
        <v>374</v>
      </c>
      <c r="O1223" s="505" t="s">
        <v>375</v>
      </c>
      <c r="P1223" s="801"/>
      <c r="Q1223" s="802"/>
      <c r="R1223" s="796"/>
      <c r="S1223" s="797"/>
      <c r="T1223" s="507" t="s">
        <v>376</v>
      </c>
      <c r="U1223" s="508" t="s">
        <v>377</v>
      </c>
      <c r="V1223" s="509" t="s">
        <v>378</v>
      </c>
      <c r="X1223" s="521" t="s">
        <v>379</v>
      </c>
      <c r="Y1223" s="521" t="s">
        <v>380</v>
      </c>
    </row>
    <row r="1224" spans="1:29" s="27" customFormat="1" ht="15" customHeight="1">
      <c r="A1224" s="22"/>
      <c r="B1224" s="594"/>
      <c r="C1224" s="595">
        <v>3</v>
      </c>
      <c r="D1224" s="595">
        <v>4</v>
      </c>
      <c r="E1224" s="595">
        <v>5</v>
      </c>
      <c r="F1224" s="595">
        <v>6</v>
      </c>
      <c r="G1224" s="595">
        <v>7</v>
      </c>
      <c r="H1224" s="595">
        <v>8</v>
      </c>
      <c r="I1224" s="595">
        <v>9</v>
      </c>
      <c r="J1224" s="595">
        <v>10</v>
      </c>
      <c r="K1224" s="595">
        <v>11</v>
      </c>
      <c r="L1224" s="595">
        <v>12</v>
      </c>
      <c r="M1224" s="595">
        <v>13</v>
      </c>
      <c r="N1224" s="595">
        <v>14</v>
      </c>
      <c r="O1224" s="595">
        <v>15</v>
      </c>
      <c r="P1224" s="596">
        <v>16</v>
      </c>
      <c r="Q1224" s="597">
        <v>17</v>
      </c>
      <c r="R1224" s="596">
        <v>18</v>
      </c>
      <c r="S1224" s="597">
        <v>19</v>
      </c>
      <c r="T1224" s="598">
        <v>20</v>
      </c>
      <c r="U1224" s="255">
        <v>21</v>
      </c>
      <c r="V1224" s="599">
        <v>22</v>
      </c>
      <c r="X1224" s="589"/>
      <c r="Y1224" s="590"/>
    </row>
    <row r="1225" spans="1:29" s="44" customFormat="1" ht="36.75" customHeight="1">
      <c r="A1225" s="42" t="str">
        <f>"A"&amp;E1221</f>
        <v>A41</v>
      </c>
      <c r="B1225" s="605">
        <f>IF(C1225&lt;&gt;"",B1224+1,"")</f>
        <v>1</v>
      </c>
      <c r="C1225" s="581" t="s">
        <v>584</v>
      </c>
      <c r="D1225" s="581" t="s">
        <v>705</v>
      </c>
      <c r="E1225" s="581" t="s">
        <v>706</v>
      </c>
      <c r="F1225" s="581" t="s">
        <v>431</v>
      </c>
      <c r="G1225" s="534">
        <v>0.5</v>
      </c>
      <c r="H1225" s="534" t="s">
        <v>385</v>
      </c>
      <c r="I1225" s="579">
        <v>1</v>
      </c>
      <c r="J1225" s="580" t="str">
        <f>IF(I1225="","",IF(I1225="I",$F1221,VLOOKUP(I1225,$C1242:$D1247,2,0)))</f>
        <v>SEMPAF INGENIERÍA S.A.S</v>
      </c>
      <c r="K1225" s="535">
        <v>42262</v>
      </c>
      <c r="L1225" s="535">
        <v>42460</v>
      </c>
      <c r="M1225" s="536">
        <v>209.32</v>
      </c>
      <c r="N1225" s="232">
        <f t="shared" ref="N1225:N1234" si="245">IF(OR(G1225="",M1225=""),"",M1225*G1225)</f>
        <v>104.66</v>
      </c>
      <c r="O1225" s="629">
        <f t="shared" ref="O1225:O1234" si="246">IF(OR(H1225="",H1225="NO",K1225&lt;$Q$17,K1225&gt;$R$17,K1225="",M1225="",N1225=""),"",ROUND(N1225,7))</f>
        <v>104.66</v>
      </c>
      <c r="P1225" s="781"/>
      <c r="Q1225" s="782"/>
      <c r="R1225" s="767"/>
      <c r="S1225" s="768"/>
      <c r="T1225" s="538" t="s">
        <v>385</v>
      </c>
      <c r="U1225" s="539">
        <v>66</v>
      </c>
      <c r="V1225" s="641" t="s">
        <v>385</v>
      </c>
      <c r="X1225" s="541" t="s">
        <v>423</v>
      </c>
      <c r="Y1225" s="541" t="s">
        <v>435</v>
      </c>
    </row>
    <row r="1226" spans="1:29" s="44" customFormat="1" ht="35.25" customHeight="1">
      <c r="A1226" s="42" t="str">
        <f>"B"&amp;E1221</f>
        <v>B41</v>
      </c>
      <c r="B1226" s="605">
        <f t="shared" ref="B1226:B1234" si="247">IF(C1226&lt;&gt;"",B1225+1,"")</f>
        <v>2</v>
      </c>
      <c r="C1226" s="581" t="s">
        <v>707</v>
      </c>
      <c r="D1226" s="581" t="s">
        <v>708</v>
      </c>
      <c r="E1226" s="581" t="s">
        <v>709</v>
      </c>
      <c r="F1226" s="581" t="s">
        <v>431</v>
      </c>
      <c r="G1226" s="534">
        <v>0.4</v>
      </c>
      <c r="H1226" s="534" t="s">
        <v>385</v>
      </c>
      <c r="I1226" s="579">
        <v>1</v>
      </c>
      <c r="J1226" s="580" t="str">
        <f>IF(I1226="","",IF(I1226="I",$F1221,VLOOKUP(I1226,$C1242:$D1247,2,0)))</f>
        <v>SEMPAF INGENIERÍA S.A.S</v>
      </c>
      <c r="K1226" s="535">
        <v>41483</v>
      </c>
      <c r="L1226" s="535">
        <v>42880</v>
      </c>
      <c r="M1226" s="536">
        <v>446.07</v>
      </c>
      <c r="N1226" s="232">
        <f t="shared" si="245"/>
        <v>178.428</v>
      </c>
      <c r="O1226" s="629">
        <f t="shared" si="246"/>
        <v>178.428</v>
      </c>
      <c r="P1226" s="781"/>
      <c r="Q1226" s="782"/>
      <c r="R1226" s="767"/>
      <c r="S1226" s="768"/>
      <c r="T1226" s="538" t="s">
        <v>385</v>
      </c>
      <c r="U1226" s="539">
        <v>69</v>
      </c>
      <c r="V1226" s="641" t="s">
        <v>385</v>
      </c>
      <c r="X1226" s="541" t="s">
        <v>446</v>
      </c>
      <c r="Y1226" s="541" t="s">
        <v>439</v>
      </c>
    </row>
    <row r="1227" spans="1:29" s="44" customFormat="1" ht="36.75" customHeight="1">
      <c r="A1227" s="42" t="str">
        <f>"C"&amp;E1221</f>
        <v>C41</v>
      </c>
      <c r="B1227" s="605">
        <f t="shared" si="247"/>
        <v>3</v>
      </c>
      <c r="C1227" s="581" t="s">
        <v>584</v>
      </c>
      <c r="D1227" s="581" t="s">
        <v>710</v>
      </c>
      <c r="E1227" s="581" t="s">
        <v>711</v>
      </c>
      <c r="F1227" s="581" t="s">
        <v>431</v>
      </c>
      <c r="G1227" s="534">
        <v>0.6</v>
      </c>
      <c r="H1227" s="534" t="s">
        <v>385</v>
      </c>
      <c r="I1227" s="579">
        <v>1</v>
      </c>
      <c r="J1227" s="580" t="str">
        <f>IF(I1227="","",IF(I1227="I",$F1221,VLOOKUP(I1227,$C1242:$D1247,2,0)))</f>
        <v>SEMPAF INGENIERÍA S.A.S</v>
      </c>
      <c r="K1227" s="535">
        <v>42972</v>
      </c>
      <c r="L1227" s="535">
        <v>43124</v>
      </c>
      <c r="M1227" s="536">
        <v>228.93</v>
      </c>
      <c r="N1227" s="232">
        <f t="shared" si="245"/>
        <v>137.358</v>
      </c>
      <c r="O1227" s="629">
        <f t="shared" si="246"/>
        <v>137.358</v>
      </c>
      <c r="P1227" s="781"/>
      <c r="Q1227" s="782"/>
      <c r="R1227" s="767"/>
      <c r="S1227" s="768"/>
      <c r="T1227" s="538" t="s">
        <v>385</v>
      </c>
      <c r="U1227" s="539">
        <v>72</v>
      </c>
      <c r="V1227" s="641" t="s">
        <v>385</v>
      </c>
      <c r="X1227" s="541" t="s">
        <v>449</v>
      </c>
      <c r="Y1227" s="541" t="s">
        <v>387</v>
      </c>
    </row>
    <row r="1228" spans="1:29" s="44" customFormat="1" ht="24.95" customHeight="1">
      <c r="A1228" s="42" t="str">
        <f>"D"&amp;E1221</f>
        <v>D41</v>
      </c>
      <c r="B1228" s="605" t="str">
        <f t="shared" si="247"/>
        <v/>
      </c>
      <c r="C1228" s="581"/>
      <c r="D1228" s="581"/>
      <c r="E1228" s="581"/>
      <c r="F1228" s="581"/>
      <c r="G1228" s="534"/>
      <c r="H1228" s="534"/>
      <c r="I1228" s="579"/>
      <c r="J1228" s="580" t="str">
        <f>IF(I1228="","",IF(I1228="I",$F1221,VLOOKUP(I1228,$C1242:$D1247,2,0)))</f>
        <v/>
      </c>
      <c r="K1228" s="535"/>
      <c r="L1228" s="535"/>
      <c r="M1228" s="536"/>
      <c r="N1228" s="232" t="str">
        <f t="shared" si="245"/>
        <v/>
      </c>
      <c r="O1228" s="260" t="str">
        <f t="shared" si="246"/>
        <v/>
      </c>
      <c r="P1228" s="781"/>
      <c r="Q1228" s="782"/>
      <c r="R1228" s="767"/>
      <c r="S1228" s="768"/>
      <c r="T1228" s="538"/>
      <c r="U1228" s="539"/>
      <c r="V1228" s="540"/>
      <c r="X1228" s="541"/>
      <c r="Y1228" s="541"/>
    </row>
    <row r="1229" spans="1:29" s="44" customFormat="1" ht="24.95" customHeight="1">
      <c r="A1229" s="42" t="str">
        <f>"E"&amp;E1221</f>
        <v>E41</v>
      </c>
      <c r="B1229" s="605" t="str">
        <f t="shared" si="247"/>
        <v/>
      </c>
      <c r="C1229" s="581"/>
      <c r="D1229" s="581"/>
      <c r="E1229" s="581"/>
      <c r="F1229" s="581"/>
      <c r="G1229" s="534"/>
      <c r="H1229" s="534"/>
      <c r="I1229" s="579"/>
      <c r="J1229" s="580" t="str">
        <f>IF(I1229="","",IF(I1229="I",$F1221,VLOOKUP(I1229,$C1242:$D1247,2,0)))</f>
        <v/>
      </c>
      <c r="K1229" s="535"/>
      <c r="L1229" s="535"/>
      <c r="M1229" s="536"/>
      <c r="N1229" s="232" t="str">
        <f t="shared" si="245"/>
        <v/>
      </c>
      <c r="O1229" s="260" t="str">
        <f t="shared" si="246"/>
        <v/>
      </c>
      <c r="P1229" s="781"/>
      <c r="Q1229" s="782"/>
      <c r="R1229" s="767"/>
      <c r="S1229" s="768"/>
      <c r="T1229" s="538"/>
      <c r="U1229" s="539"/>
      <c r="V1229" s="540"/>
      <c r="X1229" s="541"/>
      <c r="Y1229" s="541"/>
    </row>
    <row r="1230" spans="1:29" s="44" customFormat="1" ht="24.95" customHeight="1">
      <c r="A1230" s="42" t="str">
        <f>"F"&amp;E1221</f>
        <v>F41</v>
      </c>
      <c r="B1230" s="605" t="str">
        <f t="shared" si="247"/>
        <v/>
      </c>
      <c r="C1230" s="581"/>
      <c r="D1230" s="581"/>
      <c r="E1230" s="581"/>
      <c r="F1230" s="581"/>
      <c r="G1230" s="534"/>
      <c r="H1230" s="534"/>
      <c r="I1230" s="579"/>
      <c r="J1230" s="580" t="str">
        <f>IF(I1230="","",IF(I1230="I",$F1221,VLOOKUP(I1230,$C1242:$D1247,2,0)))</f>
        <v/>
      </c>
      <c r="K1230" s="535"/>
      <c r="L1230" s="535"/>
      <c r="M1230" s="536"/>
      <c r="N1230" s="232" t="str">
        <f t="shared" si="245"/>
        <v/>
      </c>
      <c r="O1230" s="260" t="str">
        <f t="shared" si="246"/>
        <v/>
      </c>
      <c r="P1230" s="781"/>
      <c r="Q1230" s="782"/>
      <c r="R1230" s="767"/>
      <c r="S1230" s="768"/>
      <c r="T1230" s="538"/>
      <c r="U1230" s="539"/>
      <c r="V1230" s="540"/>
      <c r="X1230" s="541"/>
      <c r="Y1230" s="541"/>
    </row>
    <row r="1231" spans="1:29" s="44" customFormat="1" ht="24.95" customHeight="1">
      <c r="A1231" s="42" t="str">
        <f>"G"&amp;E1221</f>
        <v>G41</v>
      </c>
      <c r="B1231" s="605" t="str">
        <f t="shared" si="247"/>
        <v/>
      </c>
      <c r="C1231" s="581"/>
      <c r="D1231" s="581"/>
      <c r="E1231" s="581"/>
      <c r="F1231" s="581"/>
      <c r="G1231" s="534"/>
      <c r="H1231" s="534"/>
      <c r="I1231" s="579"/>
      <c r="J1231" s="580" t="str">
        <f>IF(I1231="","",IF(I1231="I",$F1221,VLOOKUP(I1231,$C1242:$D1247,2,0)))</f>
        <v/>
      </c>
      <c r="K1231" s="535"/>
      <c r="L1231" s="535"/>
      <c r="M1231" s="536"/>
      <c r="N1231" s="43" t="str">
        <f t="shared" si="245"/>
        <v/>
      </c>
      <c r="O1231" s="260" t="str">
        <f t="shared" si="246"/>
        <v/>
      </c>
      <c r="P1231" s="781"/>
      <c r="Q1231" s="782"/>
      <c r="R1231" s="767"/>
      <c r="S1231" s="768"/>
      <c r="T1231" s="538"/>
      <c r="U1231" s="539"/>
      <c r="V1231" s="540"/>
      <c r="X1231" s="541"/>
      <c r="Y1231" s="541"/>
    </row>
    <row r="1232" spans="1:29" s="44" customFormat="1" ht="24.95" customHeight="1">
      <c r="A1232" s="42" t="str">
        <f>"H"&amp;E1221</f>
        <v>H41</v>
      </c>
      <c r="B1232" s="605" t="str">
        <f t="shared" si="247"/>
        <v/>
      </c>
      <c r="C1232" s="581"/>
      <c r="D1232" s="581"/>
      <c r="E1232" s="581"/>
      <c r="F1232" s="581"/>
      <c r="G1232" s="534"/>
      <c r="H1232" s="534"/>
      <c r="I1232" s="579"/>
      <c r="J1232" s="580" t="str">
        <f>IF(I1232="","",IF(I1232="I",$F1221,VLOOKUP(I1232,$C1242:$D1247,2,0)))</f>
        <v/>
      </c>
      <c r="K1232" s="535"/>
      <c r="L1232" s="535"/>
      <c r="M1232" s="537"/>
      <c r="N1232" s="43" t="str">
        <f t="shared" si="245"/>
        <v/>
      </c>
      <c r="O1232" s="260" t="str">
        <f t="shared" si="246"/>
        <v/>
      </c>
      <c r="P1232" s="781"/>
      <c r="Q1232" s="782"/>
      <c r="R1232" s="767"/>
      <c r="S1232" s="768"/>
      <c r="T1232" s="538"/>
      <c r="U1232" s="539"/>
      <c r="V1232" s="540"/>
      <c r="X1232" s="541"/>
      <c r="Y1232" s="541"/>
    </row>
    <row r="1233" spans="1:29" s="44" customFormat="1" ht="24.95" customHeight="1">
      <c r="A1233" s="42" t="str">
        <f>"I"&amp;E1221</f>
        <v>I41</v>
      </c>
      <c r="B1233" s="605" t="str">
        <f t="shared" si="247"/>
        <v/>
      </c>
      <c r="C1233" s="581"/>
      <c r="D1233" s="581"/>
      <c r="E1233" s="581"/>
      <c r="F1233" s="581"/>
      <c r="G1233" s="534"/>
      <c r="H1233" s="534"/>
      <c r="I1233" s="579"/>
      <c r="J1233" s="580" t="str">
        <f>IF(I1233="","",IF(I1233="I",$F1221,VLOOKUP(I1233,$C1242:$D1247,2,0)))</f>
        <v/>
      </c>
      <c r="K1233" s="535"/>
      <c r="L1233" s="535"/>
      <c r="M1233" s="537"/>
      <c r="N1233" s="43" t="str">
        <f t="shared" si="245"/>
        <v/>
      </c>
      <c r="O1233" s="260" t="str">
        <f t="shared" si="246"/>
        <v/>
      </c>
      <c r="P1233" s="781"/>
      <c r="Q1233" s="782"/>
      <c r="R1233" s="767"/>
      <c r="S1233" s="768"/>
      <c r="T1233" s="538"/>
      <c r="U1233" s="539"/>
      <c r="V1233" s="540"/>
      <c r="X1233" s="541"/>
      <c r="Y1233" s="541"/>
    </row>
    <row r="1234" spans="1:29" s="44" customFormat="1" ht="24.95" customHeight="1" thickBot="1">
      <c r="A1234" s="42" t="str">
        <f>"J"&amp;E1221</f>
        <v>J41</v>
      </c>
      <c r="B1234" s="612" t="str">
        <f t="shared" si="247"/>
        <v/>
      </c>
      <c r="C1234" s="582"/>
      <c r="D1234" s="582"/>
      <c r="E1234" s="582"/>
      <c r="F1234" s="582"/>
      <c r="G1234" s="583"/>
      <c r="H1234" s="583"/>
      <c r="I1234" s="584"/>
      <c r="J1234" s="585" t="str">
        <f>IF(I1234="","",IF(I1234="I",$F1221,VLOOKUP(I1234,$C1242:$D1247,2,0)))</f>
        <v/>
      </c>
      <c r="K1234" s="586"/>
      <c r="L1234" s="586"/>
      <c r="M1234" s="587"/>
      <c r="N1234" s="43" t="str">
        <f t="shared" si="245"/>
        <v/>
      </c>
      <c r="O1234" s="260" t="str">
        <f t="shared" si="246"/>
        <v/>
      </c>
      <c r="P1234" s="781"/>
      <c r="Q1234" s="782"/>
      <c r="R1234" s="767"/>
      <c r="S1234" s="768"/>
      <c r="T1234" s="538"/>
      <c r="U1234" s="539"/>
      <c r="V1234" s="540"/>
      <c r="X1234" s="541"/>
      <c r="Y1234" s="541"/>
    </row>
    <row r="1235" spans="1:29" s="27" customFormat="1" ht="12" customHeight="1" thickBot="1">
      <c r="A1235" s="42"/>
      <c r="B1235" s="45"/>
      <c r="C1235" s="46"/>
      <c r="D1235" s="46"/>
      <c r="E1235" s="46"/>
      <c r="F1235" s="46"/>
      <c r="G1235" s="46"/>
      <c r="H1235" s="606"/>
      <c r="I1235" s="46"/>
      <c r="J1235" s="46"/>
      <c r="K1235" s="46"/>
      <c r="L1235" s="46"/>
      <c r="M1235" s="46"/>
      <c r="N1235" s="46"/>
      <c r="O1235" s="259"/>
      <c r="P1235" s="46"/>
      <c r="Q1235" s="46"/>
      <c r="R1235" s="259"/>
      <c r="S1235" s="46"/>
      <c r="T1235" s="46"/>
      <c r="U1235" s="47"/>
      <c r="V1235" s="48"/>
      <c r="X1235" s="592"/>
      <c r="Y1235" s="593"/>
      <c r="AB1235" s="378"/>
    </row>
    <row r="1236" spans="1:29" s="27" customFormat="1" ht="17.25" customHeight="1" thickBot="1">
      <c r="A1236" s="42" t="str">
        <f>"Z"&amp;E1221</f>
        <v>Z41</v>
      </c>
      <c r="B1236" s="510"/>
      <c r="C1236" s="511"/>
      <c r="D1236" s="511"/>
      <c r="E1236" s="511"/>
      <c r="F1236" s="511"/>
      <c r="G1236" s="511"/>
      <c r="H1236" s="511"/>
      <c r="I1236" s="511"/>
      <c r="J1236" s="511"/>
      <c r="K1236" s="511"/>
      <c r="L1236" s="511"/>
      <c r="M1236" s="511"/>
      <c r="N1236" s="437" t="s">
        <v>388</v>
      </c>
      <c r="O1236" s="438">
        <f>IF(COUNTIF(O1225:O1234,"")&gt;9,0,SUM(O1225:O1234)/(COUNTIF(H1225:H1234,"SI")))</f>
        <v>140.14866666666666</v>
      </c>
      <c r="P1236" s="511"/>
      <c r="Q1236" s="511"/>
      <c r="R1236" s="530"/>
      <c r="S1236" s="530"/>
      <c r="T1236" s="531"/>
      <c r="U1236" s="532"/>
      <c r="V1236" s="533"/>
      <c r="W1236" s="285"/>
      <c r="X1236" s="613" t="e">
        <f>COUNTIF(#REF!,"")-COUNTIF(#REF!,"CUMPLE")-1</f>
        <v>#REF!</v>
      </c>
      <c r="Y1236" s="591"/>
      <c r="AB1236" s="28"/>
    </row>
    <row r="1237" spans="1:29" ht="17.25" customHeight="1">
      <c r="B1237" s="50"/>
      <c r="C1237" s="50"/>
      <c r="D1237" s="50"/>
      <c r="E1237" s="50"/>
      <c r="F1237" s="50"/>
      <c r="G1237" s="51"/>
      <c r="H1237" s="51"/>
      <c r="I1237" s="51"/>
      <c r="J1237" s="51"/>
      <c r="K1237" s="51"/>
      <c r="L1237" s="51"/>
      <c r="M1237" s="51"/>
      <c r="N1237" s="51"/>
      <c r="O1237" s="51"/>
      <c r="P1237" s="51"/>
      <c r="Q1237" s="51"/>
      <c r="R1237" s="51"/>
      <c r="S1237" s="51"/>
      <c r="T1237" s="51"/>
      <c r="U1237" s="51"/>
      <c r="V1237" s="51"/>
      <c r="W1237" s="51"/>
      <c r="X1237" s="608"/>
      <c r="Y1237" s="51"/>
      <c r="Z1237" s="51"/>
      <c r="AA1237" s="51"/>
      <c r="AB1237" s="51"/>
      <c r="AC1237" s="50"/>
    </row>
    <row r="1238" spans="1:29" s="27" customFormat="1" ht="16.5" customHeight="1" thickBot="1">
      <c r="A1238" s="22"/>
      <c r="B1238" s="783" t="s">
        <v>389</v>
      </c>
      <c r="C1238" s="783"/>
      <c r="D1238" s="783"/>
      <c r="E1238" s="783"/>
      <c r="F1238" s="783"/>
      <c r="G1238" s="783"/>
      <c r="H1238" s="783"/>
      <c r="I1238" s="783"/>
      <c r="J1238" s="783"/>
      <c r="K1238" s="783"/>
      <c r="L1238" s="783"/>
      <c r="M1238" s="783"/>
      <c r="N1238" s="783"/>
      <c r="O1238" s="783"/>
      <c r="P1238" s="783"/>
      <c r="Q1238" s="783"/>
      <c r="R1238" s="783"/>
      <c r="S1238" s="783"/>
      <c r="T1238" s="783"/>
      <c r="U1238" s="783"/>
      <c r="V1238" s="783"/>
      <c r="W1238" s="286"/>
      <c r="X1238" s="607"/>
      <c r="Y1238" s="52"/>
      <c r="Z1238" s="52"/>
      <c r="AA1238" s="52"/>
      <c r="AB1238" s="28"/>
      <c r="AC1238" s="28"/>
    </row>
    <row r="1239" spans="1:29" s="30" customFormat="1" ht="22.5" customHeight="1">
      <c r="A1239" s="112" t="str">
        <f>"K"&amp;E1221</f>
        <v>K41</v>
      </c>
      <c r="B1239" s="790" t="s">
        <v>390</v>
      </c>
      <c r="C1239" s="772" t="s">
        <v>391</v>
      </c>
      <c r="D1239" s="773"/>
      <c r="E1239" s="773"/>
      <c r="F1239" s="773"/>
      <c r="G1239" s="773"/>
      <c r="H1239" s="773"/>
      <c r="I1239" s="773"/>
      <c r="J1239" s="773"/>
      <c r="K1239" s="773"/>
      <c r="L1239" s="773"/>
      <c r="M1239" s="774"/>
      <c r="N1239" s="525"/>
      <c r="O1239" s="588"/>
      <c r="P1239" s="772" t="s">
        <v>392</v>
      </c>
      <c r="Q1239" s="773"/>
      <c r="R1239" s="773"/>
      <c r="S1239" s="774"/>
      <c r="T1239" s="784" t="s">
        <v>393</v>
      </c>
      <c r="U1239" s="774"/>
      <c r="V1239" s="811"/>
      <c r="W1239" s="284"/>
      <c r="X1239" s="778" t="s">
        <v>394</v>
      </c>
      <c r="Y1239" s="779"/>
      <c r="Z1239" s="779"/>
      <c r="AA1239" s="779" t="s">
        <v>395</v>
      </c>
      <c r="AB1239" s="808" t="s">
        <v>396</v>
      </c>
      <c r="AC1239" s="28"/>
    </row>
    <row r="1240" spans="1:29" s="30" customFormat="1" ht="22.5" customHeight="1">
      <c r="A1240" s="112" t="str">
        <f>"L"&amp;E1221</f>
        <v>L41</v>
      </c>
      <c r="B1240" s="791"/>
      <c r="C1240" s="769" t="s">
        <v>397</v>
      </c>
      <c r="D1240" s="770"/>
      <c r="E1240" s="771"/>
      <c r="F1240" s="512">
        <f>IF(VLOOKUP(E1221,PROPONENTES!$C$19:$E$108,3,0)="","",VLOOKUP(E1221,PROPONENTES!$C$19:$E$108,3,0))</f>
        <v>2</v>
      </c>
      <c r="G1240" s="824" t="s">
        <v>398</v>
      </c>
      <c r="H1240" s="793" t="s">
        <v>399</v>
      </c>
      <c r="I1240" s="793"/>
      <c r="J1240" s="769" t="s">
        <v>400</v>
      </c>
      <c r="K1240" s="823"/>
      <c r="L1240" s="513" t="s">
        <v>401</v>
      </c>
      <c r="M1240" s="513"/>
      <c r="N1240" s="526"/>
      <c r="O1240" s="527"/>
      <c r="P1240" s="775"/>
      <c r="Q1240" s="776"/>
      <c r="R1240" s="776"/>
      <c r="S1240" s="777"/>
      <c r="T1240" s="796"/>
      <c r="U1240" s="797"/>
      <c r="V1240" s="812"/>
      <c r="W1240" s="284"/>
      <c r="X1240" s="780" t="s">
        <v>402</v>
      </c>
      <c r="Y1240" s="810" t="s">
        <v>403</v>
      </c>
      <c r="Z1240" s="810"/>
      <c r="AA1240" s="810"/>
      <c r="AB1240" s="809"/>
      <c r="AC1240" s="28"/>
    </row>
    <row r="1241" spans="1:29" s="30" customFormat="1" ht="51.75" customHeight="1" thickBot="1">
      <c r="A1241" s="112" t="str">
        <f>"M"&amp;E1221</f>
        <v>M41</v>
      </c>
      <c r="B1241" s="791"/>
      <c r="C1241" s="770" t="s">
        <v>404</v>
      </c>
      <c r="D1241" s="771"/>
      <c r="E1241" s="514" t="s">
        <v>405</v>
      </c>
      <c r="F1241" s="515" t="s">
        <v>406</v>
      </c>
      <c r="G1241" s="824"/>
      <c r="H1241" s="793"/>
      <c r="I1241" s="793"/>
      <c r="J1241" s="504" t="s">
        <v>407</v>
      </c>
      <c r="K1241" s="516" t="s">
        <v>408</v>
      </c>
      <c r="L1241" s="517" t="s">
        <v>409</v>
      </c>
      <c r="M1241" s="517"/>
      <c r="N1241" s="528" t="s">
        <v>410</v>
      </c>
      <c r="O1241" s="529"/>
      <c r="P1241" s="386"/>
      <c r="Q1241" s="387" t="s">
        <v>411</v>
      </c>
      <c r="R1241" s="388"/>
      <c r="S1241" s="113">
        <f>COUNTIFS(H1225:H1234,"SI",O1225:O1234,"&gt;0")</f>
        <v>3</v>
      </c>
      <c r="T1241" s="785"/>
      <c r="U1241" s="787"/>
      <c r="V1241" s="813"/>
      <c r="W1241" s="284"/>
      <c r="X1241" s="780"/>
      <c r="Y1241" s="810"/>
      <c r="Z1241" s="810"/>
      <c r="AA1241" s="810"/>
      <c r="AB1241" s="809"/>
      <c r="AC1241" s="28"/>
    </row>
    <row r="1242" spans="1:29" s="30" customFormat="1" ht="15.75" customHeight="1">
      <c r="A1242" s="112" t="str">
        <f>"N"&amp;E1221</f>
        <v>N41</v>
      </c>
      <c r="B1242" s="791"/>
      <c r="C1242" s="54">
        <v>1</v>
      </c>
      <c r="D1242" s="100" t="str">
        <f>IF(AND(C1242&lt;=F1240,F1240&gt;1,F1240&lt;&gt;""),VLOOKUP(VALUE(E1221&amp;","&amp;C1242),INTEGRANTES!$D$19:$F$192,2,0),"")</f>
        <v>SEMPAF INGENIERÍA S.A.S</v>
      </c>
      <c r="E1242" s="107">
        <f>IF(D1242&lt;&gt;"",VLOOKUP(VALUE(E1221&amp;","&amp;C1242),INTEGRANTES!$D$19:$F$192,3,0),"")</f>
        <v>0.95</v>
      </c>
      <c r="F1242" s="380">
        <f>IF(D1242="","",IF(OR(SUMIF($J1225:$J1234,D1242,$O1225:$O1234)=0,N1242="NO"),"NO APORTA",SUMIF($J1225:$J1234,D1242,$O1225:$O1234)))</f>
        <v>420.44599999999997</v>
      </c>
      <c r="G1242" s="380">
        <f ca="1">IF($D1242="","",IF($F1240&lt;=1,"",ROUND(POSMMLV*PORPO,2)))</f>
        <v>150</v>
      </c>
      <c r="H1242" s="765" t="str">
        <f ca="1">IF($D1242="","",IF(OR(F1242="NO APORTA",G1242&gt;F1242),"NO CUMPLE","CUMPLE"))</f>
        <v>CUMPLE</v>
      </c>
      <c r="I1242" s="766"/>
      <c r="J1242" s="108" t="str">
        <f ca="1">IF(D1242="","",IF(OR(AND(SUMIF($J1225:$J1234,D1242,$O1225:$O1234)&gt;=5%*POSMMLV,N1242="SI"),AND(SUMIF($J1225:$J1234,D1242,$O1225:$O1234)=0,E1242&lt;=5%,N1242="SI")),"CUMPLE","NO CUMPLE"))</f>
        <v>CUMPLE</v>
      </c>
      <c r="K1242" s="105" t="str">
        <f ca="1">IF(OR(D1242="",J1242=""),"",IF(AND(J1242="NO CUMPLE",F1242="NO APORTA",E1242&gt;5%),"EXP = 0 y PART &gt; 5%",IF(F1242&lt;5%*Q1247,"EXP &lt; 5%*PO","")))</f>
        <v/>
      </c>
      <c r="L1242" s="389" t="str">
        <f>IF(OR(D1242="",E1242=""),"",IF(AND(E1242&gt;=0.25,F1242&lt;&gt;"NO APORTA",F1242&gt;=$R1247*0.25),"SI","NO"))</f>
        <v>SI</v>
      </c>
      <c r="M1242" s="389"/>
      <c r="N1242" s="468" t="s">
        <v>385</v>
      </c>
      <c r="O1242" s="396">
        <f>COUNTIFS(O1225:O1234,"&gt;0",H1225:H1234,"SI")</f>
        <v>3</v>
      </c>
      <c r="P1242" s="814" t="s">
        <v>139</v>
      </c>
      <c r="Q1242" s="814"/>
      <c r="R1242" s="817">
        <f>E1221</f>
        <v>41</v>
      </c>
      <c r="S1242" s="818"/>
      <c r="T1242" s="784" t="s">
        <v>412</v>
      </c>
      <c r="U1242" s="773"/>
      <c r="V1242" s="774"/>
      <c r="W1242" s="283"/>
      <c r="X1242" s="542" t="str">
        <f>IF($F1240=1,"NO APLICA",$D1242)</f>
        <v>SEMPAF INGENIERÍA S.A.S</v>
      </c>
      <c r="Y1242" s="543">
        <f ca="1">IF(OR($F1242="",$F1242="NO APORTA",$R1247=0,$X1242="NO APLICA"),"",ROUND($F1242/$Q1247,2))</f>
        <v>1.4</v>
      </c>
      <c r="Z1242" s="544" t="str">
        <f ca="1">IF(Y1248=1,"SI APLICA",IF(OR($X1242="",$X1242="NO APLICA",$F1242="",$F1242="NO APORTA"),"",IF(ROUND($F1242/Q1247,7)&gt;=0.4,"SI APLICA","NO APLICA")))</f>
        <v>SI APLICA</v>
      </c>
      <c r="AA1242" s="543" t="s">
        <v>413</v>
      </c>
      <c r="AB1242" s="540" t="str">
        <f ca="1">IF(COUNTIF(Z1242:AA1242,"SI APLICA")=2,"SI APLICA","")</f>
        <v>SI APLICA</v>
      </c>
      <c r="AC1242" s="28"/>
    </row>
    <row r="1243" spans="1:29" s="30" customFormat="1" ht="30" customHeight="1" thickBot="1">
      <c r="A1243" s="112" t="str">
        <f>"O"&amp;E1221</f>
        <v>O41</v>
      </c>
      <c r="B1243" s="791"/>
      <c r="C1243" s="54">
        <v>2</v>
      </c>
      <c r="D1243" s="100" t="str">
        <f>IF(AND(C1243&lt;=F1240,F1240&lt;&gt;""),VLOOKUP(VALUE(E1221&amp;","&amp;C1243),INTEGRANTES!$D$19:$F$192,2,0),"")</f>
        <v>YONY FERNANDO CHAMORRO ERAZO</v>
      </c>
      <c r="E1243" s="107">
        <f>IF(D1243&lt;&gt;"",VLOOKUP(VALUE(E1221&amp;","&amp;C1243),INTEGRANTES!$D$19:$F$192,3,0),"")</f>
        <v>0.05</v>
      </c>
      <c r="F1243" s="380" t="str">
        <f>IF(D1243="","",IF(OR(SUMIF($J1225:$J1234,D1243,$O1225:$O1234)=0,N1243="NO"),"NO APORTA",SUMIF($J1225:$J1234,D1243,$O1225:$O1234)))</f>
        <v>NO APORTA</v>
      </c>
      <c r="G1243" s="380">
        <f ca="1">IF($D1243="","",IF($F1240&lt;=1,"",ROUND(POSMMLV*PORPO,2)))</f>
        <v>150</v>
      </c>
      <c r="H1243" s="765" t="str">
        <f t="shared" ref="H1243:H1246" ca="1" si="248">IF($D1243="","",IF(OR(F1243="NO APORTA",G1243&gt;F1243),"NO CUMPLE","CUMPLE"))</f>
        <v>NO CUMPLE</v>
      </c>
      <c r="I1243" s="766"/>
      <c r="J1243" s="108" t="str">
        <f ca="1">IF(D1243="","",IF(OR(AND(SUMIF($J1225:$J1234,D1243,$O1225:$O1234)&gt;=5%*POSMMLV,N1243="SI"),AND(SUMIF($J1225:$J1234,D1243,$O1225:$O1234)=0,E1243&lt;=5%,N1243="SI")),"CUMPLE","NO CUMPLE"))</f>
        <v>CUMPLE</v>
      </c>
      <c r="K1243" s="105" t="str">
        <f ca="1">IF(OR(D1243="",J1243=""),"",IF(AND(J1243="NO CUMPLE",F1243="NO APORTA",E1243&gt;5%),"EXP = 0 y PART &gt; 5%",IF(F1243&lt;5%*Q1247,"EXP &lt; 5%*PO","")))</f>
        <v/>
      </c>
      <c r="L1243" s="389" t="str">
        <f>IF(OR(D1243="",E1243=""),"",IF(AND(E1243&gt;=0.25,F1243&lt;&gt;"NO APORTA",F1243&gt;=$R1247*0.25),"SI","NO"))</f>
        <v>NO</v>
      </c>
      <c r="M1243" s="389"/>
      <c r="N1243" s="468" t="s">
        <v>385</v>
      </c>
      <c r="O1243" s="396"/>
      <c r="P1243" s="815"/>
      <c r="Q1243" s="815"/>
      <c r="R1243" s="815"/>
      <c r="S1243" s="819"/>
      <c r="T1243" s="785"/>
      <c r="U1243" s="786"/>
      <c r="V1243" s="787"/>
      <c r="W1243" s="283"/>
      <c r="X1243" s="542" t="str">
        <f>IF($F1240=1,"NO APLICA",$D1243)</f>
        <v>YONY FERNANDO CHAMORRO ERAZO</v>
      </c>
      <c r="Y1243" s="543" t="str">
        <f>IF(OR($F1243="",$F1243="NO APORTA",$R1247=0,$X1243="NO APLICA"),"",ROUND($F1243/$Q1247,2))</f>
        <v/>
      </c>
      <c r="Z1243" s="544" t="str">
        <f>IF(Y1248=1,"SI APLICA",IF(OR($X1243="",$X1243="NO APLICA",$F1243="",$F1243="NO APORTA"),"",IF(ROUND($F1243/Q1247,7)&gt;=0.4,"SI APLICA","NO APLICA")))</f>
        <v/>
      </c>
      <c r="AA1243" s="543"/>
      <c r="AB1243" s="540" t="str">
        <f t="shared" ref="AB1243" si="249">IF(COUNTIF(Z1243:AA1243,"SI APLICA")=2,"SI APLICA","")</f>
        <v/>
      </c>
      <c r="AC1243" s="28"/>
    </row>
    <row r="1244" spans="1:29" s="30" customFormat="1" ht="15.75" customHeight="1">
      <c r="A1244" s="112" t="str">
        <f>"P"&amp;E1221</f>
        <v>P41</v>
      </c>
      <c r="B1244" s="791"/>
      <c r="C1244" s="54">
        <v>3</v>
      </c>
      <c r="D1244" s="100" t="str">
        <f>IF(AND(C1244&lt;=F1240,F1240&lt;&gt;""),VLOOKUP(VALUE(E1221&amp;","&amp;C1244),INTEGRANTES!$D$19:$F$192,2,0),"")</f>
        <v/>
      </c>
      <c r="E1244" s="107" t="str">
        <f>IF(D1244&lt;&gt;"",VLOOKUP(VALUE(E1221&amp;","&amp;C1244),INTEGRANTES!$D$19:$F$192,3,0),"")</f>
        <v/>
      </c>
      <c r="F1244" s="380" t="str">
        <f>IF(D1244="","",IF(OR(SUMIF($J1228:$J1234,D1244,$O1228:$O1234)=0,N1244="NO"),"NO APORTA",SUMIF($J1228:$J1234,D1244,$O1228:$O1234)))</f>
        <v/>
      </c>
      <c r="G1244" s="380" t="str">
        <f>IF($D1244="","",IF($F1240&lt;=1,"",ROUND(POSMMLV*PORPO,2)))</f>
        <v/>
      </c>
      <c r="H1244" s="765" t="str">
        <f t="shared" si="248"/>
        <v/>
      </c>
      <c r="I1244" s="766"/>
      <c r="J1244" s="108" t="str">
        <f>IF(D1244="","",IF(OR(AND(SUMIF($J1225:$J1234,D1244,$O1225:$O1234)&gt;=5%*POSMMLV,N1244="SI"),AND(SUMIF($J1225:$J1234,D1244,$O1225:$O1234)=0,E1244&lt;=5%,N1244="SI")),"CUMPLE","NO CUMPLE"))</f>
        <v/>
      </c>
      <c r="K1244" s="105" t="str">
        <f>IF(OR(D1244="",J1244=""),"",IF(AND(J1244="NO CUMPLE",F1244="NO APORTA",E1244&gt;5%),"EXP = 0 y PART &gt; 5%",IF(F1244&lt;5%*Q1247,"EXP &lt; 5%*PO","")))</f>
        <v/>
      </c>
      <c r="L1244" s="389" t="str">
        <f>IF(OR(D1244="",E1244=""),"",IF(AND(E1244&gt;=0.25,F1244&lt;&gt;"NO APORTA",F1244&gt;=$R1247*0.25),"SI","NO"))</f>
        <v/>
      </c>
      <c r="M1244" s="389"/>
      <c r="N1244" s="468"/>
      <c r="O1244" s="397"/>
      <c r="P1244" s="816"/>
      <c r="Q1244" s="816"/>
      <c r="R1244" s="816"/>
      <c r="S1244" s="820"/>
      <c r="T1244" s="308"/>
      <c r="U1244" s="308"/>
      <c r="V1244" s="309"/>
      <c r="W1244" s="284"/>
      <c r="X1244" s="542" t="str">
        <f>IF($F1240=1,"NO APLICA",$D1244)</f>
        <v/>
      </c>
      <c r="Y1244" s="543" t="str">
        <f>IF(OR($F1244="",$F1244="NO APORTA",$R1247=0,$X1244="NO APLICA"),"",ROUND($F1244/$Q1247,2))</f>
        <v/>
      </c>
      <c r="Z1244" s="544" t="str">
        <f>IF(Y1248=1,"SI APLICA",IF(OR($X1244="",$X1244="NO APLICA",$F1244="",$F1244="NO APORTA"),"",IF(ROUND($F1244/Q1247,7)&gt;=0.4,"SI APLICA","NO APLICA")))</f>
        <v/>
      </c>
      <c r="AA1244" s="543"/>
      <c r="AB1244" s="540" t="str">
        <f>IF(COUNTIF(Z1244:AA1244,"SI APLICA")=2,"SI APLICA","")</f>
        <v/>
      </c>
      <c r="AC1244" s="28"/>
    </row>
    <row r="1245" spans="1:29" s="30" customFormat="1" ht="15.75" customHeight="1">
      <c r="A1245" s="112" t="str">
        <f>"Q"&amp;E1221</f>
        <v>Q41</v>
      </c>
      <c r="B1245" s="791"/>
      <c r="C1245" s="54">
        <v>4</v>
      </c>
      <c r="D1245" s="100" t="str">
        <f>IF(AND(C1245&lt;=F1240,F1240&lt;&gt;""),VLOOKUP(VALUE(E1221&amp;","&amp;C1245),INTEGRANTES!$D$19:$F$192,2,0),"")</f>
        <v/>
      </c>
      <c r="E1245" s="107" t="str">
        <f>IF(D1245&lt;&gt;"",VLOOKUP(VALUE(E1221&amp;","&amp;C1245),INTEGRANTES!$D$19:$F$192,3,0),"")</f>
        <v/>
      </c>
      <c r="F1245" s="380" t="str">
        <f>IF(D1245="","",IF(OR(SUMIF($J1228:$J1234,D1245,$O1228:$O1234)=0,N1245="NO"),"NO APORTA",SUMIF($J1228:$J1234,D1245,$O1228:$O1234)))</f>
        <v/>
      </c>
      <c r="G1245" s="380" t="str">
        <f>IF($D1245="","",IF($F1240&lt;=1,"",ROUND(POSMMLV*PORPO,2)))</f>
        <v/>
      </c>
      <c r="H1245" s="765" t="str">
        <f t="shared" si="248"/>
        <v/>
      </c>
      <c r="I1245" s="766"/>
      <c r="J1245" s="108" t="str">
        <f>IF(D1245="","",IF(OR(AND(SUMIF($J1225:$J1234,D1245,$O1225:$O1234)&gt;=5%*POSMMLV,N1245="SI"),AND(SUMIF($J1225:$J1234,D1245,$O1225:$O1234)=0,E1245&lt;=5%,N1245="SI")),"CUMPLE","NO CUMPLE"))</f>
        <v/>
      </c>
      <c r="K1245" s="105" t="str">
        <f>IF(OR(D1245="",J1245=""),"",IF(AND(J1245="NO CUMPLE",F1245="NO APORTA",E1245&gt;5%),"EXP = 0 y PART &gt; 5%",IF(F1245&lt;5%*Q1247,"EXP &lt; 5%*PO","")))</f>
        <v/>
      </c>
      <c r="L1245" s="389" t="str">
        <f>IF(OR(D1245="",E1245=""),"",IF(AND(E1245&gt;=0.25,F1245&lt;&gt;"NO APORTA",F1245&gt;=$R1247*0.25),"SI","NO"))</f>
        <v/>
      </c>
      <c r="M1245" s="389"/>
      <c r="N1245" s="468"/>
      <c r="O1245" s="788" t="s">
        <v>414</v>
      </c>
      <c r="P1245" s="769" t="s">
        <v>415</v>
      </c>
      <c r="Q1245" s="770"/>
      <c r="R1245" s="770"/>
      <c r="S1245" s="771"/>
      <c r="T1245" s="284"/>
      <c r="U1245" s="284"/>
      <c r="V1245" s="310"/>
      <c r="W1245" s="284"/>
      <c r="X1245" s="542" t="str">
        <f>IF($F1240=1,"NO APLICA",$D1245)</f>
        <v/>
      </c>
      <c r="Y1245" s="543" t="str">
        <f>IF(OR($F1245="",$F1245="NO APORTA",$R1247=0,$X1245="NO APLICA"),"",ROUND($F1245/$Q1247,2))</f>
        <v/>
      </c>
      <c r="Z1245" s="544" t="str">
        <f>IF(Y1248=1,"SI APLICA",IF(OR($X1245="",$X1245="NO APLICA",$F1245="",$F1245="NO APORTA"),"",IF(ROUND($F1245/Q1247,7)&gt;=0.4,"SI APLICA","NO APLICA")))</f>
        <v/>
      </c>
      <c r="AA1245" s="543"/>
      <c r="AB1245" s="540" t="str">
        <f t="shared" ref="AB1245:AB1246" si="250">IF(COUNTIF(Z1245:AA1245,"SI APLICA")=2,"SI APLICA","")</f>
        <v/>
      </c>
      <c r="AC1245" s="28"/>
    </row>
    <row r="1246" spans="1:29" s="30" customFormat="1" ht="17.25" customHeight="1">
      <c r="A1246" s="112" t="str">
        <f>"R"&amp;E1221</f>
        <v>R41</v>
      </c>
      <c r="B1246" s="791"/>
      <c r="C1246" s="54">
        <v>5</v>
      </c>
      <c r="D1246" s="100" t="str">
        <f>IF(AND(C1246&lt;=F1240,F1240&lt;&gt;""),VLOOKUP(VALUE(E1221&amp;","&amp;C1246),INTEGRANTES!$D$19:$F$192,2,0),"")</f>
        <v/>
      </c>
      <c r="E1246" s="107" t="str">
        <f>IF(D1246&lt;&gt;"",VLOOKUP(VALUE(E1221&amp;","&amp;C1246),INTEGRANTES!$D$19:$F$192,3,0),"")</f>
        <v/>
      </c>
      <c r="F1246" s="380" t="str">
        <f>IF(D1246="","",IF(OR(SUMIF($J1228:$J1234,D1246,$O1228:$O1234)=0,N1246="NO"),"NO APORTA",SUMIF($J1228:$J1234,D1246,$O1228:$O1234)))</f>
        <v/>
      </c>
      <c r="G1246" s="380" t="str">
        <f>IF($D1246="","",IF($F1240&lt;=1,"",ROUND(POSMMLV*PORPO,2)))</f>
        <v/>
      </c>
      <c r="H1246" s="765" t="str">
        <f t="shared" si="248"/>
        <v/>
      </c>
      <c r="I1246" s="766"/>
      <c r="J1246" s="108" t="str">
        <f>IF(D1246="","",IF(OR(AND(SUMIF($J1225:$J1234,D1246,$O1225:$O1234)&gt;=5%*POSMMLV,N1246="SI"),AND(SUMIF($J1225:$J1234,D1246,$O1225:$O1234)=0,E1246&lt;=5%,N1246="SI")),"CUMPLE","NO CUMPLE"))</f>
        <v/>
      </c>
      <c r="K1246" s="105" t="str">
        <f>IF(OR(D1246="",J1246=""),"",IF(AND(J1246="NO CUMPLE",F1246="NO APORTA",E1246&gt;5%),"EXP = 0 y PART &gt; 5%",IF(F1246&lt;5%*Q1247,"EXP &lt; 5%*PO","")))</f>
        <v/>
      </c>
      <c r="L1246" s="389" t="str">
        <f>IF(OR(D1246="",E1246=""),"",IF(AND(E1246&gt;=0.25,F1246&lt;&gt;"NO APORTA",F1246&gt;=$R1247*0.25),"SI","NO"))</f>
        <v/>
      </c>
      <c r="M1246" s="389"/>
      <c r="N1246" s="468"/>
      <c r="O1246" s="789"/>
      <c r="P1246" s="504" t="s">
        <v>416</v>
      </c>
      <c r="Q1246" s="504" t="s">
        <v>417</v>
      </c>
      <c r="R1246" s="793" t="s">
        <v>418</v>
      </c>
      <c r="S1246" s="793"/>
      <c r="T1246" s="284"/>
      <c r="U1246" s="284"/>
      <c r="V1246" s="310"/>
      <c r="W1246" s="284"/>
      <c r="X1246" s="542" t="str">
        <f>IF($F1240=1,"NO APLICA",$D1246)</f>
        <v/>
      </c>
      <c r="Y1246" s="543" t="str">
        <f>IF(OR($F1246="",$F1246="NO APORTA",$R1247=0,$X1246="NO APLICA"),"",ROUND($F1246/$Q1247,2))</f>
        <v/>
      </c>
      <c r="Z1246" s="544" t="str">
        <f>IF(Y1248=1,"SI APLICA",IF(OR($X1246="",$X1246="NO APLICA",$F1246="",$F1246="NO APORTA"),"",IF(ROUND($F1246/Q1247,7)&gt;=0.4,"SI APLICA","NO APLICA")))</f>
        <v/>
      </c>
      <c r="AA1246" s="543"/>
      <c r="AB1246" s="540" t="str">
        <f t="shared" si="250"/>
        <v/>
      </c>
      <c r="AC1246" s="28"/>
    </row>
    <row r="1247" spans="1:29" s="30" customFormat="1" ht="16.5" customHeight="1" thickBot="1">
      <c r="A1247" s="112" t="str">
        <f>"S"&amp;E1221</f>
        <v>S41</v>
      </c>
      <c r="B1247" s="791"/>
      <c r="C1247" s="109">
        <v>6</v>
      </c>
      <c r="D1247" s="110" t="str">
        <f>IF(AND(C1247&lt;=F1240,F1240&lt;&gt;""),VLOOKUP(VALUE(E1221&amp;","&amp;C1247),INTEGRANTES!$D$19:$F$192,2,0),"")</f>
        <v/>
      </c>
      <c r="E1247" s="111" t="str">
        <f>IF(D1247&lt;&gt;"",VLOOKUP(VALUE(E1221&amp;","&amp;C1247),INTEGRANTES!$D$19:$F$192,3,0),"")</f>
        <v/>
      </c>
      <c r="F1247" s="380" t="str">
        <f>IF(D1247="","",IF(OR(SUMIF($J1228:$J1234,D1247,$O1228:$O1234)=0,N1247="NO"),"NO APORTA",SUMIF($J1228:$J1234,D1247,$O1228:$O1234)))</f>
        <v/>
      </c>
      <c r="G1247" s="380" t="str">
        <f>IF($D1247="","",IF($F1240&lt;=1,"",ROUND(POSMMLV*PORPO,2)))</f>
        <v/>
      </c>
      <c r="H1247" s="765" t="str">
        <f>IF($D1247="","",IF(OR(F1247="NO APORTA",G1247&gt;F1247),"NO CUMPLE","CUMPLE"))</f>
        <v/>
      </c>
      <c r="I1247" s="766"/>
      <c r="J1247" s="108" t="str">
        <f>IF(D1247="","",IF(OR(AND(SUMIF($J1225:$J1234,D1247,$O1225:$O1234)&gt;=5%*POSMMLV,N1247="SI"),AND(SUMIF($J1225:$J1234,D1247,$O1225:$O1234)=0,E1247&lt;=5%,N1247="SI")),"CUMPLE","NO CUMPLE"))</f>
        <v/>
      </c>
      <c r="K1247" s="105" t="str">
        <f>IF(OR(D1247="",J1247=""),"",IF(AND(J1247="NO CUMPLE",F1247="NO APORTA",E1247&gt;5%),"EXP = 0 y PART &gt; 5%",IF(F1247&lt;5%*Q1247,"EXP &lt; 5%*PO","")))</f>
        <v/>
      </c>
      <c r="L1247" s="389" t="str">
        <f>IF(OR(D1247="",E1247=""),"",IF(AND(E1247&gt;=0.25,F1247&lt;&gt;"NO APORTA",F1247&gt;=$R1247*0.25),"SI","NO"))</f>
        <v/>
      </c>
      <c r="M1247" s="389"/>
      <c r="N1247" s="468"/>
      <c r="O1247" s="403" t="str">
        <f ca="1">IF(R1247&gt;=Q1247,"CUMPLE","NO CUMPLE")</f>
        <v>CUMPLE</v>
      </c>
      <c r="P1247" s="312">
        <f>NUMMOD</f>
        <v>1</v>
      </c>
      <c r="Q1247" s="313">
        <f ca="1">IF(P1247="","",ROUND(VLOOKUP(P1247,PRESUPUESTOS!$B$16:$L$16,9,FALSE),7))</f>
        <v>300</v>
      </c>
      <c r="R1247" s="834">
        <f>IF(OR(COUNTIF(O1225:O1234,"")&gt;9,S1241&lt;NUMMINCONT),0,SUM(O1225:O1234))</f>
        <v>420.44599999999997</v>
      </c>
      <c r="S1247" s="834"/>
      <c r="T1247" s="284"/>
      <c r="U1247" s="284"/>
      <c r="V1247" s="310"/>
      <c r="W1247" s="284"/>
      <c r="X1247" s="545" t="str">
        <f>IF($F1240=1,"NO APLICA",$D1247)</f>
        <v/>
      </c>
      <c r="Y1247" s="543" t="str">
        <f>IF(OR($F1247="",$F1247="NO APORTA",$R1247=0,$X1247="NO APLICA"),"",ROUND($F1247/$Q1247,2))</f>
        <v/>
      </c>
      <c r="Z1247" s="544" t="str">
        <f>IF(Y1248=1,"SI APLICA",IF(OR($X1247="",$X1247="NO APLICA",$F1247="",$F1247="NO APORTA"),"",IF(ROUND($F1247/Q1247,7)&gt;=0.4,"SI APLICA","NO APLICA")))</f>
        <v/>
      </c>
      <c r="AA1247" s="546"/>
      <c r="AB1247" s="540" t="str">
        <f>IF(COUNTIF(Z1247:AA1247,"SI APLICA")=2,"SI APLICA","")</f>
        <v/>
      </c>
      <c r="AC1247" s="28"/>
    </row>
    <row r="1248" spans="1:29" s="30" customFormat="1" ht="16.5" customHeight="1" thickBot="1">
      <c r="A1248" s="112" t="str">
        <f>"T"&amp;E1221</f>
        <v>T41</v>
      </c>
      <c r="B1248" s="792"/>
      <c r="C1248" s="821" t="s">
        <v>419</v>
      </c>
      <c r="D1248" s="822"/>
      <c r="E1248" s="822"/>
      <c r="F1248" s="518"/>
      <c r="G1248" s="519"/>
      <c r="H1248" s="794" t="str">
        <f ca="1">IF(OR($F1240="",SUM(E1242:E1247)=0),"",IF(COUNTIF(H1242:H1247,"CUMPLE")&gt;=1,"CUMPLE","NO CUMPLE"))</f>
        <v>CUMPLE</v>
      </c>
      <c r="I1248" s="795"/>
      <c r="J1248" s="314" t="str">
        <f ca="1">IF(COUNTIF(J1242:J1247,"")&gt;5,"",IF(COUNTIF(J1242:J1247,"NO CUMPLE")&gt;0,"NO CUMPLE","CUMPLE"))</f>
        <v>CUMPLE</v>
      </c>
      <c r="K1248" s="314" t="str">
        <f ca="1">IF(OR(AND(F1240=1,N1242="SI"),AND(COUNTIF(H1248:J1248,"CUMPLE")=2)),"CUMPLE","NO CUMPLE")</f>
        <v>CUMPLE</v>
      </c>
      <c r="L1248" s="519"/>
      <c r="M1248" s="519"/>
      <c r="N1248" s="519"/>
      <c r="O1248" s="833" t="str">
        <f ca="1">IF(ISNUMBER(F1221),"",IF(AND(O1247="NO CUMPLE",SUM(N1228:N1234)&lt;Q1247),"EL PROPONENTE SE DEBE REQUERIR POR EXPERIENCIA MINIMA EXIGIDA",""))</f>
        <v/>
      </c>
      <c r="P1248" s="833"/>
      <c r="Q1248" s="833"/>
      <c r="R1248" s="833"/>
      <c r="S1248" s="833"/>
      <c r="T1248" s="522"/>
      <c r="U1248" s="523"/>
      <c r="V1248" s="524"/>
      <c r="W1248" s="284"/>
      <c r="X1248" s="364" t="str">
        <f>IF(Y1248=1,"PROPONENTE INDIVIDUAL","PROPONENTE PLURAL")</f>
        <v>PROPONENTE PLURAL</v>
      </c>
      <c r="Y1248" s="276">
        <f>F1240</f>
        <v>2</v>
      </c>
      <c r="Z1248" s="277" t="str">
        <f ca="1">IF(OR(AND(Z1242="SI APLICA",AA1242="SI APLICA"),AND(Z1243="SI APLICA",AA1243="SI APLICA"),AND(Z1244="SI APLICA",AA1244="SI APLICA"),AND(Z1245="SI APLICA",AA1245="SI APLICA"),AND(Z1246="SI APLICA",AA1246="SI APLICA"),AND(Z1247="SI APLICA",AA1247="SI APLICA")),"SI APLICA","NO APLICA")</f>
        <v>SI APLICA</v>
      </c>
      <c r="AA1248" s="278" t="str">
        <f ca="1">IF(OR(AND(AA1242="SI APLICA",AB1242="SI APLICA"),AND(AA1243="SI APLICA",AB1243="SI APLICA"),AND(AA1244="SI APLICA",AB1244="SI APLICA"),AND(AA1245="SI APLICA",AB1245="SI APLICA"),AND(AA1246="SI APLICA",AB1246="SI APLICA"),AND(AA1247="SI APLICA",AB1247="SI APLICA")),"SI APLICA","NO APLICA")</f>
        <v>SI APLICA</v>
      </c>
      <c r="AB1248" s="278" t="str">
        <f ca="1">IF(COUNTIF(AB1242:AB1247,"SI APLICA")&gt;0,"SI APLICA","NO APLICA")</f>
        <v>SI APLICA</v>
      </c>
      <c r="AC1248" s="28"/>
    </row>
    <row r="1249" spans="1:29" ht="24.95" customHeight="1"/>
    <row r="1250" spans="1:29" ht="24.95" customHeight="1"/>
    <row r="1251" spans="1:29" s="41" customFormat="1" ht="24" thickBot="1">
      <c r="A1251" s="34">
        <v>42</v>
      </c>
      <c r="B1251" s="828" t="s">
        <v>355</v>
      </c>
      <c r="C1251" s="828"/>
      <c r="D1251" s="828"/>
      <c r="E1251" s="35">
        <f>VLOOKUP(A1251,PROPONENTES!$B$19:$E$108,2,FALSE)</f>
        <v>42</v>
      </c>
      <c r="F1251" s="36" t="str">
        <f>VLOOKUP(A1251,PROPONENTES!$B$19:$E$108,3,FALSE)</f>
        <v>CONSORCIO VIAL ORIEMH”</v>
      </c>
      <c r="G1251" s="37"/>
      <c r="H1251" s="37"/>
      <c r="I1251" s="36"/>
      <c r="J1251" s="36"/>
      <c r="K1251" s="36"/>
      <c r="L1251" s="36"/>
      <c r="M1251" s="38"/>
      <c r="N1251" s="38"/>
      <c r="O1251" s="37"/>
      <c r="P1251" s="37"/>
      <c r="Q1251" s="39"/>
      <c r="R1251" s="39"/>
      <c r="S1251" s="39"/>
      <c r="T1251" s="39"/>
      <c r="U1251" s="40"/>
      <c r="Y1251" s="52"/>
      <c r="Z1251" s="52"/>
      <c r="AA1251" s="52"/>
      <c r="AB1251" s="28"/>
      <c r="AC1251" s="28"/>
    </row>
    <row r="1252" spans="1:29" s="27" customFormat="1" ht="24.75" customHeight="1">
      <c r="A1252" s="22"/>
      <c r="B1252" s="829" t="s">
        <v>356</v>
      </c>
      <c r="C1252" s="501" t="s">
        <v>357</v>
      </c>
      <c r="D1252" s="502" t="s">
        <v>358</v>
      </c>
      <c r="E1252" s="502"/>
      <c r="F1252" s="502" t="s">
        <v>359</v>
      </c>
      <c r="G1252" s="503"/>
      <c r="H1252" s="803" t="s">
        <v>360</v>
      </c>
      <c r="I1252" s="831" t="s">
        <v>361</v>
      </c>
      <c r="J1252" s="803" t="s">
        <v>362</v>
      </c>
      <c r="K1252" s="803" t="s">
        <v>363</v>
      </c>
      <c r="L1252" s="803" t="s">
        <v>364</v>
      </c>
      <c r="M1252" s="803" t="s">
        <v>365</v>
      </c>
      <c r="N1252" s="804" t="s">
        <v>366</v>
      </c>
      <c r="O1252" s="805"/>
      <c r="P1252" s="806" t="s">
        <v>367</v>
      </c>
      <c r="Q1252" s="807"/>
      <c r="R1252" s="784" t="s">
        <v>368</v>
      </c>
      <c r="S1252" s="774"/>
      <c r="T1252" s="798" t="s">
        <v>369</v>
      </c>
      <c r="U1252" s="799"/>
      <c r="V1252" s="800"/>
      <c r="X1252" s="520"/>
      <c r="Y1252" s="520"/>
    </row>
    <row r="1253" spans="1:29" s="27" customFormat="1" ht="94.5" customHeight="1">
      <c r="A1253" s="22"/>
      <c r="B1253" s="830"/>
      <c r="C1253" s="504" t="s">
        <v>370</v>
      </c>
      <c r="D1253" s="505" t="s">
        <v>41</v>
      </c>
      <c r="E1253" s="505" t="s">
        <v>371</v>
      </c>
      <c r="F1253" s="505" t="s">
        <v>372</v>
      </c>
      <c r="G1253" s="506" t="s">
        <v>373</v>
      </c>
      <c r="H1253" s="793"/>
      <c r="I1253" s="832"/>
      <c r="J1253" s="793"/>
      <c r="K1253" s="793"/>
      <c r="L1253" s="793"/>
      <c r="M1253" s="793"/>
      <c r="N1253" s="504" t="s">
        <v>374</v>
      </c>
      <c r="O1253" s="505" t="s">
        <v>375</v>
      </c>
      <c r="P1253" s="801"/>
      <c r="Q1253" s="802"/>
      <c r="R1253" s="796"/>
      <c r="S1253" s="797"/>
      <c r="T1253" s="507" t="s">
        <v>376</v>
      </c>
      <c r="U1253" s="508" t="s">
        <v>377</v>
      </c>
      <c r="V1253" s="509" t="s">
        <v>378</v>
      </c>
      <c r="X1253" s="521" t="s">
        <v>379</v>
      </c>
      <c r="Y1253" s="521" t="s">
        <v>380</v>
      </c>
    </row>
    <row r="1254" spans="1:29" s="27" customFormat="1" ht="15" customHeight="1">
      <c r="A1254" s="22"/>
      <c r="B1254" s="594"/>
      <c r="C1254" s="595">
        <v>3</v>
      </c>
      <c r="D1254" s="595">
        <v>4</v>
      </c>
      <c r="E1254" s="595">
        <v>5</v>
      </c>
      <c r="F1254" s="595">
        <v>6</v>
      </c>
      <c r="G1254" s="595">
        <v>7</v>
      </c>
      <c r="H1254" s="595">
        <v>8</v>
      </c>
      <c r="I1254" s="595">
        <v>9</v>
      </c>
      <c r="J1254" s="595">
        <v>10</v>
      </c>
      <c r="K1254" s="595">
        <v>11</v>
      </c>
      <c r="L1254" s="595">
        <v>12</v>
      </c>
      <c r="M1254" s="595">
        <v>13</v>
      </c>
      <c r="N1254" s="595">
        <v>14</v>
      </c>
      <c r="O1254" s="595">
        <v>15</v>
      </c>
      <c r="P1254" s="596">
        <v>16</v>
      </c>
      <c r="Q1254" s="597">
        <v>17</v>
      </c>
      <c r="R1254" s="596">
        <v>18</v>
      </c>
      <c r="S1254" s="597">
        <v>19</v>
      </c>
      <c r="T1254" s="598">
        <v>20</v>
      </c>
      <c r="U1254" s="255">
        <v>21</v>
      </c>
      <c r="V1254" s="599">
        <v>22</v>
      </c>
      <c r="X1254" s="589"/>
      <c r="Y1254" s="590"/>
    </row>
    <row r="1255" spans="1:29" s="44" customFormat="1" ht="135" customHeight="1">
      <c r="A1255" s="42" t="str">
        <f>"A"&amp;E1251</f>
        <v>A42</v>
      </c>
      <c r="B1255" s="605">
        <f>IF(C1255&lt;&gt;"",B1254+1,"")</f>
        <v>1</v>
      </c>
      <c r="C1255" s="581" t="s">
        <v>712</v>
      </c>
      <c r="D1255" s="581" t="s">
        <v>713</v>
      </c>
      <c r="E1255" s="581" t="s">
        <v>714</v>
      </c>
      <c r="F1255" s="581" t="s">
        <v>431</v>
      </c>
      <c r="G1255" s="534">
        <v>0.8</v>
      </c>
      <c r="H1255" s="635" t="s">
        <v>385</v>
      </c>
      <c r="I1255" s="579">
        <v>2</v>
      </c>
      <c r="J1255" s="580" t="str">
        <f>IF(I1255="","",IF(I1255="I",$F1251,VLOOKUP(I1255,$C1272:$D1277,2,0)))</f>
        <v>EMUNAH COLOMBIA SAS</v>
      </c>
      <c r="K1255" s="535">
        <v>40891</v>
      </c>
      <c r="L1255" s="535">
        <v>41361</v>
      </c>
      <c r="M1255" s="536">
        <v>1543.68</v>
      </c>
      <c r="N1255" s="651">
        <f t="shared" ref="N1255:N1264" si="251">IF(OR(G1255="",M1255=""),"",M1255*G1255)</f>
        <v>1234.9440000000002</v>
      </c>
      <c r="O1255" s="260">
        <f t="shared" ref="O1255:O1264" si="252">IF(OR(H1255="",H1255="NO",K1255&lt;$Q$17,K1255&gt;$R$17,K1255="",M1255="",N1255=""),"",ROUND(N1255,7))</f>
        <v>1234.944</v>
      </c>
      <c r="P1255" s="781"/>
      <c r="Q1255" s="782"/>
      <c r="R1255" s="767"/>
      <c r="S1255" s="768"/>
      <c r="T1255" s="538" t="s">
        <v>385</v>
      </c>
      <c r="U1255" s="539">
        <v>82</v>
      </c>
      <c r="V1255" s="540" t="s">
        <v>385</v>
      </c>
      <c r="X1255" s="541" t="s">
        <v>446</v>
      </c>
      <c r="Y1255" s="541" t="s">
        <v>387</v>
      </c>
    </row>
    <row r="1256" spans="1:29" s="44" customFormat="1" ht="60.75" customHeight="1">
      <c r="A1256" s="42" t="str">
        <f>"B"&amp;E1251</f>
        <v>B42</v>
      </c>
      <c r="B1256" s="605">
        <f t="shared" ref="B1256:B1264" si="253">IF(C1256&lt;&gt;"",B1255+1,"")</f>
        <v>2</v>
      </c>
      <c r="C1256" s="581" t="s">
        <v>715</v>
      </c>
      <c r="D1256" s="581" t="s">
        <v>716</v>
      </c>
      <c r="E1256" s="581" t="s">
        <v>717</v>
      </c>
      <c r="F1256" s="581" t="s">
        <v>431</v>
      </c>
      <c r="G1256" s="534">
        <v>0.49</v>
      </c>
      <c r="H1256" s="534" t="s">
        <v>385</v>
      </c>
      <c r="I1256" s="579">
        <v>1</v>
      </c>
      <c r="J1256" s="580" t="str">
        <f>IF(I1256="","",IF(I1256="I",$F1251,VLOOKUP(I1256,$C1272:$D1277,2,0)))</f>
        <v>PROYECTOS Y CONSULTORIAS ORION SAS</v>
      </c>
      <c r="K1256" s="535">
        <v>42654</v>
      </c>
      <c r="L1256" s="535">
        <v>42871</v>
      </c>
      <c r="M1256" s="536">
        <v>78.569999999999993</v>
      </c>
      <c r="N1256" s="651">
        <f t="shared" si="251"/>
        <v>38.499299999999998</v>
      </c>
      <c r="O1256" s="260">
        <f t="shared" si="252"/>
        <v>38.499299999999998</v>
      </c>
      <c r="P1256" s="781"/>
      <c r="Q1256" s="782"/>
      <c r="R1256" s="767"/>
      <c r="S1256" s="768"/>
      <c r="T1256" s="538" t="s">
        <v>385</v>
      </c>
      <c r="U1256" s="539">
        <v>57</v>
      </c>
      <c r="V1256" s="540" t="s">
        <v>385</v>
      </c>
      <c r="X1256" s="541" t="s">
        <v>386</v>
      </c>
      <c r="Y1256" s="541" t="s">
        <v>439</v>
      </c>
    </row>
    <row r="1257" spans="1:29" s="44" customFormat="1" ht="78" customHeight="1">
      <c r="A1257" s="42" t="str">
        <f>"C"&amp;E1251</f>
        <v>C42</v>
      </c>
      <c r="B1257" s="605">
        <f t="shared" si="253"/>
        <v>3</v>
      </c>
      <c r="C1257" s="581" t="s">
        <v>718</v>
      </c>
      <c r="D1257" s="581" t="s">
        <v>719</v>
      </c>
      <c r="E1257" s="581" t="s">
        <v>720</v>
      </c>
      <c r="F1257" s="581" t="s">
        <v>384</v>
      </c>
      <c r="G1257" s="534">
        <v>1</v>
      </c>
      <c r="H1257" s="534" t="s">
        <v>385</v>
      </c>
      <c r="I1257" s="579">
        <v>1</v>
      </c>
      <c r="J1257" s="580" t="str">
        <f>IF(I1257="","",IF(I1257="I",$F1251,VLOOKUP(I1257,$C1272:$D1277,2,0)))</f>
        <v>PROYECTOS Y CONSULTORIAS ORION SAS</v>
      </c>
      <c r="K1257" s="535">
        <v>41569</v>
      </c>
      <c r="L1257" s="535">
        <v>41614</v>
      </c>
      <c r="M1257" s="536">
        <v>25.76</v>
      </c>
      <c r="N1257" s="651">
        <f t="shared" si="251"/>
        <v>25.76</v>
      </c>
      <c r="O1257" s="260">
        <f t="shared" si="252"/>
        <v>25.76</v>
      </c>
      <c r="P1257" s="781"/>
      <c r="Q1257" s="782"/>
      <c r="R1257" s="767" t="s">
        <v>721</v>
      </c>
      <c r="S1257" s="768"/>
      <c r="T1257" s="538" t="s">
        <v>385</v>
      </c>
      <c r="U1257" s="539">
        <v>54</v>
      </c>
      <c r="V1257" s="540" t="s">
        <v>385</v>
      </c>
      <c r="X1257" s="541" t="s">
        <v>449</v>
      </c>
      <c r="Y1257" s="541" t="s">
        <v>387</v>
      </c>
    </row>
    <row r="1258" spans="1:29" s="44" customFormat="1" ht="24.95" customHeight="1">
      <c r="A1258" s="42" t="str">
        <f>"D"&amp;E1251</f>
        <v>D42</v>
      </c>
      <c r="B1258" s="605" t="str">
        <f t="shared" si="253"/>
        <v/>
      </c>
      <c r="C1258" s="581"/>
      <c r="D1258" s="581"/>
      <c r="E1258" s="581"/>
      <c r="F1258" s="581"/>
      <c r="G1258" s="534"/>
      <c r="H1258" s="534"/>
      <c r="I1258" s="579"/>
      <c r="J1258" s="580" t="str">
        <f>IF(I1258="","",IF(I1258="I",$F1251,VLOOKUP(I1258,$C1272:$D1277,2,0)))</f>
        <v/>
      </c>
      <c r="K1258" s="535"/>
      <c r="L1258" s="535"/>
      <c r="M1258" s="536"/>
      <c r="N1258" s="232" t="str">
        <f t="shared" si="251"/>
        <v/>
      </c>
      <c r="O1258" s="260" t="str">
        <f t="shared" si="252"/>
        <v/>
      </c>
      <c r="P1258" s="781"/>
      <c r="Q1258" s="782"/>
      <c r="R1258" s="767"/>
      <c r="S1258" s="768"/>
      <c r="T1258" s="538"/>
      <c r="U1258" s="539"/>
      <c r="V1258" s="540"/>
      <c r="X1258" s="541"/>
      <c r="Y1258" s="541"/>
    </row>
    <row r="1259" spans="1:29" s="44" customFormat="1" ht="24.95" customHeight="1">
      <c r="A1259" s="42" t="str">
        <f>"E"&amp;E1251</f>
        <v>E42</v>
      </c>
      <c r="B1259" s="605" t="str">
        <f t="shared" si="253"/>
        <v/>
      </c>
      <c r="C1259" s="581"/>
      <c r="D1259" s="581"/>
      <c r="E1259" s="581"/>
      <c r="F1259" s="581"/>
      <c r="G1259" s="534"/>
      <c r="H1259" s="534"/>
      <c r="I1259" s="579"/>
      <c r="J1259" s="580" t="str">
        <f>IF(I1259="","",IF(I1259="I",$F1251,VLOOKUP(I1259,$C1272:$D1277,2,0)))</f>
        <v/>
      </c>
      <c r="K1259" s="535"/>
      <c r="L1259" s="535"/>
      <c r="M1259" s="536"/>
      <c r="N1259" s="232" t="str">
        <f t="shared" si="251"/>
        <v/>
      </c>
      <c r="O1259" s="260" t="str">
        <f t="shared" si="252"/>
        <v/>
      </c>
      <c r="P1259" s="781"/>
      <c r="Q1259" s="782"/>
      <c r="R1259" s="767"/>
      <c r="S1259" s="768"/>
      <c r="T1259" s="538"/>
      <c r="U1259" s="539"/>
      <c r="V1259" s="540"/>
      <c r="X1259" s="541"/>
      <c r="Y1259" s="541"/>
    </row>
    <row r="1260" spans="1:29" s="44" customFormat="1" ht="24.95" customHeight="1">
      <c r="A1260" s="42" t="str">
        <f>"F"&amp;E1251</f>
        <v>F42</v>
      </c>
      <c r="B1260" s="605" t="str">
        <f t="shared" si="253"/>
        <v/>
      </c>
      <c r="C1260" s="581"/>
      <c r="D1260" s="581"/>
      <c r="E1260" s="581"/>
      <c r="F1260" s="581"/>
      <c r="G1260" s="534"/>
      <c r="H1260" s="534"/>
      <c r="I1260" s="579"/>
      <c r="J1260" s="580" t="str">
        <f>IF(I1260="","",IF(I1260="I",$F1251,VLOOKUP(I1260,$C1272:$D1277,2,0)))</f>
        <v/>
      </c>
      <c r="K1260" s="535"/>
      <c r="L1260" s="535"/>
      <c r="M1260" s="536"/>
      <c r="N1260" s="232" t="str">
        <f t="shared" si="251"/>
        <v/>
      </c>
      <c r="O1260" s="260" t="str">
        <f t="shared" si="252"/>
        <v/>
      </c>
      <c r="P1260" s="781"/>
      <c r="Q1260" s="782"/>
      <c r="R1260" s="767"/>
      <c r="S1260" s="768"/>
      <c r="T1260" s="538"/>
      <c r="U1260" s="539"/>
      <c r="V1260" s="540"/>
      <c r="X1260" s="541"/>
      <c r="Y1260" s="541"/>
    </row>
    <row r="1261" spans="1:29" s="44" customFormat="1" ht="24.95" customHeight="1">
      <c r="A1261" s="42" t="str">
        <f>"G"&amp;E1251</f>
        <v>G42</v>
      </c>
      <c r="B1261" s="605" t="str">
        <f t="shared" si="253"/>
        <v/>
      </c>
      <c r="C1261" s="581"/>
      <c r="D1261" s="581"/>
      <c r="E1261" s="581"/>
      <c r="F1261" s="581"/>
      <c r="G1261" s="534"/>
      <c r="H1261" s="534"/>
      <c r="I1261" s="579"/>
      <c r="J1261" s="580" t="str">
        <f>IF(I1261="","",IF(I1261="I",$F1251,VLOOKUP(I1261,$C1272:$D1277,2,0)))</f>
        <v/>
      </c>
      <c r="K1261" s="535"/>
      <c r="L1261" s="535"/>
      <c r="M1261" s="536"/>
      <c r="N1261" s="43" t="str">
        <f t="shared" si="251"/>
        <v/>
      </c>
      <c r="O1261" s="260" t="str">
        <f t="shared" si="252"/>
        <v/>
      </c>
      <c r="P1261" s="781"/>
      <c r="Q1261" s="782"/>
      <c r="R1261" s="767"/>
      <c r="S1261" s="768"/>
      <c r="T1261" s="538"/>
      <c r="U1261" s="539"/>
      <c r="V1261" s="540"/>
      <c r="X1261" s="541"/>
      <c r="Y1261" s="541"/>
    </row>
    <row r="1262" spans="1:29" s="44" customFormat="1" ht="24.95" customHeight="1">
      <c r="A1262" s="42" t="str">
        <f>"H"&amp;E1251</f>
        <v>H42</v>
      </c>
      <c r="B1262" s="605" t="str">
        <f t="shared" si="253"/>
        <v/>
      </c>
      <c r="C1262" s="581"/>
      <c r="D1262" s="581"/>
      <c r="E1262" s="581"/>
      <c r="F1262" s="581"/>
      <c r="G1262" s="534"/>
      <c r="H1262" s="534"/>
      <c r="I1262" s="579"/>
      <c r="J1262" s="580" t="str">
        <f>IF(I1262="","",IF(I1262="I",$F1251,VLOOKUP(I1262,$C1272:$D1277,2,0)))</f>
        <v/>
      </c>
      <c r="K1262" s="535"/>
      <c r="L1262" s="535"/>
      <c r="M1262" s="537"/>
      <c r="N1262" s="43" t="str">
        <f t="shared" si="251"/>
        <v/>
      </c>
      <c r="O1262" s="260" t="str">
        <f t="shared" si="252"/>
        <v/>
      </c>
      <c r="P1262" s="781"/>
      <c r="Q1262" s="782"/>
      <c r="R1262" s="767"/>
      <c r="S1262" s="768"/>
      <c r="T1262" s="538"/>
      <c r="U1262" s="539"/>
      <c r="V1262" s="540"/>
      <c r="X1262" s="541"/>
      <c r="Y1262" s="541"/>
    </row>
    <row r="1263" spans="1:29" s="44" customFormat="1" ht="24.95" customHeight="1">
      <c r="A1263" s="42" t="str">
        <f>"I"&amp;E1251</f>
        <v>I42</v>
      </c>
      <c r="B1263" s="605" t="str">
        <f t="shared" si="253"/>
        <v/>
      </c>
      <c r="C1263" s="581"/>
      <c r="D1263" s="581"/>
      <c r="E1263" s="581"/>
      <c r="F1263" s="581"/>
      <c r="G1263" s="534"/>
      <c r="H1263" s="534"/>
      <c r="I1263" s="579"/>
      <c r="J1263" s="580" t="str">
        <f>IF(I1263="","",IF(I1263="I",$F1251,VLOOKUP(I1263,$C1272:$D1277,2,0)))</f>
        <v/>
      </c>
      <c r="K1263" s="535"/>
      <c r="L1263" s="535"/>
      <c r="M1263" s="537"/>
      <c r="N1263" s="43" t="str">
        <f t="shared" si="251"/>
        <v/>
      </c>
      <c r="O1263" s="260" t="str">
        <f t="shared" si="252"/>
        <v/>
      </c>
      <c r="P1263" s="781"/>
      <c r="Q1263" s="782"/>
      <c r="R1263" s="767"/>
      <c r="S1263" s="768"/>
      <c r="T1263" s="538"/>
      <c r="U1263" s="539"/>
      <c r="V1263" s="540"/>
      <c r="X1263" s="541"/>
      <c r="Y1263" s="541"/>
    </row>
    <row r="1264" spans="1:29" s="44" customFormat="1" ht="24.95" customHeight="1" thickBot="1">
      <c r="A1264" s="42" t="str">
        <f>"J"&amp;E1251</f>
        <v>J42</v>
      </c>
      <c r="B1264" s="612" t="str">
        <f t="shared" si="253"/>
        <v/>
      </c>
      <c r="C1264" s="582"/>
      <c r="D1264" s="582"/>
      <c r="E1264" s="582"/>
      <c r="F1264" s="582"/>
      <c r="G1264" s="583"/>
      <c r="H1264" s="583"/>
      <c r="I1264" s="584"/>
      <c r="J1264" s="585" t="str">
        <f>IF(I1264="","",IF(I1264="I",$F1251,VLOOKUP(I1264,$C1272:$D1277,2,0)))</f>
        <v/>
      </c>
      <c r="K1264" s="586"/>
      <c r="L1264" s="586"/>
      <c r="M1264" s="587"/>
      <c r="N1264" s="43" t="str">
        <f t="shared" si="251"/>
        <v/>
      </c>
      <c r="O1264" s="260" t="str">
        <f t="shared" si="252"/>
        <v/>
      </c>
      <c r="P1264" s="781"/>
      <c r="Q1264" s="782"/>
      <c r="R1264" s="767"/>
      <c r="S1264" s="768"/>
      <c r="T1264" s="538"/>
      <c r="U1264" s="539"/>
      <c r="V1264" s="540"/>
      <c r="X1264" s="541"/>
      <c r="Y1264" s="541"/>
    </row>
    <row r="1265" spans="1:29" s="27" customFormat="1" ht="16.5" thickBot="1">
      <c r="A1265" s="42"/>
      <c r="B1265" s="45"/>
      <c r="C1265" s="46"/>
      <c r="D1265" s="46"/>
      <c r="E1265" s="46"/>
      <c r="F1265" s="46"/>
      <c r="G1265" s="46"/>
      <c r="H1265" s="606"/>
      <c r="I1265" s="46"/>
      <c r="J1265" s="46"/>
      <c r="K1265" s="46"/>
      <c r="L1265" s="46"/>
      <c r="M1265" s="46"/>
      <c r="N1265" s="46"/>
      <c r="O1265" s="259"/>
      <c r="P1265" s="46"/>
      <c r="Q1265" s="46"/>
      <c r="R1265" s="259"/>
      <c r="S1265" s="46"/>
      <c r="T1265" s="46"/>
      <c r="U1265" s="47"/>
      <c r="V1265" s="48"/>
      <c r="X1265" s="592"/>
      <c r="Y1265" s="593"/>
      <c r="AB1265" s="378"/>
    </row>
    <row r="1266" spans="1:29" s="27" customFormat="1" ht="17.25" customHeight="1" thickBot="1">
      <c r="A1266" s="42" t="str">
        <f>"Z"&amp;E1251</f>
        <v>Z42</v>
      </c>
      <c r="B1266" s="510"/>
      <c r="C1266" s="511"/>
      <c r="D1266" s="511"/>
      <c r="E1266" s="511"/>
      <c r="F1266" s="511"/>
      <c r="G1266" s="511"/>
      <c r="H1266" s="511"/>
      <c r="I1266" s="511"/>
      <c r="J1266" s="511"/>
      <c r="K1266" s="511"/>
      <c r="L1266" s="511"/>
      <c r="M1266" s="511"/>
      <c r="N1266" s="437" t="s">
        <v>388</v>
      </c>
      <c r="O1266" s="438">
        <f>IF(COUNTIF(O1255:O1264,"")&gt;9,0,SUM(O1255:O1264)/(COUNTIF(H1255:H1264,"SI")))</f>
        <v>433.06776666666661</v>
      </c>
      <c r="P1266" s="511"/>
      <c r="Q1266" s="511"/>
      <c r="R1266" s="530"/>
      <c r="S1266" s="530"/>
      <c r="T1266" s="531"/>
      <c r="U1266" s="532"/>
      <c r="V1266" s="533"/>
      <c r="W1266" s="285"/>
      <c r="X1266" s="613" t="e">
        <f>COUNTIF(#REF!,"")-COUNTIF(#REF!,"CUMPLE")-1</f>
        <v>#REF!</v>
      </c>
      <c r="Y1266" s="591"/>
      <c r="AB1266" s="28"/>
    </row>
    <row r="1267" spans="1:29" ht="17.25" customHeight="1">
      <c r="B1267" s="50"/>
      <c r="C1267" s="50"/>
      <c r="D1267" s="50"/>
      <c r="E1267" s="50"/>
      <c r="F1267" s="50"/>
      <c r="G1267" s="51"/>
      <c r="H1267" s="51"/>
      <c r="I1267" s="51"/>
      <c r="J1267" s="51"/>
      <c r="K1267" s="51"/>
      <c r="L1267" s="51"/>
      <c r="M1267" s="51"/>
      <c r="N1267" s="51"/>
      <c r="O1267" s="51"/>
      <c r="P1267" s="51"/>
      <c r="Q1267" s="51"/>
      <c r="R1267" s="51"/>
      <c r="S1267" s="51"/>
      <c r="T1267" s="51"/>
      <c r="U1267" s="51"/>
      <c r="V1267" s="51"/>
      <c r="W1267" s="51"/>
      <c r="X1267" s="608"/>
      <c r="Y1267" s="51"/>
      <c r="Z1267" s="51"/>
      <c r="AA1267" s="51"/>
      <c r="AB1267" s="51"/>
      <c r="AC1267" s="50"/>
    </row>
    <row r="1268" spans="1:29" s="27" customFormat="1" ht="16.5" customHeight="1" thickBot="1">
      <c r="A1268" s="22"/>
      <c r="B1268" s="783" t="s">
        <v>389</v>
      </c>
      <c r="C1268" s="783"/>
      <c r="D1268" s="783"/>
      <c r="E1268" s="783"/>
      <c r="F1268" s="783"/>
      <c r="G1268" s="783"/>
      <c r="H1268" s="783"/>
      <c r="I1268" s="783"/>
      <c r="J1268" s="783"/>
      <c r="K1268" s="783"/>
      <c r="L1268" s="783"/>
      <c r="M1268" s="783"/>
      <c r="N1268" s="783"/>
      <c r="O1268" s="783"/>
      <c r="P1268" s="783"/>
      <c r="Q1268" s="783"/>
      <c r="R1268" s="783"/>
      <c r="S1268" s="783"/>
      <c r="T1268" s="783"/>
      <c r="U1268" s="783"/>
      <c r="V1268" s="783"/>
      <c r="W1268" s="286"/>
      <c r="X1268" s="607"/>
      <c r="Y1268" s="52"/>
      <c r="Z1268" s="52"/>
      <c r="AA1268" s="52"/>
      <c r="AB1268" s="28"/>
      <c r="AC1268" s="28"/>
    </row>
    <row r="1269" spans="1:29" s="30" customFormat="1" ht="22.5" customHeight="1">
      <c r="A1269" s="112" t="str">
        <f>"K"&amp;E1251</f>
        <v>K42</v>
      </c>
      <c r="B1269" s="790" t="s">
        <v>390</v>
      </c>
      <c r="C1269" s="772" t="s">
        <v>391</v>
      </c>
      <c r="D1269" s="773"/>
      <c r="E1269" s="773"/>
      <c r="F1269" s="773"/>
      <c r="G1269" s="773"/>
      <c r="H1269" s="773"/>
      <c r="I1269" s="773"/>
      <c r="J1269" s="773"/>
      <c r="K1269" s="773"/>
      <c r="L1269" s="773"/>
      <c r="M1269" s="774"/>
      <c r="N1269" s="525"/>
      <c r="O1269" s="588"/>
      <c r="P1269" s="772" t="s">
        <v>392</v>
      </c>
      <c r="Q1269" s="773"/>
      <c r="R1269" s="773"/>
      <c r="S1269" s="774"/>
      <c r="T1269" s="784" t="s">
        <v>393</v>
      </c>
      <c r="U1269" s="774"/>
      <c r="V1269" s="811"/>
      <c r="W1269" s="284"/>
      <c r="X1269" s="778" t="s">
        <v>394</v>
      </c>
      <c r="Y1269" s="779"/>
      <c r="Z1269" s="779"/>
      <c r="AA1269" s="779" t="s">
        <v>395</v>
      </c>
      <c r="AB1269" s="808" t="s">
        <v>396</v>
      </c>
      <c r="AC1269" s="28"/>
    </row>
    <row r="1270" spans="1:29" s="30" customFormat="1" ht="22.5" customHeight="1">
      <c r="A1270" s="112" t="str">
        <f>"L"&amp;E1251</f>
        <v>L42</v>
      </c>
      <c r="B1270" s="791"/>
      <c r="C1270" s="769" t="s">
        <v>397</v>
      </c>
      <c r="D1270" s="770"/>
      <c r="E1270" s="771"/>
      <c r="F1270" s="512">
        <f>IF(VLOOKUP(E1251,PROPONENTES!$C$19:$E$108,3,0)="","",VLOOKUP(E1251,PROPONENTES!$C$19:$E$108,3,0))</f>
        <v>2</v>
      </c>
      <c r="G1270" s="824" t="s">
        <v>398</v>
      </c>
      <c r="H1270" s="793" t="s">
        <v>399</v>
      </c>
      <c r="I1270" s="793"/>
      <c r="J1270" s="769" t="s">
        <v>400</v>
      </c>
      <c r="K1270" s="823"/>
      <c r="L1270" s="513" t="s">
        <v>401</v>
      </c>
      <c r="M1270" s="513"/>
      <c r="N1270" s="526"/>
      <c r="O1270" s="527"/>
      <c r="P1270" s="775"/>
      <c r="Q1270" s="776"/>
      <c r="R1270" s="776"/>
      <c r="S1270" s="777"/>
      <c r="T1270" s="796"/>
      <c r="U1270" s="797"/>
      <c r="V1270" s="812"/>
      <c r="W1270" s="284"/>
      <c r="X1270" s="780" t="s">
        <v>402</v>
      </c>
      <c r="Y1270" s="810" t="s">
        <v>403</v>
      </c>
      <c r="Z1270" s="810"/>
      <c r="AA1270" s="810"/>
      <c r="AB1270" s="809"/>
      <c r="AC1270" s="28"/>
    </row>
    <row r="1271" spans="1:29" s="30" customFormat="1" ht="51.75" customHeight="1" thickBot="1">
      <c r="A1271" s="112" t="str">
        <f>"M"&amp;E1251</f>
        <v>M42</v>
      </c>
      <c r="B1271" s="791"/>
      <c r="C1271" s="770" t="s">
        <v>404</v>
      </c>
      <c r="D1271" s="771"/>
      <c r="E1271" s="514" t="s">
        <v>405</v>
      </c>
      <c r="F1271" s="515" t="s">
        <v>406</v>
      </c>
      <c r="G1271" s="824"/>
      <c r="H1271" s="793"/>
      <c r="I1271" s="793"/>
      <c r="J1271" s="504" t="s">
        <v>407</v>
      </c>
      <c r="K1271" s="516" t="s">
        <v>408</v>
      </c>
      <c r="L1271" s="517" t="s">
        <v>409</v>
      </c>
      <c r="M1271" s="517"/>
      <c r="N1271" s="528" t="s">
        <v>410</v>
      </c>
      <c r="O1271" s="529"/>
      <c r="P1271" s="386"/>
      <c r="Q1271" s="387" t="s">
        <v>411</v>
      </c>
      <c r="R1271" s="388"/>
      <c r="S1271" s="113">
        <f>COUNTIFS(H1255:H1264,"SI",O1255:O1264,"&gt;0")</f>
        <v>3</v>
      </c>
      <c r="T1271" s="785"/>
      <c r="U1271" s="787"/>
      <c r="V1271" s="813"/>
      <c r="W1271" s="284"/>
      <c r="X1271" s="780"/>
      <c r="Y1271" s="810"/>
      <c r="Z1271" s="810"/>
      <c r="AA1271" s="810"/>
      <c r="AB1271" s="809"/>
      <c r="AC1271" s="28"/>
    </row>
    <row r="1272" spans="1:29" s="30" customFormat="1" ht="33" customHeight="1">
      <c r="A1272" s="112" t="str">
        <f>"N"&amp;E1251</f>
        <v>N42</v>
      </c>
      <c r="B1272" s="791"/>
      <c r="C1272" s="54">
        <v>1</v>
      </c>
      <c r="D1272" s="100" t="str">
        <f>IF(AND(C1272&lt;=F1270,F1270&gt;1,F1270&lt;&gt;""),VLOOKUP(VALUE(E1251&amp;","&amp;C1272),INTEGRANTES!$D$19:$F$192,2,0),"")</f>
        <v>PROYECTOS Y CONSULTORIAS ORION SAS</v>
      </c>
      <c r="E1272" s="107">
        <f>IF(D1272&lt;&gt;"",VLOOKUP(VALUE(E1251&amp;","&amp;C1272),INTEGRANTES!$D$19:$F$192,3,0),"")</f>
        <v>0.6</v>
      </c>
      <c r="F1272" s="380">
        <f>IF(D1272="","",IF(OR(SUMIF($J1255:$J1264,D1272,$O1255:$O1264)=0,N1272="NO"),"NO APORTA",SUMIF($J1255:$J1264,D1272,$O1255:$O1264)))</f>
        <v>64.259299999999996</v>
      </c>
      <c r="G1272" s="380">
        <f ca="1">IF($D1272="","",IF($F1270&lt;=1,"",ROUND(POSMMLV*PORPO,2)))</f>
        <v>150</v>
      </c>
      <c r="H1272" s="765" t="str">
        <f ca="1">IF($D1272="","",IF(OR(F1272="NO APORTA",G1272&gt;F1272),"NO CUMPLE","CUMPLE"))</f>
        <v>NO CUMPLE</v>
      </c>
      <c r="I1272" s="766"/>
      <c r="J1272" s="108" t="str">
        <f ca="1">IF(D1272="","",IF(OR(AND(SUMIF($J1255:$J1264,D1272,$O1255:$O1264)&gt;=5%*POSMMLV,N1272="SI"),AND(SUMIF($J1255:$J1264,D1272,$O1255:$O1264)=0,E1272&lt;=5%,N1272="SI")),"CUMPLE","NO CUMPLE"))</f>
        <v>CUMPLE</v>
      </c>
      <c r="K1272" s="105" t="str">
        <f ca="1">IF(OR(D1272="",J1272=""),"",IF(AND(J1272="NO CUMPLE",F1272="NO APORTA",E1272&gt;5%),"EXP = 0 y PART &gt; 5%",IF(F1272&lt;5%*Q1277,"EXP &lt; 5%*PO","")))</f>
        <v/>
      </c>
      <c r="L1272" s="389" t="str">
        <f>IF(OR(D1272="",E1272=""),"",IF(AND(E1272&gt;=0.25,F1272&lt;&gt;"NO APORTA",F1272&gt;=$R1277*0.25),"SI","NO"))</f>
        <v>NO</v>
      </c>
      <c r="M1272" s="389"/>
      <c r="N1272" s="468" t="s">
        <v>385</v>
      </c>
      <c r="O1272" s="396">
        <f>COUNTIFS(O1255:O1264,"&gt;0",H1255:H1264,"SI")</f>
        <v>3</v>
      </c>
      <c r="P1272" s="814" t="s">
        <v>139</v>
      </c>
      <c r="Q1272" s="814"/>
      <c r="R1272" s="817">
        <f>E1251</f>
        <v>42</v>
      </c>
      <c r="S1272" s="818"/>
      <c r="T1272" s="784" t="s">
        <v>412</v>
      </c>
      <c r="U1272" s="773"/>
      <c r="V1272" s="774"/>
      <c r="W1272" s="283"/>
      <c r="X1272" s="542" t="str">
        <f>IF($F1270=1,"NO APLICA",$D1272)</f>
        <v>PROYECTOS Y CONSULTORIAS ORION SAS</v>
      </c>
      <c r="Y1272" s="543">
        <f ca="1">IF(OR($F1272="",$F1272="NO APORTA",$R1277=0,$X1272="NO APLICA"),"",ROUND($F1272/$Q1277,2))</f>
        <v>0.21</v>
      </c>
      <c r="Z1272" s="544" t="str">
        <f ca="1">IF(Y1278=1,"SI APLICA",IF(OR($X1272="",$X1272="NO APLICA",$F1272="",$F1272="NO APORTA"),"",IF(ROUND($F1272/Q1277,7)&gt;=0.4,"SI APLICA","NO APLICA")))</f>
        <v>NO APLICA</v>
      </c>
      <c r="AA1272" s="543" t="s">
        <v>516</v>
      </c>
      <c r="AB1272" s="540" t="str">
        <f ca="1">IF(COUNTIF(Z1272:AA1272,"SI APLICA")=2,"SI APLICA","")</f>
        <v/>
      </c>
      <c r="AC1272" s="28"/>
    </row>
    <row r="1273" spans="1:29" s="30" customFormat="1" ht="15.75" customHeight="1" thickBot="1">
      <c r="A1273" s="112" t="str">
        <f>"O"&amp;E1251</f>
        <v>O42</v>
      </c>
      <c r="B1273" s="791"/>
      <c r="C1273" s="54">
        <v>2</v>
      </c>
      <c r="D1273" s="100" t="str">
        <f>IF(AND(C1273&lt;=F1270,F1270&lt;&gt;""),VLOOKUP(VALUE(E1251&amp;","&amp;C1273),INTEGRANTES!$D$19:$F$192,2,0),"")</f>
        <v>EMUNAH COLOMBIA SAS</v>
      </c>
      <c r="E1273" s="107">
        <f>IF(D1273&lt;&gt;"",VLOOKUP(VALUE(E1251&amp;","&amp;C1273),INTEGRANTES!$D$19:$F$192,3,0),"")</f>
        <v>0.4</v>
      </c>
      <c r="F1273" s="380">
        <f>IF(D1273="","",IF(OR(SUMIF($J1255:$J1264,D1273,$O1255:$O1264)=0,N1273="NO"),"NO APORTA",SUMIF($J1255:$J1264,D1273,$O1255:$O1264)))</f>
        <v>1234.944</v>
      </c>
      <c r="G1273" s="380">
        <f ca="1">IF($D1273="","",IF($F1270&lt;=1,"",ROUND(POSMMLV*PORPO,2)))</f>
        <v>150</v>
      </c>
      <c r="H1273" s="765" t="str">
        <f t="shared" ref="H1273:H1276" ca="1" si="254">IF($D1273="","",IF(OR(F1273="NO APORTA",G1273&gt;F1273),"NO CUMPLE","CUMPLE"))</f>
        <v>CUMPLE</v>
      </c>
      <c r="I1273" s="766"/>
      <c r="J1273" s="108" t="str">
        <f ca="1">IF(D1273="","",IF(OR(AND(SUMIF($J1255:$J1264,D1273,$O1255:$O1264)&gt;=5%*POSMMLV,N1273="SI"),AND(SUMIF($J1255:$J1264,D1273,$O1255:$O1264)=0,E1273&lt;=5%,N1273="SI")),"CUMPLE","NO CUMPLE"))</f>
        <v>CUMPLE</v>
      </c>
      <c r="K1273" s="105" t="str">
        <f ca="1">IF(OR(D1273="",J1273=""),"",IF(AND(J1273="NO CUMPLE",F1273="NO APORTA",E1273&gt;5%),"EXP = 0 y PART &gt; 5%",IF(F1273&lt;5%*Q1277,"EXP &lt; 5%*PO","")))</f>
        <v/>
      </c>
      <c r="L1273" s="389" t="str">
        <f>IF(OR(D1273="",E1273=""),"",IF(AND(E1273&gt;=0.25,F1273&lt;&gt;"NO APORTA",F1273&gt;=$R1277*0.25),"SI","NO"))</f>
        <v>SI</v>
      </c>
      <c r="M1273" s="389"/>
      <c r="N1273" s="468" t="s">
        <v>385</v>
      </c>
      <c r="O1273" s="396"/>
      <c r="P1273" s="815"/>
      <c r="Q1273" s="815"/>
      <c r="R1273" s="815"/>
      <c r="S1273" s="819"/>
      <c r="T1273" s="785"/>
      <c r="U1273" s="786"/>
      <c r="V1273" s="787"/>
      <c r="W1273" s="283"/>
      <c r="X1273" s="542" t="str">
        <f>IF($F1270=1,"NO APLICA",$D1273)</f>
        <v>EMUNAH COLOMBIA SAS</v>
      </c>
      <c r="Y1273" s="543">
        <f ca="1">IF(OR($F1273="",$F1273="NO APORTA",$R1277=0,$X1273="NO APLICA"),"",ROUND($F1273/$Q1277,2))</f>
        <v>4.12</v>
      </c>
      <c r="Z1273" s="544" t="str">
        <f ca="1">IF(Y1278=1,"SI APLICA",IF(OR($X1273="",$X1273="NO APLICA",$F1273="",$F1273="NO APORTA"),"",IF(ROUND($F1273/Q1277,7)&gt;=0.4,"SI APLICA","NO APLICA")))</f>
        <v>SI APLICA</v>
      </c>
      <c r="AA1273" s="543" t="s">
        <v>413</v>
      </c>
      <c r="AB1273" s="540" t="str">
        <f t="shared" ref="AB1273" ca="1" si="255">IF(COUNTIF(Z1273:AA1273,"SI APLICA")=2,"SI APLICA","")</f>
        <v>SI APLICA</v>
      </c>
      <c r="AC1273" s="28"/>
    </row>
    <row r="1274" spans="1:29" s="30" customFormat="1" ht="15.75" customHeight="1">
      <c r="A1274" s="112" t="str">
        <f>"P"&amp;E1251</f>
        <v>P42</v>
      </c>
      <c r="B1274" s="791"/>
      <c r="C1274" s="54">
        <v>3</v>
      </c>
      <c r="D1274" s="100" t="str">
        <f>IF(AND(C1274&lt;=F1270,F1270&lt;&gt;""),VLOOKUP(VALUE(E1251&amp;","&amp;C1274),INTEGRANTES!$D$19:$F$192,2,0),"")</f>
        <v/>
      </c>
      <c r="E1274" s="107" t="str">
        <f>IF(D1274&lt;&gt;"",VLOOKUP(VALUE(E1251&amp;","&amp;C1274),INTEGRANTES!$D$19:$F$192,3,0),"")</f>
        <v/>
      </c>
      <c r="F1274" s="380" t="str">
        <f>IF(D1274="","",IF(OR(SUMIF($J1258:$J1264,D1274,$O1258:$O1264)=0,N1274="NO"),"NO APORTA",SUMIF($J1258:$J1264,D1274,$O1258:$O1264)))</f>
        <v/>
      </c>
      <c r="G1274" s="380" t="str">
        <f>IF($D1274="","",IF($F1270&lt;=1,"",ROUND(POSMMLV*PORPO,2)))</f>
        <v/>
      </c>
      <c r="H1274" s="765" t="str">
        <f t="shared" si="254"/>
        <v/>
      </c>
      <c r="I1274" s="766"/>
      <c r="J1274" s="108" t="str">
        <f>IF(D1274="","",IF(OR(AND(SUMIF($J1255:$J1264,D1274,$O1255:$O1264)&gt;=5%*POSMMLV,N1274="SI"),AND(SUMIF($J1255:$J1264,D1274,$O1255:$O1264)=0,E1274&lt;=5%,N1274="SI")),"CUMPLE","NO CUMPLE"))</f>
        <v/>
      </c>
      <c r="K1274" s="105" t="str">
        <f>IF(OR(D1274="",J1274=""),"",IF(AND(J1274="NO CUMPLE",F1274="NO APORTA",E1274&gt;5%),"EXP = 0 y PART &gt; 5%",IF(F1274&lt;5%*Q1277,"EXP &lt; 5%*PO","")))</f>
        <v/>
      </c>
      <c r="L1274" s="389" t="str">
        <f>IF(OR(D1274="",E1274=""),"",IF(AND(E1274&gt;=0.25,F1274&lt;&gt;"NO APORTA",F1274&gt;=$R1277*0.25),"SI","NO"))</f>
        <v/>
      </c>
      <c r="M1274" s="389"/>
      <c r="N1274" s="468"/>
      <c r="O1274" s="397"/>
      <c r="P1274" s="816"/>
      <c r="Q1274" s="816"/>
      <c r="R1274" s="816"/>
      <c r="S1274" s="820"/>
      <c r="T1274" s="308"/>
      <c r="U1274" s="308"/>
      <c r="V1274" s="309"/>
      <c r="W1274" s="284"/>
      <c r="X1274" s="542" t="str">
        <f>IF($F1270=1,"NO APLICA",$D1274)</f>
        <v/>
      </c>
      <c r="Y1274" s="543" t="str">
        <f>IF(OR($F1274="",$F1274="NO APORTA",$R1277=0,$X1274="NO APLICA"),"",ROUND($F1274/$Q1277,2))</f>
        <v/>
      </c>
      <c r="Z1274" s="544" t="str">
        <f>IF(Y1278=1,"SI APLICA",IF(OR($X1274="",$X1274="NO APLICA",$F1274="",$F1274="NO APORTA"),"",IF(ROUND($F1274/Q1277,7)&gt;=0.4,"SI APLICA","NO APLICA")))</f>
        <v/>
      </c>
      <c r="AA1274" s="543"/>
      <c r="AB1274" s="540" t="str">
        <f>IF(COUNTIF(Z1274:AA1274,"SI APLICA")=2,"SI APLICA","")</f>
        <v/>
      </c>
      <c r="AC1274" s="28"/>
    </row>
    <row r="1275" spans="1:29" s="30" customFormat="1" ht="15.75" customHeight="1">
      <c r="A1275" s="112" t="str">
        <f>"Q"&amp;E1251</f>
        <v>Q42</v>
      </c>
      <c r="B1275" s="791"/>
      <c r="C1275" s="54">
        <v>4</v>
      </c>
      <c r="D1275" s="100" t="str">
        <f>IF(AND(C1275&lt;=F1270,F1270&lt;&gt;""),VLOOKUP(VALUE(E1251&amp;","&amp;C1275),INTEGRANTES!$D$19:$F$192,2,0),"")</f>
        <v/>
      </c>
      <c r="E1275" s="107" t="str">
        <f>IF(D1275&lt;&gt;"",VLOOKUP(VALUE(E1251&amp;","&amp;C1275),INTEGRANTES!$D$19:$F$192,3,0),"")</f>
        <v/>
      </c>
      <c r="F1275" s="380" t="str">
        <f>IF(D1275="","",IF(OR(SUMIF($J1258:$J1264,D1275,$O1258:$O1264)=0,N1275="NO"),"NO APORTA",SUMIF($J1258:$J1264,D1275,$O1258:$O1264)))</f>
        <v/>
      </c>
      <c r="G1275" s="380" t="str">
        <f>IF($D1275="","",IF($F1270&lt;=1,"",ROUND(POSMMLV*PORPO,2)))</f>
        <v/>
      </c>
      <c r="H1275" s="765" t="str">
        <f t="shared" si="254"/>
        <v/>
      </c>
      <c r="I1275" s="766"/>
      <c r="J1275" s="108" t="str">
        <f>IF(D1275="","",IF(OR(AND(SUMIF($J1255:$J1264,D1275,$O1255:$O1264)&gt;=5%*POSMMLV,N1275="SI"),AND(SUMIF($J1255:$J1264,D1275,$O1255:$O1264)=0,E1275&lt;=5%,N1275="SI")),"CUMPLE","NO CUMPLE"))</f>
        <v/>
      </c>
      <c r="K1275" s="105" t="str">
        <f>IF(OR(D1275="",J1275=""),"",IF(AND(J1275="NO CUMPLE",F1275="NO APORTA",E1275&gt;5%),"EXP = 0 y PART &gt; 5%",IF(F1275&lt;5%*Q1277,"EXP &lt; 5%*PO","")))</f>
        <v/>
      </c>
      <c r="L1275" s="389" t="str">
        <f>IF(OR(D1275="",E1275=""),"",IF(AND(E1275&gt;=0.25,F1275&lt;&gt;"NO APORTA",F1275&gt;=$R1277*0.25),"SI","NO"))</f>
        <v/>
      </c>
      <c r="M1275" s="389"/>
      <c r="N1275" s="468"/>
      <c r="O1275" s="788" t="s">
        <v>414</v>
      </c>
      <c r="P1275" s="769" t="s">
        <v>415</v>
      </c>
      <c r="Q1275" s="770"/>
      <c r="R1275" s="770"/>
      <c r="S1275" s="771"/>
      <c r="T1275" s="284"/>
      <c r="U1275" s="284"/>
      <c r="V1275" s="310"/>
      <c r="W1275" s="284"/>
      <c r="X1275" s="542" t="str">
        <f>IF($F1270=1,"NO APLICA",$D1275)</f>
        <v/>
      </c>
      <c r="Y1275" s="543" t="str">
        <f>IF(OR($F1275="",$F1275="NO APORTA",$R1277=0,$X1275="NO APLICA"),"",ROUND($F1275/$Q1277,2))</f>
        <v/>
      </c>
      <c r="Z1275" s="544" t="str">
        <f>IF(Y1278=1,"SI APLICA",IF(OR($X1275="",$X1275="NO APLICA",$F1275="",$F1275="NO APORTA"),"",IF(ROUND($F1275/Q1277,7)&gt;=0.4,"SI APLICA","NO APLICA")))</f>
        <v/>
      </c>
      <c r="AA1275" s="543"/>
      <c r="AB1275" s="540" t="str">
        <f t="shared" ref="AB1275:AB1276" si="256">IF(COUNTIF(Z1275:AA1275,"SI APLICA")=2,"SI APLICA","")</f>
        <v/>
      </c>
      <c r="AC1275" s="28"/>
    </row>
    <row r="1276" spans="1:29" s="30" customFormat="1" ht="17.25" customHeight="1">
      <c r="A1276" s="112" t="str">
        <f>"R"&amp;E1251</f>
        <v>R42</v>
      </c>
      <c r="B1276" s="791"/>
      <c r="C1276" s="54">
        <v>5</v>
      </c>
      <c r="D1276" s="100" t="str">
        <f>IF(AND(C1276&lt;=F1270,F1270&lt;&gt;""),VLOOKUP(VALUE(E1251&amp;","&amp;C1276),INTEGRANTES!$D$19:$F$192,2,0),"")</f>
        <v/>
      </c>
      <c r="E1276" s="107" t="str">
        <f>IF(D1276&lt;&gt;"",VLOOKUP(VALUE(E1251&amp;","&amp;C1276),INTEGRANTES!$D$19:$F$192,3,0),"")</f>
        <v/>
      </c>
      <c r="F1276" s="380" t="str">
        <f>IF(D1276="","",IF(OR(SUMIF($J1258:$J1264,D1276,$O1258:$O1264)=0,N1276="NO"),"NO APORTA",SUMIF($J1258:$J1264,D1276,$O1258:$O1264)))</f>
        <v/>
      </c>
      <c r="G1276" s="380" t="str">
        <f>IF($D1276="","",IF($F1270&lt;=1,"",ROUND(POSMMLV*PORPO,2)))</f>
        <v/>
      </c>
      <c r="H1276" s="765" t="str">
        <f t="shared" si="254"/>
        <v/>
      </c>
      <c r="I1276" s="766"/>
      <c r="J1276" s="108" t="str">
        <f>IF(D1276="","",IF(OR(AND(SUMIF($J1255:$J1264,D1276,$O1255:$O1264)&gt;=5%*POSMMLV,N1276="SI"),AND(SUMIF($J1255:$J1264,D1276,$O1255:$O1264)=0,E1276&lt;=5%,N1276="SI")),"CUMPLE","NO CUMPLE"))</f>
        <v/>
      </c>
      <c r="K1276" s="105" t="str">
        <f>IF(OR(D1276="",J1276=""),"",IF(AND(J1276="NO CUMPLE",F1276="NO APORTA",E1276&gt;5%),"EXP = 0 y PART &gt; 5%",IF(F1276&lt;5%*Q1277,"EXP &lt; 5%*PO","")))</f>
        <v/>
      </c>
      <c r="L1276" s="389" t="str">
        <f>IF(OR(D1276="",E1276=""),"",IF(AND(E1276&gt;=0.25,F1276&lt;&gt;"NO APORTA",F1276&gt;=$R1277*0.25),"SI","NO"))</f>
        <v/>
      </c>
      <c r="M1276" s="389"/>
      <c r="N1276" s="468"/>
      <c r="O1276" s="789"/>
      <c r="P1276" s="504" t="s">
        <v>416</v>
      </c>
      <c r="Q1276" s="504" t="s">
        <v>417</v>
      </c>
      <c r="R1276" s="793" t="s">
        <v>418</v>
      </c>
      <c r="S1276" s="793"/>
      <c r="T1276" s="284"/>
      <c r="U1276" s="284"/>
      <c r="V1276" s="310"/>
      <c r="W1276" s="284"/>
      <c r="X1276" s="542" t="str">
        <f>IF($F1270=1,"NO APLICA",$D1276)</f>
        <v/>
      </c>
      <c r="Y1276" s="543" t="str">
        <f>IF(OR($F1276="",$F1276="NO APORTA",$R1277=0,$X1276="NO APLICA"),"",ROUND($F1276/$Q1277,2))</f>
        <v/>
      </c>
      <c r="Z1276" s="544" t="str">
        <f>IF(Y1278=1,"SI APLICA",IF(OR($X1276="",$X1276="NO APLICA",$F1276="",$F1276="NO APORTA"),"",IF(ROUND($F1276/Q1277,7)&gt;=0.4,"SI APLICA","NO APLICA")))</f>
        <v/>
      </c>
      <c r="AA1276" s="543"/>
      <c r="AB1276" s="540" t="str">
        <f t="shared" si="256"/>
        <v/>
      </c>
      <c r="AC1276" s="28"/>
    </row>
    <row r="1277" spans="1:29" s="30" customFormat="1" ht="16.5" customHeight="1" thickBot="1">
      <c r="A1277" s="112" t="str">
        <f>"S"&amp;E1251</f>
        <v>S42</v>
      </c>
      <c r="B1277" s="791"/>
      <c r="C1277" s="109">
        <v>6</v>
      </c>
      <c r="D1277" s="110" t="str">
        <f>IF(AND(C1277&lt;=F1270,F1270&lt;&gt;""),VLOOKUP(VALUE(E1251&amp;","&amp;C1277),INTEGRANTES!$D$19:$F$192,2,0),"")</f>
        <v/>
      </c>
      <c r="E1277" s="111" t="str">
        <f>IF(D1277&lt;&gt;"",VLOOKUP(VALUE(E1251&amp;","&amp;C1277),INTEGRANTES!$D$19:$F$192,3,0),"")</f>
        <v/>
      </c>
      <c r="F1277" s="380" t="str">
        <f>IF(D1277="","",IF(OR(SUMIF($J1258:$J1264,D1277,$O1258:$O1264)=0,N1277="NO"),"NO APORTA",SUMIF($J1258:$J1264,D1277,$O1258:$O1264)))</f>
        <v/>
      </c>
      <c r="G1277" s="380" t="str">
        <f>IF($D1277="","",IF($F1270&lt;=1,"",ROUND(POSMMLV*PORPO,2)))</f>
        <v/>
      </c>
      <c r="H1277" s="765" t="str">
        <f>IF($D1277="","",IF(OR(F1277="NO APORTA",G1277&gt;F1277),"NO CUMPLE","CUMPLE"))</f>
        <v/>
      </c>
      <c r="I1277" s="766"/>
      <c r="J1277" s="108" t="str">
        <f>IF(D1277="","",IF(OR(AND(SUMIF($J1255:$J1264,D1277,$O1255:$O1264)&gt;=5%*POSMMLV,N1277="SI"),AND(SUMIF($J1255:$J1264,D1277,$O1255:$O1264)=0,E1277&lt;=5%,N1277="SI")),"CUMPLE","NO CUMPLE"))</f>
        <v/>
      </c>
      <c r="K1277" s="105" t="str">
        <f>IF(OR(D1277="",J1277=""),"",IF(AND(J1277="NO CUMPLE",F1277="NO APORTA",E1277&gt;5%),"EXP = 0 y PART &gt; 5%",IF(F1277&lt;5%*Q1277,"EXP &lt; 5%*PO","")))</f>
        <v/>
      </c>
      <c r="L1277" s="389" t="str">
        <f>IF(OR(D1277="",E1277=""),"",IF(AND(E1277&gt;=0.25,F1277&lt;&gt;"NO APORTA",F1277&gt;=$R1277*0.25),"SI","NO"))</f>
        <v/>
      </c>
      <c r="M1277" s="389"/>
      <c r="N1277" s="468"/>
      <c r="O1277" s="403" t="str">
        <f ca="1">IF(R1277&gt;=Q1277,"CUMPLE","NO CUMPLE")</f>
        <v>CUMPLE</v>
      </c>
      <c r="P1277" s="312">
        <f>NUMMOD</f>
        <v>1</v>
      </c>
      <c r="Q1277" s="313">
        <f ca="1">IF(P1277="","",ROUND(VLOOKUP(P1277,PRESUPUESTOS!$B$16:$L$16,9,FALSE),7))</f>
        <v>300</v>
      </c>
      <c r="R1277" s="834">
        <f>IF(OR(COUNTIF(O1255:O1264,"")&gt;9,S1271&lt;NUMMINCONT),0,SUM(O1255:O1264))</f>
        <v>1299.2032999999999</v>
      </c>
      <c r="S1277" s="834"/>
      <c r="T1277" s="284"/>
      <c r="U1277" s="284"/>
      <c r="V1277" s="310"/>
      <c r="W1277" s="284"/>
      <c r="X1277" s="545" t="str">
        <f>IF($F1270=1,"NO APLICA",$D1277)</f>
        <v/>
      </c>
      <c r="Y1277" s="543" t="str">
        <f>IF(OR($F1277="",$F1277="NO APORTA",$R1277=0,$X1277="NO APLICA"),"",ROUND($F1277/$Q1277,2))</f>
        <v/>
      </c>
      <c r="Z1277" s="544" t="str">
        <f>IF(Y1278=1,"SI APLICA",IF(OR($X1277="",$X1277="NO APLICA",$F1277="",$F1277="NO APORTA"),"",IF(ROUND($F1277/Q1277,7)&gt;=0.4,"SI APLICA","NO APLICA")))</f>
        <v/>
      </c>
      <c r="AA1277" s="546"/>
      <c r="AB1277" s="540" t="str">
        <f>IF(COUNTIF(Z1277:AA1277,"SI APLICA")=2,"SI APLICA","")</f>
        <v/>
      </c>
      <c r="AC1277" s="28"/>
    </row>
    <row r="1278" spans="1:29" s="30" customFormat="1" ht="16.5" customHeight="1" thickBot="1">
      <c r="A1278" s="112" t="str">
        <f>"T"&amp;E1251</f>
        <v>T42</v>
      </c>
      <c r="B1278" s="792"/>
      <c r="C1278" s="821" t="s">
        <v>419</v>
      </c>
      <c r="D1278" s="822"/>
      <c r="E1278" s="822"/>
      <c r="F1278" s="518"/>
      <c r="G1278" s="519"/>
      <c r="H1278" s="794" t="str">
        <f ca="1">IF(OR($F1270="",SUM(E1272:E1277)=0),"",IF(COUNTIF(H1272:H1277,"CUMPLE")&gt;=1,"CUMPLE","NO CUMPLE"))</f>
        <v>CUMPLE</v>
      </c>
      <c r="I1278" s="795"/>
      <c r="J1278" s="314" t="str">
        <f ca="1">IF(COUNTIF(J1272:J1277,"")&gt;5,"",IF(COUNTIF(J1272:J1277,"NO CUMPLE")&gt;0,"NO CUMPLE","CUMPLE"))</f>
        <v>CUMPLE</v>
      </c>
      <c r="K1278" s="314" t="str">
        <f ca="1">IF(OR(AND(F1270=1,N1272="SI"),AND(COUNTIF(H1278:J1278,"CUMPLE")=2)),"CUMPLE","NO CUMPLE")</f>
        <v>CUMPLE</v>
      </c>
      <c r="L1278" s="519"/>
      <c r="M1278" s="519"/>
      <c r="N1278" s="519"/>
      <c r="O1278" s="833" t="str">
        <f ca="1">IF(ISNUMBER(F1251),"",IF(AND(O1277="NO CUMPLE",SUM(N1258:N1264)&lt;Q1277),"EL PROPONENTE SE DEBE REQUERIR POR EXPERIENCIA MINIMA EXIGIDA",""))</f>
        <v/>
      </c>
      <c r="P1278" s="833"/>
      <c r="Q1278" s="833"/>
      <c r="R1278" s="833"/>
      <c r="S1278" s="833"/>
      <c r="T1278" s="522"/>
      <c r="U1278" s="523"/>
      <c r="V1278" s="524"/>
      <c r="W1278" s="284"/>
      <c r="X1278" s="364" t="str">
        <f>IF(Y1278=1,"PROPONENTE INDIVIDUAL","PROPONENTE PLURAL")</f>
        <v>PROPONENTE PLURAL</v>
      </c>
      <c r="Y1278" s="276">
        <f>F1270</f>
        <v>2</v>
      </c>
      <c r="Z1278" s="277" t="str">
        <f ca="1">IF(OR(AND(Z1272="SI APLICA",AA1272="SI APLICA"),AND(Z1273="SI APLICA",AA1273="SI APLICA"),AND(Z1274="SI APLICA",AA1274="SI APLICA"),AND(Z1275="SI APLICA",AA1275="SI APLICA"),AND(Z1276="SI APLICA",AA1276="SI APLICA"),AND(Z1277="SI APLICA",AA1277="SI APLICA")),"SI APLICA","NO APLICA")</f>
        <v>SI APLICA</v>
      </c>
      <c r="AA1278" s="278" t="str">
        <f ca="1">IF(OR(AND(AA1272="SI APLICA",AB1272="SI APLICA"),AND(AA1273="SI APLICA",AB1273="SI APLICA"),AND(AA1274="SI APLICA",AB1274="SI APLICA"),AND(AA1275="SI APLICA",AB1275="SI APLICA"),AND(AA1276="SI APLICA",AB1276="SI APLICA"),AND(AA1277="SI APLICA",AB1277="SI APLICA")),"SI APLICA","NO APLICA")</f>
        <v>SI APLICA</v>
      </c>
      <c r="AB1278" s="278" t="str">
        <f ca="1">IF(COUNTIF(AB1272:AB1277,"SI APLICA")&gt;0,"SI APLICA","NO APLICA")</f>
        <v>SI APLICA</v>
      </c>
      <c r="AC1278" s="28"/>
    </row>
    <row r="1279" spans="1:29" ht="24.95" customHeight="1"/>
    <row r="1280" spans="1:29" ht="24.95" customHeight="1"/>
    <row r="1281" spans="1:29" s="41" customFormat="1" ht="24" thickBot="1">
      <c r="A1281" s="34">
        <v>43</v>
      </c>
      <c r="B1281" s="828" t="s">
        <v>355</v>
      </c>
      <c r="C1281" s="828"/>
      <c r="D1281" s="828"/>
      <c r="E1281" s="35">
        <f>VLOOKUP(A1281,PROPONENTES!$B$19:$E$108,2,FALSE)</f>
        <v>43</v>
      </c>
      <c r="F1281" s="36" t="str">
        <f>VLOOKUP(A1281,PROPONENTES!$B$19:$E$108,3,FALSE)</f>
        <v>CONSORCIO INTERFEDCO TOLIMA</v>
      </c>
      <c r="G1281" s="37"/>
      <c r="H1281" s="37"/>
      <c r="I1281" s="36"/>
      <c r="J1281" s="36"/>
      <c r="K1281" s="36"/>
      <c r="L1281" s="36"/>
      <c r="M1281" s="38"/>
      <c r="N1281" s="38"/>
      <c r="O1281" s="37"/>
      <c r="P1281" s="37"/>
      <c r="Q1281" s="39"/>
      <c r="R1281" s="39"/>
      <c r="S1281" s="39"/>
      <c r="T1281" s="39"/>
      <c r="U1281" s="40"/>
      <c r="Y1281" s="52"/>
      <c r="Z1281" s="52"/>
      <c r="AA1281" s="52"/>
      <c r="AB1281" s="28"/>
      <c r="AC1281" s="28"/>
    </row>
    <row r="1282" spans="1:29" s="27" customFormat="1" ht="24.75" customHeight="1">
      <c r="A1282" s="22"/>
      <c r="B1282" s="829" t="s">
        <v>356</v>
      </c>
      <c r="C1282" s="501" t="s">
        <v>357</v>
      </c>
      <c r="D1282" s="502" t="s">
        <v>358</v>
      </c>
      <c r="E1282" s="502"/>
      <c r="F1282" s="502" t="s">
        <v>359</v>
      </c>
      <c r="G1282" s="503"/>
      <c r="H1282" s="803" t="s">
        <v>360</v>
      </c>
      <c r="I1282" s="831" t="s">
        <v>361</v>
      </c>
      <c r="J1282" s="803" t="s">
        <v>362</v>
      </c>
      <c r="K1282" s="803" t="s">
        <v>363</v>
      </c>
      <c r="L1282" s="803" t="s">
        <v>364</v>
      </c>
      <c r="M1282" s="803" t="s">
        <v>365</v>
      </c>
      <c r="N1282" s="804" t="s">
        <v>366</v>
      </c>
      <c r="O1282" s="805"/>
      <c r="P1282" s="806" t="s">
        <v>367</v>
      </c>
      <c r="Q1282" s="807"/>
      <c r="R1282" s="784" t="s">
        <v>368</v>
      </c>
      <c r="S1282" s="774"/>
      <c r="T1282" s="798" t="s">
        <v>369</v>
      </c>
      <c r="U1282" s="799"/>
      <c r="V1282" s="800"/>
      <c r="X1282" s="520"/>
      <c r="Y1282" s="520"/>
    </row>
    <row r="1283" spans="1:29" s="27" customFormat="1" ht="94.5" customHeight="1">
      <c r="A1283" s="22"/>
      <c r="B1283" s="830"/>
      <c r="C1283" s="504" t="s">
        <v>370</v>
      </c>
      <c r="D1283" s="505" t="s">
        <v>41</v>
      </c>
      <c r="E1283" s="505" t="s">
        <v>371</v>
      </c>
      <c r="F1283" s="505" t="s">
        <v>372</v>
      </c>
      <c r="G1283" s="506" t="s">
        <v>373</v>
      </c>
      <c r="H1283" s="793"/>
      <c r="I1283" s="832"/>
      <c r="J1283" s="793"/>
      <c r="K1283" s="793"/>
      <c r="L1283" s="793"/>
      <c r="M1283" s="793"/>
      <c r="N1283" s="504" t="s">
        <v>374</v>
      </c>
      <c r="O1283" s="505" t="s">
        <v>375</v>
      </c>
      <c r="P1283" s="801"/>
      <c r="Q1283" s="802"/>
      <c r="R1283" s="796"/>
      <c r="S1283" s="797"/>
      <c r="T1283" s="507" t="s">
        <v>376</v>
      </c>
      <c r="U1283" s="508" t="s">
        <v>377</v>
      </c>
      <c r="V1283" s="509" t="s">
        <v>378</v>
      </c>
      <c r="X1283" s="521" t="s">
        <v>379</v>
      </c>
      <c r="Y1283" s="521" t="s">
        <v>380</v>
      </c>
    </row>
    <row r="1284" spans="1:29" s="27" customFormat="1" ht="15" customHeight="1">
      <c r="A1284" s="22"/>
      <c r="B1284" s="594"/>
      <c r="C1284" s="595">
        <v>3</v>
      </c>
      <c r="D1284" s="595">
        <v>4</v>
      </c>
      <c r="E1284" s="595">
        <v>5</v>
      </c>
      <c r="F1284" s="595">
        <v>6</v>
      </c>
      <c r="G1284" s="595">
        <v>7</v>
      </c>
      <c r="H1284" s="595">
        <v>8</v>
      </c>
      <c r="I1284" s="595">
        <v>9</v>
      </c>
      <c r="J1284" s="595">
        <v>10</v>
      </c>
      <c r="K1284" s="595">
        <v>11</v>
      </c>
      <c r="L1284" s="595">
        <v>12</v>
      </c>
      <c r="M1284" s="595">
        <v>13</v>
      </c>
      <c r="N1284" s="595">
        <v>14</v>
      </c>
      <c r="O1284" s="595">
        <v>15</v>
      </c>
      <c r="P1284" s="596">
        <v>16</v>
      </c>
      <c r="Q1284" s="597">
        <v>17</v>
      </c>
      <c r="R1284" s="596">
        <v>18</v>
      </c>
      <c r="S1284" s="597">
        <v>19</v>
      </c>
      <c r="T1284" s="598">
        <v>20</v>
      </c>
      <c r="U1284" s="255">
        <v>21</v>
      </c>
      <c r="V1284" s="599">
        <v>22</v>
      </c>
      <c r="X1284" s="589"/>
      <c r="Y1284" s="590"/>
    </row>
    <row r="1285" spans="1:29" s="44" customFormat="1" ht="36" customHeight="1">
      <c r="A1285" s="42" t="str">
        <f>"A"&amp;E1281</f>
        <v>A43</v>
      </c>
      <c r="B1285" s="605">
        <f>IF(C1285&lt;&gt;"",B1284+1,"")</f>
        <v>1</v>
      </c>
      <c r="C1285" s="581" t="s">
        <v>722</v>
      </c>
      <c r="D1285" s="581" t="s">
        <v>723</v>
      </c>
      <c r="E1285" s="581" t="s">
        <v>724</v>
      </c>
      <c r="F1285" s="581" t="s">
        <v>580</v>
      </c>
      <c r="G1285" s="534">
        <v>1</v>
      </c>
      <c r="H1285" s="534" t="s">
        <v>385</v>
      </c>
      <c r="I1285" s="579">
        <v>2</v>
      </c>
      <c r="J1285" s="580" t="str">
        <f>IF(I1285="","",IF(I1285="I",$F1281,VLOOKUP(I1285,$C1302:$D1307,2,0)))</f>
        <v>SOCIEDAD DE INGENIEROS CONTRATISTAS Y CONSULTORES LTDA “SICOC LTDA”</v>
      </c>
      <c r="K1285" s="535">
        <v>42263</v>
      </c>
      <c r="L1285" s="535">
        <v>42369</v>
      </c>
      <c r="M1285" s="536">
        <v>87.46</v>
      </c>
      <c r="N1285" s="232">
        <f t="shared" ref="N1285:N1294" si="257">IF(OR(G1285="",M1285=""),"",M1285*G1285)</f>
        <v>87.46</v>
      </c>
      <c r="O1285" s="629">
        <f t="shared" ref="O1285:O1294" si="258">IF(OR(H1285="",H1285="NO",K1285&lt;$Q$17,K1285&gt;$R$17,K1285="",M1285="",N1285=""),"",ROUND(N1285,7))</f>
        <v>87.46</v>
      </c>
      <c r="P1285" s="781"/>
      <c r="Q1285" s="782"/>
      <c r="R1285" s="767"/>
      <c r="S1285" s="768"/>
      <c r="T1285" s="538" t="s">
        <v>385</v>
      </c>
      <c r="U1285" s="539">
        <v>30</v>
      </c>
      <c r="V1285" s="649" t="s">
        <v>385</v>
      </c>
      <c r="X1285" s="541" t="s">
        <v>386</v>
      </c>
      <c r="Y1285" s="541" t="s">
        <v>435</v>
      </c>
    </row>
    <row r="1286" spans="1:29" s="44" customFormat="1" ht="50.25" customHeight="1">
      <c r="A1286" s="42" t="str">
        <f>"B"&amp;E1281</f>
        <v>B43</v>
      </c>
      <c r="B1286" s="605">
        <f t="shared" ref="B1286:B1294" si="259">IF(C1286&lt;&gt;"",B1285+1,"")</f>
        <v>2</v>
      </c>
      <c r="C1286" s="581" t="s">
        <v>722</v>
      </c>
      <c r="D1286" s="581" t="s">
        <v>725</v>
      </c>
      <c r="E1286" s="581" t="s">
        <v>726</v>
      </c>
      <c r="F1286" s="581" t="s">
        <v>384</v>
      </c>
      <c r="G1286" s="534">
        <v>1</v>
      </c>
      <c r="H1286" s="534" t="s">
        <v>385</v>
      </c>
      <c r="I1286" s="579">
        <v>2</v>
      </c>
      <c r="J1286" s="580" t="str">
        <f>IF(I1286="","",IF(I1286="I",$F1281,VLOOKUP(I1286,$C1302:$D1307,2,0)))</f>
        <v>SOCIEDAD DE INGENIEROS CONTRATISTAS Y CONSULTORES LTDA “SICOC LTDA”</v>
      </c>
      <c r="K1286" s="535">
        <v>42017</v>
      </c>
      <c r="L1286" s="535">
        <v>42259</v>
      </c>
      <c r="M1286" s="536">
        <v>114.75</v>
      </c>
      <c r="N1286" s="232">
        <f t="shared" si="257"/>
        <v>114.75</v>
      </c>
      <c r="O1286" s="629">
        <f t="shared" si="258"/>
        <v>114.75</v>
      </c>
      <c r="P1286" s="781"/>
      <c r="Q1286" s="782"/>
      <c r="R1286" s="767"/>
      <c r="S1286" s="768"/>
      <c r="T1286" s="538" t="s">
        <v>385</v>
      </c>
      <c r="U1286" s="539">
        <v>31</v>
      </c>
      <c r="V1286" s="649" t="s">
        <v>385</v>
      </c>
      <c r="X1286" s="541" t="s">
        <v>386</v>
      </c>
      <c r="Y1286" s="541" t="s">
        <v>435</v>
      </c>
    </row>
    <row r="1287" spans="1:29" s="44" customFormat="1" ht="98.25" customHeight="1">
      <c r="A1287" s="42" t="str">
        <f>"C"&amp;E1281</f>
        <v>C43</v>
      </c>
      <c r="B1287" s="605">
        <f t="shared" si="259"/>
        <v>3</v>
      </c>
      <c r="C1287" s="581" t="s">
        <v>722</v>
      </c>
      <c r="D1287" s="581" t="s">
        <v>727</v>
      </c>
      <c r="E1287" s="581" t="s">
        <v>728</v>
      </c>
      <c r="F1287" s="581" t="s">
        <v>384</v>
      </c>
      <c r="G1287" s="534">
        <v>1</v>
      </c>
      <c r="H1287" s="534" t="s">
        <v>385</v>
      </c>
      <c r="I1287" s="579">
        <v>2</v>
      </c>
      <c r="J1287" s="580" t="str">
        <f>IF(I1287="","",IF(I1287="I",$F1281,VLOOKUP(I1287,$C1302:$D1307,2,0)))</f>
        <v>SOCIEDAD DE INGENIEROS CONTRATISTAS Y CONSULTORES LTDA “SICOC LTDA”</v>
      </c>
      <c r="K1287" s="535">
        <v>44298</v>
      </c>
      <c r="L1287" s="535">
        <v>44491</v>
      </c>
      <c r="M1287" s="536">
        <v>70.87</v>
      </c>
      <c r="N1287" s="232">
        <f t="shared" si="257"/>
        <v>70.87</v>
      </c>
      <c r="O1287" s="629">
        <f t="shared" si="258"/>
        <v>70.87</v>
      </c>
      <c r="P1287" s="781"/>
      <c r="Q1287" s="782"/>
      <c r="R1287" s="767"/>
      <c r="S1287" s="768"/>
      <c r="T1287" s="538" t="s">
        <v>385</v>
      </c>
      <c r="U1287" s="539">
        <v>130</v>
      </c>
      <c r="V1287" s="649" t="s">
        <v>385</v>
      </c>
      <c r="X1287" s="541" t="s">
        <v>386</v>
      </c>
      <c r="Y1287" s="541" t="s">
        <v>439</v>
      </c>
    </row>
    <row r="1288" spans="1:29" s="44" customFormat="1" ht="35.25" customHeight="1">
      <c r="A1288" s="42" t="str">
        <f>"D"&amp;E1281</f>
        <v>D43</v>
      </c>
      <c r="B1288" s="605">
        <f t="shared" si="259"/>
        <v>4</v>
      </c>
      <c r="C1288" s="581" t="s">
        <v>722</v>
      </c>
      <c r="D1288" s="581" t="s">
        <v>729</v>
      </c>
      <c r="E1288" s="581" t="s">
        <v>730</v>
      </c>
      <c r="F1288" s="581" t="s">
        <v>384</v>
      </c>
      <c r="G1288" s="534">
        <v>1</v>
      </c>
      <c r="H1288" s="534" t="s">
        <v>385</v>
      </c>
      <c r="I1288" s="579">
        <v>2</v>
      </c>
      <c r="J1288" s="580" t="str">
        <f>IF(I1288="","",IF(I1288="I",$F1281,VLOOKUP(I1288,$C1302:$D1307,2,0)))</f>
        <v>SOCIEDAD DE INGENIEROS CONTRATISTAS Y CONSULTORES LTDA “SICOC LTDA”</v>
      </c>
      <c r="K1288" s="535">
        <v>42192</v>
      </c>
      <c r="L1288" s="535">
        <v>42360</v>
      </c>
      <c r="M1288" s="536">
        <v>101.49</v>
      </c>
      <c r="N1288" s="232">
        <f t="shared" si="257"/>
        <v>101.49</v>
      </c>
      <c r="O1288" s="629">
        <f t="shared" si="258"/>
        <v>101.49</v>
      </c>
      <c r="P1288" s="781"/>
      <c r="Q1288" s="782"/>
      <c r="R1288" s="767"/>
      <c r="S1288" s="768"/>
      <c r="T1288" s="538" t="s">
        <v>385</v>
      </c>
      <c r="U1288" s="539">
        <v>113</v>
      </c>
      <c r="V1288" s="649" t="s">
        <v>385</v>
      </c>
      <c r="X1288" s="541" t="s">
        <v>386</v>
      </c>
      <c r="Y1288" s="541" t="s">
        <v>439</v>
      </c>
    </row>
    <row r="1289" spans="1:29" s="44" customFormat="1" ht="35.25" customHeight="1">
      <c r="A1289" s="42" t="str">
        <f>"E"&amp;E1281</f>
        <v>E43</v>
      </c>
      <c r="B1289" s="605">
        <f t="shared" si="259"/>
        <v>5</v>
      </c>
      <c r="C1289" s="581" t="s">
        <v>722</v>
      </c>
      <c r="D1289" s="581" t="s">
        <v>731</v>
      </c>
      <c r="E1289" s="581" t="s">
        <v>732</v>
      </c>
      <c r="F1289" s="581" t="s">
        <v>384</v>
      </c>
      <c r="G1289" s="534">
        <v>1</v>
      </c>
      <c r="H1289" s="534" t="s">
        <v>385</v>
      </c>
      <c r="I1289" s="579">
        <v>2</v>
      </c>
      <c r="J1289" s="580" t="str">
        <f>IF(I1289="","",IF(I1289="I",$F1281,VLOOKUP(I1289,$C1302:$D1307,2,0)))</f>
        <v>SOCIEDAD DE INGENIEROS CONTRATISTAS Y CONSULTORES LTDA “SICOC LTDA”</v>
      </c>
      <c r="K1289" s="535">
        <v>43454</v>
      </c>
      <c r="L1289" s="535">
        <v>43665</v>
      </c>
      <c r="M1289" s="536">
        <v>157.93</v>
      </c>
      <c r="N1289" s="232">
        <f t="shared" si="257"/>
        <v>157.93</v>
      </c>
      <c r="O1289" s="629">
        <f t="shared" si="258"/>
        <v>157.93</v>
      </c>
      <c r="P1289" s="781"/>
      <c r="Q1289" s="782"/>
      <c r="R1289" s="767"/>
      <c r="S1289" s="768"/>
      <c r="T1289" s="538" t="s">
        <v>385</v>
      </c>
      <c r="U1289" s="539">
        <v>108</v>
      </c>
      <c r="V1289" s="649" t="s">
        <v>385</v>
      </c>
      <c r="X1289" s="541" t="s">
        <v>423</v>
      </c>
      <c r="Y1289" s="541" t="s">
        <v>435</v>
      </c>
    </row>
    <row r="1290" spans="1:29" s="44" customFormat="1" ht="24.95" customHeight="1">
      <c r="A1290" s="42" t="str">
        <f>"F"&amp;E1281</f>
        <v>F43</v>
      </c>
      <c r="B1290" s="605" t="str">
        <f t="shared" si="259"/>
        <v/>
      </c>
      <c r="C1290" s="581"/>
      <c r="D1290" s="581"/>
      <c r="E1290" s="581"/>
      <c r="F1290" s="581"/>
      <c r="G1290" s="534"/>
      <c r="H1290" s="534"/>
      <c r="I1290" s="579"/>
      <c r="J1290" s="580" t="str">
        <f>IF(I1290="","",IF(I1290="I",$F1281,VLOOKUP(I1290,$C1302:$D1307,2,0)))</f>
        <v/>
      </c>
      <c r="K1290" s="535"/>
      <c r="L1290" s="535"/>
      <c r="M1290" s="536"/>
      <c r="N1290" s="232" t="str">
        <f t="shared" si="257"/>
        <v/>
      </c>
      <c r="O1290" s="260" t="str">
        <f t="shared" si="258"/>
        <v/>
      </c>
      <c r="P1290" s="781"/>
      <c r="Q1290" s="782"/>
      <c r="R1290" s="767"/>
      <c r="S1290" s="768"/>
      <c r="T1290" s="538"/>
      <c r="U1290" s="539"/>
      <c r="V1290" s="649"/>
      <c r="X1290" s="541"/>
      <c r="Y1290" s="541"/>
    </row>
    <row r="1291" spans="1:29" s="44" customFormat="1" ht="24.95" customHeight="1">
      <c r="A1291" s="42" t="str">
        <f>"G"&amp;E1281</f>
        <v>G43</v>
      </c>
      <c r="B1291" s="605" t="str">
        <f t="shared" si="259"/>
        <v/>
      </c>
      <c r="C1291" s="581"/>
      <c r="D1291" s="581"/>
      <c r="E1291" s="581"/>
      <c r="F1291" s="581"/>
      <c r="G1291" s="534"/>
      <c r="H1291" s="534"/>
      <c r="I1291" s="579"/>
      <c r="J1291" s="580" t="str">
        <f>IF(I1291="","",IF(I1291="I",$F1281,VLOOKUP(I1291,$C1302:$D1307,2,0)))</f>
        <v/>
      </c>
      <c r="K1291" s="535"/>
      <c r="L1291" s="535"/>
      <c r="M1291" s="536"/>
      <c r="N1291" s="43" t="str">
        <f t="shared" si="257"/>
        <v/>
      </c>
      <c r="O1291" s="260" t="str">
        <f t="shared" si="258"/>
        <v/>
      </c>
      <c r="P1291" s="781"/>
      <c r="Q1291" s="782"/>
      <c r="R1291" s="767"/>
      <c r="S1291" s="768"/>
      <c r="T1291" s="538"/>
      <c r="U1291" s="539"/>
      <c r="V1291" s="649"/>
      <c r="X1291" s="541"/>
      <c r="Y1291" s="541"/>
    </row>
    <row r="1292" spans="1:29" s="44" customFormat="1" ht="24.95" customHeight="1">
      <c r="A1292" s="42" t="str">
        <f>"H"&amp;E1281</f>
        <v>H43</v>
      </c>
      <c r="B1292" s="605" t="str">
        <f t="shared" si="259"/>
        <v/>
      </c>
      <c r="C1292" s="581"/>
      <c r="D1292" s="581"/>
      <c r="E1292" s="581"/>
      <c r="F1292" s="581"/>
      <c r="G1292" s="534"/>
      <c r="H1292" s="534"/>
      <c r="I1292" s="579"/>
      <c r="J1292" s="580" t="str">
        <f>IF(I1292="","",IF(I1292="I",$F1281,VLOOKUP(I1292,$C1302:$D1307,2,0)))</f>
        <v/>
      </c>
      <c r="K1292" s="535"/>
      <c r="L1292" s="535"/>
      <c r="M1292" s="537"/>
      <c r="N1292" s="43" t="str">
        <f t="shared" si="257"/>
        <v/>
      </c>
      <c r="O1292" s="260" t="str">
        <f t="shared" si="258"/>
        <v/>
      </c>
      <c r="P1292" s="781"/>
      <c r="Q1292" s="782"/>
      <c r="R1292" s="767"/>
      <c r="S1292" s="768"/>
      <c r="T1292" s="538"/>
      <c r="U1292" s="539"/>
      <c r="V1292" s="540"/>
      <c r="X1292" s="541"/>
      <c r="Y1292" s="541"/>
    </row>
    <row r="1293" spans="1:29" s="44" customFormat="1" ht="24.95" customHeight="1">
      <c r="A1293" s="42" t="str">
        <f>"I"&amp;E1281</f>
        <v>I43</v>
      </c>
      <c r="B1293" s="605" t="str">
        <f t="shared" si="259"/>
        <v/>
      </c>
      <c r="C1293" s="581"/>
      <c r="D1293" s="581"/>
      <c r="E1293" s="581"/>
      <c r="F1293" s="581"/>
      <c r="G1293" s="534"/>
      <c r="H1293" s="534"/>
      <c r="I1293" s="579"/>
      <c r="J1293" s="580" t="str">
        <f>IF(I1293="","",IF(I1293="I",$F1281,VLOOKUP(I1293,$C1302:$D1307,2,0)))</f>
        <v/>
      </c>
      <c r="K1293" s="535"/>
      <c r="L1293" s="535"/>
      <c r="M1293" s="537"/>
      <c r="N1293" s="43" t="str">
        <f t="shared" si="257"/>
        <v/>
      </c>
      <c r="O1293" s="260" t="str">
        <f t="shared" si="258"/>
        <v/>
      </c>
      <c r="P1293" s="781"/>
      <c r="Q1293" s="782"/>
      <c r="R1293" s="767"/>
      <c r="S1293" s="768"/>
      <c r="T1293" s="538"/>
      <c r="U1293" s="539"/>
      <c r="V1293" s="540"/>
      <c r="X1293" s="541"/>
      <c r="Y1293" s="541"/>
    </row>
    <row r="1294" spans="1:29" s="44" customFormat="1" ht="24.95" customHeight="1" thickBot="1">
      <c r="A1294" s="42" t="str">
        <f>"J"&amp;E1281</f>
        <v>J43</v>
      </c>
      <c r="B1294" s="612" t="str">
        <f t="shared" si="259"/>
        <v/>
      </c>
      <c r="C1294" s="582"/>
      <c r="D1294" s="582"/>
      <c r="E1294" s="582"/>
      <c r="F1294" s="582"/>
      <c r="G1294" s="583"/>
      <c r="H1294" s="583"/>
      <c r="I1294" s="584"/>
      <c r="J1294" s="585" t="str">
        <f>IF(I1294="","",IF(I1294="I",$F1281,VLOOKUP(I1294,$C1302:$D1307,2,0)))</f>
        <v/>
      </c>
      <c r="K1294" s="586"/>
      <c r="L1294" s="586"/>
      <c r="M1294" s="587"/>
      <c r="N1294" s="43" t="str">
        <f t="shared" si="257"/>
        <v/>
      </c>
      <c r="O1294" s="260" t="str">
        <f t="shared" si="258"/>
        <v/>
      </c>
      <c r="P1294" s="781"/>
      <c r="Q1294" s="782"/>
      <c r="R1294" s="767"/>
      <c r="S1294" s="768"/>
      <c r="T1294" s="538"/>
      <c r="U1294" s="539"/>
      <c r="V1294" s="540"/>
      <c r="X1294" s="541"/>
      <c r="Y1294" s="541"/>
    </row>
    <row r="1295" spans="1:29" s="27" customFormat="1" ht="12" customHeight="1" thickBot="1">
      <c r="A1295" s="42"/>
      <c r="B1295" s="45"/>
      <c r="C1295" s="46"/>
      <c r="D1295" s="46"/>
      <c r="E1295" s="46"/>
      <c r="F1295" s="46"/>
      <c r="G1295" s="46"/>
      <c r="H1295" s="606"/>
      <c r="I1295" s="46"/>
      <c r="J1295" s="46"/>
      <c r="K1295" s="46"/>
      <c r="L1295" s="46"/>
      <c r="M1295" s="46"/>
      <c r="N1295" s="46"/>
      <c r="O1295" s="259"/>
      <c r="P1295" s="46"/>
      <c r="Q1295" s="46"/>
      <c r="R1295" s="259"/>
      <c r="S1295" s="46"/>
      <c r="T1295" s="46"/>
      <c r="U1295" s="47"/>
      <c r="V1295" s="48"/>
      <c r="X1295" s="592"/>
      <c r="Y1295" s="593"/>
      <c r="AB1295" s="378"/>
    </row>
    <row r="1296" spans="1:29" s="27" customFormat="1" ht="17.25" customHeight="1" thickBot="1">
      <c r="A1296" s="42" t="str">
        <f>"Z"&amp;E1281</f>
        <v>Z43</v>
      </c>
      <c r="B1296" s="510"/>
      <c r="C1296" s="511"/>
      <c r="D1296" s="511"/>
      <c r="E1296" s="511"/>
      <c r="F1296" s="511"/>
      <c r="G1296" s="511"/>
      <c r="H1296" s="511"/>
      <c r="I1296" s="511"/>
      <c r="J1296" s="511"/>
      <c r="K1296" s="511"/>
      <c r="L1296" s="511"/>
      <c r="M1296" s="511"/>
      <c r="N1296" s="437" t="s">
        <v>388</v>
      </c>
      <c r="O1296" s="438">
        <f>IF(COUNTIF(O1285:O1294,"")&gt;9,0,SUM(O1285:O1294)/(COUNTIF(H1285:H1294,"SI")))</f>
        <v>106.5</v>
      </c>
      <c r="P1296" s="511"/>
      <c r="Q1296" s="511"/>
      <c r="R1296" s="530"/>
      <c r="S1296" s="530"/>
      <c r="T1296" s="531"/>
      <c r="U1296" s="532"/>
      <c r="V1296" s="533"/>
      <c r="W1296" s="285"/>
      <c r="X1296" s="613" t="e">
        <f>COUNTIF(#REF!,"")-COUNTIF(#REF!,"CUMPLE")-1</f>
        <v>#REF!</v>
      </c>
      <c r="Y1296" s="591"/>
      <c r="AB1296" s="28"/>
    </row>
    <row r="1297" spans="1:29" ht="17.25" customHeight="1">
      <c r="B1297" s="50"/>
      <c r="C1297" s="50"/>
      <c r="D1297" s="50"/>
      <c r="E1297" s="50"/>
      <c r="F1297" s="50"/>
      <c r="G1297" s="51"/>
      <c r="H1297" s="51"/>
      <c r="I1297" s="51"/>
      <c r="J1297" s="51"/>
      <c r="K1297" s="51"/>
      <c r="L1297" s="51"/>
      <c r="M1297" s="51"/>
      <c r="N1297" s="51"/>
      <c r="O1297" s="51"/>
      <c r="P1297" s="51"/>
      <c r="Q1297" s="51"/>
      <c r="R1297" s="51"/>
      <c r="S1297" s="51"/>
      <c r="T1297" s="51"/>
      <c r="U1297" s="51"/>
      <c r="V1297" s="51"/>
      <c r="W1297" s="51"/>
      <c r="X1297" s="608"/>
      <c r="Y1297" s="51"/>
      <c r="Z1297" s="51"/>
      <c r="AA1297" s="51"/>
      <c r="AB1297" s="51"/>
      <c r="AC1297" s="50"/>
    </row>
    <row r="1298" spans="1:29" s="27" customFormat="1" ht="16.5" customHeight="1" thickBot="1">
      <c r="A1298" s="22"/>
      <c r="B1298" s="783" t="s">
        <v>389</v>
      </c>
      <c r="C1298" s="783"/>
      <c r="D1298" s="783"/>
      <c r="E1298" s="783"/>
      <c r="F1298" s="783"/>
      <c r="G1298" s="783"/>
      <c r="H1298" s="783"/>
      <c r="I1298" s="783"/>
      <c r="J1298" s="783"/>
      <c r="K1298" s="783"/>
      <c r="L1298" s="783"/>
      <c r="M1298" s="783"/>
      <c r="N1298" s="783"/>
      <c r="O1298" s="783"/>
      <c r="P1298" s="783"/>
      <c r="Q1298" s="783"/>
      <c r="R1298" s="783"/>
      <c r="S1298" s="783"/>
      <c r="T1298" s="783"/>
      <c r="U1298" s="783"/>
      <c r="V1298" s="783"/>
      <c r="W1298" s="286"/>
      <c r="X1298" s="607"/>
      <c r="Y1298" s="52"/>
      <c r="Z1298" s="52"/>
      <c r="AA1298" s="52"/>
      <c r="AB1298" s="28"/>
      <c r="AC1298" s="28"/>
    </row>
    <row r="1299" spans="1:29" s="30" customFormat="1" ht="22.5" customHeight="1">
      <c r="A1299" s="112" t="str">
        <f>"K"&amp;E1281</f>
        <v>K43</v>
      </c>
      <c r="B1299" s="790" t="s">
        <v>390</v>
      </c>
      <c r="C1299" s="772" t="s">
        <v>391</v>
      </c>
      <c r="D1299" s="773"/>
      <c r="E1299" s="773"/>
      <c r="F1299" s="773"/>
      <c r="G1299" s="773"/>
      <c r="H1299" s="773"/>
      <c r="I1299" s="773"/>
      <c r="J1299" s="773"/>
      <c r="K1299" s="773"/>
      <c r="L1299" s="773"/>
      <c r="M1299" s="774"/>
      <c r="N1299" s="525"/>
      <c r="O1299" s="588"/>
      <c r="P1299" s="772" t="s">
        <v>392</v>
      </c>
      <c r="Q1299" s="773"/>
      <c r="R1299" s="773"/>
      <c r="S1299" s="774"/>
      <c r="T1299" s="784" t="s">
        <v>393</v>
      </c>
      <c r="U1299" s="774"/>
      <c r="V1299" s="811"/>
      <c r="W1299" s="284"/>
      <c r="X1299" s="778" t="s">
        <v>394</v>
      </c>
      <c r="Y1299" s="779"/>
      <c r="Z1299" s="779"/>
      <c r="AA1299" s="779" t="s">
        <v>395</v>
      </c>
      <c r="AB1299" s="808" t="s">
        <v>396</v>
      </c>
      <c r="AC1299" s="28"/>
    </row>
    <row r="1300" spans="1:29" s="30" customFormat="1" ht="22.5" customHeight="1">
      <c r="A1300" s="112" t="str">
        <f>"L"&amp;E1281</f>
        <v>L43</v>
      </c>
      <c r="B1300" s="791"/>
      <c r="C1300" s="769" t="s">
        <v>397</v>
      </c>
      <c r="D1300" s="770"/>
      <c r="E1300" s="771"/>
      <c r="F1300" s="512">
        <f>IF(VLOOKUP(E1281,PROPONENTES!$C$19:$E$108,3,0)="","",VLOOKUP(E1281,PROPONENTES!$C$19:$E$108,3,0))</f>
        <v>2</v>
      </c>
      <c r="G1300" s="824" t="s">
        <v>398</v>
      </c>
      <c r="H1300" s="793" t="s">
        <v>399</v>
      </c>
      <c r="I1300" s="793"/>
      <c r="J1300" s="769" t="s">
        <v>400</v>
      </c>
      <c r="K1300" s="823"/>
      <c r="L1300" s="513" t="s">
        <v>401</v>
      </c>
      <c r="M1300" s="513"/>
      <c r="N1300" s="526"/>
      <c r="O1300" s="527"/>
      <c r="P1300" s="775"/>
      <c r="Q1300" s="776"/>
      <c r="R1300" s="776"/>
      <c r="S1300" s="777"/>
      <c r="T1300" s="796"/>
      <c r="U1300" s="797"/>
      <c r="V1300" s="812"/>
      <c r="W1300" s="284"/>
      <c r="X1300" s="780" t="s">
        <v>402</v>
      </c>
      <c r="Y1300" s="810" t="s">
        <v>403</v>
      </c>
      <c r="Z1300" s="810"/>
      <c r="AA1300" s="810"/>
      <c r="AB1300" s="809"/>
      <c r="AC1300" s="28"/>
    </row>
    <row r="1301" spans="1:29" s="30" customFormat="1" ht="51.75" customHeight="1" thickBot="1">
      <c r="A1301" s="112" t="str">
        <f>"M"&amp;E1281</f>
        <v>M43</v>
      </c>
      <c r="B1301" s="791"/>
      <c r="C1301" s="770" t="s">
        <v>404</v>
      </c>
      <c r="D1301" s="771"/>
      <c r="E1301" s="514" t="s">
        <v>405</v>
      </c>
      <c r="F1301" s="515" t="s">
        <v>406</v>
      </c>
      <c r="G1301" s="824"/>
      <c r="H1301" s="793"/>
      <c r="I1301" s="793"/>
      <c r="J1301" s="504" t="s">
        <v>407</v>
      </c>
      <c r="K1301" s="516" t="s">
        <v>408</v>
      </c>
      <c r="L1301" s="517" t="s">
        <v>409</v>
      </c>
      <c r="M1301" s="517"/>
      <c r="N1301" s="528" t="s">
        <v>410</v>
      </c>
      <c r="O1301" s="529"/>
      <c r="P1301" s="386"/>
      <c r="Q1301" s="387" t="s">
        <v>411</v>
      </c>
      <c r="R1301" s="388"/>
      <c r="S1301" s="113">
        <f>COUNTIFS(H1285:H1294,"SI",O1285:O1294,"&gt;0")</f>
        <v>5</v>
      </c>
      <c r="T1301" s="785"/>
      <c r="U1301" s="787"/>
      <c r="V1301" s="813"/>
      <c r="W1301" s="284"/>
      <c r="X1301" s="780"/>
      <c r="Y1301" s="810"/>
      <c r="Z1301" s="810"/>
      <c r="AA1301" s="810"/>
      <c r="AB1301" s="809"/>
      <c r="AC1301" s="28"/>
    </row>
    <row r="1302" spans="1:29" s="30" customFormat="1" ht="26.25" customHeight="1">
      <c r="A1302" s="112" t="str">
        <f>"N"&amp;E1281</f>
        <v>N43</v>
      </c>
      <c r="B1302" s="791"/>
      <c r="C1302" s="54">
        <v>1</v>
      </c>
      <c r="D1302" s="100" t="str">
        <f>IF(AND(C1302&lt;=F1300,F1300&gt;1,F1300&lt;&gt;""),VLOOKUP(VALUE(E1281&amp;","&amp;C1302),INTEGRANTES!$D$19:$F$192,2,0),"")</f>
        <v>FEDESTRUCTURAS S.A.S</v>
      </c>
      <c r="E1302" s="107">
        <f>IF(D1302&lt;&gt;"",VLOOKUP(VALUE(E1281&amp;","&amp;C1302),INTEGRANTES!$D$19:$F$192,3,0),"")</f>
        <v>0.05</v>
      </c>
      <c r="F1302" s="380" t="str">
        <f>IF(D1302="","",IF(OR(SUMIF($J1285:$J1294,D1302,$O1285:$O1294)=0,N1302="NO"),"NO APORTA",SUMIF($J1285:$J1294,D1302,$O1285:$O1294)))</f>
        <v>NO APORTA</v>
      </c>
      <c r="G1302" s="380">
        <f ca="1">IF($D1302="","",IF($F1300&lt;=1,"",ROUND(POSMMLV*PORPO,2)))</f>
        <v>150</v>
      </c>
      <c r="H1302" s="765" t="str">
        <f ca="1">IF($D1302="","",IF(OR(F1302="NO APORTA",G1302&gt;F1302),"NO CUMPLE","CUMPLE"))</f>
        <v>NO CUMPLE</v>
      </c>
      <c r="I1302" s="766"/>
      <c r="J1302" s="108" t="str">
        <f ca="1">IF(D1302="","",IF(OR(AND(SUMIF($J1285:$J1294,D1302,$O1285:$O1294)&gt;=5%*POSMMLV,N1302="SI"),AND(SUMIF($J1285:$J1294,D1302,$O1285:$O1294)=0,E1302&lt;=5%,N1302="SI")),"CUMPLE","NO CUMPLE"))</f>
        <v>CUMPLE</v>
      </c>
      <c r="K1302" s="105" t="str">
        <f ca="1">IF(OR(D1302="",J1302=""),"",IF(AND(J1302="NO CUMPLE",F1302="NO APORTA",E1302&gt;5%),"EXP = 0 y PART &gt; 5%",IF(F1302&lt;5%*Q1307,"EXP &lt; 5%*PO","")))</f>
        <v/>
      </c>
      <c r="L1302" s="389" t="str">
        <f>IF(OR(D1302="",E1302=""),"",IF(AND(E1302&gt;=0.25,F1302&lt;&gt;"NO APORTA",F1302&gt;=$R1307*0.25),"SI","NO"))</f>
        <v>NO</v>
      </c>
      <c r="M1302" s="389"/>
      <c r="N1302" s="468" t="s">
        <v>385</v>
      </c>
      <c r="O1302" s="396">
        <f>COUNTIFS(O1285:O1294,"&gt;0",H1285:H1294,"SI")</f>
        <v>5</v>
      </c>
      <c r="P1302" s="814" t="s">
        <v>139</v>
      </c>
      <c r="Q1302" s="814"/>
      <c r="R1302" s="817">
        <f>E1281</f>
        <v>43</v>
      </c>
      <c r="S1302" s="818"/>
      <c r="T1302" s="784" t="s">
        <v>412</v>
      </c>
      <c r="U1302" s="773"/>
      <c r="V1302" s="774"/>
      <c r="W1302" s="283"/>
      <c r="X1302" s="542" t="str">
        <f>IF($F1300=1,"NO APLICA",$D1302)</f>
        <v>FEDESTRUCTURAS S.A.S</v>
      </c>
      <c r="Y1302" s="543" t="str">
        <f>IF(OR($F1302="",$F1302="NO APORTA",$R1307=0,$X1302="NO APLICA"),"",ROUND($F1302/$Q1307,2))</f>
        <v/>
      </c>
      <c r="Z1302" s="544" t="str">
        <f>IF(Y1308=1,"SI APLICA",IF(OR($X1302="",$X1302="NO APLICA",$F1302="",$F1302="NO APORTA"),"",IF(ROUND($F1302/Q1307,7)&gt;=0.4,"SI APLICA","NO APLICA")))</f>
        <v/>
      </c>
      <c r="AA1302" s="543" t="s">
        <v>516</v>
      </c>
      <c r="AB1302" s="540" t="str">
        <f>IF(COUNTIF(Z1302:AA1302,"SI APLICA")=2,"SI APLICA","")</f>
        <v/>
      </c>
      <c r="AC1302" s="28"/>
    </row>
    <row r="1303" spans="1:29" s="30" customFormat="1" ht="51.75" customHeight="1" thickBot="1">
      <c r="A1303" s="112" t="str">
        <f>"O"&amp;E1281</f>
        <v>O43</v>
      </c>
      <c r="B1303" s="791"/>
      <c r="C1303" s="54">
        <v>2</v>
      </c>
      <c r="D1303" s="100" t="str">
        <f>IF(AND(C1303&lt;=F1300,F1300&lt;&gt;""),VLOOKUP(VALUE(E1281&amp;","&amp;C1303),INTEGRANTES!$D$19:$F$192,2,0),"")</f>
        <v>SOCIEDAD DE INGENIEROS CONTRATISTAS Y CONSULTORES LTDA “SICOC LTDA”</v>
      </c>
      <c r="E1303" s="107">
        <f>IF(D1303&lt;&gt;"",VLOOKUP(VALUE(E1281&amp;","&amp;C1303),INTEGRANTES!$D$19:$F$192,3,0),"")</f>
        <v>0.95</v>
      </c>
      <c r="F1303" s="380">
        <f>IF(D1303="","",IF(OR(SUMIF($J1285:$J1294,D1303,$O1285:$O1294)=0,N1303="NO"),"NO APORTA",SUMIF($J1285:$J1294,D1303,$O1285:$O1294)))</f>
        <v>532.5</v>
      </c>
      <c r="G1303" s="380">
        <f ca="1">IF($D1303="","",IF($F1300&lt;=1,"",ROUND(POSMMLV*PORPO,2)))</f>
        <v>150</v>
      </c>
      <c r="H1303" s="765" t="str">
        <f t="shared" ref="H1303:H1306" ca="1" si="260">IF($D1303="","",IF(OR(F1303="NO APORTA",G1303&gt;F1303),"NO CUMPLE","CUMPLE"))</f>
        <v>CUMPLE</v>
      </c>
      <c r="I1303" s="766"/>
      <c r="J1303" s="108" t="str">
        <f ca="1">IF(D1303="","",IF(OR(AND(SUMIF($J1285:$J1294,D1303,$O1285:$O1294)&gt;=5%*POSMMLV,N1303="SI"),AND(SUMIF($J1285:$J1294,D1303,$O1285:$O1294)=0,E1303&lt;=5%,N1303="SI")),"CUMPLE","NO CUMPLE"))</f>
        <v>CUMPLE</v>
      </c>
      <c r="K1303" s="105" t="str">
        <f ca="1">IF(OR(D1303="",J1303=""),"",IF(AND(J1303="NO CUMPLE",F1303="NO APORTA",E1303&gt;5%),"EXP = 0 y PART &gt; 5%",IF(F1303&lt;5%*Q1307,"EXP &lt; 5%*PO","")))</f>
        <v/>
      </c>
      <c r="L1303" s="389" t="str">
        <f>IF(OR(D1303="",E1303=""),"",IF(AND(E1303&gt;=0.25,F1303&lt;&gt;"NO APORTA",F1303&gt;=$R1307*0.25),"SI","NO"))</f>
        <v>SI</v>
      </c>
      <c r="M1303" s="389"/>
      <c r="N1303" s="468" t="s">
        <v>385</v>
      </c>
      <c r="O1303" s="396"/>
      <c r="P1303" s="815"/>
      <c r="Q1303" s="815"/>
      <c r="R1303" s="815"/>
      <c r="S1303" s="819"/>
      <c r="T1303" s="785"/>
      <c r="U1303" s="786"/>
      <c r="V1303" s="787"/>
      <c r="W1303" s="283"/>
      <c r="X1303" s="542" t="str">
        <f>IF($F1300=1,"NO APLICA",$D1303)</f>
        <v>SOCIEDAD DE INGENIEROS CONTRATISTAS Y CONSULTORES LTDA “SICOC LTDA”</v>
      </c>
      <c r="Y1303" s="543">
        <f ca="1">IF(OR($F1303="",$F1303="NO APORTA",$R1307=0,$X1303="NO APLICA"),"",ROUND($F1303/$Q1307,2))</f>
        <v>1.78</v>
      </c>
      <c r="Z1303" s="544" t="str">
        <f ca="1">IF(Y1308=1,"SI APLICA",IF(OR($X1303="",$X1303="NO APLICA",$F1303="",$F1303="NO APORTA"),"",IF(ROUND($F1303/Q1307,7)&gt;=0.4,"SI APLICA","NO APLICA")))</f>
        <v>SI APLICA</v>
      </c>
      <c r="AA1303" s="543" t="s">
        <v>413</v>
      </c>
      <c r="AB1303" s="540" t="str">
        <f t="shared" ref="AB1303" ca="1" si="261">IF(COUNTIF(Z1303:AA1303,"SI APLICA")=2,"SI APLICA","")</f>
        <v>SI APLICA</v>
      </c>
      <c r="AC1303" s="28"/>
    </row>
    <row r="1304" spans="1:29" s="30" customFormat="1" ht="15.75" customHeight="1">
      <c r="A1304" s="112" t="str">
        <f>"P"&amp;E1281</f>
        <v>P43</v>
      </c>
      <c r="B1304" s="791"/>
      <c r="C1304" s="54">
        <v>3</v>
      </c>
      <c r="D1304" s="100" t="str">
        <f>IF(AND(C1304&lt;=F1300,F1300&lt;&gt;""),VLOOKUP(VALUE(E1281&amp;","&amp;C1304),INTEGRANTES!$D$19:$F$192,2,0),"")</f>
        <v/>
      </c>
      <c r="E1304" s="107" t="str">
        <f>IF(D1304&lt;&gt;"",VLOOKUP(VALUE(E1281&amp;","&amp;C1304),INTEGRANTES!$D$19:$F$192,3,0),"")</f>
        <v/>
      </c>
      <c r="F1304" s="380" t="str">
        <f>IF(D1304="","",IF(OR(SUMIF($J1288:$J1294,D1304,$O1288:$O1294)=0,N1304="NO"),"NO APORTA",SUMIF($J1288:$J1294,D1304,$O1288:$O1294)))</f>
        <v/>
      </c>
      <c r="G1304" s="380" t="str">
        <f>IF($D1304="","",IF($F1300&lt;=1,"",ROUND(POSMMLV*PORPO,2)))</f>
        <v/>
      </c>
      <c r="H1304" s="765" t="str">
        <f t="shared" si="260"/>
        <v/>
      </c>
      <c r="I1304" s="766"/>
      <c r="J1304" s="108" t="str">
        <f>IF(D1304="","",IF(OR(AND(SUMIF($J1285:$J1294,D1304,$O1285:$O1294)&gt;=5%*POSMMLV,N1304="SI"),AND(SUMIF($J1285:$J1294,D1304,$O1285:$O1294)=0,E1304&lt;=5%,N1304="SI")),"CUMPLE","NO CUMPLE"))</f>
        <v/>
      </c>
      <c r="K1304" s="105" t="str">
        <f>IF(OR(D1304="",J1304=""),"",IF(AND(J1304="NO CUMPLE",F1304="NO APORTA",E1304&gt;5%),"EXP = 0 y PART &gt; 5%",IF(F1304&lt;5%*Q1307,"EXP &lt; 5%*PO","")))</f>
        <v/>
      </c>
      <c r="L1304" s="389" t="str">
        <f>IF(OR(D1304="",E1304=""),"",IF(AND(E1304&gt;=0.25,F1304&lt;&gt;"NO APORTA",F1304&gt;=$R1307*0.25),"SI","NO"))</f>
        <v/>
      </c>
      <c r="M1304" s="389"/>
      <c r="N1304" s="468"/>
      <c r="O1304" s="397"/>
      <c r="P1304" s="816"/>
      <c r="Q1304" s="816"/>
      <c r="R1304" s="816"/>
      <c r="S1304" s="820"/>
      <c r="T1304" s="308"/>
      <c r="U1304" s="308"/>
      <c r="V1304" s="309"/>
      <c r="W1304" s="284"/>
      <c r="X1304" s="542" t="str">
        <f>IF($F1300=1,"NO APLICA",$D1304)</f>
        <v/>
      </c>
      <c r="Y1304" s="543" t="str">
        <f>IF(OR($F1304="",$F1304="NO APORTA",$R1307=0,$X1304="NO APLICA"),"",ROUND($F1304/$Q1307,2))</f>
        <v/>
      </c>
      <c r="Z1304" s="544" t="str">
        <f>IF(Y1308=1,"SI APLICA",IF(OR($X1304="",$X1304="NO APLICA",$F1304="",$F1304="NO APORTA"),"",IF(ROUND($F1304/Q1307,7)&gt;=0.4,"SI APLICA","NO APLICA")))</f>
        <v/>
      </c>
      <c r="AA1304" s="543"/>
      <c r="AB1304" s="540" t="str">
        <f>IF(COUNTIF(Z1304:AA1304,"SI APLICA")=2,"SI APLICA","")</f>
        <v/>
      </c>
      <c r="AC1304" s="28"/>
    </row>
    <row r="1305" spans="1:29" s="30" customFormat="1" ht="15.75" customHeight="1">
      <c r="A1305" s="112" t="str">
        <f>"Q"&amp;E1281</f>
        <v>Q43</v>
      </c>
      <c r="B1305" s="791"/>
      <c r="C1305" s="54">
        <v>4</v>
      </c>
      <c r="D1305" s="100" t="str">
        <f>IF(AND(C1305&lt;=F1300,F1300&lt;&gt;""),VLOOKUP(VALUE(E1281&amp;","&amp;C1305),INTEGRANTES!$D$19:$F$192,2,0),"")</f>
        <v/>
      </c>
      <c r="E1305" s="107" t="str">
        <f>IF(D1305&lt;&gt;"",VLOOKUP(VALUE(E1281&amp;","&amp;C1305),INTEGRANTES!$D$19:$F$192,3,0),"")</f>
        <v/>
      </c>
      <c r="F1305" s="380" t="str">
        <f>IF(D1305="","",IF(OR(SUMIF($J1288:$J1294,D1305,$O1288:$O1294)=0,N1305="NO"),"NO APORTA",SUMIF($J1288:$J1294,D1305,$O1288:$O1294)))</f>
        <v/>
      </c>
      <c r="G1305" s="380" t="str">
        <f>IF($D1305="","",IF($F1300&lt;=1,"",ROUND(POSMMLV*PORPO,2)))</f>
        <v/>
      </c>
      <c r="H1305" s="765" t="str">
        <f t="shared" si="260"/>
        <v/>
      </c>
      <c r="I1305" s="766"/>
      <c r="J1305" s="108" t="str">
        <f>IF(D1305="","",IF(OR(AND(SUMIF($J1285:$J1294,D1305,$O1285:$O1294)&gt;=5%*POSMMLV,N1305="SI"),AND(SUMIF($J1285:$J1294,D1305,$O1285:$O1294)=0,E1305&lt;=5%,N1305="SI")),"CUMPLE","NO CUMPLE"))</f>
        <v/>
      </c>
      <c r="K1305" s="105" t="str">
        <f>IF(OR(D1305="",J1305=""),"",IF(AND(J1305="NO CUMPLE",F1305="NO APORTA",E1305&gt;5%),"EXP = 0 y PART &gt; 5%",IF(F1305&lt;5%*Q1307,"EXP &lt; 5%*PO","")))</f>
        <v/>
      </c>
      <c r="L1305" s="389" t="str">
        <f>IF(OR(D1305="",E1305=""),"",IF(AND(E1305&gt;=0.25,F1305&lt;&gt;"NO APORTA",F1305&gt;=$R1307*0.25),"SI","NO"))</f>
        <v/>
      </c>
      <c r="M1305" s="389"/>
      <c r="N1305" s="468"/>
      <c r="O1305" s="788" t="s">
        <v>414</v>
      </c>
      <c r="P1305" s="769" t="s">
        <v>415</v>
      </c>
      <c r="Q1305" s="770"/>
      <c r="R1305" s="770"/>
      <c r="S1305" s="771"/>
      <c r="T1305" s="284"/>
      <c r="U1305" s="284"/>
      <c r="V1305" s="310"/>
      <c r="W1305" s="284"/>
      <c r="X1305" s="542" t="str">
        <f>IF($F1300=1,"NO APLICA",$D1305)</f>
        <v/>
      </c>
      <c r="Y1305" s="543" t="str">
        <f>IF(OR($F1305="",$F1305="NO APORTA",$R1307=0,$X1305="NO APLICA"),"",ROUND($F1305/$Q1307,2))</f>
        <v/>
      </c>
      <c r="Z1305" s="544" t="str">
        <f>IF(Y1308=1,"SI APLICA",IF(OR($X1305="",$X1305="NO APLICA",$F1305="",$F1305="NO APORTA"),"",IF(ROUND($F1305/Q1307,7)&gt;=0.4,"SI APLICA","NO APLICA")))</f>
        <v/>
      </c>
      <c r="AA1305" s="543"/>
      <c r="AB1305" s="540" t="str">
        <f t="shared" ref="AB1305:AB1306" si="262">IF(COUNTIF(Z1305:AA1305,"SI APLICA")=2,"SI APLICA","")</f>
        <v/>
      </c>
      <c r="AC1305" s="28"/>
    </row>
    <row r="1306" spans="1:29" s="30" customFormat="1" ht="17.25" customHeight="1">
      <c r="A1306" s="112" t="str">
        <f>"R"&amp;E1281</f>
        <v>R43</v>
      </c>
      <c r="B1306" s="791"/>
      <c r="C1306" s="54">
        <v>5</v>
      </c>
      <c r="D1306" s="100" t="str">
        <f>IF(AND(C1306&lt;=F1300,F1300&lt;&gt;""),VLOOKUP(VALUE(E1281&amp;","&amp;C1306),INTEGRANTES!$D$19:$F$192,2,0),"")</f>
        <v/>
      </c>
      <c r="E1306" s="107" t="str">
        <f>IF(D1306&lt;&gt;"",VLOOKUP(VALUE(E1281&amp;","&amp;C1306),INTEGRANTES!$D$19:$F$192,3,0),"")</f>
        <v/>
      </c>
      <c r="F1306" s="380" t="str">
        <f>IF(D1306="","",IF(OR(SUMIF($J1288:$J1294,D1306,$O1288:$O1294)=0,N1306="NO"),"NO APORTA",SUMIF($J1288:$J1294,D1306,$O1288:$O1294)))</f>
        <v/>
      </c>
      <c r="G1306" s="380" t="str">
        <f>IF($D1306="","",IF($F1300&lt;=1,"",ROUND(POSMMLV*PORPO,2)))</f>
        <v/>
      </c>
      <c r="H1306" s="765" t="str">
        <f t="shared" si="260"/>
        <v/>
      </c>
      <c r="I1306" s="766"/>
      <c r="J1306" s="108" t="str">
        <f>IF(D1306="","",IF(OR(AND(SUMIF($J1285:$J1294,D1306,$O1285:$O1294)&gt;=5%*POSMMLV,N1306="SI"),AND(SUMIF($J1285:$J1294,D1306,$O1285:$O1294)=0,E1306&lt;=5%,N1306="SI")),"CUMPLE","NO CUMPLE"))</f>
        <v/>
      </c>
      <c r="K1306" s="105" t="str">
        <f>IF(OR(D1306="",J1306=""),"",IF(AND(J1306="NO CUMPLE",F1306="NO APORTA",E1306&gt;5%),"EXP = 0 y PART &gt; 5%",IF(F1306&lt;5%*Q1307,"EXP &lt; 5%*PO","")))</f>
        <v/>
      </c>
      <c r="L1306" s="389" t="str">
        <f>IF(OR(D1306="",E1306=""),"",IF(AND(E1306&gt;=0.25,F1306&lt;&gt;"NO APORTA",F1306&gt;=$R1307*0.25),"SI","NO"))</f>
        <v/>
      </c>
      <c r="M1306" s="389"/>
      <c r="N1306" s="468"/>
      <c r="O1306" s="789"/>
      <c r="P1306" s="504" t="s">
        <v>416</v>
      </c>
      <c r="Q1306" s="504" t="s">
        <v>417</v>
      </c>
      <c r="R1306" s="793" t="s">
        <v>418</v>
      </c>
      <c r="S1306" s="793"/>
      <c r="T1306" s="284"/>
      <c r="U1306" s="284"/>
      <c r="V1306" s="310"/>
      <c r="W1306" s="284"/>
      <c r="X1306" s="542" t="str">
        <f>IF($F1300=1,"NO APLICA",$D1306)</f>
        <v/>
      </c>
      <c r="Y1306" s="543" t="str">
        <f>IF(OR($F1306="",$F1306="NO APORTA",$R1307=0,$X1306="NO APLICA"),"",ROUND($F1306/$Q1307,2))</f>
        <v/>
      </c>
      <c r="Z1306" s="544" t="str">
        <f>IF(Y1308=1,"SI APLICA",IF(OR($X1306="",$X1306="NO APLICA",$F1306="",$F1306="NO APORTA"),"",IF(ROUND($F1306/Q1307,7)&gt;=0.4,"SI APLICA","NO APLICA")))</f>
        <v/>
      </c>
      <c r="AA1306" s="543"/>
      <c r="AB1306" s="540" t="str">
        <f t="shared" si="262"/>
        <v/>
      </c>
      <c r="AC1306" s="28"/>
    </row>
    <row r="1307" spans="1:29" s="30" customFormat="1" ht="16.5" customHeight="1" thickBot="1">
      <c r="A1307" s="112" t="str">
        <f>"S"&amp;E1281</f>
        <v>S43</v>
      </c>
      <c r="B1307" s="791"/>
      <c r="C1307" s="109">
        <v>6</v>
      </c>
      <c r="D1307" s="110" t="str">
        <f>IF(AND(C1307&lt;=F1300,F1300&lt;&gt;""),VLOOKUP(VALUE(E1281&amp;","&amp;C1307),INTEGRANTES!$D$19:$F$192,2,0),"")</f>
        <v/>
      </c>
      <c r="E1307" s="111" t="str">
        <f>IF(D1307&lt;&gt;"",VLOOKUP(VALUE(E1281&amp;","&amp;C1307),INTEGRANTES!$D$19:$F$192,3,0),"")</f>
        <v/>
      </c>
      <c r="F1307" s="380" t="str">
        <f>IF(D1307="","",IF(OR(SUMIF($J1288:$J1294,D1307,$O1288:$O1294)=0,N1307="NO"),"NO APORTA",SUMIF($J1288:$J1294,D1307,$O1288:$O1294)))</f>
        <v/>
      </c>
      <c r="G1307" s="380" t="str">
        <f>IF($D1307="","",IF($F1300&lt;=1,"",ROUND(POSMMLV*PORPO,2)))</f>
        <v/>
      </c>
      <c r="H1307" s="765" t="str">
        <f>IF($D1307="","",IF(OR(F1307="NO APORTA",G1307&gt;F1307),"NO CUMPLE","CUMPLE"))</f>
        <v/>
      </c>
      <c r="I1307" s="766"/>
      <c r="J1307" s="108" t="str">
        <f>IF(D1307="","",IF(OR(AND(SUMIF($J1285:$J1294,D1307,$O1285:$O1294)&gt;=5%*POSMMLV,N1307="SI"),AND(SUMIF($J1285:$J1294,D1307,$O1285:$O1294)=0,E1307&lt;=5%,N1307="SI")),"CUMPLE","NO CUMPLE"))</f>
        <v/>
      </c>
      <c r="K1307" s="105" t="str">
        <f>IF(OR(D1307="",J1307=""),"",IF(AND(J1307="NO CUMPLE",F1307="NO APORTA",E1307&gt;5%),"EXP = 0 y PART &gt; 5%",IF(F1307&lt;5%*Q1307,"EXP &lt; 5%*PO","")))</f>
        <v/>
      </c>
      <c r="L1307" s="389" t="str">
        <f>IF(OR(D1307="",E1307=""),"",IF(AND(E1307&gt;=0.25,F1307&lt;&gt;"NO APORTA",F1307&gt;=$R1307*0.25),"SI","NO"))</f>
        <v/>
      </c>
      <c r="M1307" s="389"/>
      <c r="N1307" s="468"/>
      <c r="O1307" s="403" t="str">
        <f ca="1">IF(R1307&gt;=Q1307,"CUMPLE","NO CUMPLE")</f>
        <v>CUMPLE</v>
      </c>
      <c r="P1307" s="312">
        <f>NUMMOD</f>
        <v>1</v>
      </c>
      <c r="Q1307" s="313">
        <f ca="1">IF(P1307="","",ROUND(VLOOKUP(P1307,PRESUPUESTOS!$B$16:$L$16,9,FALSE),7))</f>
        <v>300</v>
      </c>
      <c r="R1307" s="834">
        <f>IF(OR(COUNTIF(O1285:O1294,"")&gt;9,S1301&lt;NUMMINCONT),0,SUM(O1285:O1294))</f>
        <v>532.5</v>
      </c>
      <c r="S1307" s="834"/>
      <c r="T1307" s="284"/>
      <c r="U1307" s="284"/>
      <c r="V1307" s="310"/>
      <c r="W1307" s="284"/>
      <c r="X1307" s="545" t="str">
        <f>IF($F1300=1,"NO APLICA",$D1307)</f>
        <v/>
      </c>
      <c r="Y1307" s="543" t="str">
        <f>IF(OR($F1307="",$F1307="NO APORTA",$R1307=0,$X1307="NO APLICA"),"",ROUND($F1307/$Q1307,2))</f>
        <v/>
      </c>
      <c r="Z1307" s="544" t="str">
        <f>IF(Y1308=1,"SI APLICA",IF(OR($X1307="",$X1307="NO APLICA",$F1307="",$F1307="NO APORTA"),"",IF(ROUND($F1307/Q1307,7)&gt;=0.4,"SI APLICA","NO APLICA")))</f>
        <v/>
      </c>
      <c r="AA1307" s="546"/>
      <c r="AB1307" s="540" t="str">
        <f>IF(COUNTIF(Z1307:AA1307,"SI APLICA")=2,"SI APLICA","")</f>
        <v/>
      </c>
      <c r="AC1307" s="28"/>
    </row>
    <row r="1308" spans="1:29" s="30" customFormat="1" ht="16.5" customHeight="1" thickBot="1">
      <c r="A1308" s="112" t="str">
        <f>"T"&amp;E1281</f>
        <v>T43</v>
      </c>
      <c r="B1308" s="792"/>
      <c r="C1308" s="821" t="s">
        <v>419</v>
      </c>
      <c r="D1308" s="822"/>
      <c r="E1308" s="822"/>
      <c r="F1308" s="518"/>
      <c r="G1308" s="519"/>
      <c r="H1308" s="794" t="str">
        <f ca="1">IF(OR($F1300="",SUM(E1302:E1307)=0),"",IF(COUNTIF(H1302:H1307,"CUMPLE")&gt;=1,"CUMPLE","NO CUMPLE"))</f>
        <v>CUMPLE</v>
      </c>
      <c r="I1308" s="795"/>
      <c r="J1308" s="314" t="str">
        <f ca="1">IF(COUNTIF(J1302:J1307,"")&gt;5,"",IF(COUNTIF(J1302:J1307,"NO CUMPLE")&gt;0,"NO CUMPLE","CUMPLE"))</f>
        <v>CUMPLE</v>
      </c>
      <c r="K1308" s="314" t="str">
        <f ca="1">IF(OR(AND(F1300=1,N1302="SI"),AND(COUNTIF(H1308:J1308,"CUMPLE")=2)),"CUMPLE","NO CUMPLE")</f>
        <v>CUMPLE</v>
      </c>
      <c r="L1308" s="519"/>
      <c r="M1308" s="519"/>
      <c r="N1308" s="519"/>
      <c r="O1308" s="833" t="str">
        <f ca="1">IF(ISNUMBER(F1281),"",IF(AND(O1307="NO CUMPLE",SUM(N1288:N1294)&lt;Q1307),"EL PROPONENTE SE DEBE REQUERIR POR EXPERIENCIA MINIMA EXIGIDA",""))</f>
        <v/>
      </c>
      <c r="P1308" s="833"/>
      <c r="Q1308" s="833"/>
      <c r="R1308" s="833"/>
      <c r="S1308" s="833"/>
      <c r="T1308" s="522"/>
      <c r="U1308" s="523"/>
      <c r="V1308" s="524"/>
      <c r="W1308" s="284"/>
      <c r="X1308" s="364" t="str">
        <f>IF(Y1308=1,"PROPONENTE INDIVIDUAL","PROPONENTE PLURAL")</f>
        <v>PROPONENTE PLURAL</v>
      </c>
      <c r="Y1308" s="276">
        <f>F1300</f>
        <v>2</v>
      </c>
      <c r="Z1308" s="277" t="str">
        <f ca="1">IF(OR(AND(Z1302="SI APLICA",AA1302="SI APLICA"),AND(Z1303="SI APLICA",AA1303="SI APLICA"),AND(Z1304="SI APLICA",AA1304="SI APLICA"),AND(Z1305="SI APLICA",AA1305="SI APLICA"),AND(Z1306="SI APLICA",AA1306="SI APLICA"),AND(Z1307="SI APLICA",AA1307="SI APLICA")),"SI APLICA","NO APLICA")</f>
        <v>SI APLICA</v>
      </c>
      <c r="AA1308" s="278" t="str">
        <f ca="1">IF(OR(AND(AA1302="SI APLICA",AB1302="SI APLICA"),AND(AA1303="SI APLICA",AB1303="SI APLICA"),AND(AA1304="SI APLICA",AB1304="SI APLICA"),AND(AA1305="SI APLICA",AB1305="SI APLICA"),AND(AA1306="SI APLICA",AB1306="SI APLICA"),AND(AA1307="SI APLICA",AB1307="SI APLICA")),"SI APLICA","NO APLICA")</f>
        <v>SI APLICA</v>
      </c>
      <c r="AB1308" s="278" t="str">
        <f ca="1">IF(COUNTIF(AB1302:AB1307,"SI APLICA")&gt;0,"SI APLICA","NO APLICA")</f>
        <v>SI APLICA</v>
      </c>
      <c r="AC1308" s="28"/>
    </row>
    <row r="1309" spans="1:29" ht="24.95" customHeight="1"/>
    <row r="1310" spans="1:29" ht="24.95" customHeight="1"/>
    <row r="1311" spans="1:29" s="41" customFormat="1" ht="24" thickBot="1">
      <c r="A1311" s="34">
        <v>44</v>
      </c>
      <c r="B1311" s="828" t="s">
        <v>355</v>
      </c>
      <c r="C1311" s="828"/>
      <c r="D1311" s="828"/>
      <c r="E1311" s="35">
        <f>VLOOKUP(A1311,PROPONENTES!$B$19:$E$108,2,FALSE)</f>
        <v>44</v>
      </c>
      <c r="F1311" s="36" t="str">
        <f>VLOOKUP(A1311,PROPONENTES!$B$19:$E$108,3,FALSE)</f>
        <v>CONSORCIO VIAS RURALES TOL</v>
      </c>
      <c r="G1311" s="37"/>
      <c r="H1311" s="37"/>
      <c r="I1311" s="36"/>
      <c r="J1311" s="36"/>
      <c r="K1311" s="36"/>
      <c r="L1311" s="36"/>
      <c r="M1311" s="38"/>
      <c r="N1311" s="38"/>
      <c r="O1311" s="37"/>
      <c r="P1311" s="37"/>
      <c r="Q1311" s="39"/>
      <c r="R1311" s="39"/>
      <c r="S1311" s="39"/>
      <c r="T1311" s="39"/>
      <c r="U1311" s="40"/>
      <c r="Y1311" s="52"/>
      <c r="Z1311" s="52"/>
      <c r="AA1311" s="52"/>
      <c r="AB1311" s="28"/>
      <c r="AC1311" s="28"/>
    </row>
    <row r="1312" spans="1:29" s="27" customFormat="1" ht="24.75" customHeight="1">
      <c r="A1312" s="22"/>
      <c r="B1312" s="829" t="s">
        <v>356</v>
      </c>
      <c r="C1312" s="501" t="s">
        <v>357</v>
      </c>
      <c r="D1312" s="502" t="s">
        <v>358</v>
      </c>
      <c r="E1312" s="502"/>
      <c r="F1312" s="502" t="s">
        <v>359</v>
      </c>
      <c r="G1312" s="503"/>
      <c r="H1312" s="803" t="s">
        <v>360</v>
      </c>
      <c r="I1312" s="831" t="s">
        <v>361</v>
      </c>
      <c r="J1312" s="803" t="s">
        <v>362</v>
      </c>
      <c r="K1312" s="803" t="s">
        <v>363</v>
      </c>
      <c r="L1312" s="803" t="s">
        <v>364</v>
      </c>
      <c r="M1312" s="803" t="s">
        <v>365</v>
      </c>
      <c r="N1312" s="804" t="s">
        <v>366</v>
      </c>
      <c r="O1312" s="805"/>
      <c r="P1312" s="806" t="s">
        <v>367</v>
      </c>
      <c r="Q1312" s="807"/>
      <c r="R1312" s="784" t="s">
        <v>368</v>
      </c>
      <c r="S1312" s="774"/>
      <c r="T1312" s="798" t="s">
        <v>369</v>
      </c>
      <c r="U1312" s="799"/>
      <c r="V1312" s="800"/>
      <c r="X1312" s="520"/>
      <c r="Y1312" s="520"/>
    </row>
    <row r="1313" spans="1:29" s="27" customFormat="1" ht="94.5" customHeight="1">
      <c r="A1313" s="22"/>
      <c r="B1313" s="830"/>
      <c r="C1313" s="504" t="s">
        <v>370</v>
      </c>
      <c r="D1313" s="505" t="s">
        <v>41</v>
      </c>
      <c r="E1313" s="505" t="s">
        <v>371</v>
      </c>
      <c r="F1313" s="505" t="s">
        <v>372</v>
      </c>
      <c r="G1313" s="506" t="s">
        <v>373</v>
      </c>
      <c r="H1313" s="793"/>
      <c r="I1313" s="832"/>
      <c r="J1313" s="793"/>
      <c r="K1313" s="793"/>
      <c r="L1313" s="793"/>
      <c r="M1313" s="793"/>
      <c r="N1313" s="504" t="s">
        <v>374</v>
      </c>
      <c r="O1313" s="505" t="s">
        <v>375</v>
      </c>
      <c r="P1313" s="801"/>
      <c r="Q1313" s="802"/>
      <c r="R1313" s="796"/>
      <c r="S1313" s="797"/>
      <c r="T1313" s="507" t="s">
        <v>376</v>
      </c>
      <c r="U1313" s="508" t="s">
        <v>377</v>
      </c>
      <c r="V1313" s="509" t="s">
        <v>378</v>
      </c>
      <c r="X1313" s="521" t="s">
        <v>379</v>
      </c>
      <c r="Y1313" s="521" t="s">
        <v>380</v>
      </c>
    </row>
    <row r="1314" spans="1:29" s="27" customFormat="1" ht="15" customHeight="1">
      <c r="A1314" s="22"/>
      <c r="B1314" s="594"/>
      <c r="C1314" s="595">
        <v>3</v>
      </c>
      <c r="D1314" s="595">
        <v>4</v>
      </c>
      <c r="E1314" s="595">
        <v>5</v>
      </c>
      <c r="F1314" s="595">
        <v>6</v>
      </c>
      <c r="G1314" s="595">
        <v>7</v>
      </c>
      <c r="H1314" s="595">
        <v>8</v>
      </c>
      <c r="I1314" s="595">
        <v>9</v>
      </c>
      <c r="J1314" s="595">
        <v>10</v>
      </c>
      <c r="K1314" s="595">
        <v>11</v>
      </c>
      <c r="L1314" s="595">
        <v>12</v>
      </c>
      <c r="M1314" s="595">
        <v>13</v>
      </c>
      <c r="N1314" s="595">
        <v>14</v>
      </c>
      <c r="O1314" s="595">
        <v>15</v>
      </c>
      <c r="P1314" s="596">
        <v>16</v>
      </c>
      <c r="Q1314" s="597">
        <v>17</v>
      </c>
      <c r="R1314" s="596">
        <v>18</v>
      </c>
      <c r="S1314" s="597">
        <v>19</v>
      </c>
      <c r="T1314" s="598">
        <v>20</v>
      </c>
      <c r="U1314" s="255">
        <v>21</v>
      </c>
      <c r="V1314" s="599">
        <v>22</v>
      </c>
      <c r="X1314" s="589"/>
      <c r="Y1314" s="590"/>
    </row>
    <row r="1315" spans="1:29" s="44" customFormat="1" ht="45" customHeight="1">
      <c r="A1315" s="42" t="str">
        <f>"A"&amp;E1311</f>
        <v>A44</v>
      </c>
      <c r="B1315" s="605">
        <f>IF(C1315&lt;&gt;"",B1314+1,"")</f>
        <v>1</v>
      </c>
      <c r="C1315" s="581" t="s">
        <v>718</v>
      </c>
      <c r="D1315" s="581" t="s">
        <v>733</v>
      </c>
      <c r="E1315" s="581" t="s">
        <v>734</v>
      </c>
      <c r="F1315" s="581" t="s">
        <v>431</v>
      </c>
      <c r="G1315" s="534">
        <v>0.3</v>
      </c>
      <c r="H1315" s="534" t="s">
        <v>385</v>
      </c>
      <c r="I1315" s="579">
        <v>1</v>
      </c>
      <c r="J1315" s="580" t="str">
        <f>IF(I1315="","",IF(I1315="I",$F1311,VLOOKUP(I1315,$C1332:$D1337,2,0)))</f>
        <v xml:space="preserve">JOSE LUIS VALDERRAMA VELASCO </v>
      </c>
      <c r="K1315" s="535">
        <v>42948</v>
      </c>
      <c r="L1315" s="535">
        <v>43131</v>
      </c>
      <c r="M1315" s="536">
        <v>639.95000000000005</v>
      </c>
      <c r="N1315" s="232">
        <f t="shared" ref="N1315:N1324" si="263">IF(OR(G1315="",M1315=""),"",M1315*G1315)</f>
        <v>191.98500000000001</v>
      </c>
      <c r="O1315" s="629">
        <f t="shared" ref="O1315:O1324" si="264">IF(OR(H1315="",H1315="NO",K1315&lt;$Q$17,K1315&gt;$R$17,K1315="",M1315="",N1315=""),"",ROUND(N1315,7))</f>
        <v>191.98500000000001</v>
      </c>
      <c r="P1315" s="781"/>
      <c r="Q1315" s="782"/>
      <c r="R1315" s="767" t="s">
        <v>735</v>
      </c>
      <c r="S1315" s="768"/>
      <c r="T1315" s="538" t="s">
        <v>385</v>
      </c>
      <c r="U1315" s="539">
        <v>18</v>
      </c>
      <c r="V1315" s="641" t="s">
        <v>385</v>
      </c>
      <c r="X1315" s="541" t="s">
        <v>449</v>
      </c>
      <c r="Y1315" s="541" t="s">
        <v>387</v>
      </c>
    </row>
    <row r="1316" spans="1:29" s="44" customFormat="1" ht="36.75" customHeight="1">
      <c r="A1316" s="42" t="str">
        <f>"B"&amp;E1311</f>
        <v>B44</v>
      </c>
      <c r="B1316" s="605">
        <f t="shared" ref="B1316:B1324" si="265">IF(C1316&lt;&gt;"",B1315+1,"")</f>
        <v>2</v>
      </c>
      <c r="C1316" s="581" t="s">
        <v>718</v>
      </c>
      <c r="D1316" s="581" t="s">
        <v>736</v>
      </c>
      <c r="E1316" s="646" t="s">
        <v>737</v>
      </c>
      <c r="F1316" s="581" t="s">
        <v>431</v>
      </c>
      <c r="G1316" s="534">
        <v>0.6</v>
      </c>
      <c r="H1316" s="534" t="s">
        <v>385</v>
      </c>
      <c r="I1316" s="579">
        <v>2</v>
      </c>
      <c r="J1316" s="580" t="str">
        <f>IF(I1316="","",IF(I1316="I",$F1311,VLOOKUP(I1316,$C1332:$D1337,2,0)))</f>
        <v>DANIEL ENRIQUE ORTIZ CASTILLO</v>
      </c>
      <c r="K1316" s="535">
        <v>41795</v>
      </c>
      <c r="L1316" s="535">
        <v>42326</v>
      </c>
      <c r="M1316" s="536">
        <v>1038.69</v>
      </c>
      <c r="N1316" s="232">
        <f t="shared" si="263"/>
        <v>623.21400000000006</v>
      </c>
      <c r="O1316" s="629">
        <f t="shared" si="264"/>
        <v>623.21400000000006</v>
      </c>
      <c r="P1316" s="781"/>
      <c r="Q1316" s="782"/>
      <c r="R1316" s="841" t="s">
        <v>735</v>
      </c>
      <c r="S1316" s="842"/>
      <c r="T1316" s="538" t="s">
        <v>385</v>
      </c>
      <c r="U1316" s="539">
        <v>30</v>
      </c>
      <c r="V1316" s="641" t="s">
        <v>385</v>
      </c>
      <c r="X1316" s="541" t="s">
        <v>423</v>
      </c>
      <c r="Y1316" s="541" t="s">
        <v>435</v>
      </c>
    </row>
    <row r="1317" spans="1:29" s="44" customFormat="1" ht="35.25" customHeight="1">
      <c r="A1317" s="42" t="str">
        <f>"C"&amp;E1311</f>
        <v>C44</v>
      </c>
      <c r="B1317" s="605">
        <f t="shared" si="265"/>
        <v>3</v>
      </c>
      <c r="C1317" s="581" t="s">
        <v>738</v>
      </c>
      <c r="D1317" s="581" t="s">
        <v>739</v>
      </c>
      <c r="E1317" s="645" t="s">
        <v>740</v>
      </c>
      <c r="F1317" s="581" t="s">
        <v>533</v>
      </c>
      <c r="G1317" s="534">
        <v>0.9</v>
      </c>
      <c r="H1317" s="534" t="s">
        <v>385</v>
      </c>
      <c r="I1317" s="579">
        <v>1</v>
      </c>
      <c r="J1317" s="580" t="str">
        <f>IF(I1317="","",IF(I1317="I",$F1311,VLOOKUP(I1317,$C1332:$D1337,2,0)))</f>
        <v xml:space="preserve">JOSE LUIS VALDERRAMA VELASCO </v>
      </c>
      <c r="K1317" s="535">
        <v>37333</v>
      </c>
      <c r="L1317" s="535">
        <v>37563</v>
      </c>
      <c r="M1317" s="536">
        <v>210.62</v>
      </c>
      <c r="N1317" s="232">
        <f t="shared" si="263"/>
        <v>189.55800000000002</v>
      </c>
      <c r="O1317" s="629">
        <f t="shared" si="264"/>
        <v>189.55799999999999</v>
      </c>
      <c r="P1317" s="781"/>
      <c r="Q1317" s="782"/>
      <c r="R1317" s="767"/>
      <c r="S1317" s="768"/>
      <c r="T1317" s="538" t="s">
        <v>385</v>
      </c>
      <c r="U1317" s="539">
        <v>6</v>
      </c>
      <c r="V1317" s="641" t="s">
        <v>385</v>
      </c>
      <c r="X1317" s="541" t="s">
        <v>386</v>
      </c>
      <c r="Y1317" s="541" t="s">
        <v>387</v>
      </c>
    </row>
    <row r="1318" spans="1:29" s="44" customFormat="1" ht="24.95" customHeight="1">
      <c r="A1318" s="42" t="str">
        <f>"D"&amp;E1311</f>
        <v>D44</v>
      </c>
      <c r="B1318" s="605" t="str">
        <f t="shared" si="265"/>
        <v/>
      </c>
      <c r="C1318" s="581"/>
      <c r="D1318" s="581"/>
      <c r="E1318" s="581"/>
      <c r="F1318" s="581"/>
      <c r="G1318" s="534"/>
      <c r="H1318" s="534"/>
      <c r="I1318" s="579"/>
      <c r="J1318" s="580" t="str">
        <f>IF(I1318="","",IF(I1318="I",$F1311,VLOOKUP(I1318,$C1332:$D1337,2,0)))</f>
        <v/>
      </c>
      <c r="K1318" s="535"/>
      <c r="L1318" s="535"/>
      <c r="M1318" s="536"/>
      <c r="N1318" s="232" t="str">
        <f t="shared" si="263"/>
        <v/>
      </c>
      <c r="O1318" s="260" t="str">
        <f t="shared" si="264"/>
        <v/>
      </c>
      <c r="P1318" s="781"/>
      <c r="Q1318" s="782"/>
      <c r="R1318" s="767"/>
      <c r="S1318" s="768"/>
      <c r="T1318" s="538"/>
      <c r="U1318" s="539"/>
      <c r="V1318" s="540"/>
      <c r="X1318" s="541"/>
      <c r="Y1318" s="541"/>
    </row>
    <row r="1319" spans="1:29" s="44" customFormat="1" ht="24.95" customHeight="1">
      <c r="A1319" s="42" t="str">
        <f>"E"&amp;E1311</f>
        <v>E44</v>
      </c>
      <c r="B1319" s="605" t="str">
        <f t="shared" si="265"/>
        <v/>
      </c>
      <c r="C1319" s="581"/>
      <c r="D1319" s="581"/>
      <c r="E1319" s="581"/>
      <c r="F1319" s="581"/>
      <c r="G1319" s="534"/>
      <c r="H1319" s="534"/>
      <c r="I1319" s="579"/>
      <c r="J1319" s="580" t="str">
        <f>IF(I1319="","",IF(I1319="I",$F1311,VLOOKUP(I1319,$C1332:$D1337,2,0)))</f>
        <v/>
      </c>
      <c r="K1319" s="535"/>
      <c r="L1319" s="535"/>
      <c r="M1319" s="536"/>
      <c r="N1319" s="232" t="str">
        <f t="shared" si="263"/>
        <v/>
      </c>
      <c r="O1319" s="260" t="str">
        <f t="shared" si="264"/>
        <v/>
      </c>
      <c r="P1319" s="781"/>
      <c r="Q1319" s="782"/>
      <c r="R1319" s="767"/>
      <c r="S1319" s="768"/>
      <c r="T1319" s="538"/>
      <c r="U1319" s="539"/>
      <c r="V1319" s="540"/>
      <c r="X1319" s="541"/>
      <c r="Y1319" s="541"/>
    </row>
    <row r="1320" spans="1:29" s="44" customFormat="1" ht="24.95" customHeight="1">
      <c r="A1320" s="42" t="str">
        <f>"F"&amp;E1311</f>
        <v>F44</v>
      </c>
      <c r="B1320" s="605" t="str">
        <f t="shared" si="265"/>
        <v/>
      </c>
      <c r="C1320" s="581"/>
      <c r="D1320" s="581"/>
      <c r="E1320" s="581"/>
      <c r="F1320" s="581"/>
      <c r="G1320" s="534"/>
      <c r="H1320" s="534"/>
      <c r="I1320" s="579"/>
      <c r="J1320" s="580" t="str">
        <f>IF(I1320="","",IF(I1320="I",$F1311,VLOOKUP(I1320,$C1332:$D1337,2,0)))</f>
        <v/>
      </c>
      <c r="K1320" s="535"/>
      <c r="L1320" s="535"/>
      <c r="M1320" s="536"/>
      <c r="N1320" s="232" t="str">
        <f t="shared" si="263"/>
        <v/>
      </c>
      <c r="O1320" s="260" t="str">
        <f t="shared" si="264"/>
        <v/>
      </c>
      <c r="P1320" s="781"/>
      <c r="Q1320" s="782"/>
      <c r="R1320" s="767"/>
      <c r="S1320" s="768"/>
      <c r="T1320" s="538"/>
      <c r="U1320" s="539"/>
      <c r="V1320" s="540"/>
      <c r="X1320" s="541"/>
      <c r="Y1320" s="541"/>
    </row>
    <row r="1321" spans="1:29" s="44" customFormat="1" ht="24.95" customHeight="1">
      <c r="A1321" s="42" t="str">
        <f>"G"&amp;E1311</f>
        <v>G44</v>
      </c>
      <c r="B1321" s="605" t="str">
        <f t="shared" si="265"/>
        <v/>
      </c>
      <c r="C1321" s="581"/>
      <c r="D1321" s="581"/>
      <c r="E1321" s="581"/>
      <c r="F1321" s="581"/>
      <c r="G1321" s="534"/>
      <c r="H1321" s="534"/>
      <c r="I1321" s="579"/>
      <c r="J1321" s="580" t="str">
        <f>IF(I1321="","",IF(I1321="I",$F1311,VLOOKUP(I1321,$C1332:$D1337,2,0)))</f>
        <v/>
      </c>
      <c r="K1321" s="535"/>
      <c r="L1321" s="535"/>
      <c r="M1321" s="536"/>
      <c r="N1321" s="43" t="str">
        <f t="shared" si="263"/>
        <v/>
      </c>
      <c r="O1321" s="260" t="str">
        <f t="shared" si="264"/>
        <v/>
      </c>
      <c r="P1321" s="781"/>
      <c r="Q1321" s="782"/>
      <c r="R1321" s="767"/>
      <c r="S1321" s="768"/>
      <c r="T1321" s="538"/>
      <c r="U1321" s="539"/>
      <c r="V1321" s="540"/>
      <c r="X1321" s="541"/>
      <c r="Y1321" s="541"/>
    </row>
    <row r="1322" spans="1:29" s="44" customFormat="1" ht="24.95" customHeight="1">
      <c r="A1322" s="42" t="str">
        <f>"H"&amp;E1311</f>
        <v>H44</v>
      </c>
      <c r="B1322" s="605" t="str">
        <f t="shared" si="265"/>
        <v/>
      </c>
      <c r="C1322" s="581"/>
      <c r="D1322" s="581"/>
      <c r="E1322" s="581"/>
      <c r="F1322" s="581"/>
      <c r="G1322" s="534"/>
      <c r="H1322" s="534"/>
      <c r="I1322" s="579"/>
      <c r="J1322" s="580" t="str">
        <f>IF(I1322="","",IF(I1322="I",$F1311,VLOOKUP(I1322,$C1332:$D1337,2,0)))</f>
        <v/>
      </c>
      <c r="K1322" s="535"/>
      <c r="L1322" s="535"/>
      <c r="M1322" s="537"/>
      <c r="N1322" s="43" t="str">
        <f t="shared" si="263"/>
        <v/>
      </c>
      <c r="O1322" s="260" t="str">
        <f t="shared" si="264"/>
        <v/>
      </c>
      <c r="P1322" s="781"/>
      <c r="Q1322" s="782"/>
      <c r="R1322" s="767"/>
      <c r="S1322" s="768"/>
      <c r="T1322" s="538"/>
      <c r="U1322" s="539"/>
      <c r="V1322" s="540"/>
      <c r="X1322" s="541"/>
      <c r="Y1322" s="541"/>
    </row>
    <row r="1323" spans="1:29" s="44" customFormat="1" ht="24.95" customHeight="1">
      <c r="A1323" s="42" t="str">
        <f>"I"&amp;E1311</f>
        <v>I44</v>
      </c>
      <c r="B1323" s="605" t="str">
        <f t="shared" si="265"/>
        <v/>
      </c>
      <c r="C1323" s="581"/>
      <c r="D1323" s="581"/>
      <c r="E1323" s="581"/>
      <c r="F1323" s="581"/>
      <c r="G1323" s="534"/>
      <c r="H1323" s="534"/>
      <c r="I1323" s="579"/>
      <c r="J1323" s="580" t="str">
        <f>IF(I1323="","",IF(I1323="I",$F1311,VLOOKUP(I1323,$C1332:$D1337,2,0)))</f>
        <v/>
      </c>
      <c r="K1323" s="535"/>
      <c r="L1323" s="535"/>
      <c r="M1323" s="537"/>
      <c r="N1323" s="43" t="str">
        <f t="shared" si="263"/>
        <v/>
      </c>
      <c r="O1323" s="260" t="str">
        <f t="shared" si="264"/>
        <v/>
      </c>
      <c r="P1323" s="781"/>
      <c r="Q1323" s="782"/>
      <c r="R1323" s="767"/>
      <c r="S1323" s="768"/>
      <c r="T1323" s="538"/>
      <c r="U1323" s="539"/>
      <c r="V1323" s="540"/>
      <c r="X1323" s="541"/>
      <c r="Y1323" s="541"/>
    </row>
    <row r="1324" spans="1:29" s="44" customFormat="1" ht="24.95" customHeight="1" thickBot="1">
      <c r="A1324" s="42" t="str">
        <f>"J"&amp;E1311</f>
        <v>J44</v>
      </c>
      <c r="B1324" s="612" t="str">
        <f t="shared" si="265"/>
        <v/>
      </c>
      <c r="C1324" s="582"/>
      <c r="D1324" s="582"/>
      <c r="E1324" s="582"/>
      <c r="F1324" s="582"/>
      <c r="G1324" s="583"/>
      <c r="H1324" s="583"/>
      <c r="I1324" s="584"/>
      <c r="J1324" s="585" t="str">
        <f>IF(I1324="","",IF(I1324="I",$F1311,VLOOKUP(I1324,$C1332:$D1337,2,0)))</f>
        <v/>
      </c>
      <c r="K1324" s="586"/>
      <c r="L1324" s="586"/>
      <c r="M1324" s="587"/>
      <c r="N1324" s="43" t="str">
        <f t="shared" si="263"/>
        <v/>
      </c>
      <c r="O1324" s="260" t="str">
        <f t="shared" si="264"/>
        <v/>
      </c>
      <c r="P1324" s="781"/>
      <c r="Q1324" s="782"/>
      <c r="R1324" s="767"/>
      <c r="S1324" s="768"/>
      <c r="T1324" s="538"/>
      <c r="U1324" s="539"/>
      <c r="V1324" s="540"/>
      <c r="X1324" s="541"/>
      <c r="Y1324" s="541"/>
    </row>
    <row r="1325" spans="1:29" s="27" customFormat="1" ht="12" customHeight="1" thickBot="1">
      <c r="A1325" s="42"/>
      <c r="B1325" s="45"/>
      <c r="C1325" s="46"/>
      <c r="D1325" s="46"/>
      <c r="E1325" s="46"/>
      <c r="F1325" s="46"/>
      <c r="G1325" s="46"/>
      <c r="H1325" s="606"/>
      <c r="I1325" s="46"/>
      <c r="J1325" s="46"/>
      <c r="K1325" s="46"/>
      <c r="L1325" s="46"/>
      <c r="M1325" s="46"/>
      <c r="N1325" s="46"/>
      <c r="O1325" s="259"/>
      <c r="P1325" s="46"/>
      <c r="Q1325" s="46"/>
      <c r="R1325" s="259"/>
      <c r="S1325" s="46"/>
      <c r="T1325" s="46"/>
      <c r="U1325" s="47"/>
      <c r="V1325" s="48"/>
      <c r="X1325" s="592"/>
      <c r="Y1325" s="593"/>
      <c r="AB1325" s="378"/>
    </row>
    <row r="1326" spans="1:29" s="27" customFormat="1" ht="17.25" customHeight="1" thickBot="1">
      <c r="A1326" s="42" t="str">
        <f>"Z"&amp;E1311</f>
        <v>Z44</v>
      </c>
      <c r="B1326" s="510"/>
      <c r="C1326" s="511"/>
      <c r="D1326" s="511"/>
      <c r="E1326" s="511"/>
      <c r="F1326" s="511"/>
      <c r="G1326" s="511"/>
      <c r="H1326" s="511"/>
      <c r="I1326" s="511"/>
      <c r="J1326" s="511"/>
      <c r="K1326" s="511"/>
      <c r="L1326" s="511"/>
      <c r="M1326" s="511"/>
      <c r="N1326" s="437" t="s">
        <v>388</v>
      </c>
      <c r="O1326" s="438">
        <f>IF(COUNTIF(O1315:O1324,"")&gt;9,0,SUM(O1315:O1324)/(COUNTIF(H1315:H1324,"SI")))</f>
        <v>334.91900000000004</v>
      </c>
      <c r="P1326" s="511"/>
      <c r="Q1326" s="511"/>
      <c r="R1326" s="530"/>
      <c r="S1326" s="530"/>
      <c r="T1326" s="531"/>
      <c r="U1326" s="532"/>
      <c r="V1326" s="533"/>
      <c r="W1326" s="285"/>
      <c r="X1326" s="613" t="e">
        <f>COUNTIF(#REF!,"")-COUNTIF(#REF!,"CUMPLE")-1</f>
        <v>#REF!</v>
      </c>
      <c r="Y1326" s="591"/>
      <c r="AB1326" s="28"/>
    </row>
    <row r="1327" spans="1:29" ht="17.25" customHeight="1">
      <c r="B1327" s="50"/>
      <c r="C1327" s="50"/>
      <c r="D1327" s="50"/>
      <c r="E1327" s="50"/>
      <c r="F1327" s="50"/>
      <c r="G1327" s="51"/>
      <c r="H1327" s="51"/>
      <c r="I1327" s="51"/>
      <c r="J1327" s="51"/>
      <c r="K1327" s="51"/>
      <c r="L1327" s="51"/>
      <c r="M1327" s="51"/>
      <c r="N1327" s="51"/>
      <c r="O1327" s="51"/>
      <c r="P1327" s="51"/>
      <c r="Q1327" s="51"/>
      <c r="R1327" s="51"/>
      <c r="S1327" s="51"/>
      <c r="T1327" s="51"/>
      <c r="U1327" s="51"/>
      <c r="V1327" s="51"/>
      <c r="W1327" s="51"/>
      <c r="X1327" s="608"/>
      <c r="Y1327" s="51"/>
      <c r="Z1327" s="51"/>
      <c r="AA1327" s="51"/>
      <c r="AB1327" s="51"/>
      <c r="AC1327" s="50"/>
    </row>
    <row r="1328" spans="1:29" s="27" customFormat="1" ht="16.5" customHeight="1" thickBot="1">
      <c r="A1328" s="22"/>
      <c r="B1328" s="783" t="s">
        <v>389</v>
      </c>
      <c r="C1328" s="783"/>
      <c r="D1328" s="783"/>
      <c r="E1328" s="783"/>
      <c r="F1328" s="783"/>
      <c r="G1328" s="783"/>
      <c r="H1328" s="783"/>
      <c r="I1328" s="783"/>
      <c r="J1328" s="783"/>
      <c r="K1328" s="783"/>
      <c r="L1328" s="783"/>
      <c r="M1328" s="783"/>
      <c r="N1328" s="783"/>
      <c r="O1328" s="783"/>
      <c r="P1328" s="783"/>
      <c r="Q1328" s="783"/>
      <c r="R1328" s="783"/>
      <c r="S1328" s="783"/>
      <c r="T1328" s="783"/>
      <c r="U1328" s="783"/>
      <c r="V1328" s="783"/>
      <c r="W1328" s="286"/>
      <c r="X1328" s="607"/>
      <c r="Y1328" s="52"/>
      <c r="Z1328" s="52"/>
      <c r="AA1328" s="52"/>
      <c r="AB1328" s="28"/>
      <c r="AC1328" s="28"/>
    </row>
    <row r="1329" spans="1:29" s="30" customFormat="1" ht="22.5" customHeight="1">
      <c r="A1329" s="112" t="str">
        <f>"K"&amp;E1311</f>
        <v>K44</v>
      </c>
      <c r="B1329" s="790" t="s">
        <v>390</v>
      </c>
      <c r="C1329" s="772" t="s">
        <v>391</v>
      </c>
      <c r="D1329" s="773"/>
      <c r="E1329" s="773"/>
      <c r="F1329" s="773"/>
      <c r="G1329" s="773"/>
      <c r="H1329" s="773"/>
      <c r="I1329" s="773"/>
      <c r="J1329" s="773"/>
      <c r="K1329" s="773"/>
      <c r="L1329" s="773"/>
      <c r="M1329" s="774"/>
      <c r="N1329" s="525"/>
      <c r="O1329" s="588"/>
      <c r="P1329" s="772" t="s">
        <v>392</v>
      </c>
      <c r="Q1329" s="773"/>
      <c r="R1329" s="773"/>
      <c r="S1329" s="774"/>
      <c r="T1329" s="784" t="s">
        <v>393</v>
      </c>
      <c r="U1329" s="774"/>
      <c r="V1329" s="811"/>
      <c r="W1329" s="284"/>
      <c r="X1329" s="778" t="s">
        <v>394</v>
      </c>
      <c r="Y1329" s="779"/>
      <c r="Z1329" s="779"/>
      <c r="AA1329" s="779" t="s">
        <v>395</v>
      </c>
      <c r="AB1329" s="808" t="s">
        <v>396</v>
      </c>
      <c r="AC1329" s="28"/>
    </row>
    <row r="1330" spans="1:29" s="30" customFormat="1" ht="22.5" customHeight="1">
      <c r="A1330" s="112" t="str">
        <f>"L"&amp;E1311</f>
        <v>L44</v>
      </c>
      <c r="B1330" s="791"/>
      <c r="C1330" s="769" t="s">
        <v>397</v>
      </c>
      <c r="D1330" s="770"/>
      <c r="E1330" s="771"/>
      <c r="F1330" s="512">
        <f>IF(VLOOKUP(E1311,PROPONENTES!$C$19:$E$108,3,0)="","",VLOOKUP(E1311,PROPONENTES!$C$19:$E$108,3,0))</f>
        <v>2</v>
      </c>
      <c r="G1330" s="824" t="s">
        <v>398</v>
      </c>
      <c r="H1330" s="793" t="s">
        <v>399</v>
      </c>
      <c r="I1330" s="793"/>
      <c r="J1330" s="769" t="s">
        <v>400</v>
      </c>
      <c r="K1330" s="823"/>
      <c r="L1330" s="513" t="s">
        <v>401</v>
      </c>
      <c r="M1330" s="513"/>
      <c r="N1330" s="526"/>
      <c r="O1330" s="527"/>
      <c r="P1330" s="775"/>
      <c r="Q1330" s="776"/>
      <c r="R1330" s="776"/>
      <c r="S1330" s="777"/>
      <c r="T1330" s="796"/>
      <c r="U1330" s="797"/>
      <c r="V1330" s="812"/>
      <c r="W1330" s="284"/>
      <c r="X1330" s="780" t="s">
        <v>402</v>
      </c>
      <c r="Y1330" s="810" t="s">
        <v>403</v>
      </c>
      <c r="Z1330" s="810"/>
      <c r="AA1330" s="810"/>
      <c r="AB1330" s="809"/>
      <c r="AC1330" s="28"/>
    </row>
    <row r="1331" spans="1:29" s="30" customFormat="1" ht="51.75" customHeight="1" thickBot="1">
      <c r="A1331" s="112" t="str">
        <f>"M"&amp;E1311</f>
        <v>M44</v>
      </c>
      <c r="B1331" s="791"/>
      <c r="C1331" s="770" t="s">
        <v>404</v>
      </c>
      <c r="D1331" s="771"/>
      <c r="E1331" s="514" t="s">
        <v>405</v>
      </c>
      <c r="F1331" s="515" t="s">
        <v>406</v>
      </c>
      <c r="G1331" s="824"/>
      <c r="H1331" s="793"/>
      <c r="I1331" s="793"/>
      <c r="J1331" s="504" t="s">
        <v>407</v>
      </c>
      <c r="K1331" s="516" t="s">
        <v>408</v>
      </c>
      <c r="L1331" s="517" t="s">
        <v>409</v>
      </c>
      <c r="M1331" s="517"/>
      <c r="N1331" s="528" t="s">
        <v>410</v>
      </c>
      <c r="O1331" s="529"/>
      <c r="P1331" s="386"/>
      <c r="Q1331" s="387" t="s">
        <v>411</v>
      </c>
      <c r="R1331" s="388"/>
      <c r="S1331" s="113">
        <f>COUNTIFS(H1315:H1324,"SI",O1315:O1324,"&gt;0")</f>
        <v>3</v>
      </c>
      <c r="T1331" s="785"/>
      <c r="U1331" s="787"/>
      <c r="V1331" s="813"/>
      <c r="W1331" s="284"/>
      <c r="X1331" s="780"/>
      <c r="Y1331" s="810"/>
      <c r="Z1331" s="810"/>
      <c r="AA1331" s="810"/>
      <c r="AB1331" s="809"/>
      <c r="AC1331" s="28"/>
    </row>
    <row r="1332" spans="1:29" s="30" customFormat="1" ht="28.5" customHeight="1">
      <c r="A1332" s="112" t="str">
        <f>"N"&amp;E1311</f>
        <v>N44</v>
      </c>
      <c r="B1332" s="791"/>
      <c r="C1332" s="54">
        <v>1</v>
      </c>
      <c r="D1332" s="100" t="str">
        <f>IF(AND(C1332&lt;=F1330,F1330&gt;1,F1330&lt;&gt;""),VLOOKUP(VALUE(E1311&amp;","&amp;C1332),INTEGRANTES!$D$19:$F$192,2,0),"")</f>
        <v xml:space="preserve">JOSE LUIS VALDERRAMA VELASCO </v>
      </c>
      <c r="E1332" s="107">
        <f>IF(D1332&lt;&gt;"",VLOOKUP(VALUE(E1311&amp;","&amp;C1332),INTEGRANTES!$D$19:$F$192,3,0),"")</f>
        <v>0.6</v>
      </c>
      <c r="F1332" s="380">
        <f>IF(D1332="","",IF(OR(SUMIF($J1315:$J1324,D1332,$O1315:$O1324)=0,N1332="NO"),"NO APORTA",SUMIF($J1315:$J1324,D1332,$O1315:$O1324)))</f>
        <v>381.54300000000001</v>
      </c>
      <c r="G1332" s="380">
        <f ca="1">IF($D1332="","",IF($F1330&lt;=1,"",ROUND(POSMMLV*PORPO,2)))</f>
        <v>150</v>
      </c>
      <c r="H1332" s="765" t="str">
        <f ca="1">IF($D1332="","",IF(OR(F1332="NO APORTA",G1332&gt;F1332),"NO CUMPLE","CUMPLE"))</f>
        <v>CUMPLE</v>
      </c>
      <c r="I1332" s="766"/>
      <c r="J1332" s="108" t="str">
        <f ca="1">IF(D1332="","",IF(OR(AND(SUMIF($J1315:$J1324,D1332,$O1315:$O1324)&gt;=5%*POSMMLV,N1332="SI"),AND(SUMIF($J1315:$J1324,D1332,$O1315:$O1324)=0,E1332&lt;=5%,N1332="SI")),"CUMPLE","NO CUMPLE"))</f>
        <v>CUMPLE</v>
      </c>
      <c r="K1332" s="105" t="str">
        <f ca="1">IF(OR(D1332="",J1332=""),"",IF(AND(J1332="NO CUMPLE",F1332="NO APORTA",E1332&gt;5%),"EXP = 0 y PART &gt; 5%",IF(F1332&lt;5%*Q1337,"EXP &lt; 5%*PO","")))</f>
        <v/>
      </c>
      <c r="L1332" s="389" t="str">
        <f>IF(OR(D1332="",E1332=""),"",IF(AND(E1332&gt;=0.25,F1332&lt;&gt;"NO APORTA",F1332&gt;=$R1337*0.25),"SI","NO"))</f>
        <v>SI</v>
      </c>
      <c r="M1332" s="389"/>
      <c r="N1332" s="468" t="s">
        <v>385</v>
      </c>
      <c r="O1332" s="396">
        <f>COUNTIFS(O1315:O1324,"&gt;0",H1315:H1324,"SI")</f>
        <v>3</v>
      </c>
      <c r="P1332" s="814" t="s">
        <v>139</v>
      </c>
      <c r="Q1332" s="814"/>
      <c r="R1332" s="817">
        <f>E1311</f>
        <v>44</v>
      </c>
      <c r="S1332" s="818"/>
      <c r="T1332" s="784" t="s">
        <v>412</v>
      </c>
      <c r="U1332" s="773"/>
      <c r="V1332" s="774"/>
      <c r="W1332" s="283"/>
      <c r="X1332" s="542" t="str">
        <f>IF($F1330=1,"NO APLICA",$D1332)</f>
        <v xml:space="preserve">JOSE LUIS VALDERRAMA VELASCO </v>
      </c>
      <c r="Y1332" s="543">
        <f ca="1">IF(OR($F1332="",$F1332="NO APORTA",$R1337=0,$X1332="NO APLICA"),"",ROUND($F1332/$Q1337,2))</f>
        <v>1.27</v>
      </c>
      <c r="Z1332" s="544" t="str">
        <f ca="1">IF(Y1338=1,"SI APLICA",IF(OR($X1332="",$X1332="NO APLICA",$F1332="",$F1332="NO APORTA"),"",IF(ROUND($F1332/Q1337,7)&gt;=0.4,"SI APLICA","NO APLICA")))</f>
        <v>SI APLICA</v>
      </c>
      <c r="AA1332" s="543" t="s">
        <v>413</v>
      </c>
      <c r="AB1332" s="540" t="str">
        <f ca="1">IF(COUNTIF(Z1332:AA1332,"SI APLICA")=2,"SI APLICA","")</f>
        <v>SI APLICA</v>
      </c>
      <c r="AC1332" s="28"/>
    </row>
    <row r="1333" spans="1:29" s="30" customFormat="1" ht="27" customHeight="1" thickBot="1">
      <c r="A1333" s="112" t="str">
        <f>"O"&amp;E1311</f>
        <v>O44</v>
      </c>
      <c r="B1333" s="791"/>
      <c r="C1333" s="54">
        <v>2</v>
      </c>
      <c r="D1333" s="100" t="str">
        <f>IF(AND(C1333&lt;=F1330,F1330&lt;&gt;""),VLOOKUP(VALUE(E1311&amp;","&amp;C1333),INTEGRANTES!$D$19:$F$192,2,0),"")</f>
        <v>DANIEL ENRIQUE ORTIZ CASTILLO</v>
      </c>
      <c r="E1333" s="107">
        <f>IF(D1333&lt;&gt;"",VLOOKUP(VALUE(E1311&amp;","&amp;C1333),INTEGRANTES!$D$19:$F$192,3,0),"")</f>
        <v>0.4</v>
      </c>
      <c r="F1333" s="380">
        <f>IF(D1333="","",IF(OR(SUMIF($J1315:$J1324,D1333,$O1315:$O1324)=0,N1333="NO"),"NO APORTA",SUMIF($J1315:$J1324,D1333,$O1315:$O1324)))</f>
        <v>623.21400000000006</v>
      </c>
      <c r="G1333" s="380">
        <f ca="1">IF($D1333="","",IF($F1330&lt;=1,"",ROUND(POSMMLV*PORPO,2)))</f>
        <v>150</v>
      </c>
      <c r="H1333" s="765" t="str">
        <f t="shared" ref="H1333:H1336" ca="1" si="266">IF($D1333="","",IF(OR(F1333="NO APORTA",G1333&gt;F1333),"NO CUMPLE","CUMPLE"))</f>
        <v>CUMPLE</v>
      </c>
      <c r="I1333" s="766"/>
      <c r="J1333" s="108" t="str">
        <f ca="1">IF(D1333="","",IF(OR(AND(SUMIF($J1315:$J1324,D1333,$O1315:$O1324)&gt;=5%*POSMMLV,N1333="SI"),AND(SUMIF($J1315:$J1324,D1333,$O1315:$O1324)=0,E1333&lt;=5%,N1333="SI")),"CUMPLE","NO CUMPLE"))</f>
        <v>CUMPLE</v>
      </c>
      <c r="K1333" s="105" t="str">
        <f ca="1">IF(OR(D1333="",J1333=""),"",IF(AND(J1333="NO CUMPLE",F1333="NO APORTA",E1333&gt;5%),"EXP = 0 y PART &gt; 5%",IF(F1333&lt;5%*Q1337,"EXP &lt; 5%*PO","")))</f>
        <v/>
      </c>
      <c r="L1333" s="389" t="str">
        <f>IF(OR(D1333="",E1333=""),"",IF(AND(E1333&gt;=0.25,F1333&lt;&gt;"NO APORTA",F1333&gt;=$R1337*0.25),"SI","NO"))</f>
        <v>SI</v>
      </c>
      <c r="M1333" s="389"/>
      <c r="N1333" s="468" t="s">
        <v>385</v>
      </c>
      <c r="O1333" s="396"/>
      <c r="P1333" s="815"/>
      <c r="Q1333" s="815"/>
      <c r="R1333" s="815"/>
      <c r="S1333" s="819"/>
      <c r="T1333" s="785"/>
      <c r="U1333" s="786"/>
      <c r="V1333" s="787"/>
      <c r="W1333" s="283"/>
      <c r="X1333" s="542" t="str">
        <f>IF($F1330=1,"NO APLICA",$D1333)</f>
        <v>DANIEL ENRIQUE ORTIZ CASTILLO</v>
      </c>
      <c r="Y1333" s="543">
        <f ca="1">IF(OR($F1333="",$F1333="NO APORTA",$R1337=0,$X1333="NO APLICA"),"",ROUND($F1333/$Q1337,2))</f>
        <v>2.08</v>
      </c>
      <c r="Z1333" s="544" t="str">
        <f ca="1">IF(Y1338=1,"SI APLICA",IF(OR($X1333="",$X1333="NO APLICA",$F1333="",$F1333="NO APORTA"),"",IF(ROUND($F1333/Q1337,7)&gt;=0.4,"SI APLICA","NO APLICA")))</f>
        <v>SI APLICA</v>
      </c>
      <c r="AA1333" s="543" t="s">
        <v>516</v>
      </c>
      <c r="AB1333" s="540" t="str">
        <f t="shared" ref="AB1333" ca="1" si="267">IF(COUNTIF(Z1333:AA1333,"SI APLICA")=2,"SI APLICA","")</f>
        <v/>
      </c>
      <c r="AC1333" s="28"/>
    </row>
    <row r="1334" spans="1:29" s="30" customFormat="1" ht="15.75" customHeight="1">
      <c r="A1334" s="112" t="str">
        <f>"P"&amp;E1311</f>
        <v>P44</v>
      </c>
      <c r="B1334" s="791"/>
      <c r="C1334" s="54">
        <v>3</v>
      </c>
      <c r="D1334" s="100" t="str">
        <f>IF(AND(C1334&lt;=F1330,F1330&lt;&gt;""),VLOOKUP(VALUE(E1311&amp;","&amp;C1334),INTEGRANTES!$D$19:$F$192,2,0),"")</f>
        <v/>
      </c>
      <c r="E1334" s="107" t="str">
        <f>IF(D1334&lt;&gt;"",VLOOKUP(VALUE(E1311&amp;","&amp;C1334),INTEGRANTES!$D$19:$F$192,3,0),"")</f>
        <v/>
      </c>
      <c r="F1334" s="380" t="str">
        <f>IF(D1334="","",IF(OR(SUMIF($J1318:$J1324,D1334,$O1318:$O1324)=0,N1334="NO"),"NO APORTA",SUMIF($J1318:$J1324,D1334,$O1318:$O1324)))</f>
        <v/>
      </c>
      <c r="G1334" s="380" t="str">
        <f>IF($D1334="","",IF($F1330&lt;=1,"",ROUND(POSMMLV*PORPO,2)))</f>
        <v/>
      </c>
      <c r="H1334" s="765" t="str">
        <f t="shared" si="266"/>
        <v/>
      </c>
      <c r="I1334" s="766"/>
      <c r="J1334" s="108" t="str">
        <f>IF(D1334="","",IF(OR(AND(SUMIF($J1315:$J1324,D1334,$O1315:$O1324)&gt;=5%*POSMMLV,N1334="SI"),AND(SUMIF($J1315:$J1324,D1334,$O1315:$O1324)=0,E1334&lt;=5%,N1334="SI")),"CUMPLE","NO CUMPLE"))</f>
        <v/>
      </c>
      <c r="K1334" s="105" t="str">
        <f>IF(OR(D1334="",J1334=""),"",IF(AND(J1334="NO CUMPLE",F1334="NO APORTA",E1334&gt;5%),"EXP = 0 y PART &gt; 5%",IF(F1334&lt;5%*Q1337,"EXP &lt; 5%*PO","")))</f>
        <v/>
      </c>
      <c r="L1334" s="389" t="str">
        <f>IF(OR(D1334="",E1334=""),"",IF(AND(E1334&gt;=0.25,F1334&lt;&gt;"NO APORTA",F1334&gt;=$R1337*0.25),"SI","NO"))</f>
        <v/>
      </c>
      <c r="M1334" s="389"/>
      <c r="N1334" s="468"/>
      <c r="O1334" s="397"/>
      <c r="P1334" s="816"/>
      <c r="Q1334" s="816"/>
      <c r="R1334" s="816"/>
      <c r="S1334" s="820"/>
      <c r="T1334" s="308"/>
      <c r="U1334" s="308"/>
      <c r="V1334" s="309"/>
      <c r="W1334" s="284"/>
      <c r="X1334" s="542" t="str">
        <f>IF($F1330=1,"NO APLICA",$D1334)</f>
        <v/>
      </c>
      <c r="Y1334" s="543" t="str">
        <f>IF(OR($F1334="",$F1334="NO APORTA",$R1337=0,$X1334="NO APLICA"),"",ROUND($F1334/$Q1337,2))</f>
        <v/>
      </c>
      <c r="Z1334" s="544" t="str">
        <f>IF(Y1338=1,"SI APLICA",IF(OR($X1334="",$X1334="NO APLICA",$F1334="",$F1334="NO APORTA"),"",IF(ROUND($F1334/Q1337,7)&gt;=0.4,"SI APLICA","NO APLICA")))</f>
        <v/>
      </c>
      <c r="AA1334" s="543"/>
      <c r="AB1334" s="540" t="str">
        <f>IF(COUNTIF(Z1334:AA1334,"SI APLICA")=2,"SI APLICA","")</f>
        <v/>
      </c>
      <c r="AC1334" s="28"/>
    </row>
    <row r="1335" spans="1:29" s="30" customFormat="1" ht="15.75" customHeight="1">
      <c r="A1335" s="112" t="str">
        <f>"Q"&amp;E1311</f>
        <v>Q44</v>
      </c>
      <c r="B1335" s="791"/>
      <c r="C1335" s="54">
        <v>4</v>
      </c>
      <c r="D1335" s="100" t="str">
        <f>IF(AND(C1335&lt;=F1330,F1330&lt;&gt;""),VLOOKUP(VALUE(E1311&amp;","&amp;C1335),INTEGRANTES!$D$19:$F$192,2,0),"")</f>
        <v/>
      </c>
      <c r="E1335" s="107" t="str">
        <f>IF(D1335&lt;&gt;"",VLOOKUP(VALUE(E1311&amp;","&amp;C1335),INTEGRANTES!$D$19:$F$192,3,0),"")</f>
        <v/>
      </c>
      <c r="F1335" s="380" t="str">
        <f>IF(D1335="","",IF(OR(SUMIF($J1318:$J1324,D1335,$O1318:$O1324)=0,N1335="NO"),"NO APORTA",SUMIF($J1318:$J1324,D1335,$O1318:$O1324)))</f>
        <v/>
      </c>
      <c r="G1335" s="380" t="str">
        <f>IF($D1335="","",IF($F1330&lt;=1,"",ROUND(POSMMLV*PORPO,2)))</f>
        <v/>
      </c>
      <c r="H1335" s="765" t="str">
        <f t="shared" si="266"/>
        <v/>
      </c>
      <c r="I1335" s="766"/>
      <c r="J1335" s="108" t="str">
        <f>IF(D1335="","",IF(OR(AND(SUMIF($J1315:$J1324,D1335,$O1315:$O1324)&gt;=5%*POSMMLV,N1335="SI"),AND(SUMIF($J1315:$J1324,D1335,$O1315:$O1324)=0,E1335&lt;=5%,N1335="SI")),"CUMPLE","NO CUMPLE"))</f>
        <v/>
      </c>
      <c r="K1335" s="105" t="str">
        <f>IF(OR(D1335="",J1335=""),"",IF(AND(J1335="NO CUMPLE",F1335="NO APORTA",E1335&gt;5%),"EXP = 0 y PART &gt; 5%",IF(F1335&lt;5%*Q1337,"EXP &lt; 5%*PO","")))</f>
        <v/>
      </c>
      <c r="L1335" s="389" t="str">
        <f>IF(OR(D1335="",E1335=""),"",IF(AND(E1335&gt;=0.25,F1335&lt;&gt;"NO APORTA",F1335&gt;=$R1337*0.25),"SI","NO"))</f>
        <v/>
      </c>
      <c r="M1335" s="389"/>
      <c r="N1335" s="468"/>
      <c r="O1335" s="788" t="s">
        <v>414</v>
      </c>
      <c r="P1335" s="769" t="s">
        <v>415</v>
      </c>
      <c r="Q1335" s="770"/>
      <c r="R1335" s="770"/>
      <c r="S1335" s="771"/>
      <c r="T1335" s="284"/>
      <c r="U1335" s="284"/>
      <c r="V1335" s="310"/>
      <c r="W1335" s="284"/>
      <c r="X1335" s="542" t="str">
        <f>IF($F1330=1,"NO APLICA",$D1335)</f>
        <v/>
      </c>
      <c r="Y1335" s="543" t="str">
        <f>IF(OR($F1335="",$F1335="NO APORTA",$R1337=0,$X1335="NO APLICA"),"",ROUND($F1335/$Q1337,2))</f>
        <v/>
      </c>
      <c r="Z1335" s="544" t="str">
        <f>IF(Y1338=1,"SI APLICA",IF(OR($X1335="",$X1335="NO APLICA",$F1335="",$F1335="NO APORTA"),"",IF(ROUND($F1335/Q1337,7)&gt;=0.4,"SI APLICA","NO APLICA")))</f>
        <v/>
      </c>
      <c r="AA1335" s="543"/>
      <c r="AB1335" s="540" t="str">
        <f t="shared" ref="AB1335:AB1336" si="268">IF(COUNTIF(Z1335:AA1335,"SI APLICA")=2,"SI APLICA","")</f>
        <v/>
      </c>
      <c r="AC1335" s="28"/>
    </row>
    <row r="1336" spans="1:29" s="30" customFormat="1" ht="17.25" customHeight="1">
      <c r="A1336" s="112" t="str">
        <f>"R"&amp;E1311</f>
        <v>R44</v>
      </c>
      <c r="B1336" s="791"/>
      <c r="C1336" s="54">
        <v>5</v>
      </c>
      <c r="D1336" s="100" t="str">
        <f>IF(AND(C1336&lt;=F1330,F1330&lt;&gt;""),VLOOKUP(VALUE(E1311&amp;","&amp;C1336),INTEGRANTES!$D$19:$F$192,2,0),"")</f>
        <v/>
      </c>
      <c r="E1336" s="107" t="str">
        <f>IF(D1336&lt;&gt;"",VLOOKUP(VALUE(E1311&amp;","&amp;C1336),INTEGRANTES!$D$19:$F$192,3,0),"")</f>
        <v/>
      </c>
      <c r="F1336" s="380" t="str">
        <f>IF(D1336="","",IF(OR(SUMIF($J1318:$J1324,D1336,$O1318:$O1324)=0,N1336="NO"),"NO APORTA",SUMIF($J1318:$J1324,D1336,$O1318:$O1324)))</f>
        <v/>
      </c>
      <c r="G1336" s="380" t="str">
        <f>IF($D1336="","",IF($F1330&lt;=1,"",ROUND(POSMMLV*PORPO,2)))</f>
        <v/>
      </c>
      <c r="H1336" s="765" t="str">
        <f t="shared" si="266"/>
        <v/>
      </c>
      <c r="I1336" s="766"/>
      <c r="J1336" s="108" t="str">
        <f>IF(D1336="","",IF(OR(AND(SUMIF($J1315:$J1324,D1336,$O1315:$O1324)&gt;=5%*POSMMLV,N1336="SI"),AND(SUMIF($J1315:$J1324,D1336,$O1315:$O1324)=0,E1336&lt;=5%,N1336="SI")),"CUMPLE","NO CUMPLE"))</f>
        <v/>
      </c>
      <c r="K1336" s="105" t="str">
        <f>IF(OR(D1336="",J1336=""),"",IF(AND(J1336="NO CUMPLE",F1336="NO APORTA",E1336&gt;5%),"EXP = 0 y PART &gt; 5%",IF(F1336&lt;5%*Q1337,"EXP &lt; 5%*PO","")))</f>
        <v/>
      </c>
      <c r="L1336" s="389" t="str">
        <f>IF(OR(D1336="",E1336=""),"",IF(AND(E1336&gt;=0.25,F1336&lt;&gt;"NO APORTA",F1336&gt;=$R1337*0.25),"SI","NO"))</f>
        <v/>
      </c>
      <c r="M1336" s="389"/>
      <c r="N1336" s="468"/>
      <c r="O1336" s="789"/>
      <c r="P1336" s="504" t="s">
        <v>416</v>
      </c>
      <c r="Q1336" s="504" t="s">
        <v>417</v>
      </c>
      <c r="R1336" s="793" t="s">
        <v>418</v>
      </c>
      <c r="S1336" s="793"/>
      <c r="T1336" s="284"/>
      <c r="U1336" s="284"/>
      <c r="V1336" s="310"/>
      <c r="W1336" s="284"/>
      <c r="X1336" s="542" t="str">
        <f>IF($F1330=1,"NO APLICA",$D1336)</f>
        <v/>
      </c>
      <c r="Y1336" s="543" t="str">
        <f>IF(OR($F1336="",$F1336="NO APORTA",$R1337=0,$X1336="NO APLICA"),"",ROUND($F1336/$Q1337,2))</f>
        <v/>
      </c>
      <c r="Z1336" s="544" t="str">
        <f>IF(Y1338=1,"SI APLICA",IF(OR($X1336="",$X1336="NO APLICA",$F1336="",$F1336="NO APORTA"),"",IF(ROUND($F1336/Q1337,7)&gt;=0.4,"SI APLICA","NO APLICA")))</f>
        <v/>
      </c>
      <c r="AA1336" s="543"/>
      <c r="AB1336" s="540" t="str">
        <f t="shared" si="268"/>
        <v/>
      </c>
      <c r="AC1336" s="28"/>
    </row>
    <row r="1337" spans="1:29" s="30" customFormat="1" ht="16.5" customHeight="1" thickBot="1">
      <c r="A1337" s="112" t="str">
        <f>"S"&amp;E1311</f>
        <v>S44</v>
      </c>
      <c r="B1337" s="791"/>
      <c r="C1337" s="109">
        <v>6</v>
      </c>
      <c r="D1337" s="110" t="str">
        <f>IF(AND(C1337&lt;=F1330,F1330&lt;&gt;""),VLOOKUP(VALUE(E1311&amp;","&amp;C1337),INTEGRANTES!$D$19:$F$192,2,0),"")</f>
        <v/>
      </c>
      <c r="E1337" s="111" t="str">
        <f>IF(D1337&lt;&gt;"",VLOOKUP(VALUE(E1311&amp;","&amp;C1337),INTEGRANTES!$D$19:$F$192,3,0),"")</f>
        <v/>
      </c>
      <c r="F1337" s="380" t="str">
        <f>IF(D1337="","",IF(OR(SUMIF($J1318:$J1324,D1337,$O1318:$O1324)=0,N1337="NO"),"NO APORTA",SUMIF($J1318:$J1324,D1337,$O1318:$O1324)))</f>
        <v/>
      </c>
      <c r="G1337" s="380" t="str">
        <f>IF($D1337="","",IF($F1330&lt;=1,"",ROUND(POSMMLV*PORPO,2)))</f>
        <v/>
      </c>
      <c r="H1337" s="765" t="str">
        <f>IF($D1337="","",IF(OR(F1337="NO APORTA",G1337&gt;F1337),"NO CUMPLE","CUMPLE"))</f>
        <v/>
      </c>
      <c r="I1337" s="766"/>
      <c r="J1337" s="108" t="str">
        <f>IF(D1337="","",IF(OR(AND(SUMIF($J1315:$J1324,D1337,$O1315:$O1324)&gt;=5%*POSMMLV,N1337="SI"),AND(SUMIF($J1315:$J1324,D1337,$O1315:$O1324)=0,E1337&lt;=5%,N1337="SI")),"CUMPLE","NO CUMPLE"))</f>
        <v/>
      </c>
      <c r="K1337" s="105" t="str">
        <f>IF(OR(D1337="",J1337=""),"",IF(AND(J1337="NO CUMPLE",F1337="NO APORTA",E1337&gt;5%),"EXP = 0 y PART &gt; 5%",IF(F1337&lt;5%*Q1337,"EXP &lt; 5%*PO","")))</f>
        <v/>
      </c>
      <c r="L1337" s="389" t="str">
        <f>IF(OR(D1337="",E1337=""),"",IF(AND(E1337&gt;=0.25,F1337&lt;&gt;"NO APORTA",F1337&gt;=$R1337*0.25),"SI","NO"))</f>
        <v/>
      </c>
      <c r="M1337" s="389"/>
      <c r="N1337" s="468"/>
      <c r="O1337" s="403" t="str">
        <f ca="1">IF(R1337&gt;=Q1337,"CUMPLE","NO CUMPLE")</f>
        <v>CUMPLE</v>
      </c>
      <c r="P1337" s="312">
        <f>NUMMOD</f>
        <v>1</v>
      </c>
      <c r="Q1337" s="313">
        <f ca="1">IF(P1337="","",ROUND(VLOOKUP(P1337,PRESUPUESTOS!$B$16:$L$16,9,FALSE),7))</f>
        <v>300</v>
      </c>
      <c r="R1337" s="834">
        <f>IF(OR(COUNTIF(O1315:O1324,"")&gt;9,S1331&lt;NUMMINCONT),0,SUM(O1315:O1324))</f>
        <v>1004.7570000000001</v>
      </c>
      <c r="S1337" s="834"/>
      <c r="T1337" s="284"/>
      <c r="U1337" s="284"/>
      <c r="V1337" s="310"/>
      <c r="W1337" s="284"/>
      <c r="X1337" s="545" t="str">
        <f>IF($F1330=1,"NO APLICA",$D1337)</f>
        <v/>
      </c>
      <c r="Y1337" s="543" t="str">
        <f>IF(OR($F1337="",$F1337="NO APORTA",$R1337=0,$X1337="NO APLICA"),"",ROUND($F1337/$Q1337,2))</f>
        <v/>
      </c>
      <c r="Z1337" s="544" t="str">
        <f>IF(Y1338=1,"SI APLICA",IF(OR($X1337="",$X1337="NO APLICA",$F1337="",$F1337="NO APORTA"),"",IF(ROUND($F1337/Q1337,7)&gt;=0.4,"SI APLICA","NO APLICA")))</f>
        <v/>
      </c>
      <c r="AA1337" s="546"/>
      <c r="AB1337" s="540" t="str">
        <f>IF(COUNTIF(Z1337:AA1337,"SI APLICA")=2,"SI APLICA","")</f>
        <v/>
      </c>
      <c r="AC1337" s="28"/>
    </row>
    <row r="1338" spans="1:29" s="30" customFormat="1" ht="16.5" customHeight="1" thickBot="1">
      <c r="A1338" s="112" t="str">
        <f>"T"&amp;E1311</f>
        <v>T44</v>
      </c>
      <c r="B1338" s="792"/>
      <c r="C1338" s="821" t="s">
        <v>419</v>
      </c>
      <c r="D1338" s="822"/>
      <c r="E1338" s="822"/>
      <c r="F1338" s="518"/>
      <c r="G1338" s="519"/>
      <c r="H1338" s="794" t="str">
        <f ca="1">IF(OR($F1330="",SUM(E1332:E1337)=0),"",IF(COUNTIF(H1332:H1337,"CUMPLE")&gt;=1,"CUMPLE","NO CUMPLE"))</f>
        <v>CUMPLE</v>
      </c>
      <c r="I1338" s="795"/>
      <c r="J1338" s="314" t="str">
        <f ca="1">IF(COUNTIF(J1332:J1337,"")&gt;5,"",IF(COUNTIF(J1332:J1337,"NO CUMPLE")&gt;0,"NO CUMPLE","CUMPLE"))</f>
        <v>CUMPLE</v>
      </c>
      <c r="K1338" s="314" t="str">
        <f ca="1">IF(OR(AND(F1330=1,N1332="SI"),AND(COUNTIF(H1338:J1338,"CUMPLE")=2)),"CUMPLE","NO CUMPLE")</f>
        <v>CUMPLE</v>
      </c>
      <c r="L1338" s="519"/>
      <c r="M1338" s="519"/>
      <c r="N1338" s="519"/>
      <c r="O1338" s="833" t="str">
        <f ca="1">IF(ISNUMBER(F1311),"",IF(AND(O1337="NO CUMPLE",SUM(N1318:N1324)&lt;Q1337),"EL PROPONENTE SE DEBE REQUERIR POR EXPERIENCIA MINIMA EXIGIDA",""))</f>
        <v/>
      </c>
      <c r="P1338" s="833"/>
      <c r="Q1338" s="833"/>
      <c r="R1338" s="833"/>
      <c r="S1338" s="833"/>
      <c r="T1338" s="522"/>
      <c r="U1338" s="523"/>
      <c r="V1338" s="524"/>
      <c r="W1338" s="284"/>
      <c r="X1338" s="364" t="str">
        <f>IF(Y1338=1,"PROPONENTE INDIVIDUAL","PROPONENTE PLURAL")</f>
        <v>PROPONENTE PLURAL</v>
      </c>
      <c r="Y1338" s="276">
        <f>F1330</f>
        <v>2</v>
      </c>
      <c r="Z1338" s="277" t="str">
        <f ca="1">IF(OR(AND(Z1332="SI APLICA",AA1332="SI APLICA"),AND(Z1333="SI APLICA",AA1333="SI APLICA"),AND(Z1334="SI APLICA",AA1334="SI APLICA"),AND(Z1335="SI APLICA",AA1335="SI APLICA"),AND(Z1336="SI APLICA",AA1336="SI APLICA"),AND(Z1337="SI APLICA",AA1337="SI APLICA")),"SI APLICA","NO APLICA")</f>
        <v>SI APLICA</v>
      </c>
      <c r="AA1338" s="278" t="str">
        <f ca="1">IF(OR(AND(AA1332="SI APLICA",AB1332="SI APLICA"),AND(AA1333="SI APLICA",AB1333="SI APLICA"),AND(AA1334="SI APLICA",AB1334="SI APLICA"),AND(AA1335="SI APLICA",AB1335="SI APLICA"),AND(AA1336="SI APLICA",AB1336="SI APLICA"),AND(AA1337="SI APLICA",AB1337="SI APLICA")),"SI APLICA","NO APLICA")</f>
        <v>SI APLICA</v>
      </c>
      <c r="AB1338" s="278" t="str">
        <f ca="1">IF(COUNTIF(AB1332:AB1337,"SI APLICA")&gt;0,"SI APLICA","NO APLICA")</f>
        <v>SI APLICA</v>
      </c>
      <c r="AC1338" s="28"/>
    </row>
    <row r="1339" spans="1:29" ht="24.95" customHeight="1"/>
    <row r="1340" spans="1:29" ht="24.95" customHeight="1"/>
    <row r="1341" spans="1:29" s="41" customFormat="1" ht="24" thickBot="1">
      <c r="A1341" s="34">
        <v>45</v>
      </c>
      <c r="B1341" s="828" t="s">
        <v>355</v>
      </c>
      <c r="C1341" s="828"/>
      <c r="D1341" s="828"/>
      <c r="E1341" s="35">
        <f>VLOOKUP(A1341,PROPONENTES!$B$19:$E$108,2,FALSE)</f>
        <v>45</v>
      </c>
      <c r="F1341" s="36" t="str">
        <f>VLOOKUP(A1341,PROPONENTES!$B$19:$E$108,3,FALSE)</f>
        <v>TECNOLOGÍA DE NUEVAS MEDICIONES COLOMBIA S.A.S. – TECNUMEC S.A.S.</v>
      </c>
      <c r="G1341" s="37"/>
      <c r="H1341" s="37"/>
      <c r="I1341" s="36"/>
      <c r="J1341" s="36"/>
      <c r="K1341" s="36"/>
      <c r="L1341" s="36"/>
      <c r="M1341" s="38"/>
      <c r="N1341" s="38"/>
      <c r="O1341" s="37"/>
      <c r="P1341" s="37"/>
      <c r="Q1341" s="39"/>
      <c r="R1341" s="39"/>
      <c r="S1341" s="39"/>
      <c r="T1341" s="39"/>
      <c r="U1341" s="40"/>
      <c r="Y1341" s="52"/>
      <c r="Z1341" s="52"/>
      <c r="AA1341" s="52"/>
      <c r="AB1341" s="28"/>
      <c r="AC1341" s="28"/>
    </row>
    <row r="1342" spans="1:29" s="27" customFormat="1" ht="24.75" customHeight="1">
      <c r="A1342" s="22"/>
      <c r="B1342" s="829" t="s">
        <v>356</v>
      </c>
      <c r="C1342" s="501" t="s">
        <v>357</v>
      </c>
      <c r="D1342" s="502" t="s">
        <v>358</v>
      </c>
      <c r="E1342" s="502"/>
      <c r="F1342" s="502" t="s">
        <v>359</v>
      </c>
      <c r="G1342" s="503"/>
      <c r="H1342" s="803" t="s">
        <v>360</v>
      </c>
      <c r="I1342" s="831" t="s">
        <v>361</v>
      </c>
      <c r="J1342" s="803" t="s">
        <v>362</v>
      </c>
      <c r="K1342" s="803" t="s">
        <v>363</v>
      </c>
      <c r="L1342" s="803" t="s">
        <v>364</v>
      </c>
      <c r="M1342" s="803" t="s">
        <v>365</v>
      </c>
      <c r="N1342" s="804" t="s">
        <v>366</v>
      </c>
      <c r="O1342" s="805"/>
      <c r="P1342" s="806" t="s">
        <v>367</v>
      </c>
      <c r="Q1342" s="807"/>
      <c r="R1342" s="784" t="s">
        <v>368</v>
      </c>
      <c r="S1342" s="774"/>
      <c r="T1342" s="798" t="s">
        <v>369</v>
      </c>
      <c r="U1342" s="799"/>
      <c r="V1342" s="800"/>
      <c r="X1342" s="520"/>
      <c r="Y1342" s="520"/>
    </row>
    <row r="1343" spans="1:29" s="27" customFormat="1" ht="94.5" customHeight="1">
      <c r="A1343" s="22"/>
      <c r="B1343" s="830"/>
      <c r="C1343" s="504" t="s">
        <v>370</v>
      </c>
      <c r="D1343" s="505" t="s">
        <v>41</v>
      </c>
      <c r="E1343" s="505" t="s">
        <v>371</v>
      </c>
      <c r="F1343" s="505" t="s">
        <v>372</v>
      </c>
      <c r="G1343" s="506" t="s">
        <v>373</v>
      </c>
      <c r="H1343" s="793"/>
      <c r="I1343" s="832"/>
      <c r="J1343" s="793"/>
      <c r="K1343" s="793"/>
      <c r="L1343" s="793"/>
      <c r="M1343" s="793"/>
      <c r="N1343" s="504" t="s">
        <v>374</v>
      </c>
      <c r="O1343" s="505" t="s">
        <v>375</v>
      </c>
      <c r="P1343" s="801"/>
      <c r="Q1343" s="802"/>
      <c r="R1343" s="796"/>
      <c r="S1343" s="797"/>
      <c r="T1343" s="507" t="s">
        <v>376</v>
      </c>
      <c r="U1343" s="508" t="s">
        <v>377</v>
      </c>
      <c r="V1343" s="509" t="s">
        <v>378</v>
      </c>
      <c r="X1343" s="521" t="s">
        <v>379</v>
      </c>
      <c r="Y1343" s="521" t="s">
        <v>380</v>
      </c>
    </row>
    <row r="1344" spans="1:29" s="27" customFormat="1" ht="15" customHeight="1">
      <c r="A1344" s="22"/>
      <c r="B1344" s="594"/>
      <c r="C1344" s="595">
        <v>3</v>
      </c>
      <c r="D1344" s="595">
        <v>4</v>
      </c>
      <c r="E1344" s="595">
        <v>5</v>
      </c>
      <c r="F1344" s="595">
        <v>6</v>
      </c>
      <c r="G1344" s="595">
        <v>7</v>
      </c>
      <c r="H1344" s="595">
        <v>8</v>
      </c>
      <c r="I1344" s="595">
        <v>9</v>
      </c>
      <c r="J1344" s="595">
        <v>10</v>
      </c>
      <c r="K1344" s="595">
        <v>11</v>
      </c>
      <c r="L1344" s="595">
        <v>12</v>
      </c>
      <c r="M1344" s="595">
        <v>13</v>
      </c>
      <c r="N1344" s="595">
        <v>14</v>
      </c>
      <c r="O1344" s="595">
        <v>15</v>
      </c>
      <c r="P1344" s="596">
        <v>16</v>
      </c>
      <c r="Q1344" s="597">
        <v>17</v>
      </c>
      <c r="R1344" s="596">
        <v>18</v>
      </c>
      <c r="S1344" s="597">
        <v>19</v>
      </c>
      <c r="T1344" s="598">
        <v>20</v>
      </c>
      <c r="U1344" s="255">
        <v>21</v>
      </c>
      <c r="V1344" s="599">
        <v>22</v>
      </c>
      <c r="X1344" s="589"/>
      <c r="Y1344" s="590"/>
    </row>
    <row r="1345" spans="1:29" s="44" customFormat="1" ht="53.25" customHeight="1">
      <c r="A1345" s="42" t="str">
        <f>"A"&amp;E1341</f>
        <v>A45</v>
      </c>
      <c r="B1345" s="605">
        <f>IF(C1345&lt;&gt;"",B1344+1,"")</f>
        <v>1</v>
      </c>
      <c r="C1345" s="581" t="s">
        <v>741</v>
      </c>
      <c r="D1345" s="581" t="s">
        <v>742</v>
      </c>
      <c r="E1345" s="581" t="s">
        <v>743</v>
      </c>
      <c r="F1345" s="581" t="s">
        <v>431</v>
      </c>
      <c r="G1345" s="534">
        <v>0.5</v>
      </c>
      <c r="H1345" s="534" t="s">
        <v>385</v>
      </c>
      <c r="I1345" s="579" t="s">
        <v>384</v>
      </c>
      <c r="J1345" s="580" t="str">
        <f>IF(I1345="","",IF(I1345="I",$F1341,VLOOKUP(I1345,$C1362:$D1367,2,0)))</f>
        <v>TECNOLOGÍA DE NUEVAS MEDICIONES COLOMBIA S.A.S. – TECNUMEC S.A.S.</v>
      </c>
      <c r="K1345" s="535">
        <v>41927</v>
      </c>
      <c r="L1345" s="535">
        <v>42325</v>
      </c>
      <c r="M1345" s="536">
        <v>1699.6</v>
      </c>
      <c r="N1345" s="232">
        <f t="shared" ref="N1345:N1354" si="269">IF(OR(G1345="",M1345=""),"",M1345*G1345)</f>
        <v>849.8</v>
      </c>
      <c r="O1345" s="629">
        <f t="shared" ref="O1345:O1354" si="270">IF(OR(H1345="",H1345="NO",K1345&lt;$Q$17,K1345&gt;$R$17,K1345="",M1345="",N1345=""),"",ROUND(N1345,7))</f>
        <v>849.8</v>
      </c>
      <c r="P1345" s="781"/>
      <c r="Q1345" s="782"/>
      <c r="R1345" s="767"/>
      <c r="S1345" s="768"/>
      <c r="T1345" s="538" t="s">
        <v>385</v>
      </c>
      <c r="U1345" s="539">
        <v>26</v>
      </c>
      <c r="V1345" s="641" t="s">
        <v>385</v>
      </c>
      <c r="X1345" s="541" t="s">
        <v>386</v>
      </c>
      <c r="Y1345" s="541" t="s">
        <v>387</v>
      </c>
    </row>
    <row r="1346" spans="1:29" s="44" customFormat="1" ht="36.75" customHeight="1">
      <c r="A1346" s="42" t="str">
        <f>"B"&amp;E1341</f>
        <v>B45</v>
      </c>
      <c r="B1346" s="605">
        <f t="shared" ref="B1346:B1354" si="271">IF(C1346&lt;&gt;"",B1345+1,"")</f>
        <v>2</v>
      </c>
      <c r="C1346" s="581" t="s">
        <v>744</v>
      </c>
      <c r="D1346" s="581" t="s">
        <v>745</v>
      </c>
      <c r="E1346" s="581" t="s">
        <v>746</v>
      </c>
      <c r="F1346" s="581" t="s">
        <v>431</v>
      </c>
      <c r="G1346" s="534">
        <v>0.4</v>
      </c>
      <c r="H1346" s="534" t="s">
        <v>385</v>
      </c>
      <c r="I1346" s="579" t="s">
        <v>384</v>
      </c>
      <c r="J1346" s="580" t="str">
        <f>IF(I1346="","",IF(I1346="I",$F1341,VLOOKUP(I1346,$C1362:$D1367,2,0)))</f>
        <v>TECNOLOGÍA DE NUEVAS MEDICIONES COLOMBIA S.A.S. – TECNUMEC S.A.S.</v>
      </c>
      <c r="K1346" s="535">
        <v>43612</v>
      </c>
      <c r="L1346" s="535">
        <v>44036</v>
      </c>
      <c r="M1346" s="536">
        <v>790.19</v>
      </c>
      <c r="N1346" s="232">
        <f t="shared" si="269"/>
        <v>316.07600000000002</v>
      </c>
      <c r="O1346" s="629">
        <f t="shared" si="270"/>
        <v>316.07600000000002</v>
      </c>
      <c r="P1346" s="781"/>
      <c r="Q1346" s="782"/>
      <c r="R1346" s="767"/>
      <c r="S1346" s="768"/>
      <c r="T1346" s="538" t="s">
        <v>385</v>
      </c>
      <c r="U1346" s="539">
        <v>53</v>
      </c>
      <c r="V1346" s="641" t="s">
        <v>385</v>
      </c>
      <c r="X1346" s="541" t="s">
        <v>446</v>
      </c>
      <c r="Y1346" s="541" t="s">
        <v>387</v>
      </c>
    </row>
    <row r="1347" spans="1:29" s="44" customFormat="1" ht="39.75" customHeight="1">
      <c r="A1347" s="42" t="str">
        <f>"C"&amp;E1341</f>
        <v>C45</v>
      </c>
      <c r="B1347" s="605">
        <f t="shared" si="271"/>
        <v>3</v>
      </c>
      <c r="C1347" s="581" t="s">
        <v>747</v>
      </c>
      <c r="D1347" s="581" t="s">
        <v>748</v>
      </c>
      <c r="E1347" s="581" t="s">
        <v>749</v>
      </c>
      <c r="F1347" s="581" t="s">
        <v>431</v>
      </c>
      <c r="G1347" s="534">
        <v>0.1</v>
      </c>
      <c r="H1347" s="534" t="s">
        <v>385</v>
      </c>
      <c r="I1347" s="579" t="s">
        <v>384</v>
      </c>
      <c r="J1347" s="580" t="str">
        <f>IF(I1347="","",IF(I1347="I",$F1341,VLOOKUP(I1347,$C1362:$D1367,2,0)))</f>
        <v>TECNOLOGÍA DE NUEVAS MEDICIONES COLOMBIA S.A.S. – TECNUMEC S.A.S.</v>
      </c>
      <c r="K1347" s="535">
        <v>41256</v>
      </c>
      <c r="L1347" s="535">
        <v>41805</v>
      </c>
      <c r="M1347" s="536">
        <v>2417.2800000000002</v>
      </c>
      <c r="N1347" s="232">
        <f t="shared" si="269"/>
        <v>241.72800000000004</v>
      </c>
      <c r="O1347" s="629">
        <f t="shared" si="270"/>
        <v>241.72800000000001</v>
      </c>
      <c r="P1347" s="781"/>
      <c r="Q1347" s="782"/>
      <c r="R1347" s="767" t="s">
        <v>750</v>
      </c>
      <c r="S1347" s="768"/>
      <c r="T1347" s="538" t="s">
        <v>385</v>
      </c>
      <c r="U1347" s="539">
        <v>11</v>
      </c>
      <c r="V1347" s="641" t="s">
        <v>385</v>
      </c>
      <c r="X1347" s="541" t="s">
        <v>449</v>
      </c>
      <c r="Y1347" s="541" t="s">
        <v>387</v>
      </c>
    </row>
    <row r="1348" spans="1:29" s="44" customFormat="1" ht="24.95" customHeight="1">
      <c r="A1348" s="42" t="str">
        <f>"D"&amp;E1341</f>
        <v>D45</v>
      </c>
      <c r="B1348" s="605" t="str">
        <f t="shared" si="271"/>
        <v/>
      </c>
      <c r="C1348" s="581"/>
      <c r="D1348" s="581"/>
      <c r="E1348" s="581"/>
      <c r="F1348" s="581"/>
      <c r="G1348" s="534"/>
      <c r="H1348" s="534"/>
      <c r="I1348" s="579"/>
      <c r="J1348" s="580" t="str">
        <f>IF(I1348="","",IF(I1348="I",$F1341,VLOOKUP(I1348,$C1362:$D1367,2,0)))</f>
        <v/>
      </c>
      <c r="K1348" s="535"/>
      <c r="L1348" s="535"/>
      <c r="M1348" s="536"/>
      <c r="N1348" s="232" t="str">
        <f t="shared" si="269"/>
        <v/>
      </c>
      <c r="O1348" s="260" t="str">
        <f t="shared" si="270"/>
        <v/>
      </c>
      <c r="P1348" s="781"/>
      <c r="Q1348" s="782"/>
      <c r="R1348" s="767"/>
      <c r="S1348" s="768"/>
      <c r="T1348" s="538"/>
      <c r="U1348" s="539"/>
      <c r="V1348" s="540"/>
      <c r="X1348" s="541"/>
      <c r="Y1348" s="541"/>
    </row>
    <row r="1349" spans="1:29" s="44" customFormat="1" ht="24.95" customHeight="1">
      <c r="A1349" s="42" t="str">
        <f>"E"&amp;E1341</f>
        <v>E45</v>
      </c>
      <c r="B1349" s="605" t="str">
        <f t="shared" si="271"/>
        <v/>
      </c>
      <c r="C1349" s="581"/>
      <c r="D1349" s="581"/>
      <c r="E1349" s="581"/>
      <c r="F1349" s="581"/>
      <c r="G1349" s="534"/>
      <c r="H1349" s="534"/>
      <c r="I1349" s="579"/>
      <c r="J1349" s="580" t="str">
        <f>IF(I1349="","",IF(I1349="I",$F1341,VLOOKUP(I1349,$C1362:$D1367,2,0)))</f>
        <v/>
      </c>
      <c r="K1349" s="535"/>
      <c r="L1349" s="535"/>
      <c r="M1349" s="536"/>
      <c r="N1349" s="232" t="str">
        <f t="shared" si="269"/>
        <v/>
      </c>
      <c r="O1349" s="260" t="str">
        <f t="shared" si="270"/>
        <v/>
      </c>
      <c r="P1349" s="781"/>
      <c r="Q1349" s="782"/>
      <c r="R1349" s="767"/>
      <c r="S1349" s="768"/>
      <c r="T1349" s="538"/>
      <c r="U1349" s="539"/>
      <c r="V1349" s="540"/>
      <c r="X1349" s="541"/>
      <c r="Y1349" s="541"/>
    </row>
    <row r="1350" spans="1:29" s="44" customFormat="1" ht="24.95" customHeight="1">
      <c r="A1350" s="42" t="str">
        <f>"F"&amp;E1341</f>
        <v>F45</v>
      </c>
      <c r="B1350" s="605" t="str">
        <f t="shared" si="271"/>
        <v/>
      </c>
      <c r="C1350" s="581"/>
      <c r="D1350" s="581"/>
      <c r="E1350" s="581"/>
      <c r="F1350" s="581"/>
      <c r="G1350" s="534"/>
      <c r="H1350" s="534"/>
      <c r="I1350" s="579"/>
      <c r="J1350" s="580" t="str">
        <f>IF(I1350="","",IF(I1350="I",$F1341,VLOOKUP(I1350,$C1362:$D1367,2,0)))</f>
        <v/>
      </c>
      <c r="K1350" s="535"/>
      <c r="L1350" s="535"/>
      <c r="M1350" s="536"/>
      <c r="N1350" s="232" t="str">
        <f t="shared" si="269"/>
        <v/>
      </c>
      <c r="O1350" s="260" t="str">
        <f t="shared" si="270"/>
        <v/>
      </c>
      <c r="P1350" s="781"/>
      <c r="Q1350" s="782"/>
      <c r="R1350" s="767"/>
      <c r="S1350" s="768"/>
      <c r="T1350" s="538"/>
      <c r="U1350" s="539"/>
      <c r="V1350" s="540"/>
      <c r="X1350" s="541"/>
      <c r="Y1350" s="541"/>
    </row>
    <row r="1351" spans="1:29" s="44" customFormat="1" ht="24.95" customHeight="1">
      <c r="A1351" s="42" t="str">
        <f>"G"&amp;E1341</f>
        <v>G45</v>
      </c>
      <c r="B1351" s="605" t="str">
        <f t="shared" si="271"/>
        <v/>
      </c>
      <c r="C1351" s="581"/>
      <c r="D1351" s="581"/>
      <c r="E1351" s="581"/>
      <c r="F1351" s="581"/>
      <c r="G1351" s="534"/>
      <c r="H1351" s="534"/>
      <c r="I1351" s="579"/>
      <c r="J1351" s="580" t="str">
        <f>IF(I1351="","",IF(I1351="I",$F1341,VLOOKUP(I1351,$C1362:$D1367,2,0)))</f>
        <v/>
      </c>
      <c r="K1351" s="535"/>
      <c r="L1351" s="535"/>
      <c r="M1351" s="536"/>
      <c r="N1351" s="43" t="str">
        <f t="shared" si="269"/>
        <v/>
      </c>
      <c r="O1351" s="260" t="str">
        <f t="shared" si="270"/>
        <v/>
      </c>
      <c r="P1351" s="781"/>
      <c r="Q1351" s="782"/>
      <c r="R1351" s="767"/>
      <c r="S1351" s="768"/>
      <c r="T1351" s="538"/>
      <c r="U1351" s="539"/>
      <c r="V1351" s="540"/>
      <c r="X1351" s="541"/>
      <c r="Y1351" s="541"/>
    </row>
    <row r="1352" spans="1:29" s="44" customFormat="1" ht="24.95" customHeight="1">
      <c r="A1352" s="42" t="str">
        <f>"H"&amp;E1341</f>
        <v>H45</v>
      </c>
      <c r="B1352" s="605" t="str">
        <f t="shared" si="271"/>
        <v/>
      </c>
      <c r="C1352" s="581"/>
      <c r="D1352" s="581"/>
      <c r="E1352" s="581"/>
      <c r="F1352" s="581"/>
      <c r="G1352" s="534"/>
      <c r="H1352" s="534"/>
      <c r="I1352" s="579"/>
      <c r="J1352" s="580" t="str">
        <f>IF(I1352="","",IF(I1352="I",$F1341,VLOOKUP(I1352,$C1362:$D1367,2,0)))</f>
        <v/>
      </c>
      <c r="K1352" s="535"/>
      <c r="L1352" s="535"/>
      <c r="M1352" s="537"/>
      <c r="N1352" s="43" t="str">
        <f t="shared" si="269"/>
        <v/>
      </c>
      <c r="O1352" s="260" t="str">
        <f t="shared" si="270"/>
        <v/>
      </c>
      <c r="P1352" s="781"/>
      <c r="Q1352" s="782"/>
      <c r="R1352" s="767"/>
      <c r="S1352" s="768"/>
      <c r="T1352" s="538"/>
      <c r="U1352" s="539"/>
      <c r="V1352" s="540"/>
      <c r="X1352" s="541"/>
      <c r="Y1352" s="541"/>
    </row>
    <row r="1353" spans="1:29" s="44" customFormat="1" ht="24.95" customHeight="1">
      <c r="A1353" s="42" t="str">
        <f>"I"&amp;E1341</f>
        <v>I45</v>
      </c>
      <c r="B1353" s="605" t="str">
        <f t="shared" si="271"/>
        <v/>
      </c>
      <c r="C1353" s="581"/>
      <c r="D1353" s="581"/>
      <c r="E1353" s="581"/>
      <c r="F1353" s="581"/>
      <c r="G1353" s="534"/>
      <c r="H1353" s="534"/>
      <c r="I1353" s="579"/>
      <c r="J1353" s="580" t="str">
        <f>IF(I1353="","",IF(I1353="I",$F1341,VLOOKUP(I1353,$C1362:$D1367,2,0)))</f>
        <v/>
      </c>
      <c r="K1353" s="535"/>
      <c r="L1353" s="535"/>
      <c r="M1353" s="537"/>
      <c r="N1353" s="43" t="str">
        <f t="shared" si="269"/>
        <v/>
      </c>
      <c r="O1353" s="260" t="str">
        <f t="shared" si="270"/>
        <v/>
      </c>
      <c r="P1353" s="781"/>
      <c r="Q1353" s="782"/>
      <c r="R1353" s="767"/>
      <c r="S1353" s="768"/>
      <c r="T1353" s="538"/>
      <c r="U1353" s="539"/>
      <c r="V1353" s="540"/>
      <c r="X1353" s="541"/>
      <c r="Y1353" s="541"/>
    </row>
    <row r="1354" spans="1:29" s="44" customFormat="1" ht="24.95" customHeight="1" thickBot="1">
      <c r="A1354" s="42" t="str">
        <f>"J"&amp;E1341</f>
        <v>J45</v>
      </c>
      <c r="B1354" s="612" t="str">
        <f t="shared" si="271"/>
        <v/>
      </c>
      <c r="C1354" s="582"/>
      <c r="D1354" s="582"/>
      <c r="E1354" s="582"/>
      <c r="F1354" s="582"/>
      <c r="G1354" s="583"/>
      <c r="H1354" s="583"/>
      <c r="I1354" s="584"/>
      <c r="J1354" s="585" t="str">
        <f>IF(I1354="","",IF(I1354="I",$F1341,VLOOKUP(I1354,$C1362:$D1367,2,0)))</f>
        <v/>
      </c>
      <c r="K1354" s="586"/>
      <c r="L1354" s="586"/>
      <c r="M1354" s="587"/>
      <c r="N1354" s="43" t="str">
        <f t="shared" si="269"/>
        <v/>
      </c>
      <c r="O1354" s="260" t="str">
        <f t="shared" si="270"/>
        <v/>
      </c>
      <c r="P1354" s="781"/>
      <c r="Q1354" s="782"/>
      <c r="R1354" s="767"/>
      <c r="S1354" s="768"/>
      <c r="T1354" s="538"/>
      <c r="U1354" s="539"/>
      <c r="V1354" s="540"/>
      <c r="X1354" s="541"/>
      <c r="Y1354" s="541"/>
    </row>
    <row r="1355" spans="1:29" s="27" customFormat="1" ht="12" customHeight="1" thickBot="1">
      <c r="A1355" s="42"/>
      <c r="B1355" s="45"/>
      <c r="C1355" s="46"/>
      <c r="D1355" s="46"/>
      <c r="E1355" s="46"/>
      <c r="F1355" s="46"/>
      <c r="G1355" s="46"/>
      <c r="H1355" s="606"/>
      <c r="I1355" s="46"/>
      <c r="J1355" s="46"/>
      <c r="K1355" s="46"/>
      <c r="L1355" s="46"/>
      <c r="M1355" s="46"/>
      <c r="N1355" s="46"/>
      <c r="O1355" s="259"/>
      <c r="P1355" s="46"/>
      <c r="Q1355" s="46"/>
      <c r="R1355" s="259"/>
      <c r="S1355" s="46"/>
      <c r="T1355" s="46"/>
      <c r="U1355" s="47"/>
      <c r="V1355" s="48"/>
      <c r="X1355" s="592"/>
      <c r="Y1355" s="593"/>
      <c r="AB1355" s="378"/>
    </row>
    <row r="1356" spans="1:29" s="27" customFormat="1" ht="17.25" customHeight="1" thickBot="1">
      <c r="A1356" s="42" t="str">
        <f>"Z"&amp;E1341</f>
        <v>Z45</v>
      </c>
      <c r="B1356" s="510"/>
      <c r="C1356" s="511"/>
      <c r="D1356" s="511"/>
      <c r="E1356" s="511"/>
      <c r="F1356" s="511"/>
      <c r="G1356" s="511"/>
      <c r="H1356" s="511"/>
      <c r="I1356" s="511"/>
      <c r="J1356" s="511"/>
      <c r="K1356" s="511"/>
      <c r="L1356" s="511"/>
      <c r="M1356" s="511"/>
      <c r="N1356" s="437" t="s">
        <v>388</v>
      </c>
      <c r="O1356" s="438">
        <f>IF(COUNTIF(O1345:O1354,"")&gt;9,0,SUM(O1345:O1354)/(COUNTIF(H1345:H1354,"SI")))</f>
        <v>469.20133333333337</v>
      </c>
      <c r="P1356" s="511"/>
      <c r="Q1356" s="511"/>
      <c r="R1356" s="530"/>
      <c r="S1356" s="530"/>
      <c r="T1356" s="531"/>
      <c r="U1356" s="532"/>
      <c r="V1356" s="533"/>
      <c r="W1356" s="285"/>
      <c r="X1356" s="613" t="e">
        <f>COUNTIF(#REF!,"")-COUNTIF(#REF!,"CUMPLE")-1</f>
        <v>#REF!</v>
      </c>
      <c r="Y1356" s="591"/>
      <c r="AB1356" s="28"/>
    </row>
    <row r="1357" spans="1:29" ht="17.25" customHeight="1">
      <c r="B1357" s="50"/>
      <c r="C1357" s="50"/>
      <c r="D1357" s="50"/>
      <c r="E1357" s="50"/>
      <c r="F1357" s="50"/>
      <c r="G1357" s="51"/>
      <c r="H1357" s="51"/>
      <c r="I1357" s="51"/>
      <c r="J1357" s="51"/>
      <c r="K1357" s="51"/>
      <c r="L1357" s="51"/>
      <c r="M1357" s="51"/>
      <c r="N1357" s="51"/>
      <c r="O1357" s="51"/>
      <c r="P1357" s="51"/>
      <c r="Q1357" s="51"/>
      <c r="R1357" s="51"/>
      <c r="S1357" s="51"/>
      <c r="T1357" s="51"/>
      <c r="U1357" s="51"/>
      <c r="V1357" s="51"/>
      <c r="W1357" s="51"/>
      <c r="X1357" s="608"/>
      <c r="Y1357" s="51"/>
      <c r="Z1357" s="51"/>
      <c r="AA1357" s="51"/>
      <c r="AB1357" s="51"/>
      <c r="AC1357" s="50"/>
    </row>
    <row r="1358" spans="1:29" s="27" customFormat="1" ht="16.5" customHeight="1" thickBot="1">
      <c r="A1358" s="22"/>
      <c r="B1358" s="783" t="s">
        <v>389</v>
      </c>
      <c r="C1358" s="783"/>
      <c r="D1358" s="783"/>
      <c r="E1358" s="783"/>
      <c r="F1358" s="783"/>
      <c r="G1358" s="783"/>
      <c r="H1358" s="783"/>
      <c r="I1358" s="783"/>
      <c r="J1358" s="783"/>
      <c r="K1358" s="783"/>
      <c r="L1358" s="783"/>
      <c r="M1358" s="783"/>
      <c r="N1358" s="783"/>
      <c r="O1358" s="783"/>
      <c r="P1358" s="783"/>
      <c r="Q1358" s="783"/>
      <c r="R1358" s="783"/>
      <c r="S1358" s="783"/>
      <c r="T1358" s="783"/>
      <c r="U1358" s="783"/>
      <c r="V1358" s="783"/>
      <c r="W1358" s="286"/>
      <c r="X1358" s="607"/>
      <c r="Y1358" s="52"/>
      <c r="Z1358" s="52"/>
      <c r="AA1358" s="52"/>
      <c r="AB1358" s="28"/>
      <c r="AC1358" s="28"/>
    </row>
    <row r="1359" spans="1:29" s="30" customFormat="1" ht="22.5" customHeight="1">
      <c r="A1359" s="112" t="str">
        <f>"K"&amp;E1341</f>
        <v>K45</v>
      </c>
      <c r="B1359" s="790" t="s">
        <v>390</v>
      </c>
      <c r="C1359" s="772" t="s">
        <v>391</v>
      </c>
      <c r="D1359" s="773"/>
      <c r="E1359" s="773"/>
      <c r="F1359" s="773"/>
      <c r="G1359" s="773"/>
      <c r="H1359" s="773"/>
      <c r="I1359" s="773"/>
      <c r="J1359" s="773"/>
      <c r="K1359" s="773"/>
      <c r="L1359" s="773"/>
      <c r="M1359" s="774"/>
      <c r="N1359" s="525"/>
      <c r="O1359" s="588"/>
      <c r="P1359" s="772" t="s">
        <v>392</v>
      </c>
      <c r="Q1359" s="773"/>
      <c r="R1359" s="773"/>
      <c r="S1359" s="774"/>
      <c r="T1359" s="784" t="s">
        <v>393</v>
      </c>
      <c r="U1359" s="774"/>
      <c r="V1359" s="811"/>
      <c r="W1359" s="284"/>
      <c r="X1359" s="778" t="s">
        <v>394</v>
      </c>
      <c r="Y1359" s="779"/>
      <c r="Z1359" s="779"/>
      <c r="AA1359" s="779" t="s">
        <v>395</v>
      </c>
      <c r="AB1359" s="808" t="s">
        <v>396</v>
      </c>
      <c r="AC1359" s="28"/>
    </row>
    <row r="1360" spans="1:29" s="30" customFormat="1" ht="22.5" customHeight="1">
      <c r="A1360" s="112" t="str">
        <f>"L"&amp;E1341</f>
        <v>L45</v>
      </c>
      <c r="B1360" s="791"/>
      <c r="C1360" s="769" t="s">
        <v>397</v>
      </c>
      <c r="D1360" s="770"/>
      <c r="E1360" s="771"/>
      <c r="F1360" s="512">
        <f>IF(VLOOKUP(E1341,PROPONENTES!$C$19:$E$108,3,0)="","",VLOOKUP(E1341,PROPONENTES!$C$19:$E$108,3,0))</f>
        <v>1</v>
      </c>
      <c r="G1360" s="824" t="s">
        <v>398</v>
      </c>
      <c r="H1360" s="793" t="s">
        <v>399</v>
      </c>
      <c r="I1360" s="793"/>
      <c r="J1360" s="769" t="s">
        <v>400</v>
      </c>
      <c r="K1360" s="823"/>
      <c r="L1360" s="513" t="s">
        <v>401</v>
      </c>
      <c r="M1360" s="513"/>
      <c r="N1360" s="526"/>
      <c r="O1360" s="527"/>
      <c r="P1360" s="775"/>
      <c r="Q1360" s="776"/>
      <c r="R1360" s="776"/>
      <c r="S1360" s="777"/>
      <c r="T1360" s="796"/>
      <c r="U1360" s="797"/>
      <c r="V1360" s="812"/>
      <c r="W1360" s="284"/>
      <c r="X1360" s="780" t="s">
        <v>402</v>
      </c>
      <c r="Y1360" s="810" t="s">
        <v>403</v>
      </c>
      <c r="Z1360" s="810"/>
      <c r="AA1360" s="810"/>
      <c r="AB1360" s="809"/>
      <c r="AC1360" s="28"/>
    </row>
    <row r="1361" spans="1:29" s="30" customFormat="1" ht="51.75" customHeight="1" thickBot="1">
      <c r="A1361" s="112" t="str">
        <f>"M"&amp;E1341</f>
        <v>M45</v>
      </c>
      <c r="B1361" s="791"/>
      <c r="C1361" s="770" t="s">
        <v>404</v>
      </c>
      <c r="D1361" s="771"/>
      <c r="E1361" s="514" t="s">
        <v>405</v>
      </c>
      <c r="F1361" s="515" t="s">
        <v>406</v>
      </c>
      <c r="G1361" s="824"/>
      <c r="H1361" s="793"/>
      <c r="I1361" s="793"/>
      <c r="J1361" s="504" t="s">
        <v>407</v>
      </c>
      <c r="K1361" s="516" t="s">
        <v>408</v>
      </c>
      <c r="L1361" s="517" t="s">
        <v>409</v>
      </c>
      <c r="M1361" s="517"/>
      <c r="N1361" s="528" t="s">
        <v>410</v>
      </c>
      <c r="O1361" s="529"/>
      <c r="P1361" s="386"/>
      <c r="Q1361" s="387" t="s">
        <v>411</v>
      </c>
      <c r="R1361" s="388"/>
      <c r="S1361" s="113">
        <f>COUNTIFS(H1345:H1354,"SI",O1345:O1354,"&gt;0")</f>
        <v>3</v>
      </c>
      <c r="T1361" s="785"/>
      <c r="U1361" s="787"/>
      <c r="V1361" s="813"/>
      <c r="W1361" s="284"/>
      <c r="X1361" s="780"/>
      <c r="Y1361" s="810"/>
      <c r="Z1361" s="810"/>
      <c r="AA1361" s="810"/>
      <c r="AB1361" s="809"/>
      <c r="AC1361" s="28"/>
    </row>
    <row r="1362" spans="1:29" s="30" customFormat="1" ht="15.75" customHeight="1">
      <c r="A1362" s="112" t="str">
        <f>"N"&amp;E1341</f>
        <v>N45</v>
      </c>
      <c r="B1362" s="791"/>
      <c r="C1362" s="54">
        <v>1</v>
      </c>
      <c r="D1362" s="100" t="str">
        <f>IF(AND(C1362&lt;=F1360,F1360&gt;1,F1360&lt;&gt;""),VLOOKUP(VALUE(E1341&amp;","&amp;C1362),INTEGRANTES!$D$19:$F$192,2,0),"")</f>
        <v/>
      </c>
      <c r="E1362" s="107" t="str">
        <f>IF(D1362&lt;&gt;"",VLOOKUP(VALUE(E1341&amp;","&amp;C1362),INTEGRANTES!$D$19:$F$192,3,0),"")</f>
        <v/>
      </c>
      <c r="F1362" s="380" t="str">
        <f>IF(D1362="","",IF(OR(SUMIF($J1348:$J1354,D1362,$O1348:$O1354)=0,N1362="NO"),"NO APORTA",SUMIF($J1348:$J1354,D1362,$O1348:$O1354)))</f>
        <v/>
      </c>
      <c r="G1362" s="380" t="str">
        <f>IF($D1362="","",IF($F1360&lt;=1,"",ROUND(POSMMLV*PORPO,2)))</f>
        <v/>
      </c>
      <c r="H1362" s="765" t="str">
        <f>IF($D1362="","",IF(OR(F1362="NO APORTA",G1362&gt;F1362),"NO CUMPLE","CUMPLE"))</f>
        <v/>
      </c>
      <c r="I1362" s="766"/>
      <c r="J1362" s="108" t="str">
        <f>IF(D1362="","",IF(OR(AND(SUMIF($J1345:$J1354,D1362,$O1345:$O1354)&gt;=5%*POSMMLV,N1362="SI"),AND(SUMIF($J1345:$J1354,D1362,$O1345:$O1354)=0,E1362&lt;=5%,N1362="SI")),"CUMPLE","NO CUMPLE"))</f>
        <v/>
      </c>
      <c r="K1362" s="105" t="str">
        <f>IF(OR(D1362="",J1362=""),"",IF(AND(J1362="NO CUMPLE",F1362="NO APORTA",E1362&gt;5%),"EXP = 0 y PART &gt; 5%",IF(F1362&lt;5%*Q1367,"EXP &lt; 5%*PO","")))</f>
        <v/>
      </c>
      <c r="L1362" s="389" t="str">
        <f>IF(OR(D1362="",E1362=""),"",IF(AND(E1362&gt;=0.25,F1362&lt;&gt;"NO APORTA",F1362&gt;=$R1367*0.25),"SI","NO"))</f>
        <v/>
      </c>
      <c r="M1362" s="389"/>
      <c r="N1362" s="468" t="s">
        <v>385</v>
      </c>
      <c r="O1362" s="396">
        <f>COUNTIFS(O1345:O1354,"&gt;0",H1345:H1354,"SI")</f>
        <v>3</v>
      </c>
      <c r="P1362" s="814" t="s">
        <v>139</v>
      </c>
      <c r="Q1362" s="814"/>
      <c r="R1362" s="817">
        <f>E1341</f>
        <v>45</v>
      </c>
      <c r="S1362" s="818"/>
      <c r="T1362" s="784" t="s">
        <v>412</v>
      </c>
      <c r="U1362" s="773"/>
      <c r="V1362" s="774"/>
      <c r="W1362" s="283"/>
      <c r="X1362" s="542" t="str">
        <f>IF($F1360=1,"NO APLICA",$D1362)</f>
        <v>NO APLICA</v>
      </c>
      <c r="Y1362" s="543" t="str">
        <f>IF(OR($F1362="",$F1362="NO APORTA",$R1367=0,$X1362="NO APLICA"),"",ROUND($F1362/$Q1367,2))</f>
        <v/>
      </c>
      <c r="Z1362" s="544" t="str">
        <f>IF(Y1368=1,"SI APLICA",IF(OR($X1362="",$X1362="NO APLICA",$F1362="",$F1362="NO APORTA"),"",IF(ROUND($F1362/Q1367,7)&gt;=0.4,"SI APLICA","NO APLICA")))</f>
        <v>SI APLICA</v>
      </c>
      <c r="AA1362" s="543" t="s">
        <v>413</v>
      </c>
      <c r="AB1362" s="540" t="str">
        <f>IF(COUNTIF(Z1362:AA1362,"SI APLICA")=2,"SI APLICA","")</f>
        <v>SI APLICA</v>
      </c>
      <c r="AC1362" s="28"/>
    </row>
    <row r="1363" spans="1:29" s="30" customFormat="1" ht="15.75" customHeight="1" thickBot="1">
      <c r="A1363" s="112" t="str">
        <f>"O"&amp;E1341</f>
        <v>O45</v>
      </c>
      <c r="B1363" s="791"/>
      <c r="C1363" s="54">
        <v>2</v>
      </c>
      <c r="D1363" s="100" t="str">
        <f>IF(AND(C1363&lt;=F1360,F1360&lt;&gt;""),VLOOKUP(VALUE(E1341&amp;","&amp;C1363),INTEGRANTES!$D$19:$F$192,2,0),"")</f>
        <v/>
      </c>
      <c r="E1363" s="107" t="str">
        <f>IF(D1363&lt;&gt;"",VLOOKUP(VALUE(E1341&amp;","&amp;C1363),INTEGRANTES!$D$19:$F$192,3,0),"")</f>
        <v/>
      </c>
      <c r="F1363" s="380" t="str">
        <f>IF(D1363="","",IF(OR(SUMIF($J1348:$J1354,D1363,$O1348:$O1354)=0,N1363="NO"),"NO APORTA",SUMIF($J1348:$J1354,D1363,$O1348:$O1354)))</f>
        <v/>
      </c>
      <c r="G1363" s="380" t="str">
        <f>IF($D1363="","",IF($F1360&lt;=1,"",ROUND(POSMMLV*PORPO,2)))</f>
        <v/>
      </c>
      <c r="H1363" s="765" t="str">
        <f t="shared" ref="H1363:H1366" si="272">IF($D1363="","",IF(OR(F1363="NO APORTA",G1363&gt;F1363),"NO CUMPLE","CUMPLE"))</f>
        <v/>
      </c>
      <c r="I1363" s="766"/>
      <c r="J1363" s="108" t="str">
        <f>IF(D1363="","",IF(OR(AND(SUMIF($J1345:$J1354,D1363,$O1345:$O1354)&gt;=5%*POSMMLV,N1363="SI"),AND(SUMIF($J1345:$J1354,D1363,$O1345:$O1354)=0,E1363&lt;=5%,N1363="SI")),"CUMPLE","NO CUMPLE"))</f>
        <v/>
      </c>
      <c r="K1363" s="105" t="str">
        <f>IF(OR(D1363="",J1363=""),"",IF(AND(J1363="NO CUMPLE",F1363="NO APORTA",E1363&gt;5%),"EXP = 0 y PART &gt; 5%",IF(F1363&lt;5%*Q1367,"EXP &lt; 5%*PO","")))</f>
        <v/>
      </c>
      <c r="L1363" s="389" t="str">
        <f>IF(OR(D1363="",E1363=""),"",IF(AND(E1363&gt;=0.25,F1363&lt;&gt;"NO APORTA",F1363&gt;=$R1367*0.25),"SI","NO"))</f>
        <v/>
      </c>
      <c r="M1363" s="389"/>
      <c r="N1363" s="468"/>
      <c r="O1363" s="396"/>
      <c r="P1363" s="815"/>
      <c r="Q1363" s="815"/>
      <c r="R1363" s="815"/>
      <c r="S1363" s="819"/>
      <c r="T1363" s="785"/>
      <c r="U1363" s="786"/>
      <c r="V1363" s="787"/>
      <c r="W1363" s="283"/>
      <c r="X1363" s="542" t="str">
        <f>IF($F1360=1,"NO APLICA",$D1363)</f>
        <v>NO APLICA</v>
      </c>
      <c r="Y1363" s="543" t="str">
        <f>IF(OR($F1363="",$F1363="NO APORTA",$R1367=0,$X1363="NO APLICA"),"",ROUND($F1363/$Q1367,2))</f>
        <v/>
      </c>
      <c r="Z1363" s="544"/>
      <c r="AA1363" s="543"/>
      <c r="AB1363" s="540" t="str">
        <f t="shared" ref="AB1363" si="273">IF(COUNTIF(Z1363:AA1363,"SI APLICA")=2,"SI APLICA","")</f>
        <v/>
      </c>
      <c r="AC1363" s="28"/>
    </row>
    <row r="1364" spans="1:29" s="30" customFormat="1" ht="15.75" customHeight="1">
      <c r="A1364" s="112" t="str">
        <f>"P"&amp;E1341</f>
        <v>P45</v>
      </c>
      <c r="B1364" s="791"/>
      <c r="C1364" s="54">
        <v>3</v>
      </c>
      <c r="D1364" s="100" t="str">
        <f>IF(AND(C1364&lt;=F1360,F1360&lt;&gt;""),VLOOKUP(VALUE(E1341&amp;","&amp;C1364),INTEGRANTES!$D$19:$F$192,2,0),"")</f>
        <v/>
      </c>
      <c r="E1364" s="107" t="str">
        <f>IF(D1364&lt;&gt;"",VLOOKUP(VALUE(E1341&amp;","&amp;C1364),INTEGRANTES!$D$19:$F$192,3,0),"")</f>
        <v/>
      </c>
      <c r="F1364" s="380" t="str">
        <f>IF(D1364="","",IF(OR(SUMIF($J1348:$J1354,D1364,$O1348:$O1354)=0,N1364="NO"),"NO APORTA",SUMIF($J1348:$J1354,D1364,$O1348:$O1354)))</f>
        <v/>
      </c>
      <c r="G1364" s="380" t="str">
        <f>IF($D1364="","",IF($F1360&lt;=1,"",ROUND(POSMMLV*PORPO,2)))</f>
        <v/>
      </c>
      <c r="H1364" s="765" t="str">
        <f t="shared" si="272"/>
        <v/>
      </c>
      <c r="I1364" s="766"/>
      <c r="J1364" s="108" t="str">
        <f>IF(D1364="","",IF(OR(AND(SUMIF($J1345:$J1354,D1364,$O1345:$O1354)&gt;=5%*POSMMLV,N1364="SI"),AND(SUMIF($J1345:$J1354,D1364,$O1345:$O1354)=0,E1364&lt;=5%,N1364="SI")),"CUMPLE","NO CUMPLE"))</f>
        <v/>
      </c>
      <c r="K1364" s="105" t="str">
        <f>IF(OR(D1364="",J1364=""),"",IF(AND(J1364="NO CUMPLE",F1364="NO APORTA",E1364&gt;5%),"EXP = 0 y PART &gt; 5%",IF(F1364&lt;5%*Q1367,"EXP &lt; 5%*PO","")))</f>
        <v/>
      </c>
      <c r="L1364" s="389" t="str">
        <f>IF(OR(D1364="",E1364=""),"",IF(AND(E1364&gt;=0.25,F1364&lt;&gt;"NO APORTA",F1364&gt;=$R1367*0.25),"SI","NO"))</f>
        <v/>
      </c>
      <c r="M1364" s="389"/>
      <c r="N1364" s="468"/>
      <c r="O1364" s="397"/>
      <c r="P1364" s="816"/>
      <c r="Q1364" s="816"/>
      <c r="R1364" s="816"/>
      <c r="S1364" s="820"/>
      <c r="T1364" s="308"/>
      <c r="U1364" s="308"/>
      <c r="V1364" s="309"/>
      <c r="W1364" s="284"/>
      <c r="X1364" s="542" t="str">
        <f>IF($F1360=1,"NO APLICA",$D1364)</f>
        <v>NO APLICA</v>
      </c>
      <c r="Y1364" s="543" t="str">
        <f>IF(OR($F1364="",$F1364="NO APORTA",$R1367=0,$X1364="NO APLICA"),"",ROUND($F1364/$Q1367,2))</f>
        <v/>
      </c>
      <c r="Z1364" s="544"/>
      <c r="AA1364" s="543"/>
      <c r="AB1364" s="540" t="str">
        <f>IF(COUNTIF(Z1364:AA1364,"SI APLICA")=2,"SI APLICA","")</f>
        <v/>
      </c>
      <c r="AC1364" s="28"/>
    </row>
    <row r="1365" spans="1:29" s="30" customFormat="1" ht="15.75" customHeight="1">
      <c r="A1365" s="112" t="str">
        <f>"Q"&amp;E1341</f>
        <v>Q45</v>
      </c>
      <c r="B1365" s="791"/>
      <c r="C1365" s="54">
        <v>4</v>
      </c>
      <c r="D1365" s="100" t="str">
        <f>IF(AND(C1365&lt;=F1360,F1360&lt;&gt;""),VLOOKUP(VALUE(E1341&amp;","&amp;C1365),INTEGRANTES!$D$19:$F$192,2,0),"")</f>
        <v/>
      </c>
      <c r="E1365" s="107" t="str">
        <f>IF(D1365&lt;&gt;"",VLOOKUP(VALUE(E1341&amp;","&amp;C1365),INTEGRANTES!$D$19:$F$192,3,0),"")</f>
        <v/>
      </c>
      <c r="F1365" s="380" t="str">
        <f>IF(D1365="","",IF(OR(SUMIF($J1348:$J1354,D1365,$O1348:$O1354)=0,N1365="NO"),"NO APORTA",SUMIF($J1348:$J1354,D1365,$O1348:$O1354)))</f>
        <v/>
      </c>
      <c r="G1365" s="380" t="str">
        <f>IF($D1365="","",IF($F1360&lt;=1,"",ROUND(POSMMLV*PORPO,2)))</f>
        <v/>
      </c>
      <c r="H1365" s="765" t="str">
        <f t="shared" si="272"/>
        <v/>
      </c>
      <c r="I1365" s="766"/>
      <c r="J1365" s="108" t="str">
        <f>IF(D1365="","",IF(OR(AND(SUMIF($J1345:$J1354,D1365,$O1345:$O1354)&gt;=5%*POSMMLV,N1365="SI"),AND(SUMIF($J1345:$J1354,D1365,$O1345:$O1354)=0,E1365&lt;=5%,N1365="SI")),"CUMPLE","NO CUMPLE"))</f>
        <v/>
      </c>
      <c r="K1365" s="105" t="str">
        <f>IF(OR(D1365="",J1365=""),"",IF(AND(J1365="NO CUMPLE",F1365="NO APORTA",E1365&gt;5%),"EXP = 0 y PART &gt; 5%",IF(F1365&lt;5%*Q1367,"EXP &lt; 5%*PO","")))</f>
        <v/>
      </c>
      <c r="L1365" s="389" t="str">
        <f>IF(OR(D1365="",E1365=""),"",IF(AND(E1365&gt;=0.25,F1365&lt;&gt;"NO APORTA",F1365&gt;=$R1367*0.25),"SI","NO"))</f>
        <v/>
      </c>
      <c r="M1365" s="389"/>
      <c r="N1365" s="468"/>
      <c r="O1365" s="788" t="s">
        <v>414</v>
      </c>
      <c r="P1365" s="769" t="s">
        <v>415</v>
      </c>
      <c r="Q1365" s="770"/>
      <c r="R1365" s="770"/>
      <c r="S1365" s="771"/>
      <c r="T1365" s="284"/>
      <c r="U1365" s="284"/>
      <c r="V1365" s="310"/>
      <c r="W1365" s="284"/>
      <c r="X1365" s="542" t="str">
        <f>IF($F1360=1,"NO APLICA",$D1365)</f>
        <v>NO APLICA</v>
      </c>
      <c r="Y1365" s="543" t="str">
        <f>IF(OR($F1365="",$F1365="NO APORTA",$R1367=0,$X1365="NO APLICA"),"",ROUND($F1365/$Q1367,2))</f>
        <v/>
      </c>
      <c r="Z1365" s="544"/>
      <c r="AA1365" s="543"/>
      <c r="AB1365" s="540" t="str">
        <f t="shared" ref="AB1365:AB1366" si="274">IF(COUNTIF(Z1365:AA1365,"SI APLICA")=2,"SI APLICA","")</f>
        <v/>
      </c>
      <c r="AC1365" s="28"/>
    </row>
    <row r="1366" spans="1:29" s="30" customFormat="1" ht="17.25" customHeight="1">
      <c r="A1366" s="112" t="str">
        <f>"R"&amp;E1341</f>
        <v>R45</v>
      </c>
      <c r="B1366" s="791"/>
      <c r="C1366" s="54">
        <v>5</v>
      </c>
      <c r="D1366" s="100" t="str">
        <f>IF(AND(C1366&lt;=F1360,F1360&lt;&gt;""),VLOOKUP(VALUE(E1341&amp;","&amp;C1366),INTEGRANTES!$D$19:$F$192,2,0),"")</f>
        <v/>
      </c>
      <c r="E1366" s="107" t="str">
        <f>IF(D1366&lt;&gt;"",VLOOKUP(VALUE(E1341&amp;","&amp;C1366),INTEGRANTES!$D$19:$F$192,3,0),"")</f>
        <v/>
      </c>
      <c r="F1366" s="380" t="str">
        <f>IF(D1366="","",IF(OR(SUMIF($J1348:$J1354,D1366,$O1348:$O1354)=0,N1366="NO"),"NO APORTA",SUMIF($J1348:$J1354,D1366,$O1348:$O1354)))</f>
        <v/>
      </c>
      <c r="G1366" s="380" t="str">
        <f>IF($D1366="","",IF($F1360&lt;=1,"",ROUND(POSMMLV*PORPO,2)))</f>
        <v/>
      </c>
      <c r="H1366" s="765" t="str">
        <f t="shared" si="272"/>
        <v/>
      </c>
      <c r="I1366" s="766"/>
      <c r="J1366" s="108" t="str">
        <f>IF(D1366="","",IF(OR(AND(SUMIF($J1345:$J1354,D1366,$O1345:$O1354)&gt;=5%*POSMMLV,N1366="SI"),AND(SUMIF($J1345:$J1354,D1366,$O1345:$O1354)=0,E1366&lt;=5%,N1366="SI")),"CUMPLE","NO CUMPLE"))</f>
        <v/>
      </c>
      <c r="K1366" s="105" t="str">
        <f>IF(OR(D1366="",J1366=""),"",IF(AND(J1366="NO CUMPLE",F1366="NO APORTA",E1366&gt;5%),"EXP = 0 y PART &gt; 5%",IF(F1366&lt;5%*Q1367,"EXP &lt; 5%*PO","")))</f>
        <v/>
      </c>
      <c r="L1366" s="389" t="str">
        <f>IF(OR(D1366="",E1366=""),"",IF(AND(E1366&gt;=0.25,F1366&lt;&gt;"NO APORTA",F1366&gt;=$R1367*0.25),"SI","NO"))</f>
        <v/>
      </c>
      <c r="M1366" s="389"/>
      <c r="N1366" s="468"/>
      <c r="O1366" s="789"/>
      <c r="P1366" s="504" t="s">
        <v>416</v>
      </c>
      <c r="Q1366" s="504" t="s">
        <v>417</v>
      </c>
      <c r="R1366" s="793" t="s">
        <v>418</v>
      </c>
      <c r="S1366" s="793"/>
      <c r="T1366" s="284"/>
      <c r="U1366" s="284"/>
      <c r="V1366" s="310"/>
      <c r="W1366" s="284"/>
      <c r="X1366" s="542" t="str">
        <f>IF($F1360=1,"NO APLICA",$D1366)</f>
        <v>NO APLICA</v>
      </c>
      <c r="Y1366" s="543" t="str">
        <f>IF(OR($F1366="",$F1366="NO APORTA",$R1367=0,$X1366="NO APLICA"),"",ROUND($F1366/$Q1367,2))</f>
        <v/>
      </c>
      <c r="Z1366" s="544"/>
      <c r="AA1366" s="543"/>
      <c r="AB1366" s="540" t="str">
        <f t="shared" si="274"/>
        <v/>
      </c>
      <c r="AC1366" s="28"/>
    </row>
    <row r="1367" spans="1:29" s="30" customFormat="1" ht="16.5" customHeight="1" thickBot="1">
      <c r="A1367" s="112" t="str">
        <f>"S"&amp;E1341</f>
        <v>S45</v>
      </c>
      <c r="B1367" s="791"/>
      <c r="C1367" s="109">
        <v>6</v>
      </c>
      <c r="D1367" s="110" t="str">
        <f>IF(AND(C1367&lt;=F1360,F1360&lt;&gt;""),VLOOKUP(VALUE(E1341&amp;","&amp;C1367),INTEGRANTES!$D$19:$F$192,2,0),"")</f>
        <v/>
      </c>
      <c r="E1367" s="111" t="str">
        <f>IF(D1367&lt;&gt;"",VLOOKUP(VALUE(E1341&amp;","&amp;C1367),INTEGRANTES!$D$19:$F$192,3,0),"")</f>
        <v/>
      </c>
      <c r="F1367" s="380" t="str">
        <f>IF(D1367="","",IF(OR(SUMIF($J1348:$J1354,D1367,$O1348:$O1354)=0,N1367="NO"),"NO APORTA",SUMIF($J1348:$J1354,D1367,$O1348:$O1354)))</f>
        <v/>
      </c>
      <c r="G1367" s="380" t="str">
        <f>IF($D1367="","",IF($F1360&lt;=1,"",ROUND(POSMMLV*PORPO,2)))</f>
        <v/>
      </c>
      <c r="H1367" s="765" t="str">
        <f>IF($D1367="","",IF(OR(F1367="NO APORTA",G1367&gt;F1367),"NO CUMPLE","CUMPLE"))</f>
        <v/>
      </c>
      <c r="I1367" s="766"/>
      <c r="J1367" s="108" t="str">
        <f>IF(D1367="","",IF(OR(AND(SUMIF($J1345:$J1354,D1367,$O1345:$O1354)&gt;=5%*POSMMLV,N1367="SI"),AND(SUMIF($J1345:$J1354,D1367,$O1345:$O1354)=0,E1367&lt;=5%,N1367="SI")),"CUMPLE","NO CUMPLE"))</f>
        <v/>
      </c>
      <c r="K1367" s="105" t="str">
        <f>IF(OR(D1367="",J1367=""),"",IF(AND(J1367="NO CUMPLE",F1367="NO APORTA",E1367&gt;5%),"EXP = 0 y PART &gt; 5%",IF(F1367&lt;5%*Q1367,"EXP &lt; 5%*PO","")))</f>
        <v/>
      </c>
      <c r="L1367" s="389" t="str">
        <f>IF(OR(D1367="",E1367=""),"",IF(AND(E1367&gt;=0.25,F1367&lt;&gt;"NO APORTA",F1367&gt;=$R1367*0.25),"SI","NO"))</f>
        <v/>
      </c>
      <c r="M1367" s="389"/>
      <c r="N1367" s="468"/>
      <c r="O1367" s="403" t="str">
        <f ca="1">IF(R1367&gt;=Q1367,"CUMPLE","NO CUMPLE")</f>
        <v>CUMPLE</v>
      </c>
      <c r="P1367" s="312">
        <f>NUMMOD</f>
        <v>1</v>
      </c>
      <c r="Q1367" s="313">
        <f ca="1">IF(P1367="","",ROUND(VLOOKUP(P1367,PRESUPUESTOS!$B$16:$L$16,9,FALSE),7))</f>
        <v>300</v>
      </c>
      <c r="R1367" s="834">
        <f>IF(OR(COUNTIF(O1345:O1354,"")&gt;9,S1361&lt;NUMMINCONT),0,SUM(O1345:O1354))</f>
        <v>1407.604</v>
      </c>
      <c r="S1367" s="834"/>
      <c r="T1367" s="284"/>
      <c r="U1367" s="284"/>
      <c r="V1367" s="310"/>
      <c r="W1367" s="284"/>
      <c r="X1367" s="545" t="str">
        <f>IF($F1360=1,"NO APLICA",$D1367)</f>
        <v>NO APLICA</v>
      </c>
      <c r="Y1367" s="543" t="str">
        <f>IF(OR($F1367="",$F1367="NO APORTA",$R1367=0,$X1367="NO APLICA"),"",ROUND($F1367/$Q1367,2))</f>
        <v/>
      </c>
      <c r="Z1367" s="544"/>
      <c r="AA1367" s="546"/>
      <c r="AB1367" s="540" t="str">
        <f>IF(COUNTIF(Z1367:AA1367,"SI APLICA")=2,"SI APLICA","")</f>
        <v/>
      </c>
      <c r="AC1367" s="28"/>
    </row>
    <row r="1368" spans="1:29" s="30" customFormat="1" ht="16.5" customHeight="1" thickBot="1">
      <c r="A1368" s="112" t="str">
        <f>"T"&amp;E1341</f>
        <v>T45</v>
      </c>
      <c r="B1368" s="792"/>
      <c r="C1368" s="821" t="s">
        <v>419</v>
      </c>
      <c r="D1368" s="822"/>
      <c r="E1368" s="822"/>
      <c r="F1368" s="518"/>
      <c r="G1368" s="519"/>
      <c r="H1368" s="794" t="str">
        <f>IF(OR($F1360="",SUM(E1362:E1367)=0),"",IF(COUNTIF(H1362:H1367,"CUMPLE")&gt;=1,"CUMPLE","NO CUMPLE"))</f>
        <v/>
      </c>
      <c r="I1368" s="795"/>
      <c r="J1368" s="314" t="str">
        <f>IF(COUNTIF(J1362:J1367,"")&gt;5,"",IF(COUNTIF(J1362:J1367,"NO CUMPLE")&gt;0,"NO CUMPLE","CUMPLE"))</f>
        <v/>
      </c>
      <c r="K1368" s="314" t="str">
        <f>IF(OR(AND(F1360=1,N1362="SI"),AND(COUNTIF(H1368:J1368,"CUMPLE")=2)),"CUMPLE","NO CUMPLE")</f>
        <v>CUMPLE</v>
      </c>
      <c r="L1368" s="519"/>
      <c r="M1368" s="519"/>
      <c r="N1368" s="519"/>
      <c r="O1368" s="833" t="str">
        <f ca="1">IF(ISNUMBER(F1341),"",IF(AND(O1367="NO CUMPLE",SUM(N1348:N1354)&lt;Q1367),"EL PROPONENTE SE DEBE REQUERIR POR EXPERIENCIA MINIMA EXIGIDA",""))</f>
        <v/>
      </c>
      <c r="P1368" s="833"/>
      <c r="Q1368" s="833"/>
      <c r="R1368" s="833"/>
      <c r="S1368" s="833"/>
      <c r="T1368" s="522"/>
      <c r="U1368" s="523"/>
      <c r="V1368" s="524"/>
      <c r="W1368" s="284"/>
      <c r="X1368" s="364" t="str">
        <f>IF(Y1368=1,"PROPONENTE INDIVIDUAL","PROPONENTE PLURAL")</f>
        <v>PROPONENTE INDIVIDUAL</v>
      </c>
      <c r="Y1368" s="276">
        <f>F1360</f>
        <v>1</v>
      </c>
      <c r="Z1368" s="277" t="str">
        <f>IF(OR(AND(Z1362="SI APLICA",AA1362="SI APLICA"),AND(Z1363="SI APLICA",AA1363="SI APLICA"),AND(Z1364="SI APLICA",AA1364="SI APLICA"),AND(Z1365="SI APLICA",AA1365="SI APLICA"),AND(Z1366="SI APLICA",AA1366="SI APLICA"),AND(Z1367="SI APLICA",AA1367="SI APLICA")),"SI APLICA","NO APLICA")</f>
        <v>SI APLICA</v>
      </c>
      <c r="AA1368" s="278" t="str">
        <f>IF(OR(AND(AA1362="SI APLICA",AB1362="SI APLICA"),AND(AA1363="SI APLICA",AB1363="SI APLICA"),AND(AA1364="SI APLICA",AB1364="SI APLICA"),AND(AA1365="SI APLICA",AB1365="SI APLICA"),AND(AA1366="SI APLICA",AB1366="SI APLICA"),AND(AA1367="SI APLICA",AB1367="SI APLICA")),"SI APLICA","NO APLICA")</f>
        <v>SI APLICA</v>
      </c>
      <c r="AB1368" s="278" t="str">
        <f>IF(COUNTIF(AB1362:AB1367,"SI APLICA")&gt;0,"SI APLICA","NO APLICA")</f>
        <v>SI APLICA</v>
      </c>
      <c r="AC1368" s="28"/>
    </row>
    <row r="1369" spans="1:29" ht="24.95" customHeight="1"/>
    <row r="1370" spans="1:29" ht="24.95" customHeight="1"/>
    <row r="1371" spans="1:29" s="41" customFormat="1" ht="24" thickBot="1">
      <c r="A1371" s="34">
        <v>46</v>
      </c>
      <c r="B1371" s="828" t="s">
        <v>355</v>
      </c>
      <c r="C1371" s="828"/>
      <c r="D1371" s="828"/>
      <c r="E1371" s="35">
        <f>VLOOKUP(A1371,PROPONENTES!$B$19:$E$108,2,FALSE)</f>
        <v>46</v>
      </c>
      <c r="F1371" s="36" t="str">
        <f>VLOOKUP(A1371,PROPONENTES!$B$19:$E$108,3,FALSE)</f>
        <v>CONSULTORES SOLANO NAVAS LTDA</v>
      </c>
      <c r="G1371" s="37"/>
      <c r="H1371" s="37"/>
      <c r="I1371" s="36"/>
      <c r="J1371" s="36"/>
      <c r="K1371" s="36"/>
      <c r="L1371" s="36"/>
      <c r="M1371" s="38"/>
      <c r="N1371" s="38"/>
      <c r="O1371" s="37"/>
      <c r="P1371" s="37"/>
      <c r="Q1371" s="39"/>
      <c r="R1371" s="39"/>
      <c r="S1371" s="39"/>
      <c r="T1371" s="39"/>
      <c r="U1371" s="40"/>
      <c r="Y1371" s="52"/>
      <c r="Z1371" s="52"/>
      <c r="AA1371" s="52"/>
      <c r="AB1371" s="28"/>
      <c r="AC1371" s="28"/>
    </row>
    <row r="1372" spans="1:29" s="27" customFormat="1" ht="24.75" customHeight="1">
      <c r="A1372" s="22"/>
      <c r="B1372" s="829" t="s">
        <v>356</v>
      </c>
      <c r="C1372" s="501" t="s">
        <v>357</v>
      </c>
      <c r="D1372" s="502" t="s">
        <v>358</v>
      </c>
      <c r="E1372" s="502"/>
      <c r="F1372" s="502" t="s">
        <v>359</v>
      </c>
      <c r="G1372" s="503"/>
      <c r="H1372" s="803" t="s">
        <v>360</v>
      </c>
      <c r="I1372" s="831" t="s">
        <v>361</v>
      </c>
      <c r="J1372" s="803" t="s">
        <v>362</v>
      </c>
      <c r="K1372" s="803" t="s">
        <v>363</v>
      </c>
      <c r="L1372" s="803" t="s">
        <v>364</v>
      </c>
      <c r="M1372" s="803" t="s">
        <v>365</v>
      </c>
      <c r="N1372" s="804" t="s">
        <v>366</v>
      </c>
      <c r="O1372" s="805"/>
      <c r="P1372" s="806" t="s">
        <v>367</v>
      </c>
      <c r="Q1372" s="807"/>
      <c r="R1372" s="784" t="s">
        <v>368</v>
      </c>
      <c r="S1372" s="774"/>
      <c r="T1372" s="798" t="s">
        <v>369</v>
      </c>
      <c r="U1372" s="799"/>
      <c r="V1372" s="800"/>
      <c r="X1372" s="520"/>
      <c r="Y1372" s="520"/>
    </row>
    <row r="1373" spans="1:29" s="27" customFormat="1" ht="94.5" customHeight="1">
      <c r="A1373" s="22"/>
      <c r="B1373" s="830"/>
      <c r="C1373" s="504" t="s">
        <v>370</v>
      </c>
      <c r="D1373" s="505" t="s">
        <v>41</v>
      </c>
      <c r="E1373" s="505" t="s">
        <v>371</v>
      </c>
      <c r="F1373" s="505" t="s">
        <v>372</v>
      </c>
      <c r="G1373" s="506" t="s">
        <v>373</v>
      </c>
      <c r="H1373" s="793"/>
      <c r="I1373" s="832"/>
      <c r="J1373" s="793"/>
      <c r="K1373" s="793"/>
      <c r="L1373" s="793"/>
      <c r="M1373" s="793"/>
      <c r="N1373" s="504" t="s">
        <v>374</v>
      </c>
      <c r="O1373" s="505" t="s">
        <v>375</v>
      </c>
      <c r="P1373" s="801"/>
      <c r="Q1373" s="802"/>
      <c r="R1373" s="796"/>
      <c r="S1373" s="797"/>
      <c r="T1373" s="507" t="s">
        <v>376</v>
      </c>
      <c r="U1373" s="508" t="s">
        <v>377</v>
      </c>
      <c r="V1373" s="509" t="s">
        <v>378</v>
      </c>
      <c r="X1373" s="521" t="s">
        <v>379</v>
      </c>
      <c r="Y1373" s="521" t="s">
        <v>380</v>
      </c>
    </row>
    <row r="1374" spans="1:29" s="27" customFormat="1" ht="15" customHeight="1">
      <c r="A1374" s="22"/>
      <c r="B1374" s="594"/>
      <c r="C1374" s="595">
        <v>3</v>
      </c>
      <c r="D1374" s="595">
        <v>4</v>
      </c>
      <c r="E1374" s="595">
        <v>5</v>
      </c>
      <c r="F1374" s="595">
        <v>6</v>
      </c>
      <c r="G1374" s="595">
        <v>7</v>
      </c>
      <c r="H1374" s="595">
        <v>8</v>
      </c>
      <c r="I1374" s="595">
        <v>9</v>
      </c>
      <c r="J1374" s="595">
        <v>10</v>
      </c>
      <c r="K1374" s="595">
        <v>11</v>
      </c>
      <c r="L1374" s="595">
        <v>12</v>
      </c>
      <c r="M1374" s="595">
        <v>13</v>
      </c>
      <c r="N1374" s="595">
        <v>14</v>
      </c>
      <c r="O1374" s="595">
        <v>15</v>
      </c>
      <c r="P1374" s="596">
        <v>16</v>
      </c>
      <c r="Q1374" s="597">
        <v>17</v>
      </c>
      <c r="R1374" s="596">
        <v>18</v>
      </c>
      <c r="S1374" s="597">
        <v>19</v>
      </c>
      <c r="T1374" s="598">
        <v>20</v>
      </c>
      <c r="U1374" s="255">
        <v>21</v>
      </c>
      <c r="V1374" s="599">
        <v>22</v>
      </c>
      <c r="X1374" s="589"/>
      <c r="Y1374" s="590"/>
    </row>
    <row r="1375" spans="1:29" s="44" customFormat="1" ht="36.75" customHeight="1">
      <c r="A1375" s="42" t="str">
        <f>"A"&amp;E1371</f>
        <v>A46</v>
      </c>
      <c r="B1375" s="605">
        <f>IF(C1375&lt;&gt;"",B1374+1,"")</f>
        <v>1</v>
      </c>
      <c r="C1375" s="581" t="s">
        <v>751</v>
      </c>
      <c r="D1375" s="581" t="s">
        <v>752</v>
      </c>
      <c r="E1375" s="581" t="s">
        <v>753</v>
      </c>
      <c r="F1375" s="581" t="s">
        <v>580</v>
      </c>
      <c r="G1375" s="534">
        <v>1</v>
      </c>
      <c r="H1375" s="534" t="s">
        <v>385</v>
      </c>
      <c r="I1375" s="579" t="s">
        <v>384</v>
      </c>
      <c r="J1375" s="580" t="str">
        <f>IF(I1375="","",IF(I1375="I",$F1371,VLOOKUP(I1375,$C1392:$D1397,2,0)))</f>
        <v>CONSULTORES SOLANO NAVAS LTDA</v>
      </c>
      <c r="K1375" s="535">
        <v>37893</v>
      </c>
      <c r="L1375" s="535">
        <v>38079</v>
      </c>
      <c r="M1375" s="536">
        <v>434.32</v>
      </c>
      <c r="N1375" s="232">
        <f t="shared" ref="N1375:N1384" si="275">IF(OR(G1375="",M1375=""),"",M1375*G1375)</f>
        <v>434.32</v>
      </c>
      <c r="O1375" s="629">
        <f t="shared" ref="O1375:O1384" si="276">IF(OR(H1375="",H1375="NO",K1375&lt;$Q$17,K1375&gt;$R$17,K1375="",M1375="",N1375=""),"",ROUND(N1375,7))</f>
        <v>434.32</v>
      </c>
      <c r="P1375" s="781"/>
      <c r="Q1375" s="782"/>
      <c r="R1375" s="767"/>
      <c r="S1375" s="768"/>
      <c r="T1375" s="538" t="s">
        <v>385</v>
      </c>
      <c r="U1375" s="539">
        <v>12</v>
      </c>
      <c r="V1375" s="641" t="s">
        <v>385</v>
      </c>
      <c r="X1375" s="541" t="s">
        <v>449</v>
      </c>
      <c r="Y1375" s="541" t="s">
        <v>387</v>
      </c>
    </row>
    <row r="1376" spans="1:29" s="44" customFormat="1" ht="38.25" customHeight="1">
      <c r="A1376" s="42" t="str">
        <f>"B"&amp;E1371</f>
        <v>B46</v>
      </c>
      <c r="B1376" s="605">
        <f t="shared" ref="B1376:B1384" si="277">IF(C1376&lt;&gt;"",B1375+1,"")</f>
        <v>2</v>
      </c>
      <c r="C1376" s="581" t="s">
        <v>584</v>
      </c>
      <c r="D1376" s="581" t="s">
        <v>754</v>
      </c>
      <c r="E1376" s="581" t="s">
        <v>755</v>
      </c>
      <c r="F1376" s="581" t="s">
        <v>431</v>
      </c>
      <c r="G1376" s="534">
        <v>0.41</v>
      </c>
      <c r="H1376" s="534" t="s">
        <v>385</v>
      </c>
      <c r="I1376" s="579" t="s">
        <v>384</v>
      </c>
      <c r="J1376" s="580" t="str">
        <f>IF(I1376="","",IF(I1376="I",$F1371,VLOOKUP(I1376,$C1392:$D1397,2,0)))</f>
        <v>CONSULTORES SOLANO NAVAS LTDA</v>
      </c>
      <c r="K1376" s="535">
        <v>37757</v>
      </c>
      <c r="L1376" s="535">
        <v>37953</v>
      </c>
      <c r="M1376" s="536">
        <v>622.74</v>
      </c>
      <c r="N1376" s="232">
        <f t="shared" si="275"/>
        <v>255.32339999999999</v>
      </c>
      <c r="O1376" s="629">
        <f t="shared" si="276"/>
        <v>255.32339999999999</v>
      </c>
      <c r="P1376" s="781"/>
      <c r="Q1376" s="782"/>
      <c r="R1376" s="841" t="s">
        <v>735</v>
      </c>
      <c r="S1376" s="842"/>
      <c r="T1376" s="538" t="s">
        <v>385</v>
      </c>
      <c r="U1376" s="539">
        <v>26</v>
      </c>
      <c r="V1376" s="641" t="s">
        <v>385</v>
      </c>
      <c r="X1376" s="541" t="s">
        <v>449</v>
      </c>
      <c r="Y1376" s="541" t="s">
        <v>387</v>
      </c>
    </row>
    <row r="1377" spans="1:29" s="44" customFormat="1" ht="39.75" customHeight="1">
      <c r="A1377" s="42" t="str">
        <f>"C"&amp;E1371</f>
        <v>C46</v>
      </c>
      <c r="B1377" s="605">
        <f t="shared" si="277"/>
        <v>3</v>
      </c>
      <c r="C1377" s="581" t="s">
        <v>756</v>
      </c>
      <c r="D1377" s="581" t="s">
        <v>757</v>
      </c>
      <c r="E1377" s="581" t="s">
        <v>758</v>
      </c>
      <c r="F1377" s="581" t="s">
        <v>431</v>
      </c>
      <c r="G1377" s="534">
        <v>0.4</v>
      </c>
      <c r="H1377" s="534" t="s">
        <v>385</v>
      </c>
      <c r="I1377" s="579" t="s">
        <v>384</v>
      </c>
      <c r="J1377" s="580" t="str">
        <f>IF(I1377="","",IF(I1377="I",$F1371,VLOOKUP(I1377,$C1392:$D1397,2,0)))</f>
        <v>CONSULTORES SOLANO NAVAS LTDA</v>
      </c>
      <c r="K1377" s="535">
        <v>41512</v>
      </c>
      <c r="L1377" s="535">
        <v>41974</v>
      </c>
      <c r="M1377" s="536">
        <v>1622.3</v>
      </c>
      <c r="N1377" s="232">
        <f t="shared" si="275"/>
        <v>648.92000000000007</v>
      </c>
      <c r="O1377" s="629">
        <f t="shared" si="276"/>
        <v>648.91999999999996</v>
      </c>
      <c r="P1377" s="781"/>
      <c r="Q1377" s="782"/>
      <c r="R1377" s="767"/>
      <c r="S1377" s="768"/>
      <c r="T1377" s="538" t="s">
        <v>385</v>
      </c>
      <c r="U1377" s="539">
        <v>58</v>
      </c>
      <c r="V1377" s="641" t="s">
        <v>385</v>
      </c>
      <c r="X1377" s="541" t="s">
        <v>386</v>
      </c>
      <c r="Y1377" s="541" t="s">
        <v>387</v>
      </c>
    </row>
    <row r="1378" spans="1:29" s="44" customFormat="1" ht="24.95" customHeight="1">
      <c r="A1378" s="42" t="str">
        <f>"D"&amp;E1371</f>
        <v>D46</v>
      </c>
      <c r="B1378" s="605" t="str">
        <f t="shared" si="277"/>
        <v/>
      </c>
      <c r="C1378" s="581"/>
      <c r="D1378" s="581"/>
      <c r="E1378" s="581"/>
      <c r="F1378" s="581"/>
      <c r="G1378" s="534"/>
      <c r="H1378" s="534"/>
      <c r="I1378" s="579"/>
      <c r="J1378" s="580" t="str">
        <f>IF(I1378="","",IF(I1378="I",$F1371,VLOOKUP(I1378,$C1392:$D1397,2,0)))</f>
        <v/>
      </c>
      <c r="K1378" s="535"/>
      <c r="L1378" s="535"/>
      <c r="M1378" s="536"/>
      <c r="N1378" s="232" t="str">
        <f t="shared" si="275"/>
        <v/>
      </c>
      <c r="O1378" s="260" t="str">
        <f t="shared" si="276"/>
        <v/>
      </c>
      <c r="P1378" s="781"/>
      <c r="Q1378" s="782"/>
      <c r="R1378" s="767"/>
      <c r="S1378" s="768"/>
      <c r="T1378" s="538"/>
      <c r="U1378" s="539"/>
      <c r="V1378" s="540"/>
      <c r="X1378" s="541"/>
      <c r="Y1378" s="541"/>
    </row>
    <row r="1379" spans="1:29" s="44" customFormat="1" ht="24.95" customHeight="1">
      <c r="A1379" s="42" t="str">
        <f>"E"&amp;E1371</f>
        <v>E46</v>
      </c>
      <c r="B1379" s="605" t="str">
        <f t="shared" si="277"/>
        <v/>
      </c>
      <c r="C1379" s="581"/>
      <c r="D1379" s="581"/>
      <c r="E1379" s="581"/>
      <c r="F1379" s="581"/>
      <c r="G1379" s="534"/>
      <c r="H1379" s="534"/>
      <c r="I1379" s="579"/>
      <c r="J1379" s="580" t="str">
        <f>IF(I1379="","",IF(I1379="I",$F1371,VLOOKUP(I1379,$C1392:$D1397,2,0)))</f>
        <v/>
      </c>
      <c r="K1379" s="535"/>
      <c r="L1379" s="535"/>
      <c r="M1379" s="536"/>
      <c r="N1379" s="232" t="str">
        <f t="shared" si="275"/>
        <v/>
      </c>
      <c r="O1379" s="260" t="str">
        <f t="shared" si="276"/>
        <v/>
      </c>
      <c r="P1379" s="781"/>
      <c r="Q1379" s="782"/>
      <c r="R1379" s="767"/>
      <c r="S1379" s="768"/>
      <c r="T1379" s="538"/>
      <c r="U1379" s="539"/>
      <c r="V1379" s="540"/>
      <c r="X1379" s="541"/>
      <c r="Y1379" s="541"/>
    </row>
    <row r="1380" spans="1:29" s="44" customFormat="1" ht="24.95" customHeight="1">
      <c r="A1380" s="42" t="str">
        <f>"F"&amp;E1371</f>
        <v>F46</v>
      </c>
      <c r="B1380" s="605" t="str">
        <f t="shared" si="277"/>
        <v/>
      </c>
      <c r="C1380" s="581"/>
      <c r="D1380" s="581"/>
      <c r="E1380" s="581"/>
      <c r="F1380" s="581"/>
      <c r="G1380" s="534"/>
      <c r="H1380" s="534"/>
      <c r="I1380" s="579"/>
      <c r="J1380" s="580" t="str">
        <f>IF(I1380="","",IF(I1380="I",$F1371,VLOOKUP(I1380,$C1392:$D1397,2,0)))</f>
        <v/>
      </c>
      <c r="K1380" s="535"/>
      <c r="L1380" s="535"/>
      <c r="M1380" s="536"/>
      <c r="N1380" s="232" t="str">
        <f t="shared" si="275"/>
        <v/>
      </c>
      <c r="O1380" s="260" t="str">
        <f t="shared" si="276"/>
        <v/>
      </c>
      <c r="P1380" s="781"/>
      <c r="Q1380" s="782"/>
      <c r="R1380" s="767"/>
      <c r="S1380" s="768"/>
      <c r="T1380" s="538"/>
      <c r="U1380" s="539"/>
      <c r="V1380" s="540"/>
      <c r="X1380" s="541"/>
      <c r="Y1380" s="541"/>
    </row>
    <row r="1381" spans="1:29" s="44" customFormat="1" ht="24.95" customHeight="1">
      <c r="A1381" s="42" t="str">
        <f>"G"&amp;E1371</f>
        <v>G46</v>
      </c>
      <c r="B1381" s="605" t="str">
        <f t="shared" si="277"/>
        <v/>
      </c>
      <c r="C1381" s="581"/>
      <c r="D1381" s="581"/>
      <c r="E1381" s="581"/>
      <c r="F1381" s="581"/>
      <c r="G1381" s="534"/>
      <c r="H1381" s="534"/>
      <c r="I1381" s="579"/>
      <c r="J1381" s="580" t="str">
        <f>IF(I1381="","",IF(I1381="I",$F1371,VLOOKUP(I1381,$C1392:$D1397,2,0)))</f>
        <v/>
      </c>
      <c r="K1381" s="535"/>
      <c r="L1381" s="535"/>
      <c r="M1381" s="536"/>
      <c r="N1381" s="43" t="str">
        <f t="shared" si="275"/>
        <v/>
      </c>
      <c r="O1381" s="260" t="str">
        <f t="shared" si="276"/>
        <v/>
      </c>
      <c r="P1381" s="781"/>
      <c r="Q1381" s="782"/>
      <c r="R1381" s="767"/>
      <c r="S1381" s="768"/>
      <c r="T1381" s="538"/>
      <c r="U1381" s="539"/>
      <c r="V1381" s="540"/>
      <c r="X1381" s="541"/>
      <c r="Y1381" s="541"/>
    </row>
    <row r="1382" spans="1:29" s="44" customFormat="1" ht="24.95" customHeight="1">
      <c r="A1382" s="42" t="str">
        <f>"H"&amp;E1371</f>
        <v>H46</v>
      </c>
      <c r="B1382" s="605" t="str">
        <f t="shared" si="277"/>
        <v/>
      </c>
      <c r="C1382" s="581"/>
      <c r="D1382" s="581"/>
      <c r="E1382" s="581"/>
      <c r="F1382" s="581"/>
      <c r="G1382" s="534"/>
      <c r="H1382" s="534"/>
      <c r="I1382" s="579"/>
      <c r="J1382" s="580" t="str">
        <f>IF(I1382="","",IF(I1382="I",$F1371,VLOOKUP(I1382,$C1392:$D1397,2,0)))</f>
        <v/>
      </c>
      <c r="K1382" s="535"/>
      <c r="L1382" s="535"/>
      <c r="M1382" s="537"/>
      <c r="N1382" s="43" t="str">
        <f t="shared" si="275"/>
        <v/>
      </c>
      <c r="O1382" s="260" t="str">
        <f t="shared" si="276"/>
        <v/>
      </c>
      <c r="P1382" s="781"/>
      <c r="Q1382" s="782"/>
      <c r="R1382" s="767"/>
      <c r="S1382" s="768"/>
      <c r="T1382" s="538"/>
      <c r="U1382" s="539"/>
      <c r="V1382" s="540"/>
      <c r="X1382" s="541"/>
      <c r="Y1382" s="541"/>
    </row>
    <row r="1383" spans="1:29" s="44" customFormat="1" ht="24.95" customHeight="1">
      <c r="A1383" s="42" t="str">
        <f>"I"&amp;E1371</f>
        <v>I46</v>
      </c>
      <c r="B1383" s="605" t="str">
        <f t="shared" si="277"/>
        <v/>
      </c>
      <c r="C1383" s="581"/>
      <c r="D1383" s="581"/>
      <c r="E1383" s="581"/>
      <c r="F1383" s="581"/>
      <c r="G1383" s="534"/>
      <c r="H1383" s="534"/>
      <c r="I1383" s="579"/>
      <c r="J1383" s="580" t="str">
        <f>IF(I1383="","",IF(I1383="I",$F1371,VLOOKUP(I1383,$C1392:$D1397,2,0)))</f>
        <v/>
      </c>
      <c r="K1383" s="535"/>
      <c r="L1383" s="535"/>
      <c r="M1383" s="537"/>
      <c r="N1383" s="43" t="str">
        <f t="shared" si="275"/>
        <v/>
      </c>
      <c r="O1383" s="260" t="str">
        <f t="shared" si="276"/>
        <v/>
      </c>
      <c r="P1383" s="781"/>
      <c r="Q1383" s="782"/>
      <c r="R1383" s="767"/>
      <c r="S1383" s="768"/>
      <c r="T1383" s="538"/>
      <c r="U1383" s="539"/>
      <c r="V1383" s="540"/>
      <c r="X1383" s="541"/>
      <c r="Y1383" s="541"/>
    </row>
    <row r="1384" spans="1:29" s="44" customFormat="1" ht="24.95" customHeight="1" thickBot="1">
      <c r="A1384" s="42" t="str">
        <f>"J"&amp;E1371</f>
        <v>J46</v>
      </c>
      <c r="B1384" s="612" t="str">
        <f t="shared" si="277"/>
        <v/>
      </c>
      <c r="C1384" s="582"/>
      <c r="D1384" s="582"/>
      <c r="E1384" s="582"/>
      <c r="F1384" s="582"/>
      <c r="G1384" s="583"/>
      <c r="H1384" s="583"/>
      <c r="I1384" s="584"/>
      <c r="J1384" s="585" t="str">
        <f>IF(I1384="","",IF(I1384="I",$F1371,VLOOKUP(I1384,$C1392:$D1397,2,0)))</f>
        <v/>
      </c>
      <c r="K1384" s="586"/>
      <c r="L1384" s="586"/>
      <c r="M1384" s="587"/>
      <c r="N1384" s="43" t="str">
        <f t="shared" si="275"/>
        <v/>
      </c>
      <c r="O1384" s="260" t="str">
        <f t="shared" si="276"/>
        <v/>
      </c>
      <c r="P1384" s="781"/>
      <c r="Q1384" s="782"/>
      <c r="R1384" s="767"/>
      <c r="S1384" s="768"/>
      <c r="T1384" s="538"/>
      <c r="U1384" s="539"/>
      <c r="V1384" s="540"/>
      <c r="X1384" s="541"/>
      <c r="Y1384" s="541"/>
    </row>
    <row r="1385" spans="1:29" s="27" customFormat="1" ht="12" customHeight="1" thickBot="1">
      <c r="A1385" s="42"/>
      <c r="B1385" s="45"/>
      <c r="C1385" s="46"/>
      <c r="D1385" s="46"/>
      <c r="E1385" s="46"/>
      <c r="F1385" s="46"/>
      <c r="G1385" s="46"/>
      <c r="H1385" s="606"/>
      <c r="I1385" s="46"/>
      <c r="J1385" s="46"/>
      <c r="K1385" s="46"/>
      <c r="L1385" s="46"/>
      <c r="M1385" s="46"/>
      <c r="N1385" s="46"/>
      <c r="O1385" s="259"/>
      <c r="P1385" s="46"/>
      <c r="Q1385" s="46"/>
      <c r="R1385" s="259"/>
      <c r="S1385" s="46"/>
      <c r="T1385" s="46"/>
      <c r="U1385" s="47"/>
      <c r="V1385" s="48"/>
      <c r="X1385" s="592"/>
      <c r="Y1385" s="593"/>
      <c r="AB1385" s="378"/>
    </row>
    <row r="1386" spans="1:29" s="27" customFormat="1" ht="17.25" customHeight="1" thickBot="1">
      <c r="A1386" s="42" t="str">
        <f>"Z"&amp;E1371</f>
        <v>Z46</v>
      </c>
      <c r="B1386" s="510"/>
      <c r="C1386" s="511"/>
      <c r="D1386" s="511"/>
      <c r="E1386" s="511"/>
      <c r="F1386" s="511"/>
      <c r="G1386" s="511"/>
      <c r="H1386" s="511"/>
      <c r="I1386" s="511"/>
      <c r="J1386" s="511"/>
      <c r="K1386" s="511"/>
      <c r="L1386" s="511"/>
      <c r="M1386" s="511"/>
      <c r="N1386" s="437" t="s">
        <v>388</v>
      </c>
      <c r="O1386" s="438">
        <f>IF(COUNTIF(O1375:O1384,"")&gt;9,0,SUM(O1375:O1384)/(COUNTIF(H1375:H1384,"SI")))</f>
        <v>446.18779999999998</v>
      </c>
      <c r="P1386" s="511"/>
      <c r="Q1386" s="511"/>
      <c r="R1386" s="530"/>
      <c r="S1386" s="530"/>
      <c r="T1386" s="531"/>
      <c r="U1386" s="532"/>
      <c r="V1386" s="533"/>
      <c r="W1386" s="285"/>
      <c r="X1386" s="613" t="e">
        <f>COUNTIF(#REF!,"")-COUNTIF(#REF!,"CUMPLE")-1</f>
        <v>#REF!</v>
      </c>
      <c r="Y1386" s="591"/>
      <c r="AB1386" s="28"/>
    </row>
    <row r="1387" spans="1:29" ht="17.25" customHeight="1">
      <c r="B1387" s="50"/>
      <c r="C1387" s="50"/>
      <c r="D1387" s="50"/>
      <c r="E1387" s="50"/>
      <c r="F1387" s="50"/>
      <c r="G1387" s="51"/>
      <c r="H1387" s="51"/>
      <c r="I1387" s="51"/>
      <c r="J1387" s="51"/>
      <c r="K1387" s="51"/>
      <c r="L1387" s="51"/>
      <c r="M1387" s="51"/>
      <c r="N1387" s="51"/>
      <c r="O1387" s="51"/>
      <c r="P1387" s="51"/>
      <c r="Q1387" s="51"/>
      <c r="R1387" s="51"/>
      <c r="S1387" s="51"/>
      <c r="T1387" s="51"/>
      <c r="U1387" s="51"/>
      <c r="V1387" s="51"/>
      <c r="W1387" s="51"/>
      <c r="X1387" s="608"/>
      <c r="Y1387" s="51"/>
      <c r="Z1387" s="51"/>
      <c r="AA1387" s="51"/>
      <c r="AB1387" s="51"/>
      <c r="AC1387" s="50"/>
    </row>
    <row r="1388" spans="1:29" s="27" customFormat="1" ht="16.5" customHeight="1" thickBot="1">
      <c r="A1388" s="22"/>
      <c r="B1388" s="783" t="s">
        <v>389</v>
      </c>
      <c r="C1388" s="783"/>
      <c r="D1388" s="783"/>
      <c r="E1388" s="783"/>
      <c r="F1388" s="783"/>
      <c r="G1388" s="783"/>
      <c r="H1388" s="783"/>
      <c r="I1388" s="783"/>
      <c r="J1388" s="783"/>
      <c r="K1388" s="783"/>
      <c r="L1388" s="783"/>
      <c r="M1388" s="783"/>
      <c r="N1388" s="783"/>
      <c r="O1388" s="783"/>
      <c r="P1388" s="783"/>
      <c r="Q1388" s="783"/>
      <c r="R1388" s="783"/>
      <c r="S1388" s="783"/>
      <c r="T1388" s="783"/>
      <c r="U1388" s="783"/>
      <c r="V1388" s="783"/>
      <c r="W1388" s="286"/>
      <c r="X1388" s="607"/>
      <c r="Y1388" s="52"/>
      <c r="Z1388" s="52"/>
      <c r="AA1388" s="52"/>
      <c r="AB1388" s="28"/>
      <c r="AC1388" s="28"/>
    </row>
    <row r="1389" spans="1:29" s="30" customFormat="1" ht="22.5" customHeight="1">
      <c r="A1389" s="112" t="str">
        <f>"K"&amp;E1371</f>
        <v>K46</v>
      </c>
      <c r="B1389" s="790" t="s">
        <v>390</v>
      </c>
      <c r="C1389" s="772" t="s">
        <v>391</v>
      </c>
      <c r="D1389" s="773"/>
      <c r="E1389" s="773"/>
      <c r="F1389" s="773"/>
      <c r="G1389" s="773"/>
      <c r="H1389" s="773"/>
      <c r="I1389" s="773"/>
      <c r="J1389" s="773"/>
      <c r="K1389" s="773"/>
      <c r="L1389" s="773"/>
      <c r="M1389" s="774"/>
      <c r="N1389" s="525"/>
      <c r="O1389" s="588"/>
      <c r="P1389" s="772" t="s">
        <v>392</v>
      </c>
      <c r="Q1389" s="773"/>
      <c r="R1389" s="773"/>
      <c r="S1389" s="774"/>
      <c r="T1389" s="784" t="s">
        <v>393</v>
      </c>
      <c r="U1389" s="774"/>
      <c r="V1389" s="811"/>
      <c r="W1389" s="284"/>
      <c r="X1389" s="778" t="s">
        <v>394</v>
      </c>
      <c r="Y1389" s="779"/>
      <c r="Z1389" s="779"/>
      <c r="AA1389" s="779" t="s">
        <v>395</v>
      </c>
      <c r="AB1389" s="808" t="s">
        <v>396</v>
      </c>
      <c r="AC1389" s="28"/>
    </row>
    <row r="1390" spans="1:29" s="30" customFormat="1" ht="22.5" customHeight="1">
      <c r="A1390" s="112" t="str">
        <f>"L"&amp;E1371</f>
        <v>L46</v>
      </c>
      <c r="B1390" s="791"/>
      <c r="C1390" s="769" t="s">
        <v>397</v>
      </c>
      <c r="D1390" s="770"/>
      <c r="E1390" s="771"/>
      <c r="F1390" s="512">
        <f>IF(VLOOKUP(E1371,PROPONENTES!$C$19:$E$108,3,0)="","",VLOOKUP(E1371,PROPONENTES!$C$19:$E$108,3,0))</f>
        <v>1</v>
      </c>
      <c r="G1390" s="824" t="s">
        <v>398</v>
      </c>
      <c r="H1390" s="793" t="s">
        <v>399</v>
      </c>
      <c r="I1390" s="793"/>
      <c r="J1390" s="769" t="s">
        <v>400</v>
      </c>
      <c r="K1390" s="823"/>
      <c r="L1390" s="513" t="s">
        <v>401</v>
      </c>
      <c r="M1390" s="513"/>
      <c r="N1390" s="526"/>
      <c r="O1390" s="527"/>
      <c r="P1390" s="775"/>
      <c r="Q1390" s="776"/>
      <c r="R1390" s="776"/>
      <c r="S1390" s="777"/>
      <c r="T1390" s="796"/>
      <c r="U1390" s="797"/>
      <c r="V1390" s="812"/>
      <c r="W1390" s="284"/>
      <c r="X1390" s="780" t="s">
        <v>402</v>
      </c>
      <c r="Y1390" s="810" t="s">
        <v>403</v>
      </c>
      <c r="Z1390" s="810"/>
      <c r="AA1390" s="810"/>
      <c r="AB1390" s="809"/>
      <c r="AC1390" s="28"/>
    </row>
    <row r="1391" spans="1:29" s="30" customFormat="1" ht="51.75" customHeight="1" thickBot="1">
      <c r="A1391" s="112" t="str">
        <f>"M"&amp;E1371</f>
        <v>M46</v>
      </c>
      <c r="B1391" s="791"/>
      <c r="C1391" s="770" t="s">
        <v>404</v>
      </c>
      <c r="D1391" s="771"/>
      <c r="E1391" s="514" t="s">
        <v>405</v>
      </c>
      <c r="F1391" s="515" t="s">
        <v>406</v>
      </c>
      <c r="G1391" s="824"/>
      <c r="H1391" s="793"/>
      <c r="I1391" s="793"/>
      <c r="J1391" s="504" t="s">
        <v>407</v>
      </c>
      <c r="K1391" s="516" t="s">
        <v>408</v>
      </c>
      <c r="L1391" s="517" t="s">
        <v>409</v>
      </c>
      <c r="M1391" s="517"/>
      <c r="N1391" s="528" t="s">
        <v>410</v>
      </c>
      <c r="O1391" s="529"/>
      <c r="P1391" s="386"/>
      <c r="Q1391" s="387" t="s">
        <v>411</v>
      </c>
      <c r="R1391" s="388"/>
      <c r="S1391" s="113">
        <f>COUNTIFS(H1375:H1384,"SI",O1375:O1384,"&gt;0")</f>
        <v>3</v>
      </c>
      <c r="T1391" s="785"/>
      <c r="U1391" s="787"/>
      <c r="V1391" s="813"/>
      <c r="W1391" s="284"/>
      <c r="X1391" s="780"/>
      <c r="Y1391" s="810"/>
      <c r="Z1391" s="810"/>
      <c r="AA1391" s="810"/>
      <c r="AB1391" s="809"/>
      <c r="AC1391" s="28"/>
    </row>
    <row r="1392" spans="1:29" s="30" customFormat="1" ht="15.75" customHeight="1">
      <c r="A1392" s="112" t="str">
        <f>"N"&amp;E1371</f>
        <v>N46</v>
      </c>
      <c r="B1392" s="791"/>
      <c r="C1392" s="54">
        <v>1</v>
      </c>
      <c r="D1392" s="100" t="str">
        <f>IF(AND(C1392&lt;=F1390,F1390&gt;1,F1390&lt;&gt;""),VLOOKUP(VALUE(E1371&amp;","&amp;C1392),INTEGRANTES!$D$19:$F$192,2,0),"")</f>
        <v/>
      </c>
      <c r="E1392" s="107" t="str">
        <f>IF(D1392&lt;&gt;"",VLOOKUP(VALUE(E1371&amp;","&amp;C1392),INTEGRANTES!$D$19:$F$192,3,0),"")</f>
        <v/>
      </c>
      <c r="F1392" s="380" t="str">
        <f>IF(D1392="","",IF(OR(SUMIF($J1378:$J1384,D1392,$O1378:$O1384)=0,N1392="NO"),"NO APORTA",SUMIF($J1378:$J1384,D1392,$O1378:$O1384)))</f>
        <v/>
      </c>
      <c r="G1392" s="380" t="str">
        <f>IF($D1392="","",IF($F1390&lt;=1,"",ROUND(POSMMLV*PORPO,2)))</f>
        <v/>
      </c>
      <c r="H1392" s="765" t="str">
        <f>IF($D1392="","",IF(OR(F1392="NO APORTA",G1392&gt;F1392),"NO CUMPLE","CUMPLE"))</f>
        <v/>
      </c>
      <c r="I1392" s="766"/>
      <c r="J1392" s="108" t="str">
        <f>IF(D1392="","",IF(OR(AND(SUMIF($J1375:$J1384,D1392,$O1375:$O1384)&gt;=5%*POSMMLV,N1392="SI"),AND(SUMIF($J1375:$J1384,D1392,$O1375:$O1384)=0,E1392&lt;=5%,N1392="SI")),"CUMPLE","NO CUMPLE"))</f>
        <v/>
      </c>
      <c r="K1392" s="105" t="str">
        <f>IF(OR(D1392="",J1392=""),"",IF(AND(J1392="NO CUMPLE",F1392="NO APORTA",E1392&gt;5%),"EXP = 0 y PART &gt; 5%",IF(F1392&lt;5%*Q1397,"EXP &lt; 5%*PO","")))</f>
        <v/>
      </c>
      <c r="L1392" s="389" t="str">
        <f>IF(OR(D1392="",E1392=""),"",IF(AND(E1392&gt;=0.25,F1392&lt;&gt;"NO APORTA",F1392&gt;=$R1397*0.25),"SI","NO"))</f>
        <v/>
      </c>
      <c r="M1392" s="389"/>
      <c r="N1392" s="468" t="s">
        <v>385</v>
      </c>
      <c r="O1392" s="396">
        <f>COUNTIFS(O1375:O1384,"&gt;0",H1375:H1384,"SI")</f>
        <v>3</v>
      </c>
      <c r="P1392" s="814" t="s">
        <v>139</v>
      </c>
      <c r="Q1392" s="814"/>
      <c r="R1392" s="817">
        <f>E1371</f>
        <v>46</v>
      </c>
      <c r="S1392" s="818"/>
      <c r="T1392" s="784" t="s">
        <v>412</v>
      </c>
      <c r="U1392" s="773"/>
      <c r="V1392" s="774"/>
      <c r="W1392" s="283"/>
      <c r="X1392" s="542" t="str">
        <f>IF($F1390=1,"NO APLICA",$D1392)</f>
        <v>NO APLICA</v>
      </c>
      <c r="Y1392" s="543" t="str">
        <f>IF(OR($F1392="",$F1392="NO APORTA",$R1397=0,$X1392="NO APLICA"),"",ROUND($F1392/$Q1397,2))</f>
        <v/>
      </c>
      <c r="Z1392" s="544" t="str">
        <f>IF(Y1398=1,"SI APLICA",IF(OR($X1392="",$X1392="NO APLICA",$F1392="",$F1392="NO APORTA"),"",IF(ROUND($F1392/Q1397,7)&gt;=0.4,"SI APLICA","NO APLICA")))</f>
        <v>SI APLICA</v>
      </c>
      <c r="AA1392" s="543" t="s">
        <v>413</v>
      </c>
      <c r="AB1392" s="540" t="str">
        <f>IF(COUNTIF(Z1392:AA1392,"SI APLICA")=2,"SI APLICA","")</f>
        <v>SI APLICA</v>
      </c>
      <c r="AC1392" s="28"/>
    </row>
    <row r="1393" spans="1:29" s="30" customFormat="1" ht="15.75" customHeight="1" thickBot="1">
      <c r="A1393" s="112" t="str">
        <f>"O"&amp;E1371</f>
        <v>O46</v>
      </c>
      <c r="B1393" s="791"/>
      <c r="C1393" s="54">
        <v>2</v>
      </c>
      <c r="D1393" s="100" t="str">
        <f>IF(AND(C1393&lt;=F1390,F1390&lt;&gt;""),VLOOKUP(VALUE(E1371&amp;","&amp;C1393),INTEGRANTES!$D$19:$F$192,2,0),"")</f>
        <v/>
      </c>
      <c r="E1393" s="107" t="str">
        <f>IF(D1393&lt;&gt;"",VLOOKUP(VALUE(E1371&amp;","&amp;C1393),INTEGRANTES!$D$19:$F$192,3,0),"")</f>
        <v/>
      </c>
      <c r="F1393" s="380" t="str">
        <f>IF(D1393="","",IF(OR(SUMIF($J1378:$J1384,D1393,$O1378:$O1384)=0,N1393="NO"),"NO APORTA",SUMIF($J1378:$J1384,D1393,$O1378:$O1384)))</f>
        <v/>
      </c>
      <c r="G1393" s="380" t="str">
        <f>IF($D1393="","",IF($F1390&lt;=1,"",ROUND(POSMMLV*PORPO,2)))</f>
        <v/>
      </c>
      <c r="H1393" s="765" t="str">
        <f t="shared" ref="H1393:H1396" si="278">IF($D1393="","",IF(OR(F1393="NO APORTA",G1393&gt;F1393),"NO CUMPLE","CUMPLE"))</f>
        <v/>
      </c>
      <c r="I1393" s="766"/>
      <c r="J1393" s="108" t="str">
        <f>IF(D1393="","",IF(OR(AND(SUMIF($J1375:$J1384,D1393,$O1375:$O1384)&gt;=5%*POSMMLV,N1393="SI"),AND(SUMIF($J1375:$J1384,D1393,$O1375:$O1384)=0,E1393&lt;=5%,N1393="SI")),"CUMPLE","NO CUMPLE"))</f>
        <v/>
      </c>
      <c r="K1393" s="105" t="str">
        <f>IF(OR(D1393="",J1393=""),"",IF(AND(J1393="NO CUMPLE",F1393="NO APORTA",E1393&gt;5%),"EXP = 0 y PART &gt; 5%",IF(F1393&lt;5%*Q1397,"EXP &lt; 5%*PO","")))</f>
        <v/>
      </c>
      <c r="L1393" s="389" t="str">
        <f>IF(OR(D1393="",E1393=""),"",IF(AND(E1393&gt;=0.25,F1393&lt;&gt;"NO APORTA",F1393&gt;=$R1397*0.25),"SI","NO"))</f>
        <v/>
      </c>
      <c r="M1393" s="389"/>
      <c r="N1393" s="468"/>
      <c r="O1393" s="396"/>
      <c r="P1393" s="815"/>
      <c r="Q1393" s="815"/>
      <c r="R1393" s="815"/>
      <c r="S1393" s="819"/>
      <c r="T1393" s="785"/>
      <c r="U1393" s="786"/>
      <c r="V1393" s="787"/>
      <c r="W1393" s="283"/>
      <c r="X1393" s="542" t="str">
        <f>IF($F1390=1,"NO APLICA",$D1393)</f>
        <v>NO APLICA</v>
      </c>
      <c r="Y1393" s="543" t="str">
        <f>IF(OR($F1393="",$F1393="NO APORTA",$R1397=0,$X1393="NO APLICA"),"",ROUND($F1393/$Q1397,2))</f>
        <v/>
      </c>
      <c r="Z1393" s="544"/>
      <c r="AA1393" s="543"/>
      <c r="AB1393" s="540" t="str">
        <f t="shared" ref="AB1393" si="279">IF(COUNTIF(Z1393:AA1393,"SI APLICA")=2,"SI APLICA","")</f>
        <v/>
      </c>
      <c r="AC1393" s="28"/>
    </row>
    <row r="1394" spans="1:29" s="30" customFormat="1" ht="15.75" customHeight="1">
      <c r="A1394" s="112" t="str">
        <f>"P"&amp;E1371</f>
        <v>P46</v>
      </c>
      <c r="B1394" s="791"/>
      <c r="C1394" s="54">
        <v>3</v>
      </c>
      <c r="D1394" s="100" t="str">
        <f>IF(AND(C1394&lt;=F1390,F1390&lt;&gt;""),VLOOKUP(VALUE(E1371&amp;","&amp;C1394),INTEGRANTES!$D$19:$F$192,2,0),"")</f>
        <v/>
      </c>
      <c r="E1394" s="107" t="str">
        <f>IF(D1394&lt;&gt;"",VLOOKUP(VALUE(E1371&amp;","&amp;C1394),INTEGRANTES!$D$19:$F$192,3,0),"")</f>
        <v/>
      </c>
      <c r="F1394" s="380" t="str">
        <f>IF(D1394="","",IF(OR(SUMIF($J1378:$J1384,D1394,$O1378:$O1384)=0,N1394="NO"),"NO APORTA",SUMIF($J1378:$J1384,D1394,$O1378:$O1384)))</f>
        <v/>
      </c>
      <c r="G1394" s="380" t="str">
        <f>IF($D1394="","",IF($F1390&lt;=1,"",ROUND(POSMMLV*PORPO,2)))</f>
        <v/>
      </c>
      <c r="H1394" s="765" t="str">
        <f t="shared" si="278"/>
        <v/>
      </c>
      <c r="I1394" s="766"/>
      <c r="J1394" s="108" t="str">
        <f>IF(D1394="","",IF(OR(AND(SUMIF($J1375:$J1384,D1394,$O1375:$O1384)&gt;=5%*POSMMLV,N1394="SI"),AND(SUMIF($J1375:$J1384,D1394,$O1375:$O1384)=0,E1394&lt;=5%,N1394="SI")),"CUMPLE","NO CUMPLE"))</f>
        <v/>
      </c>
      <c r="K1394" s="105" t="str">
        <f>IF(OR(D1394="",J1394=""),"",IF(AND(J1394="NO CUMPLE",F1394="NO APORTA",E1394&gt;5%),"EXP = 0 y PART &gt; 5%",IF(F1394&lt;5%*Q1397,"EXP &lt; 5%*PO","")))</f>
        <v/>
      </c>
      <c r="L1394" s="389" t="str">
        <f>IF(OR(D1394="",E1394=""),"",IF(AND(E1394&gt;=0.25,F1394&lt;&gt;"NO APORTA",F1394&gt;=$R1397*0.25),"SI","NO"))</f>
        <v/>
      </c>
      <c r="M1394" s="389"/>
      <c r="N1394" s="468"/>
      <c r="O1394" s="397"/>
      <c r="P1394" s="816"/>
      <c r="Q1394" s="816"/>
      <c r="R1394" s="816"/>
      <c r="S1394" s="820"/>
      <c r="T1394" s="308"/>
      <c r="U1394" s="308"/>
      <c r="V1394" s="309"/>
      <c r="W1394" s="284"/>
      <c r="X1394" s="542" t="str">
        <f>IF($F1390=1,"NO APLICA",$D1394)</f>
        <v>NO APLICA</v>
      </c>
      <c r="Y1394" s="543" t="str">
        <f>IF(OR($F1394="",$F1394="NO APORTA",$R1397=0,$X1394="NO APLICA"),"",ROUND($F1394/$Q1397,2))</f>
        <v/>
      </c>
      <c r="Z1394" s="544"/>
      <c r="AA1394" s="543"/>
      <c r="AB1394" s="540" t="str">
        <f>IF(COUNTIF(Z1394:AA1394,"SI APLICA")=2,"SI APLICA","")</f>
        <v/>
      </c>
      <c r="AC1394" s="28"/>
    </row>
    <row r="1395" spans="1:29" s="30" customFormat="1" ht="15.75" customHeight="1">
      <c r="A1395" s="112" t="str">
        <f>"Q"&amp;E1371</f>
        <v>Q46</v>
      </c>
      <c r="B1395" s="791"/>
      <c r="C1395" s="54">
        <v>4</v>
      </c>
      <c r="D1395" s="100" t="str">
        <f>IF(AND(C1395&lt;=F1390,F1390&lt;&gt;""),VLOOKUP(VALUE(E1371&amp;","&amp;C1395),INTEGRANTES!$D$19:$F$192,2,0),"")</f>
        <v/>
      </c>
      <c r="E1395" s="107" t="str">
        <f>IF(D1395&lt;&gt;"",VLOOKUP(VALUE(E1371&amp;","&amp;C1395),INTEGRANTES!$D$19:$F$192,3,0),"")</f>
        <v/>
      </c>
      <c r="F1395" s="380" t="str">
        <f>IF(D1395="","",IF(OR(SUMIF($J1378:$J1384,D1395,$O1378:$O1384)=0,N1395="NO"),"NO APORTA",SUMIF($J1378:$J1384,D1395,$O1378:$O1384)))</f>
        <v/>
      </c>
      <c r="G1395" s="380" t="str">
        <f>IF($D1395="","",IF($F1390&lt;=1,"",ROUND(POSMMLV*PORPO,2)))</f>
        <v/>
      </c>
      <c r="H1395" s="765" t="str">
        <f t="shared" si="278"/>
        <v/>
      </c>
      <c r="I1395" s="766"/>
      <c r="J1395" s="108" t="str">
        <f>IF(D1395="","",IF(OR(AND(SUMIF($J1375:$J1384,D1395,$O1375:$O1384)&gt;=5%*POSMMLV,N1395="SI"),AND(SUMIF($J1375:$J1384,D1395,$O1375:$O1384)=0,E1395&lt;=5%,N1395="SI")),"CUMPLE","NO CUMPLE"))</f>
        <v/>
      </c>
      <c r="K1395" s="105" t="str">
        <f>IF(OR(D1395="",J1395=""),"",IF(AND(J1395="NO CUMPLE",F1395="NO APORTA",E1395&gt;5%),"EXP = 0 y PART &gt; 5%",IF(F1395&lt;5%*Q1397,"EXP &lt; 5%*PO","")))</f>
        <v/>
      </c>
      <c r="L1395" s="389" t="str">
        <f>IF(OR(D1395="",E1395=""),"",IF(AND(E1395&gt;=0.25,F1395&lt;&gt;"NO APORTA",F1395&gt;=$R1397*0.25),"SI","NO"))</f>
        <v/>
      </c>
      <c r="M1395" s="389"/>
      <c r="N1395" s="468"/>
      <c r="O1395" s="788" t="s">
        <v>414</v>
      </c>
      <c r="P1395" s="769" t="s">
        <v>415</v>
      </c>
      <c r="Q1395" s="770"/>
      <c r="R1395" s="770"/>
      <c r="S1395" s="771"/>
      <c r="T1395" s="284"/>
      <c r="U1395" s="284"/>
      <c r="V1395" s="310"/>
      <c r="W1395" s="284"/>
      <c r="X1395" s="542" t="str">
        <f>IF($F1390=1,"NO APLICA",$D1395)</f>
        <v>NO APLICA</v>
      </c>
      <c r="Y1395" s="543" t="str">
        <f>IF(OR($F1395="",$F1395="NO APORTA",$R1397=0,$X1395="NO APLICA"),"",ROUND($F1395/$Q1397,2))</f>
        <v/>
      </c>
      <c r="Z1395" s="544"/>
      <c r="AA1395" s="543"/>
      <c r="AB1395" s="540" t="str">
        <f t="shared" ref="AB1395:AB1396" si="280">IF(COUNTIF(Z1395:AA1395,"SI APLICA")=2,"SI APLICA","")</f>
        <v/>
      </c>
      <c r="AC1395" s="28"/>
    </row>
    <row r="1396" spans="1:29" s="30" customFormat="1" ht="17.25" customHeight="1">
      <c r="A1396" s="112" t="str">
        <f>"R"&amp;E1371</f>
        <v>R46</v>
      </c>
      <c r="B1396" s="791"/>
      <c r="C1396" s="54">
        <v>5</v>
      </c>
      <c r="D1396" s="100" t="str">
        <f>IF(AND(C1396&lt;=F1390,F1390&lt;&gt;""),VLOOKUP(VALUE(E1371&amp;","&amp;C1396),INTEGRANTES!$D$19:$F$192,2,0),"")</f>
        <v/>
      </c>
      <c r="E1396" s="107" t="str">
        <f>IF(D1396&lt;&gt;"",VLOOKUP(VALUE(E1371&amp;","&amp;C1396),INTEGRANTES!$D$19:$F$192,3,0),"")</f>
        <v/>
      </c>
      <c r="F1396" s="380" t="str">
        <f>IF(D1396="","",IF(OR(SUMIF($J1378:$J1384,D1396,$O1378:$O1384)=0,N1396="NO"),"NO APORTA",SUMIF($J1378:$J1384,D1396,$O1378:$O1384)))</f>
        <v/>
      </c>
      <c r="G1396" s="380" t="str">
        <f>IF($D1396="","",IF($F1390&lt;=1,"",ROUND(POSMMLV*PORPO,2)))</f>
        <v/>
      </c>
      <c r="H1396" s="765" t="str">
        <f t="shared" si="278"/>
        <v/>
      </c>
      <c r="I1396" s="766"/>
      <c r="J1396" s="108" t="str">
        <f>IF(D1396="","",IF(OR(AND(SUMIF($J1375:$J1384,D1396,$O1375:$O1384)&gt;=5%*POSMMLV,N1396="SI"),AND(SUMIF($J1375:$J1384,D1396,$O1375:$O1384)=0,E1396&lt;=5%,N1396="SI")),"CUMPLE","NO CUMPLE"))</f>
        <v/>
      </c>
      <c r="K1396" s="105" t="str">
        <f>IF(OR(D1396="",J1396=""),"",IF(AND(J1396="NO CUMPLE",F1396="NO APORTA",E1396&gt;5%),"EXP = 0 y PART &gt; 5%",IF(F1396&lt;5%*Q1397,"EXP &lt; 5%*PO","")))</f>
        <v/>
      </c>
      <c r="L1396" s="389" t="str">
        <f>IF(OR(D1396="",E1396=""),"",IF(AND(E1396&gt;=0.25,F1396&lt;&gt;"NO APORTA",F1396&gt;=$R1397*0.25),"SI","NO"))</f>
        <v/>
      </c>
      <c r="M1396" s="389"/>
      <c r="N1396" s="468"/>
      <c r="O1396" s="789"/>
      <c r="P1396" s="504" t="s">
        <v>416</v>
      </c>
      <c r="Q1396" s="504" t="s">
        <v>417</v>
      </c>
      <c r="R1396" s="793" t="s">
        <v>418</v>
      </c>
      <c r="S1396" s="793"/>
      <c r="T1396" s="284"/>
      <c r="U1396" s="284"/>
      <c r="V1396" s="310"/>
      <c r="W1396" s="284"/>
      <c r="X1396" s="542" t="str">
        <f>IF($F1390=1,"NO APLICA",$D1396)</f>
        <v>NO APLICA</v>
      </c>
      <c r="Y1396" s="543" t="str">
        <f>IF(OR($F1396="",$F1396="NO APORTA",$R1397=0,$X1396="NO APLICA"),"",ROUND($F1396/$Q1397,2))</f>
        <v/>
      </c>
      <c r="Z1396" s="544"/>
      <c r="AA1396" s="543"/>
      <c r="AB1396" s="540" t="str">
        <f t="shared" si="280"/>
        <v/>
      </c>
      <c r="AC1396" s="28"/>
    </row>
    <row r="1397" spans="1:29" s="30" customFormat="1" ht="16.5" customHeight="1" thickBot="1">
      <c r="A1397" s="112" t="str">
        <f>"S"&amp;E1371</f>
        <v>S46</v>
      </c>
      <c r="B1397" s="791"/>
      <c r="C1397" s="109">
        <v>6</v>
      </c>
      <c r="D1397" s="110" t="str">
        <f>IF(AND(C1397&lt;=F1390,F1390&lt;&gt;""),VLOOKUP(VALUE(E1371&amp;","&amp;C1397),INTEGRANTES!$D$19:$F$192,2,0),"")</f>
        <v/>
      </c>
      <c r="E1397" s="111" t="str">
        <f>IF(D1397&lt;&gt;"",VLOOKUP(VALUE(E1371&amp;","&amp;C1397),INTEGRANTES!$D$19:$F$192,3,0),"")</f>
        <v/>
      </c>
      <c r="F1397" s="380" t="str">
        <f>IF(D1397="","",IF(OR(SUMIF($J1378:$J1384,D1397,$O1378:$O1384)=0,N1397="NO"),"NO APORTA",SUMIF($J1378:$J1384,D1397,$O1378:$O1384)))</f>
        <v/>
      </c>
      <c r="G1397" s="380" t="str">
        <f>IF($D1397="","",IF($F1390&lt;=1,"",ROUND(POSMMLV*PORPO,2)))</f>
        <v/>
      </c>
      <c r="H1397" s="765" t="str">
        <f>IF($D1397="","",IF(OR(F1397="NO APORTA",G1397&gt;F1397),"NO CUMPLE","CUMPLE"))</f>
        <v/>
      </c>
      <c r="I1397" s="766"/>
      <c r="J1397" s="108" t="str">
        <f>IF(D1397="","",IF(OR(AND(SUMIF($J1375:$J1384,D1397,$O1375:$O1384)&gt;=5%*POSMMLV,N1397="SI"),AND(SUMIF($J1375:$J1384,D1397,$O1375:$O1384)=0,E1397&lt;=5%,N1397="SI")),"CUMPLE","NO CUMPLE"))</f>
        <v/>
      </c>
      <c r="K1397" s="105" t="str">
        <f>IF(OR(D1397="",J1397=""),"",IF(AND(J1397="NO CUMPLE",F1397="NO APORTA",E1397&gt;5%),"EXP = 0 y PART &gt; 5%",IF(F1397&lt;5%*Q1397,"EXP &lt; 5%*PO","")))</f>
        <v/>
      </c>
      <c r="L1397" s="389" t="str">
        <f>IF(OR(D1397="",E1397=""),"",IF(AND(E1397&gt;=0.25,F1397&lt;&gt;"NO APORTA",F1397&gt;=$R1397*0.25),"SI","NO"))</f>
        <v/>
      </c>
      <c r="M1397" s="389"/>
      <c r="N1397" s="468"/>
      <c r="O1397" s="403" t="str">
        <f ca="1">IF(R1397&gt;=Q1397,"CUMPLE","NO CUMPLE")</f>
        <v>CUMPLE</v>
      </c>
      <c r="P1397" s="312">
        <f>NUMMOD</f>
        <v>1</v>
      </c>
      <c r="Q1397" s="313">
        <f ca="1">IF(P1397="","",ROUND(VLOOKUP(P1397,PRESUPUESTOS!$B$16:$L$16,9,FALSE),7))</f>
        <v>300</v>
      </c>
      <c r="R1397" s="834">
        <f>IF(OR(COUNTIF(O1375:O1384,"")&gt;9,S1391&lt;NUMMINCONT),0,SUM(O1375:O1384))</f>
        <v>1338.5634</v>
      </c>
      <c r="S1397" s="834"/>
      <c r="T1397" s="284"/>
      <c r="U1397" s="284"/>
      <c r="V1397" s="310"/>
      <c r="W1397" s="284"/>
      <c r="X1397" s="545" t="str">
        <f>IF($F1390=1,"NO APLICA",$D1397)</f>
        <v>NO APLICA</v>
      </c>
      <c r="Y1397" s="543" t="str">
        <f>IF(OR($F1397="",$F1397="NO APORTA",$R1397=0,$X1397="NO APLICA"),"",ROUND($F1397/$Q1397,2))</f>
        <v/>
      </c>
      <c r="Z1397" s="544"/>
      <c r="AA1397" s="546"/>
      <c r="AB1397" s="540" t="str">
        <f>IF(COUNTIF(Z1397:AA1397,"SI APLICA")=2,"SI APLICA","")</f>
        <v/>
      </c>
      <c r="AC1397" s="28"/>
    </row>
    <row r="1398" spans="1:29" s="30" customFormat="1" ht="16.5" customHeight="1" thickBot="1">
      <c r="A1398" s="112" t="str">
        <f>"T"&amp;E1371</f>
        <v>T46</v>
      </c>
      <c r="B1398" s="792"/>
      <c r="C1398" s="821" t="s">
        <v>419</v>
      </c>
      <c r="D1398" s="822"/>
      <c r="E1398" s="822"/>
      <c r="F1398" s="518"/>
      <c r="G1398" s="519"/>
      <c r="H1398" s="794" t="str">
        <f>IF(OR($F1390="",SUM(E1392:E1397)=0),"",IF(COUNTIF(H1392:H1397,"CUMPLE")&gt;=1,"CUMPLE","NO CUMPLE"))</f>
        <v/>
      </c>
      <c r="I1398" s="795"/>
      <c r="J1398" s="314" t="str">
        <f>IF(COUNTIF(J1392:J1397,"")&gt;5,"",IF(COUNTIF(J1392:J1397,"NO CUMPLE")&gt;0,"NO CUMPLE","CUMPLE"))</f>
        <v/>
      </c>
      <c r="K1398" s="314" t="str">
        <f>IF(OR(AND(F1390=1,N1392="SI"),AND(COUNTIF(H1398:J1398,"CUMPLE")=2)),"CUMPLE","NO CUMPLE")</f>
        <v>CUMPLE</v>
      </c>
      <c r="L1398" s="519"/>
      <c r="M1398" s="519"/>
      <c r="N1398" s="519"/>
      <c r="O1398" s="833" t="str">
        <f ca="1">IF(ISNUMBER(F1371),"",IF(AND(O1397="NO CUMPLE",SUM(N1378:N1384)&lt;Q1397),"EL PROPONENTE SE DEBE REQUERIR POR EXPERIENCIA MINIMA EXIGIDA",""))</f>
        <v/>
      </c>
      <c r="P1398" s="833"/>
      <c r="Q1398" s="833"/>
      <c r="R1398" s="833"/>
      <c r="S1398" s="833"/>
      <c r="T1398" s="522"/>
      <c r="U1398" s="523"/>
      <c r="V1398" s="524"/>
      <c r="W1398" s="284"/>
      <c r="X1398" s="364" t="str">
        <f>IF(Y1398=1,"PROPONENTE INDIVIDUAL","PROPONENTE PLURAL")</f>
        <v>PROPONENTE INDIVIDUAL</v>
      </c>
      <c r="Y1398" s="276">
        <f>F1390</f>
        <v>1</v>
      </c>
      <c r="Z1398" s="277" t="str">
        <f>IF(OR(AND(Z1392="SI APLICA",AA1392="SI APLICA"),AND(Z1393="SI APLICA",AA1393="SI APLICA"),AND(Z1394="SI APLICA",AA1394="SI APLICA"),AND(Z1395="SI APLICA",AA1395="SI APLICA"),AND(Z1396="SI APLICA",AA1396="SI APLICA"),AND(Z1397="SI APLICA",AA1397="SI APLICA")),"SI APLICA","NO APLICA")</f>
        <v>SI APLICA</v>
      </c>
      <c r="AA1398" s="278" t="str">
        <f>IF(OR(AND(AA1392="SI APLICA",AB1392="SI APLICA"),AND(AA1393="SI APLICA",AB1393="SI APLICA"),AND(AA1394="SI APLICA",AB1394="SI APLICA"),AND(AA1395="SI APLICA",AB1395="SI APLICA"),AND(AA1396="SI APLICA",AB1396="SI APLICA"),AND(AA1397="SI APLICA",AB1397="SI APLICA")),"SI APLICA","NO APLICA")</f>
        <v>SI APLICA</v>
      </c>
      <c r="AB1398" s="278" t="str">
        <f>IF(COUNTIF(AB1392:AB1397,"SI APLICA")&gt;0,"SI APLICA","NO APLICA")</f>
        <v>SI APLICA</v>
      </c>
      <c r="AC1398" s="28"/>
    </row>
    <row r="1399" spans="1:29" ht="24.95" customHeight="1"/>
    <row r="1400" spans="1:29" ht="24.95" customHeight="1"/>
    <row r="1401" spans="1:29" s="41" customFormat="1" ht="24" thickBot="1">
      <c r="A1401" s="34">
        <v>47</v>
      </c>
      <c r="B1401" s="828" t="s">
        <v>355</v>
      </c>
      <c r="C1401" s="828"/>
      <c r="D1401" s="828"/>
      <c r="E1401" s="35">
        <f>VLOOKUP(A1401,PROPONENTES!$B$19:$E$108,2,FALSE)</f>
        <v>47</v>
      </c>
      <c r="F1401" s="36" t="str">
        <f>VLOOKUP(A1401,PROPONENTES!$B$19:$E$108,3,FALSE)</f>
        <v>CONSORCIO VIAS TOLIMA 22</v>
      </c>
      <c r="G1401" s="37"/>
      <c r="H1401" s="37"/>
      <c r="I1401" s="36"/>
      <c r="J1401" s="36"/>
      <c r="K1401" s="36"/>
      <c r="L1401" s="36"/>
      <c r="M1401" s="38"/>
      <c r="N1401" s="38"/>
      <c r="O1401" s="37"/>
      <c r="P1401" s="37"/>
      <c r="Q1401" s="39"/>
      <c r="R1401" s="39"/>
      <c r="S1401" s="39"/>
      <c r="T1401" s="39"/>
      <c r="U1401" s="40"/>
      <c r="Y1401" s="52"/>
      <c r="Z1401" s="52"/>
      <c r="AA1401" s="52"/>
      <c r="AB1401" s="28"/>
      <c r="AC1401" s="28"/>
    </row>
    <row r="1402" spans="1:29" s="27" customFormat="1" ht="24.75" customHeight="1">
      <c r="A1402" s="22"/>
      <c r="B1402" s="829" t="s">
        <v>356</v>
      </c>
      <c r="C1402" s="501" t="s">
        <v>357</v>
      </c>
      <c r="D1402" s="502" t="s">
        <v>358</v>
      </c>
      <c r="E1402" s="502"/>
      <c r="F1402" s="502" t="s">
        <v>359</v>
      </c>
      <c r="G1402" s="503"/>
      <c r="H1402" s="803" t="s">
        <v>360</v>
      </c>
      <c r="I1402" s="831" t="s">
        <v>361</v>
      </c>
      <c r="J1402" s="803" t="s">
        <v>362</v>
      </c>
      <c r="K1402" s="803" t="s">
        <v>363</v>
      </c>
      <c r="L1402" s="803" t="s">
        <v>364</v>
      </c>
      <c r="M1402" s="803" t="s">
        <v>365</v>
      </c>
      <c r="N1402" s="804" t="s">
        <v>366</v>
      </c>
      <c r="O1402" s="805"/>
      <c r="P1402" s="806" t="s">
        <v>367</v>
      </c>
      <c r="Q1402" s="807"/>
      <c r="R1402" s="784" t="s">
        <v>368</v>
      </c>
      <c r="S1402" s="774"/>
      <c r="T1402" s="798" t="s">
        <v>369</v>
      </c>
      <c r="U1402" s="799"/>
      <c r="V1402" s="800"/>
      <c r="X1402" s="520"/>
      <c r="Y1402" s="520"/>
    </row>
    <row r="1403" spans="1:29" s="27" customFormat="1" ht="94.5" customHeight="1">
      <c r="A1403" s="22"/>
      <c r="B1403" s="830"/>
      <c r="C1403" s="504" t="s">
        <v>370</v>
      </c>
      <c r="D1403" s="505" t="s">
        <v>41</v>
      </c>
      <c r="E1403" s="505" t="s">
        <v>371</v>
      </c>
      <c r="F1403" s="505" t="s">
        <v>372</v>
      </c>
      <c r="G1403" s="506" t="s">
        <v>373</v>
      </c>
      <c r="H1403" s="793"/>
      <c r="I1403" s="832"/>
      <c r="J1403" s="793"/>
      <c r="K1403" s="793"/>
      <c r="L1403" s="793"/>
      <c r="M1403" s="793"/>
      <c r="N1403" s="504" t="s">
        <v>374</v>
      </c>
      <c r="O1403" s="505" t="s">
        <v>375</v>
      </c>
      <c r="P1403" s="801"/>
      <c r="Q1403" s="802"/>
      <c r="R1403" s="796"/>
      <c r="S1403" s="797"/>
      <c r="T1403" s="507" t="s">
        <v>376</v>
      </c>
      <c r="U1403" s="508" t="s">
        <v>377</v>
      </c>
      <c r="V1403" s="509" t="s">
        <v>378</v>
      </c>
      <c r="X1403" s="521" t="s">
        <v>379</v>
      </c>
      <c r="Y1403" s="521" t="s">
        <v>380</v>
      </c>
    </row>
    <row r="1404" spans="1:29" s="27" customFormat="1" ht="15" customHeight="1">
      <c r="A1404" s="22"/>
      <c r="B1404" s="594"/>
      <c r="C1404" s="595">
        <v>3</v>
      </c>
      <c r="D1404" s="595">
        <v>4</v>
      </c>
      <c r="E1404" s="595">
        <v>5</v>
      </c>
      <c r="F1404" s="595">
        <v>6</v>
      </c>
      <c r="G1404" s="595">
        <v>7</v>
      </c>
      <c r="H1404" s="595">
        <v>8</v>
      </c>
      <c r="I1404" s="595">
        <v>9</v>
      </c>
      <c r="J1404" s="595">
        <v>10</v>
      </c>
      <c r="K1404" s="595">
        <v>11</v>
      </c>
      <c r="L1404" s="595">
        <v>12</v>
      </c>
      <c r="M1404" s="595">
        <v>13</v>
      </c>
      <c r="N1404" s="595">
        <v>14</v>
      </c>
      <c r="O1404" s="595">
        <v>15</v>
      </c>
      <c r="P1404" s="596">
        <v>16</v>
      </c>
      <c r="Q1404" s="597">
        <v>17</v>
      </c>
      <c r="R1404" s="596">
        <v>18</v>
      </c>
      <c r="S1404" s="597">
        <v>19</v>
      </c>
      <c r="T1404" s="598">
        <v>20</v>
      </c>
      <c r="U1404" s="255">
        <v>21</v>
      </c>
      <c r="V1404" s="599">
        <v>22</v>
      </c>
      <c r="X1404" s="589"/>
      <c r="Y1404" s="590"/>
    </row>
    <row r="1405" spans="1:29" s="44" customFormat="1" ht="54.75" customHeight="1">
      <c r="A1405" s="42" t="str">
        <f>"A"&amp;E1401</f>
        <v>A47</v>
      </c>
      <c r="B1405" s="605">
        <f>IF(C1405&lt;&gt;"",B1404+1,"")</f>
        <v>1</v>
      </c>
      <c r="C1405" s="581" t="s">
        <v>443</v>
      </c>
      <c r="D1405" s="581" t="s">
        <v>759</v>
      </c>
      <c r="E1405" s="581" t="s">
        <v>760</v>
      </c>
      <c r="F1405" s="581" t="s">
        <v>431</v>
      </c>
      <c r="G1405" s="534">
        <v>0.4</v>
      </c>
      <c r="H1405" s="534" t="s">
        <v>385</v>
      </c>
      <c r="I1405" s="579">
        <v>1</v>
      </c>
      <c r="J1405" s="580" t="str">
        <f>IF(I1405="","",IF(I1405="I",$F1401,VLOOKUP(I1405,$C1422:$D1427,2,0)))</f>
        <v>DORA CRISTINA TORRES MAZABEL</v>
      </c>
      <c r="K1405" s="535">
        <v>43830</v>
      </c>
      <c r="L1405" s="535">
        <v>44057</v>
      </c>
      <c r="M1405" s="536">
        <v>310.64999999999998</v>
      </c>
      <c r="N1405" s="232">
        <f>IF(OR(G1405="",M1405=""),"",M1405*G1405)</f>
        <v>124.25999999999999</v>
      </c>
      <c r="O1405" s="260">
        <f t="shared" ref="O1405:O1414" si="281">IF(OR(H1405="",H1405="NO",K1405&lt;$Q$17,K1405&gt;$R$17,K1405="",M1405="",N1405=""),"",ROUND(N1405,7))</f>
        <v>124.26</v>
      </c>
      <c r="P1405" s="781"/>
      <c r="Q1405" s="782"/>
      <c r="R1405" s="767"/>
      <c r="S1405" s="768"/>
      <c r="T1405" s="538" t="s">
        <v>385</v>
      </c>
      <c r="U1405" s="539">
        <v>7</v>
      </c>
      <c r="V1405" s="540" t="s">
        <v>385</v>
      </c>
      <c r="X1405" s="541" t="s">
        <v>449</v>
      </c>
      <c r="Y1405" s="541" t="s">
        <v>387</v>
      </c>
    </row>
    <row r="1406" spans="1:29" s="44" customFormat="1" ht="99.75" customHeight="1">
      <c r="A1406" s="42" t="str">
        <f>"B"&amp;E1401</f>
        <v>B47</v>
      </c>
      <c r="B1406" s="605">
        <f t="shared" ref="B1406:B1414" si="282">IF(C1406&lt;&gt;"",B1405+1,"")</f>
        <v>2</v>
      </c>
      <c r="C1406" s="581" t="s">
        <v>443</v>
      </c>
      <c r="D1406" s="581" t="s">
        <v>761</v>
      </c>
      <c r="E1406" s="581" t="s">
        <v>762</v>
      </c>
      <c r="F1406" s="581" t="s">
        <v>384</v>
      </c>
      <c r="G1406" s="534">
        <v>1</v>
      </c>
      <c r="H1406" s="534" t="s">
        <v>385</v>
      </c>
      <c r="I1406" s="579">
        <v>2</v>
      </c>
      <c r="J1406" s="580" t="str">
        <f>IF(I1406="","",IF(I1406="I",$F1401,VLOOKUP(I1406,$C1422:$D1427,2,0)))</f>
        <v>RENE ARMANDO MARTINEZ DORADO</v>
      </c>
      <c r="K1406" s="535">
        <v>35363</v>
      </c>
      <c r="L1406" s="535">
        <v>35514</v>
      </c>
      <c r="M1406" s="536">
        <v>290.2</v>
      </c>
      <c r="N1406" s="232">
        <f t="shared" ref="N1406:N1414" si="283">IF(OR(G1406="",M1406=""),"",M1406*G1406)</f>
        <v>290.2</v>
      </c>
      <c r="O1406" s="260">
        <f t="shared" si="281"/>
        <v>290.2</v>
      </c>
      <c r="P1406" s="781"/>
      <c r="Q1406" s="782"/>
      <c r="R1406" s="767"/>
      <c r="S1406" s="768"/>
      <c r="T1406" s="538" t="s">
        <v>385</v>
      </c>
      <c r="U1406" s="539">
        <v>1</v>
      </c>
      <c r="V1406" s="540" t="s">
        <v>385</v>
      </c>
      <c r="X1406" s="541" t="s">
        <v>449</v>
      </c>
      <c r="Y1406" s="541" t="s">
        <v>387</v>
      </c>
    </row>
    <row r="1407" spans="1:29" s="44" customFormat="1" ht="55.5" customHeight="1">
      <c r="A1407" s="42" t="str">
        <f>"C"&amp;E1401</f>
        <v>C47</v>
      </c>
      <c r="B1407" s="605">
        <f t="shared" si="282"/>
        <v>3</v>
      </c>
      <c r="C1407" s="581" t="s">
        <v>443</v>
      </c>
      <c r="D1407" s="581" t="s">
        <v>763</v>
      </c>
      <c r="E1407" s="581" t="s">
        <v>764</v>
      </c>
      <c r="F1407" s="581" t="s">
        <v>431</v>
      </c>
      <c r="G1407" s="534">
        <v>0.3</v>
      </c>
      <c r="H1407" s="534" t="s">
        <v>385</v>
      </c>
      <c r="I1407" s="579">
        <v>2</v>
      </c>
      <c r="J1407" s="580" t="str">
        <f>IF(I1407="","",IF(I1407="I",$F1401,VLOOKUP(I1407,$C1422:$D1427,2,0)))</f>
        <v>RENE ARMANDO MARTINEZ DORADO</v>
      </c>
      <c r="K1407" s="535">
        <v>41563</v>
      </c>
      <c r="L1407" s="535">
        <v>41958</v>
      </c>
      <c r="M1407" s="536">
        <v>2783.07</v>
      </c>
      <c r="N1407" s="232">
        <f>IF(OR(G1407="",M1407=""),"",M1407*G1407)</f>
        <v>834.92100000000005</v>
      </c>
      <c r="O1407" s="260">
        <f t="shared" si="281"/>
        <v>834.92100000000005</v>
      </c>
      <c r="P1407" s="781"/>
      <c r="Q1407" s="782"/>
      <c r="R1407" s="767"/>
      <c r="S1407" s="768"/>
      <c r="T1407" s="538" t="s">
        <v>385</v>
      </c>
      <c r="U1407" s="539">
        <v>70</v>
      </c>
      <c r="V1407" s="540" t="s">
        <v>385</v>
      </c>
      <c r="X1407" s="541" t="s">
        <v>449</v>
      </c>
      <c r="Y1407" s="541" t="s">
        <v>387</v>
      </c>
    </row>
    <row r="1408" spans="1:29" s="44" customFormat="1" ht="24.95" customHeight="1">
      <c r="A1408" s="42" t="str">
        <f>"D"&amp;E1401</f>
        <v>D47</v>
      </c>
      <c r="B1408" s="605" t="str">
        <f t="shared" si="282"/>
        <v/>
      </c>
      <c r="C1408" s="581"/>
      <c r="D1408" s="581"/>
      <c r="E1408" s="581"/>
      <c r="F1408" s="581"/>
      <c r="G1408" s="534"/>
      <c r="H1408" s="534"/>
      <c r="I1408" s="579"/>
      <c r="J1408" s="579" t="str">
        <f>IF(I1408="","",IF(I1408="I",$F1401,VLOOKUP(I1408,$C1422:$D1427,2,0)))</f>
        <v/>
      </c>
      <c r="K1408" s="535"/>
      <c r="L1408" s="535"/>
      <c r="M1408" s="536"/>
      <c r="N1408" s="232" t="str">
        <f t="shared" si="283"/>
        <v/>
      </c>
      <c r="O1408" s="260" t="str">
        <f t="shared" si="281"/>
        <v/>
      </c>
      <c r="P1408" s="781"/>
      <c r="Q1408" s="782"/>
      <c r="R1408" s="767"/>
      <c r="S1408" s="768"/>
      <c r="T1408" s="538"/>
      <c r="U1408" s="539"/>
      <c r="V1408" s="540"/>
      <c r="X1408" s="541"/>
      <c r="Y1408" s="541"/>
    </row>
    <row r="1409" spans="1:29" s="44" customFormat="1" ht="24.95" customHeight="1">
      <c r="A1409" s="42" t="str">
        <f>"E"&amp;E1401</f>
        <v>E47</v>
      </c>
      <c r="B1409" s="605" t="str">
        <f t="shared" si="282"/>
        <v/>
      </c>
      <c r="C1409" s="581"/>
      <c r="D1409" s="581"/>
      <c r="E1409" s="581"/>
      <c r="F1409" s="581"/>
      <c r="G1409" s="534"/>
      <c r="H1409" s="534"/>
      <c r="I1409" s="579"/>
      <c r="J1409" s="579" t="str">
        <f>IF(I1409="","",IF(I1409="I",$F1401,VLOOKUP(I1409,$C1422:$D1427,2,0)))</f>
        <v/>
      </c>
      <c r="K1409" s="535"/>
      <c r="L1409" s="535"/>
      <c r="M1409" s="536"/>
      <c r="N1409" s="232" t="str">
        <f t="shared" si="283"/>
        <v/>
      </c>
      <c r="O1409" s="260" t="str">
        <f t="shared" si="281"/>
        <v/>
      </c>
      <c r="P1409" s="781"/>
      <c r="Q1409" s="782"/>
      <c r="R1409" s="767"/>
      <c r="S1409" s="768"/>
      <c r="T1409" s="538"/>
      <c r="U1409" s="539"/>
      <c r="V1409" s="540"/>
      <c r="X1409" s="541"/>
      <c r="Y1409" s="541"/>
    </row>
    <row r="1410" spans="1:29" s="44" customFormat="1" ht="24.95" customHeight="1">
      <c r="A1410" s="42" t="str">
        <f>"F"&amp;E1401</f>
        <v>F47</v>
      </c>
      <c r="B1410" s="605" t="str">
        <f t="shared" si="282"/>
        <v/>
      </c>
      <c r="C1410" s="581"/>
      <c r="D1410" s="581"/>
      <c r="E1410" s="581"/>
      <c r="F1410" s="581"/>
      <c r="G1410" s="534"/>
      <c r="H1410" s="534"/>
      <c r="I1410" s="579"/>
      <c r="J1410" s="579" t="str">
        <f>IF(I1410="","",IF(I1410="I",$F1401,VLOOKUP(I1410,$C1422:$D1427,2,0)))</f>
        <v/>
      </c>
      <c r="K1410" s="535"/>
      <c r="L1410" s="535"/>
      <c r="M1410" s="536"/>
      <c r="N1410" s="232" t="str">
        <f t="shared" si="283"/>
        <v/>
      </c>
      <c r="O1410" s="260" t="str">
        <f t="shared" si="281"/>
        <v/>
      </c>
      <c r="P1410" s="781"/>
      <c r="Q1410" s="782"/>
      <c r="R1410" s="767"/>
      <c r="S1410" s="768"/>
      <c r="T1410" s="538"/>
      <c r="U1410" s="539"/>
      <c r="V1410" s="540"/>
      <c r="X1410" s="541"/>
      <c r="Y1410" s="541"/>
    </row>
    <row r="1411" spans="1:29" s="44" customFormat="1" ht="24.95" customHeight="1">
      <c r="A1411" s="42" t="str">
        <f>"G"&amp;E1401</f>
        <v>G47</v>
      </c>
      <c r="B1411" s="605" t="str">
        <f t="shared" si="282"/>
        <v/>
      </c>
      <c r="C1411" s="581"/>
      <c r="D1411" s="581"/>
      <c r="E1411" s="581"/>
      <c r="F1411" s="581"/>
      <c r="G1411" s="534"/>
      <c r="H1411" s="534"/>
      <c r="I1411" s="579"/>
      <c r="J1411" s="579" t="str">
        <f>IF(I1411="","",IF(I1411="I",$F1401,VLOOKUP(I1411,$C1422:$D1427,2,0)))</f>
        <v/>
      </c>
      <c r="K1411" s="535"/>
      <c r="L1411" s="535"/>
      <c r="M1411" s="536"/>
      <c r="N1411" s="43" t="str">
        <f t="shared" si="283"/>
        <v/>
      </c>
      <c r="O1411" s="260" t="str">
        <f t="shared" si="281"/>
        <v/>
      </c>
      <c r="P1411" s="781"/>
      <c r="Q1411" s="782"/>
      <c r="R1411" s="767"/>
      <c r="S1411" s="768"/>
      <c r="T1411" s="538"/>
      <c r="U1411" s="539"/>
      <c r="V1411" s="540"/>
      <c r="X1411" s="541"/>
      <c r="Y1411" s="541"/>
    </row>
    <row r="1412" spans="1:29" s="44" customFormat="1" ht="24.95" customHeight="1">
      <c r="A1412" s="42" t="str">
        <f>"H"&amp;E1401</f>
        <v>H47</v>
      </c>
      <c r="B1412" s="605" t="str">
        <f t="shared" si="282"/>
        <v/>
      </c>
      <c r="C1412" s="581"/>
      <c r="D1412" s="581"/>
      <c r="E1412" s="581"/>
      <c r="F1412" s="581"/>
      <c r="G1412" s="534"/>
      <c r="H1412" s="534"/>
      <c r="I1412" s="579"/>
      <c r="J1412" s="579" t="str">
        <f>IF(I1412="","",IF(I1412="I",$F1401,VLOOKUP(I1412,$C1422:$D1427,2,0)))</f>
        <v/>
      </c>
      <c r="K1412" s="535"/>
      <c r="L1412" s="535"/>
      <c r="M1412" s="537"/>
      <c r="N1412" s="43" t="str">
        <f t="shared" si="283"/>
        <v/>
      </c>
      <c r="O1412" s="260" t="str">
        <f t="shared" si="281"/>
        <v/>
      </c>
      <c r="P1412" s="781"/>
      <c r="Q1412" s="782"/>
      <c r="R1412" s="767"/>
      <c r="S1412" s="768"/>
      <c r="T1412" s="538"/>
      <c r="U1412" s="539"/>
      <c r="V1412" s="540"/>
      <c r="X1412" s="541"/>
      <c r="Y1412" s="541"/>
    </row>
    <row r="1413" spans="1:29" s="44" customFormat="1" ht="24.95" customHeight="1">
      <c r="A1413" s="42" t="str">
        <f>"I"&amp;E1401</f>
        <v>I47</v>
      </c>
      <c r="B1413" s="605" t="str">
        <f t="shared" si="282"/>
        <v/>
      </c>
      <c r="C1413" s="581"/>
      <c r="D1413" s="581"/>
      <c r="E1413" s="581"/>
      <c r="F1413" s="581"/>
      <c r="G1413" s="534"/>
      <c r="H1413" s="534"/>
      <c r="I1413" s="579"/>
      <c r="J1413" s="579" t="str">
        <f>IF(I1413="","",IF(I1413="I",$F1401,VLOOKUP(I1413,$C1422:$D1427,2,0)))</f>
        <v/>
      </c>
      <c r="K1413" s="535"/>
      <c r="L1413" s="535"/>
      <c r="M1413" s="537"/>
      <c r="N1413" s="43" t="str">
        <f t="shared" si="283"/>
        <v/>
      </c>
      <c r="O1413" s="260" t="str">
        <f t="shared" si="281"/>
        <v/>
      </c>
      <c r="P1413" s="781"/>
      <c r="Q1413" s="782"/>
      <c r="R1413" s="767"/>
      <c r="S1413" s="768"/>
      <c r="T1413" s="538"/>
      <c r="U1413" s="539"/>
      <c r="V1413" s="540"/>
      <c r="X1413" s="541"/>
      <c r="Y1413" s="541"/>
    </row>
    <row r="1414" spans="1:29" s="44" customFormat="1" ht="24.95" customHeight="1">
      <c r="A1414" s="42" t="str">
        <f>"J"&amp;E1401</f>
        <v>J47</v>
      </c>
      <c r="B1414" s="612" t="str">
        <f t="shared" si="282"/>
        <v/>
      </c>
      <c r="C1414" s="582"/>
      <c r="D1414" s="582"/>
      <c r="E1414" s="582"/>
      <c r="F1414" s="582"/>
      <c r="G1414" s="583"/>
      <c r="H1414" s="583"/>
      <c r="I1414" s="584"/>
      <c r="J1414" s="584" t="str">
        <f>IF(I1414="","",IF(I1414="I",$F1401,VLOOKUP(I1414,$C1422:$D1427,2,0)))</f>
        <v/>
      </c>
      <c r="K1414" s="586"/>
      <c r="L1414" s="586"/>
      <c r="M1414" s="587"/>
      <c r="N1414" s="43" t="str">
        <f t="shared" si="283"/>
        <v/>
      </c>
      <c r="O1414" s="260" t="str">
        <f t="shared" si="281"/>
        <v/>
      </c>
      <c r="P1414" s="781"/>
      <c r="Q1414" s="782"/>
      <c r="R1414" s="767"/>
      <c r="S1414" s="768"/>
      <c r="T1414" s="538"/>
      <c r="U1414" s="539"/>
      <c r="V1414" s="540"/>
      <c r="X1414" s="541"/>
      <c r="Y1414" s="541"/>
    </row>
    <row r="1415" spans="1:29" s="27" customFormat="1" ht="12" customHeight="1">
      <c r="A1415" s="42"/>
      <c r="B1415" s="45"/>
      <c r="C1415" s="46"/>
      <c r="D1415" s="46"/>
      <c r="E1415" s="46"/>
      <c r="F1415" s="46"/>
      <c r="G1415" s="46"/>
      <c r="H1415" s="606"/>
      <c r="I1415" s="46"/>
      <c r="J1415" s="46"/>
      <c r="K1415" s="46"/>
      <c r="L1415" s="46"/>
      <c r="M1415" s="46"/>
      <c r="N1415" s="46"/>
      <c r="O1415" s="259"/>
      <c r="P1415" s="46"/>
      <c r="Q1415" s="46"/>
      <c r="R1415" s="259"/>
      <c r="S1415" s="46"/>
      <c r="T1415" s="46"/>
      <c r="U1415" s="47"/>
      <c r="V1415" s="48"/>
      <c r="X1415" s="592"/>
      <c r="Y1415" s="593"/>
      <c r="AB1415" s="378"/>
    </row>
    <row r="1416" spans="1:29" s="27" customFormat="1" ht="17.25" customHeight="1" thickBot="1">
      <c r="A1416" s="42" t="str">
        <f>"Z"&amp;E1401</f>
        <v>Z47</v>
      </c>
      <c r="B1416" s="510"/>
      <c r="C1416" s="511"/>
      <c r="D1416" s="511"/>
      <c r="E1416" s="511"/>
      <c r="F1416" s="511"/>
      <c r="G1416" s="511"/>
      <c r="H1416" s="511"/>
      <c r="I1416" s="511"/>
      <c r="J1416" s="511"/>
      <c r="K1416" s="511"/>
      <c r="L1416" s="511"/>
      <c r="M1416" s="511"/>
      <c r="N1416" s="437" t="s">
        <v>388</v>
      </c>
      <c r="O1416" s="438">
        <f>IF(COUNTIF(O1405:O1414,"")&gt;9,0,SUM(O1405:O1414)/(COUNTIF(H1405:H1414,"SI")))</f>
        <v>416.46033333333338</v>
      </c>
      <c r="P1416" s="511"/>
      <c r="Q1416" s="511"/>
      <c r="R1416" s="530"/>
      <c r="S1416" s="530"/>
      <c r="T1416" s="531"/>
      <c r="U1416" s="532"/>
      <c r="V1416" s="533"/>
      <c r="W1416" s="285"/>
      <c r="X1416" s="613" t="e">
        <f>COUNTIF(#REF!,"")-COUNTIF(#REF!,"CUMPLE")-1</f>
        <v>#REF!</v>
      </c>
      <c r="Y1416" s="591"/>
      <c r="AB1416" s="28"/>
    </row>
    <row r="1417" spans="1:29" ht="17.25" customHeight="1">
      <c r="B1417" s="50"/>
      <c r="C1417" s="50"/>
      <c r="D1417" s="50"/>
      <c r="E1417" s="50"/>
      <c r="F1417" s="50"/>
      <c r="G1417" s="51"/>
      <c r="H1417" s="51"/>
      <c r="I1417" s="51"/>
      <c r="J1417" s="51"/>
      <c r="K1417" s="51"/>
      <c r="L1417" s="51"/>
      <c r="M1417" s="51"/>
      <c r="N1417" s="51"/>
      <c r="O1417" s="51"/>
      <c r="P1417" s="51"/>
      <c r="Q1417" s="51"/>
      <c r="R1417" s="51"/>
      <c r="S1417" s="51"/>
      <c r="T1417" s="51"/>
      <c r="U1417" s="51"/>
      <c r="V1417" s="51"/>
      <c r="W1417" s="51"/>
      <c r="X1417" s="608"/>
      <c r="Y1417" s="51"/>
      <c r="Z1417" s="51"/>
      <c r="AA1417" s="51"/>
      <c r="AB1417" s="51"/>
      <c r="AC1417" s="50"/>
    </row>
    <row r="1418" spans="1:29" s="27" customFormat="1" ht="16.5" customHeight="1" thickBot="1">
      <c r="A1418" s="22"/>
      <c r="B1418" s="783" t="s">
        <v>389</v>
      </c>
      <c r="C1418" s="783"/>
      <c r="D1418" s="783"/>
      <c r="E1418" s="783"/>
      <c r="F1418" s="783"/>
      <c r="G1418" s="783"/>
      <c r="H1418" s="783"/>
      <c r="I1418" s="783"/>
      <c r="J1418" s="783"/>
      <c r="K1418" s="783"/>
      <c r="L1418" s="783"/>
      <c r="M1418" s="783"/>
      <c r="N1418" s="783"/>
      <c r="O1418" s="783"/>
      <c r="P1418" s="783"/>
      <c r="Q1418" s="783"/>
      <c r="R1418" s="783"/>
      <c r="S1418" s="783"/>
      <c r="T1418" s="783"/>
      <c r="U1418" s="783"/>
      <c r="V1418" s="783"/>
      <c r="W1418" s="286"/>
      <c r="X1418" s="607"/>
      <c r="Y1418" s="52"/>
      <c r="Z1418" s="52"/>
      <c r="AA1418" s="52"/>
      <c r="AB1418" s="28"/>
      <c r="AC1418" s="28"/>
    </row>
    <row r="1419" spans="1:29" s="30" customFormat="1" ht="22.5" customHeight="1">
      <c r="A1419" s="112" t="str">
        <f>"K"&amp;E1401</f>
        <v>K47</v>
      </c>
      <c r="B1419" s="790" t="s">
        <v>390</v>
      </c>
      <c r="C1419" s="772" t="s">
        <v>391</v>
      </c>
      <c r="D1419" s="773"/>
      <c r="E1419" s="773"/>
      <c r="F1419" s="773"/>
      <c r="G1419" s="773"/>
      <c r="H1419" s="773"/>
      <c r="I1419" s="773"/>
      <c r="J1419" s="773"/>
      <c r="K1419" s="773"/>
      <c r="L1419" s="773"/>
      <c r="M1419" s="774"/>
      <c r="N1419" s="525"/>
      <c r="O1419" s="588"/>
      <c r="P1419" s="772" t="s">
        <v>392</v>
      </c>
      <c r="Q1419" s="773"/>
      <c r="R1419" s="773"/>
      <c r="S1419" s="774"/>
      <c r="T1419" s="784" t="s">
        <v>393</v>
      </c>
      <c r="U1419" s="774"/>
      <c r="V1419" s="811"/>
      <c r="W1419" s="284"/>
      <c r="X1419" s="778" t="s">
        <v>394</v>
      </c>
      <c r="Y1419" s="779"/>
      <c r="Z1419" s="779"/>
      <c r="AA1419" s="779" t="s">
        <v>395</v>
      </c>
      <c r="AB1419" s="808" t="s">
        <v>396</v>
      </c>
      <c r="AC1419" s="28"/>
    </row>
    <row r="1420" spans="1:29" s="30" customFormat="1" ht="22.5" customHeight="1">
      <c r="A1420" s="112" t="str">
        <f>"L"&amp;E1401</f>
        <v>L47</v>
      </c>
      <c r="B1420" s="791"/>
      <c r="C1420" s="769" t="s">
        <v>397</v>
      </c>
      <c r="D1420" s="770"/>
      <c r="E1420" s="771"/>
      <c r="F1420" s="512">
        <f>IF(VLOOKUP(E1401,PROPONENTES!$C$19:$E$108,3,0)="","",VLOOKUP(E1401,PROPONENTES!$C$19:$E$108,3,0))</f>
        <v>2</v>
      </c>
      <c r="G1420" s="824" t="s">
        <v>398</v>
      </c>
      <c r="H1420" s="793" t="s">
        <v>399</v>
      </c>
      <c r="I1420" s="793"/>
      <c r="J1420" s="769" t="s">
        <v>400</v>
      </c>
      <c r="K1420" s="823"/>
      <c r="L1420" s="513" t="s">
        <v>401</v>
      </c>
      <c r="M1420" s="513"/>
      <c r="N1420" s="526"/>
      <c r="O1420" s="527"/>
      <c r="P1420" s="775"/>
      <c r="Q1420" s="776"/>
      <c r="R1420" s="776"/>
      <c r="S1420" s="777"/>
      <c r="T1420" s="796"/>
      <c r="U1420" s="797"/>
      <c r="V1420" s="812"/>
      <c r="W1420" s="284"/>
      <c r="X1420" s="780" t="s">
        <v>402</v>
      </c>
      <c r="Y1420" s="810" t="s">
        <v>403</v>
      </c>
      <c r="Z1420" s="810"/>
      <c r="AA1420" s="810"/>
      <c r="AB1420" s="809"/>
      <c r="AC1420" s="28"/>
    </row>
    <row r="1421" spans="1:29" s="30" customFormat="1" ht="51.75" customHeight="1" thickBot="1">
      <c r="A1421" s="112" t="str">
        <f>"M"&amp;E1401</f>
        <v>M47</v>
      </c>
      <c r="B1421" s="791"/>
      <c r="C1421" s="770" t="s">
        <v>404</v>
      </c>
      <c r="D1421" s="771"/>
      <c r="E1421" s="514" t="s">
        <v>405</v>
      </c>
      <c r="F1421" s="515" t="s">
        <v>406</v>
      </c>
      <c r="G1421" s="824"/>
      <c r="H1421" s="793"/>
      <c r="I1421" s="793"/>
      <c r="J1421" s="504" t="s">
        <v>407</v>
      </c>
      <c r="K1421" s="516" t="s">
        <v>408</v>
      </c>
      <c r="L1421" s="517" t="s">
        <v>409</v>
      </c>
      <c r="M1421" s="517"/>
      <c r="N1421" s="528" t="s">
        <v>410</v>
      </c>
      <c r="O1421" s="529"/>
      <c r="P1421" s="386"/>
      <c r="Q1421" s="387" t="s">
        <v>411</v>
      </c>
      <c r="R1421" s="388"/>
      <c r="S1421" s="113">
        <f>COUNTIFS(H1405:H1414,"SI",O1405:O1414,"&gt;0")</f>
        <v>3</v>
      </c>
      <c r="T1421" s="785"/>
      <c r="U1421" s="787"/>
      <c r="V1421" s="813"/>
      <c r="W1421" s="284"/>
      <c r="X1421" s="780"/>
      <c r="Y1421" s="810"/>
      <c r="Z1421" s="810"/>
      <c r="AA1421" s="810"/>
      <c r="AB1421" s="809"/>
      <c r="AC1421" s="28"/>
    </row>
    <row r="1422" spans="1:29" s="30" customFormat="1" ht="25.5" customHeight="1">
      <c r="A1422" s="112" t="str">
        <f>"N"&amp;E1401</f>
        <v>N47</v>
      </c>
      <c r="B1422" s="791"/>
      <c r="C1422" s="54">
        <v>1</v>
      </c>
      <c r="D1422" s="100" t="str">
        <f>IF(AND(C1422&lt;=F1420,F1420&gt;1,F1420&lt;&gt;""),VLOOKUP(VALUE(E1401&amp;","&amp;C1422),INTEGRANTES!$D$19:$F$192,2,0),"")</f>
        <v>DORA CRISTINA TORRES MAZABEL</v>
      </c>
      <c r="E1422" s="107">
        <f>IF(D1422&lt;&gt;"",VLOOKUP(VALUE(E1401&amp;","&amp;C1422),INTEGRANTES!$D$19:$F$192,3,0),"")</f>
        <v>0.5</v>
      </c>
      <c r="F1422" s="380">
        <f>IF(D1422="","",IF(OR(SUMIF($J1405:$J1414,D1422,$O1405:$O1414)=0,N1422="NO"),"NO APORTA",SUMIF($J1405:$J1414,D1422,$O1405:$O1414)))</f>
        <v>124.26</v>
      </c>
      <c r="G1422" s="380">
        <f ca="1">IF($D1422="","",IF($F1420&lt;=1,"",ROUND(POSMMLV*PORPO,2)))</f>
        <v>150</v>
      </c>
      <c r="H1422" s="765" t="str">
        <f ca="1">IF($D1422="","",IF(OR(F1422="NO APORTA",G1422&gt;F1422),"NO CUMPLE","CUMPLE"))</f>
        <v>NO CUMPLE</v>
      </c>
      <c r="I1422" s="766"/>
      <c r="J1422" s="108" t="str">
        <f ca="1">IF(D1422="","",IF(OR(AND(SUMIF($J1405:$J1414,D1422,$O1405:$O1414)&gt;=5%*POSMMLV,N1422="SI"),AND(SUMIF($J1405:$J1414,D1422,$O1405:$O1414)=0,E1422&lt;=5%,N1422="SI")),"CUMPLE","NO CUMPLE"))</f>
        <v>CUMPLE</v>
      </c>
      <c r="K1422" s="105" t="str">
        <f ca="1">IF(OR(D1422="",J1422=""),"",IF(AND(J1422="NO CUMPLE",F1422="NO APORTA",E1422&gt;5%),"EXP = 0 y PART &gt; 5%",IF(F1422&lt;5%*Q1427,"EXP &lt; 5%*PO","")))</f>
        <v/>
      </c>
      <c r="L1422" s="389" t="str">
        <f ca="1">IF(OR(D1422="",E1422=""),"",IF(AND(E1422&gt;=0.25,F1422&lt;&gt;"NO APORTA",F1422&gt;=$Q1427*0.25),"SI","NO"))</f>
        <v>SI</v>
      </c>
      <c r="M1422" s="389"/>
      <c r="N1422" s="468" t="s">
        <v>385</v>
      </c>
      <c r="O1422" s="396">
        <f>COUNTIFS(O1405:O1414,"&gt;0",H1405:H1414,"SI")</f>
        <v>3</v>
      </c>
      <c r="P1422" s="814" t="s">
        <v>139</v>
      </c>
      <c r="Q1422" s="814"/>
      <c r="R1422" s="817">
        <f>E1401</f>
        <v>47</v>
      </c>
      <c r="S1422" s="818"/>
      <c r="T1422" s="784" t="s">
        <v>412</v>
      </c>
      <c r="U1422" s="773"/>
      <c r="V1422" s="774"/>
      <c r="W1422" s="283"/>
      <c r="X1422" s="542" t="str">
        <f>IF($F1420=1,"NO APLICA",$D1422)</f>
        <v>DORA CRISTINA TORRES MAZABEL</v>
      </c>
      <c r="Y1422" s="543">
        <f ca="1">IF(OR($F1422="",$F1422="NO APORTA",$R1427=0,$X1422="NO APLICA"),"",ROUND($F1422/$Q1427,2))</f>
        <v>0.41</v>
      </c>
      <c r="Z1422" s="544" t="str">
        <f ca="1">IF(Y1428=1,"SI APLICA",IF(OR($X1422="",$X1422="NO APLICA",$F1422="",$F1422="NO APORTA"),"",IF(ROUND($F1422/Q1427,7)&gt;=0.4,"SI APLICA","NO APLICA")))</f>
        <v>SI APLICA</v>
      </c>
      <c r="AA1422" s="543" t="s">
        <v>516</v>
      </c>
      <c r="AB1422" s="540" t="str">
        <f ca="1">IF(COUNTIF(Z1422:AA1422,"SI APLICA")=2,"SI APLICA","")</f>
        <v/>
      </c>
      <c r="AC1422" s="28"/>
    </row>
    <row r="1423" spans="1:29" s="30" customFormat="1" ht="25.5" customHeight="1" thickBot="1">
      <c r="A1423" s="112" t="str">
        <f>"O"&amp;E1401</f>
        <v>O47</v>
      </c>
      <c r="B1423" s="791"/>
      <c r="C1423" s="54">
        <v>2</v>
      </c>
      <c r="D1423" s="100" t="str">
        <f>IF(AND(C1423&lt;=F1420,F1420&lt;&gt;""),VLOOKUP(VALUE(E1401&amp;","&amp;C1423),INTEGRANTES!$D$19:$F$192,2,0),"")</f>
        <v>RENE ARMANDO MARTINEZ DORADO</v>
      </c>
      <c r="E1423" s="107">
        <f>IF(D1423&lt;&gt;"",VLOOKUP(VALUE(E1401&amp;","&amp;C1423),INTEGRANTES!$D$19:$F$192,3,0),"")</f>
        <v>0.5</v>
      </c>
      <c r="F1423" s="380">
        <f>IF(D1423="","",IF(OR(SUMIF($J1405:$J1407,D1423,$O1406:$O1415)=0,N1423="NO"),"NO APORTA",SUMIF($J1405:$J1414,D1423,$O1405:$O1415)))</f>
        <v>1125.1210000000001</v>
      </c>
      <c r="G1423" s="380">
        <f ca="1">IF($D1423="","",IF($F1420&lt;=1,"",ROUND(POSMMLV*PORPO,2)))</f>
        <v>150</v>
      </c>
      <c r="H1423" s="765" t="str">
        <f t="shared" ref="H1423:H1426" ca="1" si="284">IF($D1423="","",IF(OR(F1423="NO APORTA",G1423&gt;F1423),"NO CUMPLE","CUMPLE"))</f>
        <v>CUMPLE</v>
      </c>
      <c r="I1423" s="766"/>
      <c r="J1423" s="108" t="str">
        <f ca="1">IF(D1423="","",IF(OR(AND(SUMIF($J1405:$J1414,D1423,$O1405:$O1414)&gt;=5%*POSMMLV,N1423="SI"),AND(SUMIF($J1405:$J1414,D1423,$O1405:$O1414)=0,E1423&lt;=5%,N1423="SI")),"CUMPLE","NO CUMPLE"))</f>
        <v>CUMPLE</v>
      </c>
      <c r="K1423" s="105" t="str">
        <f ca="1">IF(OR(D1423="",J1423=""),"",IF(AND(J1423="NO CUMPLE",F1423="NO APORTA",E1423&gt;5%),"EXP = 0 y PART &gt; 5%",IF(F1423&lt;5%*Q1427,"EXP &lt; 5%*PO","")))</f>
        <v/>
      </c>
      <c r="L1423" s="389" t="str">
        <f ca="1">IF(OR(D1423="",E1423=""),"",IF(AND(E1423&gt;=0.25,F1423&lt;&gt;"NO APORTA",F1423&gt;=$Q1427*0.25),"SI","NO"))</f>
        <v>SI</v>
      </c>
      <c r="M1423" s="389"/>
      <c r="N1423" s="468" t="s">
        <v>385</v>
      </c>
      <c r="O1423" s="396"/>
      <c r="P1423" s="815"/>
      <c r="Q1423" s="815"/>
      <c r="R1423" s="815"/>
      <c r="S1423" s="819"/>
      <c r="T1423" s="785"/>
      <c r="U1423" s="786"/>
      <c r="V1423" s="787"/>
      <c r="W1423" s="283"/>
      <c r="X1423" s="542" t="str">
        <f>IF($F1420=1,"NO APLICA",$D1423)</f>
        <v>RENE ARMANDO MARTINEZ DORADO</v>
      </c>
      <c r="Y1423" s="543">
        <f ca="1">IF(OR($F1423="",$F1423="NO APORTA",$R1427=0,$X1423="NO APLICA"),"",ROUND($F1423/$Q1427,2))</f>
        <v>3.75</v>
      </c>
      <c r="Z1423" s="544" t="str">
        <f ca="1">IF(Y1428=1,"SI APLICA",IF(OR($X1423="",$X1423="NO APLICA",$F1423="",$F1423="NO APORTA"),"",IF(ROUND($F1423/Q1427,7)&gt;=0.4,"SI APLICA","NO APLICA")))</f>
        <v>SI APLICA</v>
      </c>
      <c r="AA1423" s="543" t="s">
        <v>413</v>
      </c>
      <c r="AB1423" s="540" t="str">
        <f ca="1">IF(COUNTIF(Z1423:AA1423,"SI APLICA")=2,"SI APLICA","")</f>
        <v>SI APLICA</v>
      </c>
      <c r="AC1423" s="28"/>
    </row>
    <row r="1424" spans="1:29" s="30" customFormat="1" ht="15.75" customHeight="1">
      <c r="A1424" s="112" t="str">
        <f>"P"&amp;E1401</f>
        <v>P47</v>
      </c>
      <c r="B1424" s="791"/>
      <c r="C1424" s="54">
        <v>3</v>
      </c>
      <c r="D1424" s="100" t="str">
        <f>IF(AND(C1424&lt;=F1420,F1420&lt;&gt;""),VLOOKUP(VALUE(E1401&amp;","&amp;C1424),INTEGRANTES!$D$19:$F$192,2,0),"")</f>
        <v/>
      </c>
      <c r="E1424" s="107" t="str">
        <f>IF(D1424&lt;&gt;"",VLOOKUP(VALUE(E1401&amp;","&amp;C1424),INTEGRANTES!$D$19:$F$192,3,0),"")</f>
        <v/>
      </c>
      <c r="F1424" s="380" t="str">
        <f>IF(D1424="","",IF(OR(SUMIF($J1408:$J1414,D1424,$O1408:$O1414)=0,N1424="NO"),"NO APORTA",SUMIF($J1408:$J1414,D1424,$O1408:$O1414)))</f>
        <v/>
      </c>
      <c r="G1424" s="380" t="str">
        <f>IF($D1424="","",IF($F1420&lt;=1,"",ROUND(POSMMLV*PORPO,2)))</f>
        <v/>
      </c>
      <c r="H1424" s="765" t="str">
        <f t="shared" si="284"/>
        <v/>
      </c>
      <c r="I1424" s="766"/>
      <c r="J1424" s="108" t="str">
        <f>IF(D1424="","",IF(OR(AND(SUMIF($J1405:$J1414,D1424,$O1405:$O1414)&gt;=5%*POSMMLV,N1424="SI"),AND(SUMIF($J1405:$J1414,D1424,$O1405:$O1414)=0,E1424&lt;=5%,N1424="SI")),"CUMPLE","NO CUMPLE"))</f>
        <v/>
      </c>
      <c r="K1424" s="105" t="str">
        <f>IF(OR(D1424="",J1424=""),"",IF(AND(J1424="NO CUMPLE",F1424="NO APORTA",E1424&gt;5%),"EXP = 0 y PART &gt; 5%",IF(F1424&lt;5%*Q1427,"EXP &lt; 5%*PO","")))</f>
        <v/>
      </c>
      <c r="L1424" s="389" t="str">
        <f>IF(OR(D1424="",E1424=""),"",IF(AND(E1424&gt;=0.25,F1424&lt;&gt;"NO APORTA",F1424&gt;=$R1427*0.25),"SI","NO"))</f>
        <v/>
      </c>
      <c r="M1424" s="389"/>
      <c r="N1424" s="468"/>
      <c r="O1424" s="397"/>
      <c r="P1424" s="816"/>
      <c r="Q1424" s="816"/>
      <c r="R1424" s="816"/>
      <c r="S1424" s="820"/>
      <c r="T1424" s="308"/>
      <c r="U1424" s="308"/>
      <c r="V1424" s="309"/>
      <c r="W1424" s="284"/>
      <c r="X1424" s="542" t="str">
        <f>IF($F1420=1,"NO APLICA",$D1424)</f>
        <v/>
      </c>
      <c r="Y1424" s="543" t="str">
        <f>IF(OR($F1424="",$F1424="NO APORTA",$R1427=0,$X1424="NO APLICA"),"",ROUND($F1424/$Q1427,2))</f>
        <v/>
      </c>
      <c r="Z1424" s="544" t="str">
        <f>IF(Y1428=1,"SI APLICA",IF(OR($X1424="",$X1424="NO APLICA",$F1424="",$F1424="NO APORTA"),"",IF(ROUND($F1424/Q1427,7)&gt;=0.4,"SI APLICA","NO APLICA")))</f>
        <v/>
      </c>
      <c r="AA1424" s="543"/>
      <c r="AB1424" s="540" t="str">
        <f>IF(COUNTIF(Z1424:AA1424,"SI APLICA")=2,"SI APLICA","")</f>
        <v/>
      </c>
      <c r="AC1424" s="28"/>
    </row>
    <row r="1425" spans="1:29" s="30" customFormat="1" ht="15.75" customHeight="1">
      <c r="A1425" s="112" t="str">
        <f>"Q"&amp;E1401</f>
        <v>Q47</v>
      </c>
      <c r="B1425" s="791"/>
      <c r="C1425" s="54">
        <v>4</v>
      </c>
      <c r="D1425" s="100" t="str">
        <f>IF(AND(C1425&lt;=F1420,F1420&lt;&gt;""),VLOOKUP(VALUE(E1401&amp;","&amp;C1425),INTEGRANTES!$D$19:$F$192,2,0),"")</f>
        <v/>
      </c>
      <c r="E1425" s="107" t="str">
        <f>IF(D1425&lt;&gt;"",VLOOKUP(VALUE(E1401&amp;","&amp;C1425),INTEGRANTES!$D$19:$F$192,3,0),"")</f>
        <v/>
      </c>
      <c r="F1425" s="380" t="str">
        <f>IF(D1425="","",IF(OR(SUMIF($J1408:$J1414,D1425,$O1408:$O1414)=0,N1425="NO"),"NO APORTA",SUMIF($J1408:$J1414,D1425,$O1408:$O1414)))</f>
        <v/>
      </c>
      <c r="G1425" s="380" t="str">
        <f>IF($D1425="","",IF($F1420&lt;=1,"",ROUND(POSMMLV*PORPO,2)))</f>
        <v/>
      </c>
      <c r="H1425" s="765" t="str">
        <f t="shared" si="284"/>
        <v/>
      </c>
      <c r="I1425" s="766"/>
      <c r="J1425" s="108" t="str">
        <f>IF(D1425="","",IF(OR(AND(SUMIF($J1405:$J1414,D1425,$O1405:$O1414)&gt;=5%*POSMMLV,N1425="SI"),AND(SUMIF($J1405:$J1414,D1425,$O1405:$O1414)=0,E1425&lt;=5%,N1425="SI")),"CUMPLE","NO CUMPLE"))</f>
        <v/>
      </c>
      <c r="K1425" s="105" t="str">
        <f>IF(OR(D1425="",J1425=""),"",IF(AND(J1425="NO CUMPLE",F1425="NO APORTA",E1425&gt;5%),"EXP = 0 y PART &gt; 5%",IF(F1425&lt;5%*Q1427,"EXP &lt; 5%*PO","")))</f>
        <v/>
      </c>
      <c r="L1425" s="389" t="str">
        <f>IF(OR(D1425="",E1425=""),"",IF(AND(E1425&gt;=0.25,F1425&lt;&gt;"NO APORTA",F1425&gt;=$R1427*0.25),"SI","NO"))</f>
        <v/>
      </c>
      <c r="M1425" s="389"/>
      <c r="N1425" s="468"/>
      <c r="O1425" s="788" t="s">
        <v>414</v>
      </c>
      <c r="P1425" s="769" t="s">
        <v>415</v>
      </c>
      <c r="Q1425" s="770"/>
      <c r="R1425" s="770"/>
      <c r="S1425" s="771"/>
      <c r="T1425" s="284"/>
      <c r="U1425" s="284"/>
      <c r="V1425" s="310"/>
      <c r="W1425" s="284"/>
      <c r="X1425" s="542" t="str">
        <f>IF($F1420=1,"NO APLICA",$D1425)</f>
        <v/>
      </c>
      <c r="Y1425" s="543" t="str">
        <f>IF(OR($F1425="",$F1425="NO APORTA",$R1427=0,$X1425="NO APLICA"),"",ROUND($F1425/$Q1427,2))</f>
        <v/>
      </c>
      <c r="Z1425" s="544" t="str">
        <f>IF(Y1428=1,"SI APLICA",IF(OR($X1425="",$X1425="NO APLICA",$F1425="",$F1425="NO APORTA"),"",IF(ROUND($F1425/Q1427,7)&gt;=0.4,"SI APLICA","NO APLICA")))</f>
        <v/>
      </c>
      <c r="AA1425" s="543"/>
      <c r="AB1425" s="540" t="str">
        <f t="shared" ref="AB1425:AB1426" si="285">IF(COUNTIF(Z1425:AA1425,"SI APLICA")=2,"SI APLICA","")</f>
        <v/>
      </c>
      <c r="AC1425" s="28"/>
    </row>
    <row r="1426" spans="1:29" s="30" customFormat="1" ht="22.5" customHeight="1">
      <c r="A1426" s="112" t="str">
        <f>"R"&amp;E1401</f>
        <v>R47</v>
      </c>
      <c r="B1426" s="791"/>
      <c r="C1426" s="54">
        <v>5</v>
      </c>
      <c r="D1426" s="100" t="str">
        <f>IF(AND(C1426&lt;=F1420,F1420&lt;&gt;""),VLOOKUP(VALUE(E1401&amp;","&amp;C1426),INTEGRANTES!$D$19:$F$192,2,0),"")</f>
        <v/>
      </c>
      <c r="E1426" s="107" t="str">
        <f>IF(D1426&lt;&gt;"",VLOOKUP(VALUE(E1401&amp;","&amp;C1426),INTEGRANTES!$D$19:$F$192,3,0),"")</f>
        <v/>
      </c>
      <c r="F1426" s="380" t="str">
        <f>IF(D1426="","",IF(OR(SUMIF($J1408:$J1414,D1426,$O1408:$O1414)=0,N1426="NO"),"NO APORTA",SUMIF($J1408:$J1414,D1426,$O1408:$O1414)))</f>
        <v/>
      </c>
      <c r="G1426" s="380" t="str">
        <f>IF($D1426="","",IF($F1420&lt;=1,"",ROUND(POSMMLV*PORPO,2)))</f>
        <v/>
      </c>
      <c r="H1426" s="765" t="str">
        <f t="shared" si="284"/>
        <v/>
      </c>
      <c r="I1426" s="766"/>
      <c r="J1426" s="108" t="str">
        <f>IF(D1426="","",IF(OR(AND(SUMIF($J1405:$J1414,D1426,$O1405:$O1414)&gt;=5%*POSMMLV,N1426="SI"),AND(SUMIF($J1405:$J1414,D1426,$O1405:$O1414)=0,E1426&lt;=5%,N1426="SI")),"CUMPLE","NO CUMPLE"))</f>
        <v/>
      </c>
      <c r="K1426" s="105" t="str">
        <f>IF(OR(D1426="",J1426=""),"",IF(AND(J1426="NO CUMPLE",F1426="NO APORTA",E1426&gt;5%),"EXP = 0 y PART &gt; 5%",IF(F1426&lt;5%*Q1427,"EXP &lt; 5%*PO","")))</f>
        <v/>
      </c>
      <c r="L1426" s="389" t="str">
        <f>IF(OR(D1426="",E1426=""),"",IF(AND(E1426&gt;=0.25,F1426&lt;&gt;"NO APORTA",F1426&gt;=$R1427*0.25),"SI","NO"))</f>
        <v/>
      </c>
      <c r="M1426" s="389"/>
      <c r="N1426" s="468"/>
      <c r="O1426" s="789"/>
      <c r="P1426" s="504" t="s">
        <v>416</v>
      </c>
      <c r="Q1426" s="504" t="s">
        <v>417</v>
      </c>
      <c r="R1426" s="793" t="s">
        <v>418</v>
      </c>
      <c r="S1426" s="793"/>
      <c r="T1426" s="284"/>
      <c r="U1426" s="284"/>
      <c r="V1426" s="310"/>
      <c r="W1426" s="284"/>
      <c r="X1426" s="542" t="str">
        <f>IF($F1420=1,"NO APLICA",$D1426)</f>
        <v/>
      </c>
      <c r="Y1426" s="543" t="str">
        <f>IF(OR($F1426="",$F1426="NO APORTA",$R1427=0,$X1426="NO APLICA"),"",ROUND($F1426/$Q1427,2))</f>
        <v/>
      </c>
      <c r="Z1426" s="544" t="str">
        <f>IF(Y1428=1,"SI APLICA",IF(OR($X1426="",$X1426="NO APLICA",$F1426="",$F1426="NO APORTA"),"",IF(ROUND($F1426/Q1427,7)&gt;=0.4,"SI APLICA","NO APLICA")))</f>
        <v/>
      </c>
      <c r="AA1426" s="543"/>
      <c r="AB1426" s="540" t="str">
        <f t="shared" si="285"/>
        <v/>
      </c>
      <c r="AC1426" s="28"/>
    </row>
    <row r="1427" spans="1:29" s="30" customFormat="1" ht="16.5" customHeight="1" thickBot="1">
      <c r="A1427" s="112" t="str">
        <f>"S"&amp;E1401</f>
        <v>S47</v>
      </c>
      <c r="B1427" s="791"/>
      <c r="C1427" s="109">
        <v>6</v>
      </c>
      <c r="D1427" s="110" t="str">
        <f>IF(AND(C1427&lt;=F1420,F1420&lt;&gt;""),VLOOKUP(VALUE(E1401&amp;","&amp;C1427),INTEGRANTES!$D$19:$F$192,2,0),"")</f>
        <v/>
      </c>
      <c r="E1427" s="111" t="str">
        <f>IF(D1427&lt;&gt;"",VLOOKUP(VALUE(E1401&amp;","&amp;C1427),INTEGRANTES!$D$19:$F$192,3,0),"")</f>
        <v/>
      </c>
      <c r="F1427" s="380" t="str">
        <f>IF(D1427="","",IF(OR(SUMIF($J1408:$J1414,D1427,$O1408:$O1414)=0,N1427="NO"),"NO APORTA",SUMIF($J1408:$J1414,D1427,$O1408:$O1414)))</f>
        <v/>
      </c>
      <c r="G1427" s="380" t="str">
        <f>IF($D1427="","",IF($F1420&lt;=1,"",ROUND(POSMMLV*PORPO,2)))</f>
        <v/>
      </c>
      <c r="H1427" s="765" t="str">
        <f>IF($D1427="","",IF(OR(F1427="NO APORTA",G1427&gt;F1427),"NO CUMPLE","CUMPLE"))</f>
        <v/>
      </c>
      <c r="I1427" s="766"/>
      <c r="J1427" s="108" t="str">
        <f>IF(D1427="","",IF(OR(AND(SUMIF($J1405:$J1414,D1427,$O1405:$O1414)&gt;=5%*POSMMLV,N1427="SI"),AND(SUMIF($J1405:$J1414,D1427,$O1405:$O1414)=0,E1427&lt;=5%,N1427="SI")),"CUMPLE","NO CUMPLE"))</f>
        <v/>
      </c>
      <c r="K1427" s="105" t="str">
        <f>IF(OR(D1427="",J1427=""),"",IF(AND(J1427="NO CUMPLE",F1427="NO APORTA",E1427&gt;5%),"EXP = 0 y PART &gt; 5%",IF(F1427&lt;5%*Q1427,"EXP &lt; 5%*PO","")))</f>
        <v/>
      </c>
      <c r="L1427" s="389" t="str">
        <f>IF(OR(D1427="",E1427=""),"",IF(AND(E1427&gt;=0.25,F1427&lt;&gt;"NO APORTA",F1427&gt;=$R1427*0.25),"SI","NO"))</f>
        <v/>
      </c>
      <c r="M1427" s="389"/>
      <c r="N1427" s="468"/>
      <c r="O1427" s="627" t="str">
        <f ca="1">IF(R1427&gt;=Q1427,"CUMPLE","NO CUMPLE")</f>
        <v>CUMPLE</v>
      </c>
      <c r="P1427" s="312">
        <f>NUMMOD</f>
        <v>1</v>
      </c>
      <c r="Q1427" s="313">
        <f ca="1">IF(P1427="","",ROUND(VLOOKUP(P1427,PRESUPUESTOS!$B$16:$L$16,9,FALSE),7))</f>
        <v>300</v>
      </c>
      <c r="R1427" s="834">
        <f>IF(OR(COUNTIF(O1405:O1414,"")&gt;9,S1421&lt;NUMMINCONT),0,SUM(O1405:O1414))</f>
        <v>1249.3810000000001</v>
      </c>
      <c r="S1427" s="834"/>
      <c r="T1427" s="284"/>
      <c r="U1427" s="284"/>
      <c r="V1427" s="310"/>
      <c r="W1427" s="284"/>
      <c r="X1427" s="545" t="str">
        <f>IF($F1420=1,"NO APLICA",$D1427)</f>
        <v/>
      </c>
      <c r="Y1427" s="543" t="str">
        <f>IF(OR($F1427="",$F1427="NO APORTA",$R1427=0,$X1427="NO APLICA"),"",ROUND($F1427/$Q1427,2))</f>
        <v/>
      </c>
      <c r="Z1427" s="544" t="str">
        <f>IF(Y1428=1,"SI APLICA",IF(OR($X1427="",$X1427="NO APLICA",$F1427="",$F1427="NO APORTA"),"",IF(ROUND($F1427/Q1427,7)&gt;=0.4,"SI APLICA","NO APLICA")))</f>
        <v/>
      </c>
      <c r="AA1427" s="546"/>
      <c r="AB1427" s="540" t="str">
        <f>IF(COUNTIF(Z1427:AA1427,"SI APLICA")=2,"SI APLICA","")</f>
        <v/>
      </c>
      <c r="AC1427" s="28"/>
    </row>
    <row r="1428" spans="1:29" s="30" customFormat="1" ht="16.5" customHeight="1" thickBot="1">
      <c r="A1428" s="112" t="str">
        <f>"T"&amp;E1401</f>
        <v>T47</v>
      </c>
      <c r="B1428" s="792"/>
      <c r="C1428" s="821" t="s">
        <v>419</v>
      </c>
      <c r="D1428" s="822"/>
      <c r="E1428" s="822"/>
      <c r="F1428" s="518"/>
      <c r="G1428" s="519"/>
      <c r="H1428" s="794" t="str">
        <f ca="1">IF(OR($F1420="",SUM(E1422:E1427)=0),"",IF(COUNTIF(H1422:H1427,"CUMPLE")&gt;=1,"CUMPLE","NO CUMPLE"))</f>
        <v>CUMPLE</v>
      </c>
      <c r="I1428" s="795"/>
      <c r="J1428" s="314" t="str">
        <f ca="1">IF(COUNTIF(J1422:J1427,"")&gt;5,"",IF(COUNTIF(J1422:J1427,"NO CUMPLE")&gt;0,"NO CUMPLE","CUMPLE"))</f>
        <v>CUMPLE</v>
      </c>
      <c r="K1428" s="314" t="str">
        <f ca="1">IF(OR(AND(F1420=1,N1422="SI"),AND(COUNTIF(H1428:J1428,"CUMPLE")=2)),"CUMPLE","NO CUMPLE")</f>
        <v>CUMPLE</v>
      </c>
      <c r="L1428" s="519"/>
      <c r="M1428" s="519"/>
      <c r="N1428" s="519"/>
      <c r="O1428" s="833" t="str">
        <f ca="1">IF(ISNUMBER(F1401),"",IF(AND(O1427="NO CUMPLE",SUM(N1408:N1414)&lt;Q1427),"EL PROPONENTE SE DEBE REQUERIR POR EXPERIENCIA MINIMA EXIGIDA",""))</f>
        <v/>
      </c>
      <c r="P1428" s="833"/>
      <c r="Q1428" s="833"/>
      <c r="R1428" s="833"/>
      <c r="S1428" s="833"/>
      <c r="T1428" s="522"/>
      <c r="U1428" s="523"/>
      <c r="V1428" s="524"/>
      <c r="W1428" s="284"/>
      <c r="X1428" s="364" t="str">
        <f>IF(Y1428=1,"PROPONENTE INDIVIDUAL","PROPONENTE PLURAL")</f>
        <v>PROPONENTE PLURAL</v>
      </c>
      <c r="Y1428" s="276">
        <f>F1420</f>
        <v>2</v>
      </c>
      <c r="Z1428" s="277" t="str">
        <f ca="1">IF(OR(AND(Z1422="SI APLICA",AA1422="SI APLICA"),AND(Z1423="SI APLICA",AA1423="SI APLICA"),AND(Z1424="SI APLICA",AA1424="SI APLICA"),AND(Z1425="SI APLICA",AA1425="SI APLICA"),AND(Z1426="SI APLICA",AA1426="SI APLICA"),AND(Z1427="SI APLICA",AA1427="SI APLICA")),"SI APLICA","NO APLICA")</f>
        <v>SI APLICA</v>
      </c>
      <c r="AA1428" s="278" t="str">
        <f ca="1">IF(OR(AND(AA1422="SI APLICA",AB1422="SI APLICA"),AND(AA1423="SI APLICA",AB1423="SI APLICA"),AND(AA1424="SI APLICA",AB1424="SI APLICA"),AND(AA1425="SI APLICA",AB1425="SI APLICA"),AND(AA1426="SI APLICA",AB1426="SI APLICA"),AND(AA1427="SI APLICA",AB1427="SI APLICA")),"SI APLICA","NO APLICA")</f>
        <v>SI APLICA</v>
      </c>
      <c r="AB1428" s="278" t="str">
        <f ca="1">IF(COUNTIF(AB1422:AB1427,"SI APLICA")&gt;0,"SI APLICA","NO APLICA")</f>
        <v>SI APLICA</v>
      </c>
      <c r="AC1428" s="28"/>
    </row>
    <row r="1429" spans="1:29" ht="24.95" customHeight="1"/>
    <row r="1430" spans="1:29" ht="24.95" customHeight="1"/>
    <row r="1431" spans="1:29" s="41" customFormat="1" ht="24" thickBot="1">
      <c r="A1431" s="34">
        <v>48</v>
      </c>
      <c r="B1431" s="828" t="s">
        <v>355</v>
      </c>
      <c r="C1431" s="828"/>
      <c r="D1431" s="828"/>
      <c r="E1431" s="35">
        <f>VLOOKUP(A1431,PROPONENTES!$B$19:$E$108,2,FALSE)</f>
        <v>48</v>
      </c>
      <c r="F1431" s="36" t="str">
        <f>VLOOKUP(A1431,PROPONENTES!$B$19:$E$108,3,FALSE)</f>
        <v>BRAIN INGENIERIA VIAL SAS</v>
      </c>
      <c r="G1431" s="37"/>
      <c r="H1431" s="37"/>
      <c r="I1431" s="36"/>
      <c r="J1431" s="36"/>
      <c r="K1431" s="36"/>
      <c r="L1431" s="36"/>
      <c r="M1431" s="38"/>
      <c r="N1431" s="38"/>
      <c r="O1431" s="37"/>
      <c r="P1431" s="37"/>
      <c r="Q1431" s="39"/>
      <c r="R1431" s="39"/>
      <c r="S1431" s="39"/>
      <c r="T1431" s="39"/>
      <c r="U1431" s="40"/>
      <c r="Y1431" s="52"/>
      <c r="Z1431" s="52"/>
      <c r="AA1431" s="52"/>
      <c r="AB1431" s="28"/>
      <c r="AC1431" s="28"/>
    </row>
    <row r="1432" spans="1:29" s="27" customFormat="1" ht="24.75" customHeight="1">
      <c r="A1432" s="22"/>
      <c r="B1432" s="829" t="s">
        <v>356</v>
      </c>
      <c r="C1432" s="501" t="s">
        <v>357</v>
      </c>
      <c r="D1432" s="502" t="s">
        <v>358</v>
      </c>
      <c r="E1432" s="502"/>
      <c r="F1432" s="502" t="s">
        <v>359</v>
      </c>
      <c r="G1432" s="503"/>
      <c r="H1432" s="803" t="s">
        <v>360</v>
      </c>
      <c r="I1432" s="831" t="s">
        <v>361</v>
      </c>
      <c r="J1432" s="803" t="s">
        <v>362</v>
      </c>
      <c r="K1432" s="803" t="s">
        <v>363</v>
      </c>
      <c r="L1432" s="803" t="s">
        <v>364</v>
      </c>
      <c r="M1432" s="803" t="s">
        <v>365</v>
      </c>
      <c r="N1432" s="804" t="s">
        <v>366</v>
      </c>
      <c r="O1432" s="805"/>
      <c r="P1432" s="806" t="s">
        <v>367</v>
      </c>
      <c r="Q1432" s="807"/>
      <c r="R1432" s="784" t="s">
        <v>368</v>
      </c>
      <c r="S1432" s="774"/>
      <c r="T1432" s="798" t="s">
        <v>369</v>
      </c>
      <c r="U1432" s="799"/>
      <c r="V1432" s="800"/>
      <c r="X1432" s="520"/>
      <c r="Y1432" s="520"/>
    </row>
    <row r="1433" spans="1:29" s="27" customFormat="1" ht="94.5" customHeight="1">
      <c r="A1433" s="22"/>
      <c r="B1433" s="830"/>
      <c r="C1433" s="504" t="s">
        <v>370</v>
      </c>
      <c r="D1433" s="505" t="s">
        <v>41</v>
      </c>
      <c r="E1433" s="505" t="s">
        <v>371</v>
      </c>
      <c r="F1433" s="505" t="s">
        <v>372</v>
      </c>
      <c r="G1433" s="506" t="s">
        <v>373</v>
      </c>
      <c r="H1433" s="793"/>
      <c r="I1433" s="832"/>
      <c r="J1433" s="793"/>
      <c r="K1433" s="793"/>
      <c r="L1433" s="793"/>
      <c r="M1433" s="793"/>
      <c r="N1433" s="504" t="s">
        <v>374</v>
      </c>
      <c r="O1433" s="505" t="s">
        <v>375</v>
      </c>
      <c r="P1433" s="801"/>
      <c r="Q1433" s="802"/>
      <c r="R1433" s="796"/>
      <c r="S1433" s="797"/>
      <c r="T1433" s="507" t="s">
        <v>376</v>
      </c>
      <c r="U1433" s="508" t="s">
        <v>377</v>
      </c>
      <c r="V1433" s="509" t="s">
        <v>378</v>
      </c>
      <c r="X1433" s="521" t="s">
        <v>379</v>
      </c>
      <c r="Y1433" s="521" t="s">
        <v>380</v>
      </c>
    </row>
    <row r="1434" spans="1:29" s="27" customFormat="1" ht="15" customHeight="1">
      <c r="A1434" s="22"/>
      <c r="B1434" s="594"/>
      <c r="C1434" s="595">
        <v>3</v>
      </c>
      <c r="D1434" s="595">
        <v>4</v>
      </c>
      <c r="E1434" s="595">
        <v>5</v>
      </c>
      <c r="F1434" s="595">
        <v>6</v>
      </c>
      <c r="G1434" s="595">
        <v>7</v>
      </c>
      <c r="H1434" s="595">
        <v>8</v>
      </c>
      <c r="I1434" s="595">
        <v>9</v>
      </c>
      <c r="J1434" s="595">
        <v>10</v>
      </c>
      <c r="K1434" s="595">
        <v>11</v>
      </c>
      <c r="L1434" s="595">
        <v>12</v>
      </c>
      <c r="M1434" s="595">
        <v>13</v>
      </c>
      <c r="N1434" s="595">
        <v>14</v>
      </c>
      <c r="O1434" s="595">
        <v>15</v>
      </c>
      <c r="P1434" s="596">
        <v>16</v>
      </c>
      <c r="Q1434" s="597">
        <v>17</v>
      </c>
      <c r="R1434" s="596">
        <v>18</v>
      </c>
      <c r="S1434" s="597">
        <v>19</v>
      </c>
      <c r="T1434" s="598">
        <v>20</v>
      </c>
      <c r="U1434" s="255">
        <v>21</v>
      </c>
      <c r="V1434" s="599">
        <v>22</v>
      </c>
      <c r="X1434" s="589"/>
      <c r="Y1434" s="590"/>
    </row>
    <row r="1435" spans="1:29" s="44" customFormat="1" ht="31.5" customHeight="1">
      <c r="A1435" s="42" t="str">
        <f>"A"&amp;E1431</f>
        <v>A48</v>
      </c>
      <c r="B1435" s="605">
        <f>IF(C1435&lt;&gt;"",B1434+1,"")</f>
        <v>1</v>
      </c>
      <c r="C1435" s="581" t="s">
        <v>443</v>
      </c>
      <c r="D1435" s="581" t="s">
        <v>765</v>
      </c>
      <c r="E1435" s="581" t="s">
        <v>766</v>
      </c>
      <c r="F1435" s="581" t="s">
        <v>431</v>
      </c>
      <c r="G1435" s="534">
        <v>0.5</v>
      </c>
      <c r="H1435" s="534" t="s">
        <v>385</v>
      </c>
      <c r="I1435" s="579" t="s">
        <v>384</v>
      </c>
      <c r="J1435" s="580" t="str">
        <f>IF(I1435="","",IF(I1435="I",$F1431,VLOOKUP(I1435,$C1452:$D1457,2,0)))</f>
        <v>BRAIN INGENIERIA VIAL SAS</v>
      </c>
      <c r="K1435" s="535">
        <v>44189</v>
      </c>
      <c r="L1435" s="535">
        <v>44489</v>
      </c>
      <c r="M1435" s="536">
        <v>715.08</v>
      </c>
      <c r="N1435" s="232">
        <f t="shared" ref="N1435:N1444" si="286">IF(OR(G1435="",M1435=""),"",M1435*G1435)</f>
        <v>357.54</v>
      </c>
      <c r="O1435" s="260">
        <f t="shared" ref="O1435:O1444" si="287">IF(OR(H1435="",H1435="NO",K1435&lt;$Q$17,K1435&gt;$R$17,K1435="",M1435="",N1435=""),"",ROUND(N1435,7))</f>
        <v>357.54</v>
      </c>
      <c r="P1435" s="781"/>
      <c r="Q1435" s="782"/>
      <c r="R1435" s="767"/>
      <c r="S1435" s="768"/>
      <c r="T1435" s="538" t="s">
        <v>385</v>
      </c>
      <c r="U1435" s="539">
        <v>71</v>
      </c>
      <c r="V1435" s="540" t="s">
        <v>385</v>
      </c>
      <c r="X1435" s="541" t="s">
        <v>423</v>
      </c>
      <c r="Y1435" s="541" t="s">
        <v>435</v>
      </c>
    </row>
    <row r="1436" spans="1:29" s="44" customFormat="1" ht="24.95" customHeight="1">
      <c r="A1436" s="42" t="str">
        <f>"B"&amp;E1431</f>
        <v>B48</v>
      </c>
      <c r="B1436" s="605" t="str">
        <f t="shared" ref="B1436:B1444" si="288">IF(C1436&lt;&gt;"",B1435+1,"")</f>
        <v/>
      </c>
      <c r="C1436" s="581"/>
      <c r="D1436" s="581"/>
      <c r="E1436" s="581"/>
      <c r="F1436" s="581"/>
      <c r="G1436" s="534"/>
      <c r="H1436" s="534"/>
      <c r="I1436" s="579"/>
      <c r="J1436" s="580" t="str">
        <f>IF(I1436="","",IF(I1436="I",$F1431,VLOOKUP(I1436,$C1452:$D1457,2,0)))</f>
        <v/>
      </c>
      <c r="K1436" s="535"/>
      <c r="L1436" s="535"/>
      <c r="M1436" s="536"/>
      <c r="N1436" s="232" t="str">
        <f t="shared" si="286"/>
        <v/>
      </c>
      <c r="O1436" s="260" t="str">
        <f t="shared" si="287"/>
        <v/>
      </c>
      <c r="P1436" s="781"/>
      <c r="Q1436" s="782"/>
      <c r="R1436" s="767"/>
      <c r="S1436" s="768"/>
      <c r="T1436" s="538"/>
      <c r="U1436" s="539"/>
      <c r="V1436" s="540"/>
      <c r="X1436" s="541"/>
      <c r="Y1436" s="541"/>
    </row>
    <row r="1437" spans="1:29" s="44" customFormat="1" ht="24.95" customHeight="1">
      <c r="A1437" s="42" t="str">
        <f>"C"&amp;E1431</f>
        <v>C48</v>
      </c>
      <c r="B1437" s="605" t="str">
        <f t="shared" si="288"/>
        <v/>
      </c>
      <c r="C1437" s="581"/>
      <c r="D1437" s="581"/>
      <c r="E1437" s="581"/>
      <c r="F1437" s="581"/>
      <c r="G1437" s="534"/>
      <c r="H1437" s="534"/>
      <c r="I1437" s="579"/>
      <c r="J1437" s="580" t="str">
        <f>IF(I1437="","",IF(I1437="I",$F1431,VLOOKUP(I1437,$C1452:$D1457,2,0)))</f>
        <v/>
      </c>
      <c r="K1437" s="535"/>
      <c r="L1437" s="535"/>
      <c r="M1437" s="536"/>
      <c r="N1437" s="232" t="str">
        <f t="shared" si="286"/>
        <v/>
      </c>
      <c r="O1437" s="260" t="str">
        <f t="shared" si="287"/>
        <v/>
      </c>
      <c r="P1437" s="781"/>
      <c r="Q1437" s="782"/>
      <c r="R1437" s="767"/>
      <c r="S1437" s="768"/>
      <c r="T1437" s="538"/>
      <c r="U1437" s="539"/>
      <c r="V1437" s="540"/>
      <c r="X1437" s="541"/>
      <c r="Y1437" s="541"/>
    </row>
    <row r="1438" spans="1:29" s="44" customFormat="1" ht="24.95" customHeight="1">
      <c r="A1438" s="42" t="str">
        <f>"D"&amp;E1431</f>
        <v>D48</v>
      </c>
      <c r="B1438" s="605" t="str">
        <f t="shared" si="288"/>
        <v/>
      </c>
      <c r="C1438" s="581"/>
      <c r="D1438" s="581"/>
      <c r="E1438" s="581"/>
      <c r="F1438" s="581"/>
      <c r="G1438" s="534"/>
      <c r="H1438" s="534"/>
      <c r="I1438" s="579"/>
      <c r="J1438" s="580" t="str">
        <f>IF(I1438="","",IF(I1438="I",$F1431,VLOOKUP(I1438,$C1452:$D1457,2,0)))</f>
        <v/>
      </c>
      <c r="K1438" s="535"/>
      <c r="L1438" s="535"/>
      <c r="M1438" s="536"/>
      <c r="N1438" s="232" t="str">
        <f t="shared" si="286"/>
        <v/>
      </c>
      <c r="O1438" s="260" t="str">
        <f t="shared" si="287"/>
        <v/>
      </c>
      <c r="P1438" s="781"/>
      <c r="Q1438" s="782"/>
      <c r="R1438" s="767"/>
      <c r="S1438" s="768"/>
      <c r="T1438" s="538"/>
      <c r="U1438" s="539"/>
      <c r="V1438" s="540"/>
      <c r="X1438" s="541"/>
      <c r="Y1438" s="541"/>
    </row>
    <row r="1439" spans="1:29" s="44" customFormat="1" ht="24.95" customHeight="1">
      <c r="A1439" s="42" t="str">
        <f>"E"&amp;E1431</f>
        <v>E48</v>
      </c>
      <c r="B1439" s="605" t="str">
        <f t="shared" si="288"/>
        <v/>
      </c>
      <c r="C1439" s="581"/>
      <c r="D1439" s="581"/>
      <c r="E1439" s="581"/>
      <c r="F1439" s="581"/>
      <c r="G1439" s="534"/>
      <c r="H1439" s="534"/>
      <c r="I1439" s="579"/>
      <c r="J1439" s="580" t="str">
        <f>IF(I1439="","",IF(I1439="I",$F1431,VLOOKUP(I1439,$C1452:$D1457,2,0)))</f>
        <v/>
      </c>
      <c r="K1439" s="535"/>
      <c r="L1439" s="535"/>
      <c r="M1439" s="536"/>
      <c r="N1439" s="232" t="str">
        <f t="shared" si="286"/>
        <v/>
      </c>
      <c r="O1439" s="260" t="str">
        <f t="shared" si="287"/>
        <v/>
      </c>
      <c r="P1439" s="781"/>
      <c r="Q1439" s="782"/>
      <c r="R1439" s="767"/>
      <c r="S1439" s="768"/>
      <c r="T1439" s="538"/>
      <c r="U1439" s="539"/>
      <c r="V1439" s="540"/>
      <c r="X1439" s="541"/>
      <c r="Y1439" s="541"/>
    </row>
    <row r="1440" spans="1:29" s="44" customFormat="1" ht="24.95" customHeight="1">
      <c r="A1440" s="42" t="str">
        <f>"F"&amp;E1431</f>
        <v>F48</v>
      </c>
      <c r="B1440" s="605" t="str">
        <f t="shared" si="288"/>
        <v/>
      </c>
      <c r="C1440" s="581"/>
      <c r="D1440" s="581"/>
      <c r="E1440" s="581"/>
      <c r="F1440" s="581"/>
      <c r="G1440" s="534"/>
      <c r="H1440" s="534"/>
      <c r="I1440" s="579"/>
      <c r="J1440" s="580" t="str">
        <f>IF(I1440="","",IF(I1440="I",$F1431,VLOOKUP(I1440,$C1452:$D1457,2,0)))</f>
        <v/>
      </c>
      <c r="K1440" s="535"/>
      <c r="L1440" s="535"/>
      <c r="M1440" s="536"/>
      <c r="N1440" s="232" t="str">
        <f t="shared" si="286"/>
        <v/>
      </c>
      <c r="O1440" s="260" t="str">
        <f t="shared" si="287"/>
        <v/>
      </c>
      <c r="P1440" s="781"/>
      <c r="Q1440" s="782"/>
      <c r="R1440" s="767"/>
      <c r="S1440" s="768"/>
      <c r="T1440" s="538"/>
      <c r="U1440" s="539"/>
      <c r="V1440" s="540"/>
      <c r="X1440" s="541"/>
      <c r="Y1440" s="541"/>
    </row>
    <row r="1441" spans="1:29" s="44" customFormat="1" ht="24.95" customHeight="1">
      <c r="A1441" s="42" t="str">
        <f>"G"&amp;E1431</f>
        <v>G48</v>
      </c>
      <c r="B1441" s="605" t="str">
        <f t="shared" si="288"/>
        <v/>
      </c>
      <c r="C1441" s="581"/>
      <c r="D1441" s="581"/>
      <c r="E1441" s="581"/>
      <c r="F1441" s="581"/>
      <c r="G1441" s="534"/>
      <c r="H1441" s="534"/>
      <c r="I1441" s="579"/>
      <c r="J1441" s="580" t="str">
        <f>IF(I1441="","",IF(I1441="I",$F1431,VLOOKUP(I1441,$C1452:$D1457,2,0)))</f>
        <v/>
      </c>
      <c r="K1441" s="535"/>
      <c r="L1441" s="535"/>
      <c r="M1441" s="536"/>
      <c r="N1441" s="43" t="str">
        <f t="shared" si="286"/>
        <v/>
      </c>
      <c r="O1441" s="260" t="str">
        <f t="shared" si="287"/>
        <v/>
      </c>
      <c r="P1441" s="781"/>
      <c r="Q1441" s="782"/>
      <c r="R1441" s="767"/>
      <c r="S1441" s="768"/>
      <c r="T1441" s="538"/>
      <c r="U1441" s="539"/>
      <c r="V1441" s="540"/>
      <c r="X1441" s="541"/>
      <c r="Y1441" s="541"/>
    </row>
    <row r="1442" spans="1:29" s="44" customFormat="1" ht="24.95" customHeight="1">
      <c r="A1442" s="42" t="str">
        <f>"H"&amp;E1431</f>
        <v>H48</v>
      </c>
      <c r="B1442" s="605" t="str">
        <f t="shared" si="288"/>
        <v/>
      </c>
      <c r="C1442" s="581"/>
      <c r="D1442" s="581"/>
      <c r="E1442" s="581"/>
      <c r="F1442" s="581"/>
      <c r="G1442" s="534"/>
      <c r="H1442" s="534"/>
      <c r="I1442" s="579"/>
      <c r="J1442" s="580" t="str">
        <f>IF(I1442="","",IF(I1442="I",$F1431,VLOOKUP(I1442,$C1452:$D1457,2,0)))</f>
        <v/>
      </c>
      <c r="K1442" s="535"/>
      <c r="L1442" s="535"/>
      <c r="M1442" s="537"/>
      <c r="N1442" s="43" t="str">
        <f t="shared" si="286"/>
        <v/>
      </c>
      <c r="O1442" s="260" t="str">
        <f t="shared" si="287"/>
        <v/>
      </c>
      <c r="P1442" s="781"/>
      <c r="Q1442" s="782"/>
      <c r="R1442" s="767"/>
      <c r="S1442" s="768"/>
      <c r="T1442" s="538"/>
      <c r="U1442" s="539"/>
      <c r="V1442" s="540"/>
      <c r="X1442" s="541"/>
      <c r="Y1442" s="541"/>
    </row>
    <row r="1443" spans="1:29" s="44" customFormat="1" ht="24.95" customHeight="1">
      <c r="A1443" s="42" t="str">
        <f>"I"&amp;E1431</f>
        <v>I48</v>
      </c>
      <c r="B1443" s="605" t="str">
        <f t="shared" si="288"/>
        <v/>
      </c>
      <c r="C1443" s="581"/>
      <c r="D1443" s="581"/>
      <c r="E1443" s="581"/>
      <c r="F1443" s="581"/>
      <c r="G1443" s="534"/>
      <c r="H1443" s="534"/>
      <c r="I1443" s="579"/>
      <c r="J1443" s="580" t="str">
        <f>IF(I1443="","",IF(I1443="I",$F1431,VLOOKUP(I1443,$C1452:$D1457,2,0)))</f>
        <v/>
      </c>
      <c r="K1443" s="535"/>
      <c r="L1443" s="535"/>
      <c r="M1443" s="537"/>
      <c r="N1443" s="43" t="str">
        <f t="shared" si="286"/>
        <v/>
      </c>
      <c r="O1443" s="260" t="str">
        <f t="shared" si="287"/>
        <v/>
      </c>
      <c r="P1443" s="781"/>
      <c r="Q1443" s="782"/>
      <c r="R1443" s="767"/>
      <c r="S1443" s="768"/>
      <c r="T1443" s="538"/>
      <c r="U1443" s="539"/>
      <c r="V1443" s="540"/>
      <c r="X1443" s="541"/>
      <c r="Y1443" s="541"/>
    </row>
    <row r="1444" spans="1:29" s="44" customFormat="1" ht="24.95" customHeight="1" thickBot="1">
      <c r="A1444" s="42" t="str">
        <f>"J"&amp;E1431</f>
        <v>J48</v>
      </c>
      <c r="B1444" s="612" t="str">
        <f t="shared" si="288"/>
        <v/>
      </c>
      <c r="C1444" s="582"/>
      <c r="D1444" s="582"/>
      <c r="E1444" s="582"/>
      <c r="F1444" s="582"/>
      <c r="G1444" s="583"/>
      <c r="H1444" s="583"/>
      <c r="I1444" s="584"/>
      <c r="J1444" s="585" t="str">
        <f>IF(I1444="","",IF(I1444="I",$F1431,VLOOKUP(I1444,$C1452:$D1457,2,0)))</f>
        <v/>
      </c>
      <c r="K1444" s="586"/>
      <c r="L1444" s="586"/>
      <c r="M1444" s="587"/>
      <c r="N1444" s="43" t="str">
        <f t="shared" si="286"/>
        <v/>
      </c>
      <c r="O1444" s="260" t="str">
        <f t="shared" si="287"/>
        <v/>
      </c>
      <c r="P1444" s="781"/>
      <c r="Q1444" s="782"/>
      <c r="R1444" s="767"/>
      <c r="S1444" s="768"/>
      <c r="T1444" s="538"/>
      <c r="U1444" s="539"/>
      <c r="V1444" s="540"/>
      <c r="X1444" s="541"/>
      <c r="Y1444" s="541"/>
    </row>
    <row r="1445" spans="1:29" s="27" customFormat="1" ht="12" customHeight="1" thickBot="1">
      <c r="A1445" s="42"/>
      <c r="B1445" s="45"/>
      <c r="C1445" s="46"/>
      <c r="D1445" s="46"/>
      <c r="E1445" s="46"/>
      <c r="F1445" s="46"/>
      <c r="G1445" s="46"/>
      <c r="H1445" s="606"/>
      <c r="I1445" s="46"/>
      <c r="J1445" s="46"/>
      <c r="K1445" s="46"/>
      <c r="L1445" s="46"/>
      <c r="M1445" s="46"/>
      <c r="N1445" s="46"/>
      <c r="O1445" s="259"/>
      <c r="P1445" s="46"/>
      <c r="Q1445" s="46"/>
      <c r="R1445" s="259"/>
      <c r="S1445" s="46"/>
      <c r="T1445" s="46"/>
      <c r="U1445" s="47"/>
      <c r="V1445" s="48"/>
      <c r="X1445" s="592"/>
      <c r="Y1445" s="593"/>
      <c r="AB1445" s="378"/>
    </row>
    <row r="1446" spans="1:29" s="27" customFormat="1" ht="17.25" customHeight="1" thickBot="1">
      <c r="A1446" s="42" t="str">
        <f>"Z"&amp;E1431</f>
        <v>Z48</v>
      </c>
      <c r="B1446" s="510"/>
      <c r="C1446" s="511"/>
      <c r="D1446" s="511"/>
      <c r="E1446" s="511"/>
      <c r="F1446" s="511"/>
      <c r="G1446" s="511"/>
      <c r="H1446" s="511"/>
      <c r="I1446" s="511"/>
      <c r="J1446" s="511"/>
      <c r="K1446" s="511"/>
      <c r="L1446" s="511"/>
      <c r="M1446" s="511"/>
      <c r="N1446" s="437" t="s">
        <v>388</v>
      </c>
      <c r="O1446" s="438">
        <f>IF(COUNTIF(O1435:O1444,"")&gt;9,0,SUM(O1435:O1444)/(COUNTIF(H1435:H1444,"SI")))</f>
        <v>357.54</v>
      </c>
      <c r="P1446" s="511"/>
      <c r="Q1446" s="511"/>
      <c r="R1446" s="530"/>
      <c r="S1446" s="530"/>
      <c r="T1446" s="531"/>
      <c r="U1446" s="532"/>
      <c r="V1446" s="533"/>
      <c r="W1446" s="285"/>
      <c r="X1446" s="613" t="e">
        <f>COUNTIF(#REF!,"")-COUNTIF(#REF!,"CUMPLE")-1</f>
        <v>#REF!</v>
      </c>
      <c r="Y1446" s="591"/>
      <c r="AB1446" s="28"/>
    </row>
    <row r="1447" spans="1:29" ht="17.25" customHeight="1">
      <c r="B1447" s="50"/>
      <c r="C1447" s="50"/>
      <c r="D1447" s="50"/>
      <c r="E1447" s="50"/>
      <c r="F1447" s="50"/>
      <c r="G1447" s="51"/>
      <c r="H1447" s="51"/>
      <c r="I1447" s="51"/>
      <c r="J1447" s="51"/>
      <c r="K1447" s="51"/>
      <c r="L1447" s="51"/>
      <c r="M1447" s="51"/>
      <c r="N1447" s="51"/>
      <c r="O1447" s="51"/>
      <c r="P1447" s="51"/>
      <c r="Q1447" s="51"/>
      <c r="R1447" s="51"/>
      <c r="S1447" s="51"/>
      <c r="T1447" s="51"/>
      <c r="U1447" s="51"/>
      <c r="V1447" s="51"/>
      <c r="W1447" s="51"/>
      <c r="X1447" s="608"/>
      <c r="Y1447" s="51"/>
      <c r="Z1447" s="51"/>
      <c r="AA1447" s="51"/>
      <c r="AB1447" s="51"/>
      <c r="AC1447" s="50"/>
    </row>
    <row r="1448" spans="1:29" s="27" customFormat="1" ht="16.5" customHeight="1" thickBot="1">
      <c r="A1448" s="22"/>
      <c r="B1448" s="783" t="s">
        <v>389</v>
      </c>
      <c r="C1448" s="783"/>
      <c r="D1448" s="783"/>
      <c r="E1448" s="783"/>
      <c r="F1448" s="783"/>
      <c r="G1448" s="783"/>
      <c r="H1448" s="783"/>
      <c r="I1448" s="783"/>
      <c r="J1448" s="783"/>
      <c r="K1448" s="783"/>
      <c r="L1448" s="783"/>
      <c r="M1448" s="783"/>
      <c r="N1448" s="783"/>
      <c r="O1448" s="783"/>
      <c r="P1448" s="783"/>
      <c r="Q1448" s="783"/>
      <c r="R1448" s="783"/>
      <c r="S1448" s="783"/>
      <c r="T1448" s="783"/>
      <c r="U1448" s="783"/>
      <c r="V1448" s="783"/>
      <c r="W1448" s="286"/>
      <c r="X1448" s="607"/>
      <c r="Y1448" s="52"/>
      <c r="Z1448" s="52"/>
      <c r="AA1448" s="52"/>
      <c r="AB1448" s="28"/>
      <c r="AC1448" s="28"/>
    </row>
    <row r="1449" spans="1:29" s="30" customFormat="1" ht="22.5" customHeight="1">
      <c r="A1449" s="112" t="str">
        <f>"K"&amp;E1431</f>
        <v>K48</v>
      </c>
      <c r="B1449" s="790" t="s">
        <v>390</v>
      </c>
      <c r="C1449" s="772" t="s">
        <v>391</v>
      </c>
      <c r="D1449" s="773"/>
      <c r="E1449" s="773"/>
      <c r="F1449" s="773"/>
      <c r="G1449" s="773"/>
      <c r="H1449" s="773"/>
      <c r="I1449" s="773"/>
      <c r="J1449" s="773"/>
      <c r="K1449" s="773"/>
      <c r="L1449" s="773"/>
      <c r="M1449" s="774"/>
      <c r="N1449" s="525"/>
      <c r="O1449" s="588"/>
      <c r="P1449" s="772" t="s">
        <v>392</v>
      </c>
      <c r="Q1449" s="773"/>
      <c r="R1449" s="773"/>
      <c r="S1449" s="774"/>
      <c r="T1449" s="784" t="s">
        <v>393</v>
      </c>
      <c r="U1449" s="774"/>
      <c r="V1449" s="811"/>
      <c r="W1449" s="284"/>
      <c r="X1449" s="778" t="s">
        <v>394</v>
      </c>
      <c r="Y1449" s="779"/>
      <c r="Z1449" s="779"/>
      <c r="AA1449" s="779" t="s">
        <v>395</v>
      </c>
      <c r="AB1449" s="808" t="s">
        <v>396</v>
      </c>
      <c r="AC1449" s="28"/>
    </row>
    <row r="1450" spans="1:29" s="30" customFormat="1" ht="22.5" customHeight="1">
      <c r="A1450" s="112" t="str">
        <f>"L"&amp;E1431</f>
        <v>L48</v>
      </c>
      <c r="B1450" s="791"/>
      <c r="C1450" s="769" t="s">
        <v>397</v>
      </c>
      <c r="D1450" s="770"/>
      <c r="E1450" s="771"/>
      <c r="F1450" s="512">
        <f>IF(VLOOKUP(E1431,PROPONENTES!$C$19:$E$108,3,0)="","",VLOOKUP(E1431,PROPONENTES!$C$19:$E$108,3,0))</f>
        <v>1</v>
      </c>
      <c r="G1450" s="824" t="s">
        <v>398</v>
      </c>
      <c r="H1450" s="793" t="s">
        <v>399</v>
      </c>
      <c r="I1450" s="793"/>
      <c r="J1450" s="769" t="s">
        <v>400</v>
      </c>
      <c r="K1450" s="823"/>
      <c r="L1450" s="513" t="s">
        <v>401</v>
      </c>
      <c r="M1450" s="513"/>
      <c r="N1450" s="526"/>
      <c r="O1450" s="527"/>
      <c r="P1450" s="775"/>
      <c r="Q1450" s="776"/>
      <c r="R1450" s="776"/>
      <c r="S1450" s="777"/>
      <c r="T1450" s="796"/>
      <c r="U1450" s="797"/>
      <c r="V1450" s="812"/>
      <c r="W1450" s="284"/>
      <c r="X1450" s="780" t="s">
        <v>402</v>
      </c>
      <c r="Y1450" s="810" t="s">
        <v>403</v>
      </c>
      <c r="Z1450" s="810"/>
      <c r="AA1450" s="810"/>
      <c r="AB1450" s="809"/>
      <c r="AC1450" s="28"/>
    </row>
    <row r="1451" spans="1:29" s="30" customFormat="1" ht="51.75" customHeight="1" thickBot="1">
      <c r="A1451" s="112" t="str">
        <f>"M"&amp;E1431</f>
        <v>M48</v>
      </c>
      <c r="B1451" s="791"/>
      <c r="C1451" s="770" t="s">
        <v>404</v>
      </c>
      <c r="D1451" s="771"/>
      <c r="E1451" s="514" t="s">
        <v>405</v>
      </c>
      <c r="F1451" s="515" t="s">
        <v>406</v>
      </c>
      <c r="G1451" s="824"/>
      <c r="H1451" s="793"/>
      <c r="I1451" s="793"/>
      <c r="J1451" s="504" t="s">
        <v>407</v>
      </c>
      <c r="K1451" s="516" t="s">
        <v>408</v>
      </c>
      <c r="L1451" s="517" t="s">
        <v>409</v>
      </c>
      <c r="M1451" s="517"/>
      <c r="N1451" s="528" t="s">
        <v>410</v>
      </c>
      <c r="O1451" s="529"/>
      <c r="P1451" s="386"/>
      <c r="Q1451" s="387" t="s">
        <v>411</v>
      </c>
      <c r="R1451" s="388"/>
      <c r="S1451" s="113">
        <f>COUNTIFS(H1435:H1444,"SI",O1435:O1444,"&gt;0")</f>
        <v>1</v>
      </c>
      <c r="T1451" s="785"/>
      <c r="U1451" s="787"/>
      <c r="V1451" s="813"/>
      <c r="W1451" s="284"/>
      <c r="X1451" s="780"/>
      <c r="Y1451" s="810"/>
      <c r="Z1451" s="810"/>
      <c r="AA1451" s="810"/>
      <c r="AB1451" s="809"/>
      <c r="AC1451" s="28"/>
    </row>
    <row r="1452" spans="1:29" s="30" customFormat="1" ht="15.75" customHeight="1">
      <c r="A1452" s="112" t="str">
        <f>"N"&amp;E1431</f>
        <v>N48</v>
      </c>
      <c r="B1452" s="791"/>
      <c r="C1452" s="54">
        <v>1</v>
      </c>
      <c r="D1452" s="100" t="str">
        <f>IF(AND(C1452&lt;=F1450,F1450&gt;1,F1450&lt;&gt;""),VLOOKUP(VALUE(E1431&amp;","&amp;C1452),INTEGRANTES!$D$19:$F$192,2,0),"")</f>
        <v/>
      </c>
      <c r="E1452" s="107" t="str">
        <f>IF(D1452&lt;&gt;"",VLOOKUP(VALUE(E1431&amp;","&amp;C1452),INTEGRANTES!$D$19:$F$192,3,0),"")</f>
        <v/>
      </c>
      <c r="F1452" s="380" t="str">
        <f>IF(D1452="","",IF(OR(SUMIF($J1435:$J1444,D1452,$O1438:$O1444)=0,N1452="NO"),"NO APORTA",SUMIF($J1435:$J1444,D1452,$O1438:$O1444)))</f>
        <v/>
      </c>
      <c r="G1452" s="380" t="str">
        <f>IF($D1452="","",IF($F1450&lt;=1,"",ROUND(POSMMLV*PORPO,2)))</f>
        <v/>
      </c>
      <c r="H1452" s="765" t="str">
        <f>IF($D1452="","",IF(OR(F1452="NO APORTA",G1452&gt;F1452),"NO CUMPLE","CUMPLE"))</f>
        <v/>
      </c>
      <c r="I1452" s="766"/>
      <c r="J1452" s="108" t="str">
        <f>IF(D1452="","",IF(OR(AND(SUMIF($J1435:$J1444,D1452,$O1435:$O1444)&gt;=5%*POSMMLV,N1452="SI"),AND(SUMIF($J1435:$J1444,D1452,$O1435:$O1444)=0,E1452&lt;=5%,N1452="SI")),"CUMPLE","NO CUMPLE"))</f>
        <v/>
      </c>
      <c r="K1452" s="105" t="str">
        <f>IF(OR(D1452="",J1452=""),"",IF(AND(J1452="NO CUMPLE",F1452="NO APORTA",E1452&gt;5%),"EXP = 0 y PART &gt; 5%",IF(F1452&lt;5%*Q1457,"EXP &lt; 5%*PO","")))</f>
        <v/>
      </c>
      <c r="L1452" s="389" t="str">
        <f>IF(OR(D1452="",E1452=""),"",IF(AND(E1452&gt;=0.25,F1452&lt;&gt;"NO APORTA",F1452&gt;=$R1457*0.25),"SI","NO"))</f>
        <v/>
      </c>
      <c r="M1452" s="389"/>
      <c r="N1452" s="468" t="s">
        <v>385</v>
      </c>
      <c r="O1452" s="396">
        <f>COUNTIFS(O1435:O1444,"&gt;0",H1435:H1444,"SI")</f>
        <v>1</v>
      </c>
      <c r="P1452" s="814" t="s">
        <v>139</v>
      </c>
      <c r="Q1452" s="814"/>
      <c r="R1452" s="817">
        <f>E1431</f>
        <v>48</v>
      </c>
      <c r="S1452" s="818"/>
      <c r="T1452" s="784" t="s">
        <v>412</v>
      </c>
      <c r="U1452" s="773"/>
      <c r="V1452" s="774"/>
      <c r="W1452" s="283"/>
      <c r="X1452" s="542" t="str">
        <f>IF($F1450=1,"NO APLICA",$D1452)</f>
        <v>NO APLICA</v>
      </c>
      <c r="Y1452" s="543" t="str">
        <f>IF(OR($F1452="",$F1452="NO APORTA",$R1457=0,$X1452="NO APLICA"),"",ROUND($F1452/$Q1457,2))</f>
        <v/>
      </c>
      <c r="Z1452" s="544" t="str">
        <f>IF(Y1458=1,"SI APLICA",IF(OR($X1452="",$X1452="NO APLICA",$F1452="",$F1452="NO APORTA"),"",IF(ROUND($F1452/Q1457,7)&gt;=0.4,"SI APLICA","NO APLICA")))</f>
        <v>SI APLICA</v>
      </c>
      <c r="AA1452" s="543" t="s">
        <v>413</v>
      </c>
      <c r="AB1452" s="540" t="str">
        <f>IF(COUNTIF(Z1452:AA1452,"SI APLICA")=2,"SI APLICA","")</f>
        <v>SI APLICA</v>
      </c>
      <c r="AC1452" s="28"/>
    </row>
    <row r="1453" spans="1:29" s="30" customFormat="1" ht="15.75" customHeight="1" thickBot="1">
      <c r="A1453" s="112" t="str">
        <f>"O"&amp;E1431</f>
        <v>O48</v>
      </c>
      <c r="B1453" s="791"/>
      <c r="C1453" s="54">
        <v>2</v>
      </c>
      <c r="D1453" s="100" t="str">
        <f>IF(AND(C1453&lt;=F1450,F1450&lt;&gt;""),VLOOKUP(VALUE(E1431&amp;","&amp;C1453),INTEGRANTES!$D$19:$F$192,2,0),"")</f>
        <v/>
      </c>
      <c r="E1453" s="107" t="str">
        <f>IF(D1453&lt;&gt;"",VLOOKUP(VALUE(E1431&amp;","&amp;C1453),INTEGRANTES!$D$19:$F$192,3,0),"")</f>
        <v/>
      </c>
      <c r="F1453" s="380" t="str">
        <f>IF(D1453="","",IF(OR(SUMIF($J1438:$J1444,D1453,$O1438:$O1444)=0,N1453="NO"),"NO APORTA",SUMIF($J1438:$J1444,D1453,$O1438:$O1444)))</f>
        <v/>
      </c>
      <c r="G1453" s="380" t="str">
        <f>IF($D1453="","",IF($F1450&lt;=1,"",ROUND(POSMMLV*PORPO,2)))</f>
        <v/>
      </c>
      <c r="H1453" s="765" t="str">
        <f t="shared" ref="H1453:H1456" si="289">IF($D1453="","",IF(OR(F1453="NO APORTA",G1453&gt;F1453),"NO CUMPLE","CUMPLE"))</f>
        <v/>
      </c>
      <c r="I1453" s="766"/>
      <c r="J1453" s="108" t="str">
        <f>IF(D1453="","",IF(OR(AND(SUMIF($J1435:$J1444,D1453,$O1435:$O1444)&gt;=5%*POSMMLV,N1453="SI"),AND(SUMIF($J1435:$J1444,D1453,$O1435:$O1444)=0,E1453&lt;=5%,N1453="SI")),"CUMPLE","NO CUMPLE"))</f>
        <v/>
      </c>
      <c r="K1453" s="105" t="str">
        <f>IF(OR(D1453="",J1453=""),"",IF(AND(J1453="NO CUMPLE",F1453="NO APORTA",E1453&gt;5%),"EXP = 0 y PART &gt; 5%",IF(F1453&lt;5%*Q1457,"EXP &lt; 5%*PO","")))</f>
        <v/>
      </c>
      <c r="L1453" s="389" t="str">
        <f>IF(OR(D1453="",E1453=""),"",IF(AND(E1453&gt;=0.25,F1453&lt;&gt;"NO APORTA",F1453&gt;=$R1457*0.25),"SI","NO"))</f>
        <v/>
      </c>
      <c r="M1453" s="389"/>
      <c r="N1453" s="468" t="s">
        <v>385</v>
      </c>
      <c r="O1453" s="396"/>
      <c r="P1453" s="815"/>
      <c r="Q1453" s="815"/>
      <c r="R1453" s="815"/>
      <c r="S1453" s="819"/>
      <c r="T1453" s="785"/>
      <c r="U1453" s="786"/>
      <c r="V1453" s="787"/>
      <c r="W1453" s="283"/>
      <c r="X1453" s="542" t="str">
        <f>IF($F1450=1,"NO APLICA",$D1453)</f>
        <v>NO APLICA</v>
      </c>
      <c r="Y1453" s="543" t="str">
        <f>IF(OR($F1453="",$F1453="NO APORTA",$R1457=0,$X1453="NO APLICA"),"",ROUND($F1453/$Q1457,2))</f>
        <v/>
      </c>
      <c r="Z1453" s="544"/>
      <c r="AA1453" s="543"/>
      <c r="AB1453" s="540" t="str">
        <f t="shared" ref="AB1453" si="290">IF(COUNTIF(Z1453:AA1453,"SI APLICA")=2,"SI APLICA","")</f>
        <v/>
      </c>
      <c r="AC1453" s="28"/>
    </row>
    <row r="1454" spans="1:29" s="30" customFormat="1" ht="15.75" customHeight="1">
      <c r="A1454" s="112" t="str">
        <f>"P"&amp;E1431</f>
        <v>P48</v>
      </c>
      <c r="B1454" s="791"/>
      <c r="C1454" s="54">
        <v>3</v>
      </c>
      <c r="D1454" s="100" t="str">
        <f>IF(AND(C1454&lt;=F1450,F1450&lt;&gt;""),VLOOKUP(VALUE(E1431&amp;","&amp;C1454),INTEGRANTES!$D$19:$F$192,2,0),"")</f>
        <v/>
      </c>
      <c r="E1454" s="107" t="str">
        <f>IF(D1454&lt;&gt;"",VLOOKUP(VALUE(E1431&amp;","&amp;C1454),INTEGRANTES!$D$19:$F$192,3,0),"")</f>
        <v/>
      </c>
      <c r="F1454" s="380" t="str">
        <f>IF(D1454="","",IF(OR(SUMIF($J1438:$J1444,D1454,$O1438:$O1444)=0,N1454="NO"),"NO APORTA",SUMIF($J1438:$J1444,D1454,$O1438:$O1444)))</f>
        <v/>
      </c>
      <c r="G1454" s="380" t="str">
        <f>IF($D1454="","",IF($F1450&lt;=1,"",ROUND(POSMMLV*PORPO,2)))</f>
        <v/>
      </c>
      <c r="H1454" s="765" t="str">
        <f t="shared" si="289"/>
        <v/>
      </c>
      <c r="I1454" s="766"/>
      <c r="J1454" s="108" t="str">
        <f>IF(D1454="","",IF(OR(AND(SUMIF($J1435:$J1444,D1454,$O1435:$O1444)&gt;=5%*POSMMLV,N1454="SI"),AND(SUMIF($J1435:$J1444,D1454,$O1435:$O1444)=0,E1454&lt;=5%,N1454="SI")),"CUMPLE","NO CUMPLE"))</f>
        <v/>
      </c>
      <c r="K1454" s="105" t="str">
        <f>IF(OR(D1454="",J1454=""),"",IF(AND(J1454="NO CUMPLE",F1454="NO APORTA",E1454&gt;5%),"EXP = 0 y PART &gt; 5%",IF(F1454&lt;5%*Q1457,"EXP &lt; 5%*PO","")))</f>
        <v/>
      </c>
      <c r="L1454" s="389" t="str">
        <f>IF(OR(D1454="",E1454=""),"",IF(AND(E1454&gt;=0.25,F1454&lt;&gt;"NO APORTA",F1454&gt;=$R1457*0.25),"SI","NO"))</f>
        <v/>
      </c>
      <c r="M1454" s="389"/>
      <c r="N1454" s="468"/>
      <c r="O1454" s="397"/>
      <c r="P1454" s="816"/>
      <c r="Q1454" s="816"/>
      <c r="R1454" s="816"/>
      <c r="S1454" s="820"/>
      <c r="T1454" s="308"/>
      <c r="U1454" s="308"/>
      <c r="V1454" s="309"/>
      <c r="W1454" s="284"/>
      <c r="X1454" s="542" t="str">
        <f>IF($F1450=1,"NO APLICA",$D1454)</f>
        <v>NO APLICA</v>
      </c>
      <c r="Y1454" s="543" t="str">
        <f>IF(OR($F1454="",$F1454="NO APORTA",$R1457=0,$X1454="NO APLICA"),"",ROUND($F1454/$Q1457,2))</f>
        <v/>
      </c>
      <c r="Z1454" s="544"/>
      <c r="AA1454" s="543"/>
      <c r="AB1454" s="540" t="str">
        <f>IF(COUNTIF(Z1454:AA1454,"SI APLICA")=2,"SI APLICA","")</f>
        <v/>
      </c>
      <c r="AC1454" s="28"/>
    </row>
    <row r="1455" spans="1:29" s="30" customFormat="1" ht="15.75" customHeight="1">
      <c r="A1455" s="112" t="str">
        <f>"Q"&amp;E1431</f>
        <v>Q48</v>
      </c>
      <c r="B1455" s="791"/>
      <c r="C1455" s="54">
        <v>4</v>
      </c>
      <c r="D1455" s="100" t="str">
        <f>IF(AND(C1455&lt;=F1450,F1450&lt;&gt;""),VLOOKUP(VALUE(E1431&amp;","&amp;C1455),INTEGRANTES!$D$19:$F$192,2,0),"")</f>
        <v/>
      </c>
      <c r="E1455" s="107" t="str">
        <f>IF(D1455&lt;&gt;"",VLOOKUP(VALUE(E1431&amp;","&amp;C1455),INTEGRANTES!$D$19:$F$192,3,0),"")</f>
        <v/>
      </c>
      <c r="F1455" s="380" t="str">
        <f>IF(D1455="","",IF(OR(SUMIF($J1438:$J1444,D1455,$O1438:$O1444)=0,N1455="NO"),"NO APORTA",SUMIF($J1438:$J1444,D1455,$O1438:$O1444)))</f>
        <v/>
      </c>
      <c r="G1455" s="380" t="str">
        <f>IF($D1455="","",IF($F1450&lt;=1,"",ROUND(POSMMLV*PORPO,2)))</f>
        <v/>
      </c>
      <c r="H1455" s="765" t="str">
        <f t="shared" si="289"/>
        <v/>
      </c>
      <c r="I1455" s="766"/>
      <c r="J1455" s="108" t="str">
        <f>IF(D1455="","",IF(OR(AND(SUMIF($J1435:$J1444,D1455,$O1435:$O1444)&gt;=5%*POSMMLV,N1455="SI"),AND(SUMIF($J1435:$J1444,D1455,$O1435:$O1444)=0,E1455&lt;=5%,N1455="SI")),"CUMPLE","NO CUMPLE"))</f>
        <v/>
      </c>
      <c r="K1455" s="105" t="str">
        <f>IF(OR(D1455="",J1455=""),"",IF(AND(J1455="NO CUMPLE",F1455="NO APORTA",E1455&gt;5%),"EXP = 0 y PART &gt; 5%",IF(F1455&lt;5%*Q1457,"EXP &lt; 5%*PO","")))</f>
        <v/>
      </c>
      <c r="L1455" s="389" t="str">
        <f>IF(OR(D1455="",E1455=""),"",IF(AND(E1455&gt;=0.25,F1455&lt;&gt;"NO APORTA",F1455&gt;=$R1457*0.25),"SI","NO"))</f>
        <v/>
      </c>
      <c r="M1455" s="389"/>
      <c r="N1455" s="468"/>
      <c r="O1455" s="788" t="s">
        <v>414</v>
      </c>
      <c r="P1455" s="769" t="s">
        <v>415</v>
      </c>
      <c r="Q1455" s="770"/>
      <c r="R1455" s="770"/>
      <c r="S1455" s="771"/>
      <c r="T1455" s="284"/>
      <c r="U1455" s="284"/>
      <c r="V1455" s="310"/>
      <c r="W1455" s="284"/>
      <c r="X1455" s="542" t="str">
        <f>IF($F1450=1,"NO APLICA",$D1455)</f>
        <v>NO APLICA</v>
      </c>
      <c r="Y1455" s="543" t="str">
        <f>IF(OR($F1455="",$F1455="NO APORTA",$R1457=0,$X1455="NO APLICA"),"",ROUND($F1455/$Q1457,2))</f>
        <v/>
      </c>
      <c r="Z1455" s="544"/>
      <c r="AA1455" s="543"/>
      <c r="AB1455" s="540" t="str">
        <f t="shared" ref="AB1455:AB1456" si="291">IF(COUNTIF(Z1455:AA1455,"SI APLICA")=2,"SI APLICA","")</f>
        <v/>
      </c>
      <c r="AC1455" s="28"/>
    </row>
    <row r="1456" spans="1:29" s="30" customFormat="1" ht="17.25" customHeight="1">
      <c r="A1456" s="112" t="str">
        <f>"R"&amp;E1431</f>
        <v>R48</v>
      </c>
      <c r="B1456" s="791"/>
      <c r="C1456" s="54">
        <v>5</v>
      </c>
      <c r="D1456" s="100" t="str">
        <f>IF(AND(C1456&lt;=F1450,F1450&lt;&gt;""),VLOOKUP(VALUE(E1431&amp;","&amp;C1456),INTEGRANTES!$D$19:$F$192,2,0),"")</f>
        <v/>
      </c>
      <c r="E1456" s="107" t="str">
        <f>IF(D1456&lt;&gt;"",VLOOKUP(VALUE(E1431&amp;","&amp;C1456),INTEGRANTES!$D$19:$F$192,3,0),"")</f>
        <v/>
      </c>
      <c r="F1456" s="380" t="str">
        <f>IF(D1456="","",IF(OR(SUMIF($J1438:$J1444,D1456,$O1438:$O1444)=0,N1456="NO"),"NO APORTA",SUMIF($J1438:$J1444,D1456,$O1438:$O1444)))</f>
        <v/>
      </c>
      <c r="G1456" s="380" t="str">
        <f>IF($D1456="","",IF($F1450&lt;=1,"",ROUND(POSMMLV*PORPO,2)))</f>
        <v/>
      </c>
      <c r="H1456" s="765" t="str">
        <f t="shared" si="289"/>
        <v/>
      </c>
      <c r="I1456" s="766"/>
      <c r="J1456" s="108" t="str">
        <f>IF(D1456="","",IF(OR(AND(SUMIF($J1435:$J1444,D1456,$O1435:$O1444)&gt;=5%*POSMMLV,N1456="SI"),AND(SUMIF($J1435:$J1444,D1456,$O1435:$O1444)=0,E1456&lt;=5%,N1456="SI")),"CUMPLE","NO CUMPLE"))</f>
        <v/>
      </c>
      <c r="K1456" s="105" t="str">
        <f>IF(OR(D1456="",J1456=""),"",IF(AND(J1456="NO CUMPLE",F1456="NO APORTA",E1456&gt;5%),"EXP = 0 y PART &gt; 5%",IF(F1456&lt;5%*Q1457,"EXP &lt; 5%*PO","")))</f>
        <v/>
      </c>
      <c r="L1456" s="389" t="str">
        <f>IF(OR(D1456="",E1456=""),"",IF(AND(E1456&gt;=0.25,F1456&lt;&gt;"NO APORTA",F1456&gt;=$R1457*0.25),"SI","NO"))</f>
        <v/>
      </c>
      <c r="M1456" s="389"/>
      <c r="N1456" s="468"/>
      <c r="O1456" s="789"/>
      <c r="P1456" s="504" t="s">
        <v>416</v>
      </c>
      <c r="Q1456" s="504" t="s">
        <v>417</v>
      </c>
      <c r="R1456" s="793" t="s">
        <v>418</v>
      </c>
      <c r="S1456" s="793"/>
      <c r="T1456" s="284"/>
      <c r="U1456" s="284"/>
      <c r="V1456" s="310"/>
      <c r="W1456" s="284"/>
      <c r="X1456" s="542" t="str">
        <f>IF($F1450=1,"NO APLICA",$D1456)</f>
        <v>NO APLICA</v>
      </c>
      <c r="Y1456" s="543" t="str">
        <f>IF(OR($F1456="",$F1456="NO APORTA",$R1457=0,$X1456="NO APLICA"),"",ROUND($F1456/$Q1457,2))</f>
        <v/>
      </c>
      <c r="Z1456" s="544"/>
      <c r="AA1456" s="543"/>
      <c r="AB1456" s="540" t="str">
        <f t="shared" si="291"/>
        <v/>
      </c>
      <c r="AC1456" s="28"/>
    </row>
    <row r="1457" spans="1:29" s="30" customFormat="1" ht="16.5" customHeight="1" thickBot="1">
      <c r="A1457" s="112" t="str">
        <f>"S"&amp;E1431</f>
        <v>S48</v>
      </c>
      <c r="B1457" s="791"/>
      <c r="C1457" s="109">
        <v>6</v>
      </c>
      <c r="D1457" s="110" t="str">
        <f>IF(AND(C1457&lt;=F1450,F1450&lt;&gt;""),VLOOKUP(VALUE(E1431&amp;","&amp;C1457),INTEGRANTES!$D$19:$F$192,2,0),"")</f>
        <v/>
      </c>
      <c r="E1457" s="111" t="str">
        <f>IF(D1457&lt;&gt;"",VLOOKUP(VALUE(E1431&amp;","&amp;C1457),INTEGRANTES!$D$19:$F$192,3,0),"")</f>
        <v/>
      </c>
      <c r="F1457" s="380" t="str">
        <f>IF(D1457="","",IF(OR(SUMIF($J1438:$J1444,D1457,$O1438:$O1444)=0,N1457="NO"),"NO APORTA",SUMIF($J1438:$J1444,D1457,$O1438:$O1444)))</f>
        <v/>
      </c>
      <c r="G1457" s="380" t="str">
        <f>IF($D1457="","",IF($F1450&lt;=1,"",ROUND(POSMMLV*PORPO,2)))</f>
        <v/>
      </c>
      <c r="H1457" s="765" t="str">
        <f>IF($D1457="","",IF(OR(F1457="NO APORTA",G1457&gt;F1457),"NO CUMPLE","CUMPLE"))</f>
        <v/>
      </c>
      <c r="I1457" s="766"/>
      <c r="J1457" s="108" t="str">
        <f>IF(D1457="","",IF(OR(AND(SUMIF($J1435:$J1444,D1457,$O1435:$O1444)&gt;=5%*POSMMLV,N1457="SI"),AND(SUMIF($J1435:$J1444,D1457,$O1435:$O1444)=0,E1457&lt;=5%,N1457="SI")),"CUMPLE","NO CUMPLE"))</f>
        <v/>
      </c>
      <c r="K1457" s="105" t="str">
        <f>IF(OR(D1457="",J1457=""),"",IF(AND(J1457="NO CUMPLE",F1457="NO APORTA",E1457&gt;5%),"EXP = 0 y PART &gt; 5%",IF(F1457&lt;5%*Q1457,"EXP &lt; 5%*PO","")))</f>
        <v/>
      </c>
      <c r="L1457" s="389" t="str">
        <f>IF(OR(D1457="",E1457=""),"",IF(AND(E1457&gt;=0.25,F1457&lt;&gt;"NO APORTA",F1457&gt;=$R1457*0.25),"SI","NO"))</f>
        <v/>
      </c>
      <c r="M1457" s="389"/>
      <c r="N1457" s="468"/>
      <c r="O1457" s="403" t="str">
        <f ca="1">IF(R1457&gt;=Q1457,"CUMPLE","NO CUMPLE")</f>
        <v>CUMPLE</v>
      </c>
      <c r="P1457" s="312">
        <f>NUMMOD</f>
        <v>1</v>
      </c>
      <c r="Q1457" s="313">
        <f ca="1">IF(P1457="","",ROUND(VLOOKUP(P1457,PRESUPUESTOS!$B$16:$L$16,9,FALSE),7))</f>
        <v>300</v>
      </c>
      <c r="R1457" s="834">
        <f>IF(OR(COUNTIF(O1435:O1444,"")&gt;9,S1451&lt;NUMMINCONT),0,SUM(O1435:O1444))</f>
        <v>357.54</v>
      </c>
      <c r="S1457" s="834"/>
      <c r="T1457" s="284"/>
      <c r="U1457" s="284"/>
      <c r="V1457" s="310"/>
      <c r="W1457" s="284"/>
      <c r="X1457" s="545" t="str">
        <f>IF($F1450=1,"NO APLICA",$D1457)</f>
        <v>NO APLICA</v>
      </c>
      <c r="Y1457" s="543" t="str">
        <f>IF(OR($F1457="",$F1457="NO APORTA",$R1457=0,$X1457="NO APLICA"),"",ROUND($F1457/$Q1457,2))</f>
        <v/>
      </c>
      <c r="Z1457" s="544"/>
      <c r="AA1457" s="546"/>
      <c r="AB1457" s="540" t="str">
        <f>IF(COUNTIF(Z1457:AA1457,"SI APLICA")=2,"SI APLICA","")</f>
        <v/>
      </c>
      <c r="AC1457" s="28"/>
    </row>
    <row r="1458" spans="1:29" s="30" customFormat="1" ht="16.5" customHeight="1" thickBot="1">
      <c r="A1458" s="112" t="str">
        <f>"T"&amp;E1431</f>
        <v>T48</v>
      </c>
      <c r="B1458" s="792"/>
      <c r="C1458" s="821" t="s">
        <v>419</v>
      </c>
      <c r="D1458" s="822"/>
      <c r="E1458" s="822"/>
      <c r="F1458" s="518"/>
      <c r="G1458" s="519"/>
      <c r="H1458" s="794" t="str">
        <f>IF(OR($F1450="",SUM(E1452:E1457)=0),"",IF(COUNTIF(H1452:H1457,"CUMPLE")&gt;=1,"CUMPLE","NO CUMPLE"))</f>
        <v/>
      </c>
      <c r="I1458" s="795"/>
      <c r="J1458" s="314" t="str">
        <f>IF(COUNTIF(J1452:J1457,"")&gt;5,"",IF(COUNTIF(J1452:J1457,"NO CUMPLE")&gt;0,"NO CUMPLE","CUMPLE"))</f>
        <v/>
      </c>
      <c r="K1458" s="314" t="str">
        <f>IF(OR(AND(F1450=1,N1452="SI"),AND(COUNTIF(H1458:J1458,"CUMPLE")=2)),"CUMPLE","NO CUMPLE")</f>
        <v>CUMPLE</v>
      </c>
      <c r="L1458" s="519"/>
      <c r="M1458" s="519"/>
      <c r="N1458" s="519"/>
      <c r="O1458" s="833" t="str">
        <f ca="1">IF(ISNUMBER(F1431),"",IF(AND(O1457="NO CUMPLE",SUM(N1438:N1444)&lt;Q1457),"EL PROPONENTE SE DEBE REQUERIR POR EXPERIENCIA MINIMA EXIGIDA",""))</f>
        <v/>
      </c>
      <c r="P1458" s="833"/>
      <c r="Q1458" s="833"/>
      <c r="R1458" s="833"/>
      <c r="S1458" s="833"/>
      <c r="T1458" s="522"/>
      <c r="U1458" s="523"/>
      <c r="V1458" s="524"/>
      <c r="W1458" s="284"/>
      <c r="X1458" s="364" t="str">
        <f>IF(Y1458=1,"PROPONENTE INDIVIDUAL","PROPONENTE PLURAL")</f>
        <v>PROPONENTE INDIVIDUAL</v>
      </c>
      <c r="Y1458" s="276">
        <f>F1450</f>
        <v>1</v>
      </c>
      <c r="Z1458" s="277" t="str">
        <f>IF(OR(AND(Z1452="SI APLICA",AA1452="SI APLICA"),AND(Z1453="SI APLICA",AA1453="SI APLICA"),AND(Z1454="SI APLICA",AA1454="SI APLICA"),AND(Z1455="SI APLICA",AA1455="SI APLICA"),AND(Z1456="SI APLICA",AA1456="SI APLICA"),AND(Z1457="SI APLICA",AA1457="SI APLICA")),"SI APLICA","NO APLICA")</f>
        <v>SI APLICA</v>
      </c>
      <c r="AA1458" s="278" t="str">
        <f>IF(OR(AND(AA1452="SI APLICA",AB1452="SI APLICA"),AND(AA1453="SI APLICA",AB1453="SI APLICA"),AND(AA1454="SI APLICA",AB1454="SI APLICA"),AND(AA1455="SI APLICA",AB1455="SI APLICA"),AND(AA1456="SI APLICA",AB1456="SI APLICA"),AND(AA1457="SI APLICA",AB1457="SI APLICA")),"SI APLICA","NO APLICA")</f>
        <v>SI APLICA</v>
      </c>
      <c r="AB1458" s="278" t="str">
        <f>IF(COUNTIF(AB1452:AB1457,"SI APLICA")&gt;0,"SI APLICA","NO APLICA")</f>
        <v>SI APLICA</v>
      </c>
      <c r="AC1458" s="28"/>
    </row>
    <row r="1459" spans="1:29" ht="24.95" customHeight="1"/>
    <row r="1460" spans="1:29" ht="24.95" customHeight="1"/>
    <row r="1461" spans="1:29" s="41" customFormat="1" ht="24" thickBot="1">
      <c r="A1461" s="34">
        <v>49</v>
      </c>
      <c r="B1461" s="828" t="s">
        <v>355</v>
      </c>
      <c r="C1461" s="828"/>
      <c r="D1461" s="828"/>
      <c r="E1461" s="35">
        <f>VLOOKUP(A1461,PROPONENTES!$B$19:$E$108,2,FALSE)</f>
        <v>49</v>
      </c>
      <c r="F1461" s="36" t="str">
        <f>VLOOKUP(A1461,PROPONENTES!$B$19:$E$108,3,FALSE)</f>
        <v>CONSORCIO LAPP</v>
      </c>
      <c r="G1461" s="37"/>
      <c r="H1461" s="37"/>
      <c r="I1461" s="36"/>
      <c r="J1461" s="36"/>
      <c r="K1461" s="36"/>
      <c r="L1461" s="36"/>
      <c r="M1461" s="38"/>
      <c r="N1461" s="38"/>
      <c r="O1461" s="37"/>
      <c r="P1461" s="37"/>
      <c r="Q1461" s="39"/>
      <c r="R1461" s="39"/>
      <c r="S1461" s="39"/>
      <c r="T1461" s="39"/>
      <c r="U1461" s="40"/>
      <c r="Y1461" s="52"/>
      <c r="Z1461" s="52"/>
      <c r="AA1461" s="52"/>
      <c r="AB1461" s="28"/>
      <c r="AC1461" s="28"/>
    </row>
    <row r="1462" spans="1:29" s="27" customFormat="1" ht="24.75" customHeight="1">
      <c r="A1462" s="22"/>
      <c r="B1462" s="829" t="s">
        <v>356</v>
      </c>
      <c r="C1462" s="501" t="s">
        <v>357</v>
      </c>
      <c r="D1462" s="502" t="s">
        <v>358</v>
      </c>
      <c r="E1462" s="502"/>
      <c r="F1462" s="502" t="s">
        <v>359</v>
      </c>
      <c r="G1462" s="503"/>
      <c r="H1462" s="803" t="s">
        <v>360</v>
      </c>
      <c r="I1462" s="831" t="s">
        <v>361</v>
      </c>
      <c r="J1462" s="803" t="s">
        <v>362</v>
      </c>
      <c r="K1462" s="803" t="s">
        <v>363</v>
      </c>
      <c r="L1462" s="803" t="s">
        <v>364</v>
      </c>
      <c r="M1462" s="803" t="s">
        <v>365</v>
      </c>
      <c r="N1462" s="804" t="s">
        <v>366</v>
      </c>
      <c r="O1462" s="805"/>
      <c r="P1462" s="806" t="s">
        <v>367</v>
      </c>
      <c r="Q1462" s="807"/>
      <c r="R1462" s="784" t="s">
        <v>368</v>
      </c>
      <c r="S1462" s="774"/>
      <c r="T1462" s="798" t="s">
        <v>369</v>
      </c>
      <c r="U1462" s="799"/>
      <c r="V1462" s="800"/>
      <c r="X1462" s="520"/>
      <c r="Y1462" s="520"/>
    </row>
    <row r="1463" spans="1:29" s="27" customFormat="1" ht="94.5" customHeight="1">
      <c r="A1463" s="22"/>
      <c r="B1463" s="830"/>
      <c r="C1463" s="504" t="s">
        <v>370</v>
      </c>
      <c r="D1463" s="505" t="s">
        <v>41</v>
      </c>
      <c r="E1463" s="505" t="s">
        <v>371</v>
      </c>
      <c r="F1463" s="505" t="s">
        <v>372</v>
      </c>
      <c r="G1463" s="506" t="s">
        <v>373</v>
      </c>
      <c r="H1463" s="793"/>
      <c r="I1463" s="832"/>
      <c r="J1463" s="793"/>
      <c r="K1463" s="793"/>
      <c r="L1463" s="793"/>
      <c r="M1463" s="793"/>
      <c r="N1463" s="504" t="s">
        <v>374</v>
      </c>
      <c r="O1463" s="505" t="s">
        <v>375</v>
      </c>
      <c r="P1463" s="801"/>
      <c r="Q1463" s="802"/>
      <c r="R1463" s="796"/>
      <c r="S1463" s="797"/>
      <c r="T1463" s="507" t="s">
        <v>376</v>
      </c>
      <c r="U1463" s="508" t="s">
        <v>377</v>
      </c>
      <c r="V1463" s="509" t="s">
        <v>378</v>
      </c>
      <c r="X1463" s="521" t="s">
        <v>379</v>
      </c>
      <c r="Y1463" s="521" t="s">
        <v>380</v>
      </c>
    </row>
    <row r="1464" spans="1:29" s="27" customFormat="1" ht="15" customHeight="1">
      <c r="A1464" s="22"/>
      <c r="B1464" s="594"/>
      <c r="C1464" s="595">
        <v>3</v>
      </c>
      <c r="D1464" s="595">
        <v>4</v>
      </c>
      <c r="E1464" s="595">
        <v>5</v>
      </c>
      <c r="F1464" s="595">
        <v>6</v>
      </c>
      <c r="G1464" s="595">
        <v>7</v>
      </c>
      <c r="H1464" s="595">
        <v>8</v>
      </c>
      <c r="I1464" s="595">
        <v>9</v>
      </c>
      <c r="J1464" s="595">
        <v>10</v>
      </c>
      <c r="K1464" s="595">
        <v>11</v>
      </c>
      <c r="L1464" s="595">
        <v>12</v>
      </c>
      <c r="M1464" s="595">
        <v>13</v>
      </c>
      <c r="N1464" s="595">
        <v>14</v>
      </c>
      <c r="O1464" s="595">
        <v>15</v>
      </c>
      <c r="P1464" s="596">
        <v>16</v>
      </c>
      <c r="Q1464" s="597">
        <v>17</v>
      </c>
      <c r="R1464" s="596">
        <v>18</v>
      </c>
      <c r="S1464" s="597">
        <v>19</v>
      </c>
      <c r="T1464" s="598">
        <v>20</v>
      </c>
      <c r="U1464" s="255">
        <v>21</v>
      </c>
      <c r="V1464" s="599">
        <v>22</v>
      </c>
      <c r="X1464" s="589"/>
      <c r="Y1464" s="590"/>
    </row>
    <row r="1465" spans="1:29" s="44" customFormat="1" ht="24.95" customHeight="1">
      <c r="A1465" s="42" t="str">
        <f>"A"&amp;E1461</f>
        <v>A49</v>
      </c>
      <c r="B1465" s="605">
        <f>IF(C1465&lt;&gt;"",B1464+1,"")</f>
        <v>1</v>
      </c>
      <c r="C1465" s="581" t="s">
        <v>443</v>
      </c>
      <c r="D1465" s="581" t="s">
        <v>767</v>
      </c>
      <c r="E1465" s="581" t="s">
        <v>768</v>
      </c>
      <c r="F1465" s="581" t="s">
        <v>384</v>
      </c>
      <c r="G1465" s="534">
        <v>1</v>
      </c>
      <c r="H1465" s="534" t="s">
        <v>385</v>
      </c>
      <c r="I1465" s="579">
        <v>1</v>
      </c>
      <c r="J1465" s="580" t="str">
        <f>IF(I1465="","",IF(I1465="I",$F1461,VLOOKUP(I1465,$C1482:$D1487,2,0)))</f>
        <v>LITORAL CONSULTING SAS</v>
      </c>
      <c r="K1465" s="535">
        <v>39056</v>
      </c>
      <c r="L1465" s="535">
        <v>39176</v>
      </c>
      <c r="M1465" s="536">
        <v>262.44</v>
      </c>
      <c r="N1465" s="232">
        <f t="shared" ref="N1465:N1474" si="292">IF(OR(G1465="",M1465=""),"",M1465*G1465)</f>
        <v>262.44</v>
      </c>
      <c r="O1465" s="260">
        <f t="shared" ref="O1465:O1474" si="293">IF(OR(H1465="",H1465="NO",K1465&lt;$Q$17,K1465&gt;$R$17,K1465="",M1465="",N1465=""),"",ROUND(N1465,7))</f>
        <v>262.44</v>
      </c>
      <c r="P1465" s="781"/>
      <c r="Q1465" s="782"/>
      <c r="R1465" s="767"/>
      <c r="S1465" s="768"/>
      <c r="T1465" s="538" t="s">
        <v>385</v>
      </c>
      <c r="U1465" s="539">
        <v>13</v>
      </c>
      <c r="V1465" s="540" t="s">
        <v>385</v>
      </c>
      <c r="X1465" s="541" t="s">
        <v>449</v>
      </c>
      <c r="Y1465" s="541" t="s">
        <v>435</v>
      </c>
    </row>
    <row r="1466" spans="1:29" s="44" customFormat="1" ht="30" customHeight="1">
      <c r="A1466" s="42" t="str">
        <f>"B"&amp;E1461</f>
        <v>B49</v>
      </c>
      <c r="B1466" s="605">
        <f t="shared" ref="B1466:B1474" si="294">IF(C1466&lt;&gt;"",B1465+1,"")</f>
        <v>2</v>
      </c>
      <c r="C1466" s="581" t="s">
        <v>443</v>
      </c>
      <c r="D1466" s="581" t="s">
        <v>769</v>
      </c>
      <c r="E1466" s="581" t="s">
        <v>770</v>
      </c>
      <c r="F1466" s="581" t="s">
        <v>384</v>
      </c>
      <c r="G1466" s="534">
        <v>1</v>
      </c>
      <c r="H1466" s="534" t="s">
        <v>385</v>
      </c>
      <c r="I1466" s="579">
        <v>1</v>
      </c>
      <c r="J1466" s="580" t="str">
        <f>IF(I1466="","",IF(I1466="I",$F1461,VLOOKUP(I1466,$C1482:$D1487,2,0)))</f>
        <v>LITORAL CONSULTING SAS</v>
      </c>
      <c r="K1466" s="535">
        <v>37881</v>
      </c>
      <c r="L1466" s="535">
        <v>38138</v>
      </c>
      <c r="M1466" s="536">
        <v>521.76</v>
      </c>
      <c r="N1466" s="232">
        <f t="shared" si="292"/>
        <v>521.76</v>
      </c>
      <c r="O1466" s="260">
        <f t="shared" si="293"/>
        <v>521.76</v>
      </c>
      <c r="P1466" s="781"/>
      <c r="Q1466" s="782"/>
      <c r="R1466" s="767"/>
      <c r="S1466" s="768"/>
      <c r="T1466" s="538" t="s">
        <v>385</v>
      </c>
      <c r="U1466" s="539">
        <v>8</v>
      </c>
      <c r="V1466" s="540" t="s">
        <v>385</v>
      </c>
      <c r="X1466" s="541" t="s">
        <v>449</v>
      </c>
      <c r="Y1466" s="541" t="s">
        <v>387</v>
      </c>
    </row>
    <row r="1467" spans="1:29" s="44" customFormat="1" ht="24.95" customHeight="1">
      <c r="A1467" s="42" t="str">
        <f>"C"&amp;E1461</f>
        <v>C49</v>
      </c>
      <c r="B1467" s="605">
        <f t="shared" si="294"/>
        <v>3</v>
      </c>
      <c r="C1467" s="581" t="s">
        <v>443</v>
      </c>
      <c r="D1467" s="581" t="s">
        <v>771</v>
      </c>
      <c r="E1467" s="581" t="s">
        <v>772</v>
      </c>
      <c r="F1467" s="581" t="s">
        <v>384</v>
      </c>
      <c r="G1467" s="534">
        <v>1</v>
      </c>
      <c r="H1467" s="534" t="s">
        <v>385</v>
      </c>
      <c r="I1467" s="579">
        <v>1</v>
      </c>
      <c r="J1467" s="580" t="str">
        <f>IF(I1467="","",IF(I1467="I",$F1461,VLOOKUP(I1467,$C1482:$D1487,2,0)))</f>
        <v>LITORAL CONSULTING SAS</v>
      </c>
      <c r="K1467" s="535">
        <v>38924</v>
      </c>
      <c r="L1467" s="535">
        <v>39736</v>
      </c>
      <c r="M1467" s="536">
        <v>837.68</v>
      </c>
      <c r="N1467" s="232">
        <f t="shared" si="292"/>
        <v>837.68</v>
      </c>
      <c r="O1467" s="260">
        <f t="shared" si="293"/>
        <v>837.68</v>
      </c>
      <c r="P1467" s="781"/>
      <c r="Q1467" s="782"/>
      <c r="R1467" s="767"/>
      <c r="S1467" s="768"/>
      <c r="T1467" s="538" t="s">
        <v>385</v>
      </c>
      <c r="U1467" s="539">
        <v>16</v>
      </c>
      <c r="V1467" s="540" t="s">
        <v>385</v>
      </c>
      <c r="X1467" s="541" t="s">
        <v>423</v>
      </c>
      <c r="Y1467" s="541" t="s">
        <v>435</v>
      </c>
    </row>
    <row r="1468" spans="1:29" s="44" customFormat="1" ht="42" customHeight="1">
      <c r="A1468" s="42" t="str">
        <f>"D"&amp;E1461</f>
        <v>D49</v>
      </c>
      <c r="B1468" s="605">
        <f t="shared" si="294"/>
        <v>4</v>
      </c>
      <c r="C1468" s="581" t="s">
        <v>773</v>
      </c>
      <c r="D1468" s="581" t="s">
        <v>774</v>
      </c>
      <c r="E1468" s="581" t="s">
        <v>775</v>
      </c>
      <c r="F1468" s="581" t="s">
        <v>384</v>
      </c>
      <c r="G1468" s="534">
        <v>1</v>
      </c>
      <c r="H1468" s="534" t="s">
        <v>776</v>
      </c>
      <c r="I1468" s="579">
        <v>1</v>
      </c>
      <c r="J1468" s="580" t="str">
        <f>IF(I1468="","",IF(I1468="I",$F1461,VLOOKUP(I1468,$C1482:$D1487,2,0)))</f>
        <v>LITORAL CONSULTING SAS</v>
      </c>
      <c r="K1468" s="535">
        <v>42296</v>
      </c>
      <c r="L1468" s="535">
        <v>42419</v>
      </c>
      <c r="M1468" s="536">
        <v>109.49</v>
      </c>
      <c r="N1468" s="232">
        <f t="shared" si="292"/>
        <v>109.49</v>
      </c>
      <c r="O1468" s="260" t="str">
        <f t="shared" si="293"/>
        <v/>
      </c>
      <c r="P1468" s="781" t="s">
        <v>777</v>
      </c>
      <c r="Q1468" s="782"/>
      <c r="R1468" s="767" t="s">
        <v>778</v>
      </c>
      <c r="S1468" s="768"/>
      <c r="T1468" s="538" t="s">
        <v>385</v>
      </c>
      <c r="U1468" s="539">
        <v>34</v>
      </c>
      <c r="V1468" s="540" t="s">
        <v>385</v>
      </c>
      <c r="X1468" s="541" t="s">
        <v>386</v>
      </c>
      <c r="Y1468" s="541" t="s">
        <v>439</v>
      </c>
    </row>
    <row r="1469" spans="1:29" s="44" customFormat="1" ht="42" customHeight="1">
      <c r="A1469" s="42" t="str">
        <f>"E"&amp;E1461</f>
        <v>E49</v>
      </c>
      <c r="B1469" s="605">
        <f t="shared" si="294"/>
        <v>5</v>
      </c>
      <c r="C1469" s="581" t="s">
        <v>779</v>
      </c>
      <c r="D1469" s="581" t="s">
        <v>780</v>
      </c>
      <c r="E1469" s="581" t="s">
        <v>781</v>
      </c>
      <c r="F1469" s="581" t="s">
        <v>431</v>
      </c>
      <c r="G1469" s="534">
        <v>0.5</v>
      </c>
      <c r="H1469" s="534" t="s">
        <v>776</v>
      </c>
      <c r="I1469" s="579">
        <v>1</v>
      </c>
      <c r="J1469" s="580" t="str">
        <f>IF(I1469="","",IF(I1469="I",$F1461,VLOOKUP(I1469,$C1482:$D1487,2,0)))</f>
        <v>LITORAL CONSULTING SAS</v>
      </c>
      <c r="K1469" s="535">
        <v>42100</v>
      </c>
      <c r="L1469" s="535">
        <v>42587</v>
      </c>
      <c r="M1469" s="536">
        <v>1187.81</v>
      </c>
      <c r="N1469" s="232">
        <f t="shared" si="292"/>
        <v>593.90499999999997</v>
      </c>
      <c r="O1469" s="260" t="str">
        <f t="shared" si="293"/>
        <v/>
      </c>
      <c r="P1469" s="843" t="s">
        <v>777</v>
      </c>
      <c r="Q1469" s="844"/>
      <c r="R1469" s="767" t="s">
        <v>778</v>
      </c>
      <c r="S1469" s="768"/>
      <c r="T1469" s="538" t="s">
        <v>385</v>
      </c>
      <c r="U1469" s="539">
        <v>40</v>
      </c>
      <c r="V1469" s="540" t="s">
        <v>385</v>
      </c>
      <c r="X1469" s="541" t="s">
        <v>386</v>
      </c>
      <c r="Y1469" s="541" t="s">
        <v>439</v>
      </c>
    </row>
    <row r="1470" spans="1:29" s="44" customFormat="1" ht="24.95" customHeight="1">
      <c r="A1470" s="42" t="str">
        <f>"F"&amp;E1461</f>
        <v>F49</v>
      </c>
      <c r="B1470" s="605">
        <f t="shared" si="294"/>
        <v>6</v>
      </c>
      <c r="C1470" s="581" t="s">
        <v>773</v>
      </c>
      <c r="D1470" s="581" t="s">
        <v>782</v>
      </c>
      <c r="E1470" s="581" t="s">
        <v>783</v>
      </c>
      <c r="F1470" s="581" t="s">
        <v>384</v>
      </c>
      <c r="G1470" s="534">
        <v>1</v>
      </c>
      <c r="H1470" s="534" t="s">
        <v>776</v>
      </c>
      <c r="I1470" s="579">
        <v>1</v>
      </c>
      <c r="J1470" s="580" t="str">
        <f>IF(I1470="","",IF(I1470="I",$F1461,VLOOKUP(I1470,$C1482:$D1487,2,0)))</f>
        <v>LITORAL CONSULTING SAS</v>
      </c>
      <c r="K1470" s="535">
        <v>39792</v>
      </c>
      <c r="L1470" s="535">
        <v>43724</v>
      </c>
      <c r="M1470" s="536">
        <v>339.88</v>
      </c>
      <c r="N1470" s="232">
        <f t="shared" si="292"/>
        <v>339.88</v>
      </c>
      <c r="O1470" s="260" t="str">
        <f t="shared" si="293"/>
        <v/>
      </c>
      <c r="P1470" s="781" t="s">
        <v>784</v>
      </c>
      <c r="Q1470" s="782"/>
      <c r="R1470" s="767" t="s">
        <v>778</v>
      </c>
      <c r="S1470" s="768"/>
      <c r="T1470" s="538" t="s">
        <v>776</v>
      </c>
      <c r="U1470" s="539">
        <v>50</v>
      </c>
      <c r="V1470" s="540" t="s">
        <v>385</v>
      </c>
      <c r="X1470" s="541" t="s">
        <v>386</v>
      </c>
      <c r="Y1470" s="541" t="s">
        <v>439</v>
      </c>
    </row>
    <row r="1471" spans="1:29" s="44" customFormat="1" ht="24.95" customHeight="1">
      <c r="A1471" s="42" t="str">
        <f>"G"&amp;E1461</f>
        <v>G49</v>
      </c>
      <c r="B1471" s="605" t="str">
        <f t="shared" si="294"/>
        <v/>
      </c>
      <c r="C1471" s="581"/>
      <c r="D1471" s="581"/>
      <c r="E1471" s="581"/>
      <c r="F1471" s="581"/>
      <c r="G1471" s="534"/>
      <c r="H1471" s="534"/>
      <c r="I1471" s="579"/>
      <c r="J1471" s="580" t="str">
        <f>IF(I1471="","",IF(I1471="I",$F1461,VLOOKUP(I1471,$C1482:$D1487,2,0)))</f>
        <v/>
      </c>
      <c r="K1471" s="535"/>
      <c r="L1471" s="535"/>
      <c r="M1471" s="536"/>
      <c r="N1471" s="43" t="str">
        <f t="shared" si="292"/>
        <v/>
      </c>
      <c r="O1471" s="260" t="str">
        <f t="shared" si="293"/>
        <v/>
      </c>
      <c r="P1471" s="781"/>
      <c r="Q1471" s="782"/>
      <c r="R1471" s="767"/>
      <c r="S1471" s="768"/>
      <c r="T1471" s="538"/>
      <c r="U1471" s="539"/>
      <c r="V1471" s="540"/>
      <c r="X1471" s="541"/>
      <c r="Y1471" s="541"/>
    </row>
    <row r="1472" spans="1:29" s="44" customFormat="1" ht="24.95" customHeight="1">
      <c r="A1472" s="42" t="str">
        <f>"H"&amp;E1461</f>
        <v>H49</v>
      </c>
      <c r="B1472" s="605" t="str">
        <f t="shared" si="294"/>
        <v/>
      </c>
      <c r="C1472" s="581"/>
      <c r="D1472" s="581"/>
      <c r="E1472" s="581"/>
      <c r="F1472" s="581"/>
      <c r="G1472" s="534"/>
      <c r="H1472" s="534"/>
      <c r="I1472" s="579"/>
      <c r="J1472" s="580" t="str">
        <f>IF(I1472="","",IF(I1472="I",$F1461,VLOOKUP(I1472,$C1482:$D1487,2,0)))</f>
        <v/>
      </c>
      <c r="K1472" s="535"/>
      <c r="L1472" s="535"/>
      <c r="M1472" s="537"/>
      <c r="N1472" s="43" t="str">
        <f t="shared" si="292"/>
        <v/>
      </c>
      <c r="O1472" s="260" t="str">
        <f t="shared" si="293"/>
        <v/>
      </c>
      <c r="P1472" s="781"/>
      <c r="Q1472" s="782"/>
      <c r="R1472" s="767"/>
      <c r="S1472" s="768"/>
      <c r="T1472" s="538"/>
      <c r="U1472" s="539"/>
      <c r="V1472" s="540"/>
      <c r="X1472" s="541"/>
      <c r="Y1472" s="541"/>
    </row>
    <row r="1473" spans="1:29" s="44" customFormat="1" ht="24.95" customHeight="1">
      <c r="A1473" s="42" t="str">
        <f>"I"&amp;E1461</f>
        <v>I49</v>
      </c>
      <c r="B1473" s="605" t="str">
        <f t="shared" si="294"/>
        <v/>
      </c>
      <c r="C1473" s="581"/>
      <c r="D1473" s="581"/>
      <c r="E1473" s="581"/>
      <c r="F1473" s="581"/>
      <c r="G1473" s="534"/>
      <c r="H1473" s="534"/>
      <c r="I1473" s="579"/>
      <c r="J1473" s="580" t="str">
        <f>IF(I1473="","",IF(I1473="I",$F1461,VLOOKUP(I1473,$C1482:$D1487,2,0)))</f>
        <v/>
      </c>
      <c r="K1473" s="535"/>
      <c r="L1473" s="535"/>
      <c r="M1473" s="537"/>
      <c r="N1473" s="43" t="str">
        <f t="shared" si="292"/>
        <v/>
      </c>
      <c r="O1473" s="260" t="str">
        <f t="shared" si="293"/>
        <v/>
      </c>
      <c r="P1473" s="781"/>
      <c r="Q1473" s="782"/>
      <c r="R1473" s="767"/>
      <c r="S1473" s="768"/>
      <c r="T1473" s="538"/>
      <c r="U1473" s="539"/>
      <c r="V1473" s="540"/>
      <c r="X1473" s="541"/>
      <c r="Y1473" s="541"/>
    </row>
    <row r="1474" spans="1:29" s="44" customFormat="1" ht="24.95" customHeight="1" thickBot="1">
      <c r="A1474" s="42" t="str">
        <f>"J"&amp;E1461</f>
        <v>J49</v>
      </c>
      <c r="B1474" s="612" t="str">
        <f t="shared" si="294"/>
        <v/>
      </c>
      <c r="C1474" s="582"/>
      <c r="D1474" s="582"/>
      <c r="E1474" s="582"/>
      <c r="F1474" s="582"/>
      <c r="G1474" s="583"/>
      <c r="H1474" s="583"/>
      <c r="I1474" s="584"/>
      <c r="J1474" s="585" t="str">
        <f>IF(I1474="","",IF(I1474="I",$F1461,VLOOKUP(I1474,$C1482:$D1487,2,0)))</f>
        <v/>
      </c>
      <c r="K1474" s="586"/>
      <c r="L1474" s="586"/>
      <c r="M1474" s="587"/>
      <c r="N1474" s="43" t="str">
        <f t="shared" si="292"/>
        <v/>
      </c>
      <c r="O1474" s="260" t="str">
        <f t="shared" si="293"/>
        <v/>
      </c>
      <c r="P1474" s="781"/>
      <c r="Q1474" s="782"/>
      <c r="R1474" s="767"/>
      <c r="S1474" s="768"/>
      <c r="T1474" s="538"/>
      <c r="U1474" s="539"/>
      <c r="V1474" s="540"/>
      <c r="X1474" s="541"/>
      <c r="Y1474" s="541"/>
    </row>
    <row r="1475" spans="1:29" s="27" customFormat="1" ht="12" customHeight="1" thickBot="1">
      <c r="A1475" s="42"/>
      <c r="B1475" s="45"/>
      <c r="C1475" s="46"/>
      <c r="D1475" s="46"/>
      <c r="E1475" s="46"/>
      <c r="F1475" s="46"/>
      <c r="G1475" s="46"/>
      <c r="H1475" s="606"/>
      <c r="I1475" s="46"/>
      <c r="J1475" s="46"/>
      <c r="K1475" s="46"/>
      <c r="L1475" s="46"/>
      <c r="M1475" s="46"/>
      <c r="N1475" s="46"/>
      <c r="O1475" s="259"/>
      <c r="P1475" s="46"/>
      <c r="Q1475" s="46"/>
      <c r="R1475" s="259"/>
      <c r="S1475" s="46"/>
      <c r="T1475" s="46"/>
      <c r="U1475" s="47"/>
      <c r="V1475" s="48"/>
      <c r="X1475" s="592"/>
      <c r="Y1475" s="593"/>
      <c r="AB1475" s="378"/>
    </row>
    <row r="1476" spans="1:29" s="27" customFormat="1" ht="17.25" customHeight="1" thickBot="1">
      <c r="A1476" s="42" t="str">
        <f>"Z"&amp;E1461</f>
        <v>Z49</v>
      </c>
      <c r="B1476" s="510"/>
      <c r="C1476" s="511"/>
      <c r="D1476" s="511"/>
      <c r="E1476" s="511"/>
      <c r="F1476" s="511"/>
      <c r="G1476" s="511"/>
      <c r="H1476" s="511"/>
      <c r="I1476" s="511"/>
      <c r="J1476" s="511"/>
      <c r="K1476" s="511"/>
      <c r="L1476" s="511"/>
      <c r="M1476" s="511"/>
      <c r="N1476" s="437" t="s">
        <v>388</v>
      </c>
      <c r="O1476" s="438">
        <f>IF(COUNTIF(O1465:O1474,"")&gt;9,0,SUM(O1465:O1474)/(COUNTIF(H1465:H1474,"SI")))</f>
        <v>540.62666666666667</v>
      </c>
      <c r="P1476" s="511"/>
      <c r="Q1476" s="511"/>
      <c r="R1476" s="530"/>
      <c r="S1476" s="530"/>
      <c r="T1476" s="531"/>
      <c r="U1476" s="532"/>
      <c r="V1476" s="533"/>
      <c r="W1476" s="285"/>
      <c r="X1476" s="613" t="e">
        <f>COUNTIF(#REF!,"")-COUNTIF(#REF!,"CUMPLE")-1</f>
        <v>#REF!</v>
      </c>
      <c r="Y1476" s="591"/>
      <c r="AB1476" s="28"/>
    </row>
    <row r="1477" spans="1:29" ht="17.25" customHeight="1">
      <c r="B1477" s="50"/>
      <c r="C1477" s="50"/>
      <c r="D1477" s="50"/>
      <c r="E1477" s="50"/>
      <c r="F1477" s="50"/>
      <c r="G1477" s="51"/>
      <c r="H1477" s="51"/>
      <c r="I1477" s="51"/>
      <c r="J1477" s="51"/>
      <c r="K1477" s="51"/>
      <c r="L1477" s="51"/>
      <c r="M1477" s="51"/>
      <c r="N1477" s="51"/>
      <c r="O1477" s="51"/>
      <c r="P1477" s="51"/>
      <c r="Q1477" s="51"/>
      <c r="R1477" s="51"/>
      <c r="S1477" s="51"/>
      <c r="T1477" s="51"/>
      <c r="U1477" s="51"/>
      <c r="V1477" s="51"/>
      <c r="W1477" s="51"/>
      <c r="X1477" s="608"/>
      <c r="Y1477" s="51"/>
      <c r="Z1477" s="51"/>
      <c r="AA1477" s="51"/>
      <c r="AB1477" s="51"/>
      <c r="AC1477" s="50"/>
    </row>
    <row r="1478" spans="1:29" s="27" customFormat="1" ht="16.5" customHeight="1" thickBot="1">
      <c r="A1478" s="22"/>
      <c r="B1478" s="783" t="s">
        <v>389</v>
      </c>
      <c r="C1478" s="783"/>
      <c r="D1478" s="783"/>
      <c r="E1478" s="783"/>
      <c r="F1478" s="783"/>
      <c r="G1478" s="783"/>
      <c r="H1478" s="783"/>
      <c r="I1478" s="783"/>
      <c r="J1478" s="783"/>
      <c r="K1478" s="783"/>
      <c r="L1478" s="783"/>
      <c r="M1478" s="783"/>
      <c r="N1478" s="783"/>
      <c r="O1478" s="783"/>
      <c r="P1478" s="783"/>
      <c r="Q1478" s="783"/>
      <c r="R1478" s="783"/>
      <c r="S1478" s="783"/>
      <c r="T1478" s="783"/>
      <c r="U1478" s="783"/>
      <c r="V1478" s="783"/>
      <c r="W1478" s="286"/>
      <c r="X1478" s="607"/>
      <c r="Y1478" s="52"/>
      <c r="Z1478" s="52"/>
      <c r="AA1478" s="52"/>
      <c r="AB1478" s="28"/>
      <c r="AC1478" s="28"/>
    </row>
    <row r="1479" spans="1:29" s="30" customFormat="1" ht="22.5" customHeight="1">
      <c r="A1479" s="112" t="str">
        <f>"K"&amp;E1461</f>
        <v>K49</v>
      </c>
      <c r="B1479" s="790" t="s">
        <v>390</v>
      </c>
      <c r="C1479" s="772" t="s">
        <v>391</v>
      </c>
      <c r="D1479" s="773"/>
      <c r="E1479" s="773"/>
      <c r="F1479" s="773"/>
      <c r="G1479" s="773"/>
      <c r="H1479" s="773"/>
      <c r="I1479" s="773"/>
      <c r="J1479" s="773"/>
      <c r="K1479" s="773"/>
      <c r="L1479" s="773"/>
      <c r="M1479" s="774"/>
      <c r="N1479" s="525"/>
      <c r="O1479" s="588"/>
      <c r="P1479" s="772" t="s">
        <v>392</v>
      </c>
      <c r="Q1479" s="773"/>
      <c r="R1479" s="773"/>
      <c r="S1479" s="774"/>
      <c r="T1479" s="784" t="s">
        <v>393</v>
      </c>
      <c r="U1479" s="774"/>
      <c r="V1479" s="811"/>
      <c r="W1479" s="284"/>
      <c r="X1479" s="778" t="s">
        <v>394</v>
      </c>
      <c r="Y1479" s="779"/>
      <c r="Z1479" s="779"/>
      <c r="AA1479" s="779" t="s">
        <v>395</v>
      </c>
      <c r="AB1479" s="808" t="s">
        <v>396</v>
      </c>
      <c r="AC1479" s="28"/>
    </row>
    <row r="1480" spans="1:29" s="30" customFormat="1" ht="22.5" customHeight="1">
      <c r="A1480" s="112" t="str">
        <f>"L"&amp;E1461</f>
        <v>L49</v>
      </c>
      <c r="B1480" s="791"/>
      <c r="C1480" s="769" t="s">
        <v>397</v>
      </c>
      <c r="D1480" s="770"/>
      <c r="E1480" s="771"/>
      <c r="F1480" s="512">
        <f>IF(VLOOKUP(E1461,PROPONENTES!$C$19:$E$108,3,0)="","",VLOOKUP(E1461,PROPONENTES!$C$19:$E$108,3,0))</f>
        <v>2</v>
      </c>
      <c r="G1480" s="824" t="s">
        <v>398</v>
      </c>
      <c r="H1480" s="793" t="s">
        <v>399</v>
      </c>
      <c r="I1480" s="793"/>
      <c r="J1480" s="769" t="s">
        <v>400</v>
      </c>
      <c r="K1480" s="823"/>
      <c r="L1480" s="513" t="s">
        <v>401</v>
      </c>
      <c r="M1480" s="513"/>
      <c r="N1480" s="526"/>
      <c r="O1480" s="527"/>
      <c r="P1480" s="775"/>
      <c r="Q1480" s="776"/>
      <c r="R1480" s="776"/>
      <c r="S1480" s="777"/>
      <c r="T1480" s="796"/>
      <c r="U1480" s="797"/>
      <c r="V1480" s="812"/>
      <c r="W1480" s="284"/>
      <c r="X1480" s="780" t="s">
        <v>402</v>
      </c>
      <c r="Y1480" s="810" t="s">
        <v>403</v>
      </c>
      <c r="Z1480" s="810"/>
      <c r="AA1480" s="810"/>
      <c r="AB1480" s="809"/>
      <c r="AC1480" s="28"/>
    </row>
    <row r="1481" spans="1:29" s="30" customFormat="1" ht="51.75" customHeight="1" thickBot="1">
      <c r="A1481" s="112" t="str">
        <f>"M"&amp;E1461</f>
        <v>M49</v>
      </c>
      <c r="B1481" s="791"/>
      <c r="C1481" s="770" t="s">
        <v>404</v>
      </c>
      <c r="D1481" s="771"/>
      <c r="E1481" s="514" t="s">
        <v>405</v>
      </c>
      <c r="F1481" s="515" t="s">
        <v>406</v>
      </c>
      <c r="G1481" s="824"/>
      <c r="H1481" s="793"/>
      <c r="I1481" s="793"/>
      <c r="J1481" s="504" t="s">
        <v>407</v>
      </c>
      <c r="K1481" s="516" t="s">
        <v>408</v>
      </c>
      <c r="L1481" s="517" t="s">
        <v>785</v>
      </c>
      <c r="M1481" s="517"/>
      <c r="N1481" s="528" t="s">
        <v>410</v>
      </c>
      <c r="O1481" s="529"/>
      <c r="P1481" s="386"/>
      <c r="Q1481" s="387" t="s">
        <v>411</v>
      </c>
      <c r="R1481" s="388"/>
      <c r="S1481" s="113">
        <f>COUNTIFS(H1465:H1474,"SI",O1465:O1474,"&gt;0")</f>
        <v>3</v>
      </c>
      <c r="T1481" s="785"/>
      <c r="U1481" s="787"/>
      <c r="V1481" s="813"/>
      <c r="W1481" s="284"/>
      <c r="X1481" s="780"/>
      <c r="Y1481" s="810"/>
      <c r="Z1481" s="810"/>
      <c r="AA1481" s="810"/>
      <c r="AB1481" s="809"/>
      <c r="AC1481" s="28"/>
    </row>
    <row r="1482" spans="1:29" s="30" customFormat="1" ht="15.75" customHeight="1">
      <c r="A1482" s="112" t="str">
        <f>"N"&amp;E1461</f>
        <v>N49</v>
      </c>
      <c r="B1482" s="791"/>
      <c r="C1482" s="54">
        <v>1</v>
      </c>
      <c r="D1482" s="100" t="str">
        <f>IF(AND(C1482&lt;=F1480,F1480&gt;1,F1480&lt;&gt;""),VLOOKUP(VALUE(E1461&amp;","&amp;C1482),INTEGRANTES!$D$19:$F$192,2,0),"")</f>
        <v>LITORAL CONSULTING SAS</v>
      </c>
      <c r="E1482" s="107">
        <f>IF(D1482&lt;&gt;"",VLOOKUP(VALUE(E1461&amp;","&amp;C1482),INTEGRANTES!$D$19:$F$192,3,0),"")</f>
        <v>0.95</v>
      </c>
      <c r="F1482" s="380">
        <f>IF(D1482="","",IF(OR(SUMIF($J1465:$J1474,D1482,$O1465:$O1474)=0,N1482="NO"),"NO APORTA",SUMIF($J1465:$J1474,D1482,$O1465:$O1474)))</f>
        <v>1621.88</v>
      </c>
      <c r="G1482" s="380">
        <f ca="1">IF($D1482="","",IF($F1480&lt;=1,"",ROUND(POSMMLV*PORPO,2)))</f>
        <v>150</v>
      </c>
      <c r="H1482" s="765" t="str">
        <f ca="1">IF($D1482="","",IF(OR(F1482="NO APORTA",G1482&gt;F1482),"NO CUMPLE","CUMPLE"))</f>
        <v>CUMPLE</v>
      </c>
      <c r="I1482" s="766"/>
      <c r="J1482" s="108" t="str">
        <f ca="1">IF(D1482="","",IF(OR(AND(SUMIF($J1465:$J1474,D1482,$O1465:$O1474)&gt;=5%*POSMMLV,N1482="SI"),AND(SUMIF($J1465:$J1474,D1482,$O1465:$O1474)=0,E1482&lt;=5%,N1482="SI")),"CUMPLE","NO CUMPLE"))</f>
        <v>CUMPLE</v>
      </c>
      <c r="K1482" s="105" t="str">
        <f ca="1">IF(OR(D1482="",J1482=""),"",IF(AND(J1482="NO CUMPLE",F1482="NO APORTA",E1482&gt;5%),"EXP = 0 y PART &gt; 5%",IF(F1482&lt;5%*Q1487,"EXP &lt; 5%*PO","")))</f>
        <v/>
      </c>
      <c r="L1482" s="389" t="str">
        <f>IF(OR(D1482="",E1482=""),"",IF(AND(E1482&gt;=0.05,F1482&lt;&gt;"NO APORTA",F1482&gt;=$R1487*0.05),"SI","NO"))</f>
        <v>SI</v>
      </c>
      <c r="M1482" s="389"/>
      <c r="N1482" s="468" t="s">
        <v>385</v>
      </c>
      <c r="O1482" s="396">
        <f>COUNTIFS(O1465:O1474,"&gt;0",H1465:H1474,"SI")</f>
        <v>3</v>
      </c>
      <c r="P1482" s="814" t="s">
        <v>139</v>
      </c>
      <c r="Q1482" s="814"/>
      <c r="R1482" s="817">
        <f>E1461</f>
        <v>49</v>
      </c>
      <c r="S1482" s="818"/>
      <c r="T1482" s="784" t="s">
        <v>412</v>
      </c>
      <c r="U1482" s="773"/>
      <c r="V1482" s="774"/>
      <c r="W1482" s="283"/>
      <c r="X1482" s="542" t="str">
        <f>IF($F1480=1,"NO APLICA",$D1482)</f>
        <v>LITORAL CONSULTING SAS</v>
      </c>
      <c r="Y1482" s="543">
        <f ca="1">IF(OR($F1482="",$F1482="NO APORTA",$R1487=0,$X1482="NO APLICA"),"",ROUND($F1482/$Q1487,2))</f>
        <v>5.41</v>
      </c>
      <c r="Z1482" s="544" t="str">
        <f t="shared" ref="Z1482:Z1487" ca="1" si="295">IF(Y1488=1,"SI APLICA",IF(OR($X1482="",$X1482="NO APLICA",$F1482="",$F1482="NO APORTA"),"",IF(ROUND($F1482/Q1487,7)&gt;=0.4,"SI APLICA","NO APLICA")))</f>
        <v>SI APLICA</v>
      </c>
      <c r="AA1482" s="543" t="s">
        <v>413</v>
      </c>
      <c r="AB1482" s="540" t="str">
        <f ca="1">IF(COUNTIF(Z1482:AA1482,"SI APLICA")=2,"SI APLICA","")</f>
        <v>SI APLICA</v>
      </c>
      <c r="AC1482" s="28"/>
    </row>
    <row r="1483" spans="1:29" s="30" customFormat="1" ht="29.25" customHeight="1" thickBot="1">
      <c r="A1483" s="112" t="str">
        <f>"O"&amp;E1461</f>
        <v>O49</v>
      </c>
      <c r="B1483" s="791"/>
      <c r="C1483" s="54">
        <v>2</v>
      </c>
      <c r="D1483" s="100" t="str">
        <f>IF(AND(C1483&lt;=F1480,F1480&lt;&gt;""),VLOOKUP(VALUE(E1461&amp;","&amp;C1483),INTEGRANTES!$D$19:$F$192,2,0),"")</f>
        <v>APP CONSULTORES &amp; ESTRUCTURADORES SAS</v>
      </c>
      <c r="E1483" s="107">
        <f>IF(D1483&lt;&gt;"",VLOOKUP(VALUE(E1461&amp;","&amp;C1483),INTEGRANTES!$D$19:$F$192,3,0),"")</f>
        <v>0.05</v>
      </c>
      <c r="F1483" s="380" t="str">
        <f>IF(D1483="","",IF(OR(SUMIF($J1465:$J1474,D1483,$O1465:$O1474)=0,N1483="NO"),"NO APORTA",SUMIF($J1465:$J1474,D1483,$O1465:$O1474)))</f>
        <v>NO APORTA</v>
      </c>
      <c r="G1483" s="380">
        <f ca="1">IF($D1483="","",IF($F1480&lt;=1,"",ROUND(POSMMLV*PORPO,2)))</f>
        <v>150</v>
      </c>
      <c r="H1483" s="765" t="str">
        <f ca="1">IF($D1483="","",IF(OR(F1483="NO APORTA",G1483&gt;F1483),"NO CUMPLE","CUMPLE"))</f>
        <v>NO CUMPLE</v>
      </c>
      <c r="I1483" s="766"/>
      <c r="J1483" s="108" t="str">
        <f ca="1">IF(D1483="","",IF(OR(AND(SUMIF($J1465:$J1474,D1483,$O1465:$O1474)&gt;=5%*POSMMLV,N1483="SI"),AND(SUMIF($J1465:$J1474,D1483,$O1465:$O1474)=0,E1483&lt;=5%,N1483="SI")),"CUMPLE","NO CUMPLE"))</f>
        <v>CUMPLE</v>
      </c>
      <c r="K1483" s="105" t="str">
        <f ca="1">IF(OR(D1483="",J1483=""),"",IF(AND(J1483="NO CUMPLE",F1483="NO APORTA",E1483&gt;5%),"EXP = 0 y PART &gt; 5%",IF(F1483&lt;5%*Q1487,"EXP &lt; 5%*PO","")))</f>
        <v/>
      </c>
      <c r="L1483" s="389" t="str">
        <f ca="1">IF(OR(D1483="",E1483=""),"",IF(AND(E1483&gt;=0.05,F1483&lt;&gt;"NO APORTA",F1483&gt;=$Q1487*0.05),"SI","NO"))</f>
        <v>NO</v>
      </c>
      <c r="M1483" s="389"/>
      <c r="N1483" s="468" t="s">
        <v>385</v>
      </c>
      <c r="O1483" s="396"/>
      <c r="P1483" s="815"/>
      <c r="Q1483" s="815"/>
      <c r="R1483" s="815"/>
      <c r="S1483" s="819"/>
      <c r="T1483" s="785"/>
      <c r="U1483" s="786"/>
      <c r="V1483" s="787"/>
      <c r="W1483" s="283"/>
      <c r="X1483" s="542" t="str">
        <f>IF($F1480=1,"NO APLICA",$D1483)</f>
        <v>APP CONSULTORES &amp; ESTRUCTURADORES SAS</v>
      </c>
      <c r="Y1483" s="543" t="str">
        <f>IF(OR($F1483="",$F1483="NO APORTA",$R1488=0,$X1483="NO APLICA"),"",ROUND($F1483/$Q1488,2))</f>
        <v/>
      </c>
      <c r="Z1483" s="544" t="str">
        <f t="shared" si="295"/>
        <v/>
      </c>
      <c r="AA1483" s="543"/>
      <c r="AB1483" s="540" t="str">
        <f t="shared" ref="AB1483" si="296">IF(COUNTIF(Z1483:AA1483,"SI APLICA")=2,"SI APLICA","")</f>
        <v/>
      </c>
      <c r="AC1483" s="28"/>
    </row>
    <row r="1484" spans="1:29" s="30" customFormat="1" ht="15.75" customHeight="1">
      <c r="A1484" s="112" t="str">
        <f>"P"&amp;E1461</f>
        <v>P49</v>
      </c>
      <c r="B1484" s="791"/>
      <c r="C1484" s="54">
        <v>3</v>
      </c>
      <c r="D1484" s="100" t="str">
        <f>IF(AND(C1484&lt;=F1480,F1480&lt;&gt;""),VLOOKUP(VALUE(E1461&amp;","&amp;C1484),INTEGRANTES!$D$19:$F$192,2,0),"")</f>
        <v/>
      </c>
      <c r="E1484" s="107" t="str">
        <f>IF(D1484&lt;&gt;"",VLOOKUP(VALUE(E1461&amp;","&amp;C1484),INTEGRANTES!$D$19:$F$192,3,0),"")</f>
        <v/>
      </c>
      <c r="F1484" s="380" t="str">
        <f>IF(D1484="","",IF(OR(SUMIF($J1468:$J1474,D1484,$O1468:$O1474)=0,N1484="NO"),"NO APORTA",SUMIF($J1468:$J1474,D1484,$O1468:$O1474)))</f>
        <v/>
      </c>
      <c r="G1484" s="380" t="str">
        <f>IF($D1484="","",IF($F1480&lt;=1,"",ROUND(POSMMLV*PORPO,2)))</f>
        <v/>
      </c>
      <c r="H1484" s="765" t="str">
        <f t="shared" ref="H1484:H1486" si="297">IF($D1484="","",IF(OR(F1484="NO APORTA",G1484&gt;F1484),"NO CUMPLE","CUMPLE"))</f>
        <v/>
      </c>
      <c r="I1484" s="766"/>
      <c r="J1484" s="108" t="str">
        <f>IF(D1484="","",IF(OR(AND(SUMIF($J1465:$J1474,D1484,$O1465:$O1474)&gt;=5%*POSMMLV,N1484="SI"),AND(SUMIF($J1465:$J1474,D1484,$O1465:$O1474)=0,E1484&lt;=5%,N1484="SI")),"CUMPLE","NO CUMPLE"))</f>
        <v/>
      </c>
      <c r="K1484" s="105" t="str">
        <f>IF(OR(D1484="",J1484=""),"",IF(AND(J1484="NO CUMPLE",F1484="NO APORTA",E1484&gt;5%),"EXP = 0 y PART &gt; 5%",IF(F1484&lt;5%*Q1487,"EXP &lt; 5%*PO","")))</f>
        <v/>
      </c>
      <c r="L1484" s="389" t="str">
        <f>IF(OR(D1484="",E1484=""),"",IF(AND(E1484&gt;=0.25,F1484&lt;&gt;"NO APORTA",F1484&gt;=$R1487*0.25),"SI","NO"))</f>
        <v/>
      </c>
      <c r="M1484" s="389"/>
      <c r="N1484" s="468"/>
      <c r="O1484" s="397"/>
      <c r="P1484" s="816"/>
      <c r="Q1484" s="816"/>
      <c r="R1484" s="816"/>
      <c r="S1484" s="820"/>
      <c r="T1484" s="308"/>
      <c r="U1484" s="308"/>
      <c r="V1484" s="309"/>
      <c r="W1484" s="284"/>
      <c r="X1484" s="542" t="str">
        <f>IF($F1480=1,"NO APLICA",$D1484)</f>
        <v/>
      </c>
      <c r="Y1484" s="543" t="str">
        <f>IF(OR($F1484="",$F1484="NO APORTA",$R1487=0,$X1484="NO APLICA"),"",ROUND($F1484/$Q1487,2))</f>
        <v/>
      </c>
      <c r="Z1484" s="544" t="str">
        <f t="shared" si="295"/>
        <v/>
      </c>
      <c r="AA1484" s="543"/>
      <c r="AB1484" s="540" t="str">
        <f>IF(COUNTIF(Z1484:AA1484,"SI APLICA")=2,"SI APLICA","")</f>
        <v/>
      </c>
      <c r="AC1484" s="28"/>
    </row>
    <row r="1485" spans="1:29" s="30" customFormat="1" ht="15.75" customHeight="1">
      <c r="A1485" s="112" t="str">
        <f>"Q"&amp;E1461</f>
        <v>Q49</v>
      </c>
      <c r="B1485" s="791"/>
      <c r="C1485" s="54">
        <v>4</v>
      </c>
      <c r="D1485" s="100" t="str">
        <f>IF(AND(C1485&lt;=F1480,F1480&lt;&gt;""),VLOOKUP(VALUE(E1461&amp;","&amp;C1485),INTEGRANTES!$D$19:$F$192,2,0),"")</f>
        <v/>
      </c>
      <c r="E1485" s="107" t="str">
        <f>IF(D1485&lt;&gt;"",VLOOKUP(VALUE(E1461&amp;","&amp;C1485),INTEGRANTES!$D$19:$F$192,3,0),"")</f>
        <v/>
      </c>
      <c r="F1485" s="380" t="str">
        <f>IF(D1485="","",IF(OR(SUMIF($J1468:$J1474,D1485,$O1468:$O1474)=0,N1485="NO"),"NO APORTA",SUMIF($J1468:$J1474,D1485,$O1468:$O1474)))</f>
        <v/>
      </c>
      <c r="G1485" s="380" t="str">
        <f>IF($D1485="","",IF($F1480&lt;=1,"",ROUND(POSMMLV*PORPO,2)))</f>
        <v/>
      </c>
      <c r="H1485" s="765" t="str">
        <f t="shared" si="297"/>
        <v/>
      </c>
      <c r="I1485" s="766"/>
      <c r="J1485" s="108" t="str">
        <f>IF(D1485="","",IF(OR(AND(SUMIF($J1465:$J1474,D1485,$O1465:$O1474)&gt;=5%*POSMMLV,N1485="SI"),AND(SUMIF($J1465:$J1474,D1485,$O1465:$O1474)=0,E1485&lt;=5%,N1485="SI")),"CUMPLE","NO CUMPLE"))</f>
        <v/>
      </c>
      <c r="K1485" s="105" t="str">
        <f>IF(OR(D1485="",J1485=""),"",IF(AND(J1485="NO CUMPLE",F1485="NO APORTA",E1485&gt;5%),"EXP = 0 y PART &gt; 5%",IF(F1485&lt;5%*Q1487,"EXP &lt; 5%*PO","")))</f>
        <v/>
      </c>
      <c r="L1485" s="389" t="str">
        <f>IF(OR(D1485="",E1485=""),"",IF(AND(E1485&gt;=0.25,F1485&lt;&gt;"NO APORTA",F1485&gt;=$R1487*0.25),"SI","NO"))</f>
        <v/>
      </c>
      <c r="M1485" s="389"/>
      <c r="N1485" s="468"/>
      <c r="O1485" s="788" t="s">
        <v>414</v>
      </c>
      <c r="P1485" s="769" t="s">
        <v>415</v>
      </c>
      <c r="Q1485" s="770"/>
      <c r="R1485" s="770"/>
      <c r="S1485" s="771"/>
      <c r="T1485" s="284"/>
      <c r="U1485" s="284"/>
      <c r="V1485" s="310"/>
      <c r="W1485" s="284"/>
      <c r="X1485" s="542" t="str">
        <f>IF($F1480=1,"NO APLICA",$D1485)</f>
        <v/>
      </c>
      <c r="Y1485" s="543" t="str">
        <f>IF(OR($F1485="",$F1485="NO APORTA",$R1487=0,$X1485="NO APLICA"),"",ROUND($F1485/$Q1487,2))</f>
        <v/>
      </c>
      <c r="Z1485" s="544" t="str">
        <f t="shared" si="295"/>
        <v/>
      </c>
      <c r="AA1485" s="543"/>
      <c r="AB1485" s="540" t="str">
        <f t="shared" ref="AB1485:AB1486" si="298">IF(COUNTIF(Z1485:AA1485,"SI APLICA")=2,"SI APLICA","")</f>
        <v/>
      </c>
      <c r="AC1485" s="28"/>
    </row>
    <row r="1486" spans="1:29" s="30" customFormat="1" ht="20.25" customHeight="1">
      <c r="A1486" s="112" t="str">
        <f>"R"&amp;E1461</f>
        <v>R49</v>
      </c>
      <c r="B1486" s="791"/>
      <c r="C1486" s="54">
        <v>5</v>
      </c>
      <c r="D1486" s="100" t="str">
        <f>IF(AND(C1486&lt;=F1480,F1480&lt;&gt;""),VLOOKUP(VALUE(E1461&amp;","&amp;C1486),INTEGRANTES!$D$19:$F$192,2,0),"")</f>
        <v/>
      </c>
      <c r="E1486" s="107" t="str">
        <f>IF(D1486&lt;&gt;"",VLOOKUP(VALUE(E1461&amp;","&amp;C1486),INTEGRANTES!$D$19:$F$192,3,0),"")</f>
        <v/>
      </c>
      <c r="F1486" s="380" t="str">
        <f>IF(D1486="","",IF(OR(SUMIF($J1468:$J1474,D1486,$O1468:$O1474)=0,N1486="NO"),"NO APORTA",SUMIF($J1468:$J1474,D1486,$O1468:$O1474)))</f>
        <v/>
      </c>
      <c r="G1486" s="380" t="str">
        <f>IF($D1486="","",IF($F1480&lt;=1,"",ROUND(POSMMLV*PORPO,2)))</f>
        <v/>
      </c>
      <c r="H1486" s="765" t="str">
        <f t="shared" si="297"/>
        <v/>
      </c>
      <c r="I1486" s="766"/>
      <c r="J1486" s="108" t="str">
        <f>IF(D1486="","",IF(OR(AND(SUMIF($J1465:$J1474,D1486,$O1465:$O1474)&gt;=5%*POSMMLV,N1486="SI"),AND(SUMIF($J1465:$J1474,D1486,$O1465:$O1474)=0,E1486&lt;=5%,N1486="SI")),"CUMPLE","NO CUMPLE"))</f>
        <v/>
      </c>
      <c r="K1486" s="105" t="str">
        <f>IF(OR(D1486="",J1486=""),"",IF(AND(J1486="NO CUMPLE",F1486="NO APORTA",E1486&gt;5%),"EXP = 0 y PART &gt; 5%",IF(F1486&lt;5%*Q1487,"EXP &lt; 5%*PO","")))</f>
        <v/>
      </c>
      <c r="L1486" s="389" t="str">
        <f>IF(OR(D1486="",E1486=""),"",IF(AND(E1486&gt;=0.25,F1486&lt;&gt;"NO APORTA",F1486&gt;=$R1487*0.25),"SI","NO"))</f>
        <v/>
      </c>
      <c r="M1486" s="389"/>
      <c r="N1486" s="468"/>
      <c r="O1486" s="789"/>
      <c r="P1486" s="504" t="s">
        <v>416</v>
      </c>
      <c r="Q1486" s="504" t="s">
        <v>417</v>
      </c>
      <c r="R1486" s="793" t="s">
        <v>418</v>
      </c>
      <c r="S1486" s="793"/>
      <c r="T1486" s="284"/>
      <c r="U1486" s="284"/>
      <c r="V1486" s="310"/>
      <c r="W1486" s="284"/>
      <c r="X1486" s="542" t="str">
        <f>IF($F1480=1,"NO APLICA",$D1486)</f>
        <v/>
      </c>
      <c r="Y1486" s="543" t="str">
        <f>IF(OR($F1486="",$F1486="NO APORTA",$R1487=0,$X1486="NO APLICA"),"",ROUND($F1486/$Q1487,2))</f>
        <v/>
      </c>
      <c r="Z1486" s="544" t="str">
        <f t="shared" si="295"/>
        <v/>
      </c>
      <c r="AA1486" s="543"/>
      <c r="AB1486" s="540" t="str">
        <f t="shared" si="298"/>
        <v/>
      </c>
      <c r="AC1486" s="28"/>
    </row>
    <row r="1487" spans="1:29" s="30" customFormat="1" ht="16.5" customHeight="1" thickBot="1">
      <c r="A1487" s="112" t="str">
        <f>"S"&amp;E1461</f>
        <v>S49</v>
      </c>
      <c r="B1487" s="791"/>
      <c r="C1487" s="109">
        <v>6</v>
      </c>
      <c r="D1487" s="110" t="str">
        <f>IF(AND(C1487&lt;=F1480,F1480&lt;&gt;""),VLOOKUP(VALUE(E1461&amp;","&amp;C1487),INTEGRANTES!$D$19:$F$192,2,0),"")</f>
        <v/>
      </c>
      <c r="E1487" s="111" t="str">
        <f>IF(D1487&lt;&gt;"",VLOOKUP(VALUE(E1461&amp;","&amp;C1487),INTEGRANTES!$D$19:$F$192,3,0),"")</f>
        <v/>
      </c>
      <c r="F1487" s="380" t="str">
        <f>IF(D1487="","",IF(OR(SUMIF($J1468:$J1474,D1487,$O1468:$O1474)=0,N1487="NO"),"NO APORTA",SUMIF($J1468:$J1474,D1487,$O1468:$O1474)))</f>
        <v/>
      </c>
      <c r="G1487" s="380" t="str">
        <f>IF($D1487="","",IF($F1480&lt;=1,"",ROUND(POSMMLV*PORPO,2)))</f>
        <v/>
      </c>
      <c r="H1487" s="765" t="str">
        <f>IF($D1487="","",IF(OR(F1487="NO APORTA",G1487&gt;F1487),"NO CUMPLE","CUMPLE"))</f>
        <v/>
      </c>
      <c r="I1487" s="766"/>
      <c r="J1487" s="108" t="str">
        <f>IF(D1487="","",IF(OR(AND(SUMIF($J1465:$J1474,D1487,$O1465:$O1474)&gt;=5%*POSMMLV,N1487="SI"),AND(SUMIF($J1465:$J1474,D1487,$O1465:$O1474)=0,E1487&lt;=5%,N1487="SI")),"CUMPLE","NO CUMPLE"))</f>
        <v/>
      </c>
      <c r="K1487" s="105" t="str">
        <f>IF(OR(D1487="",J1487=""),"",IF(AND(J1487="NO CUMPLE",F1487="NO APORTA",E1487&gt;5%),"EXP = 0 y PART &gt; 5%",IF(F1487&lt;5%*Q1487,"EXP &lt; 5%*PO","")))</f>
        <v/>
      </c>
      <c r="L1487" s="389" t="str">
        <f>IF(OR(D1487="",E1487=""),"",IF(AND(E1487&gt;=0.25,F1487&lt;&gt;"NO APORTA",F1487&gt;=$R1487*0.25),"SI","NO"))</f>
        <v/>
      </c>
      <c r="M1487" s="389"/>
      <c r="N1487" s="468"/>
      <c r="O1487" s="403" t="str">
        <f ca="1">IF(R1487&gt;=Q1487,"CUMPLE","NO CUMPLE")</f>
        <v>CUMPLE</v>
      </c>
      <c r="P1487" s="312">
        <f>NUMMOD</f>
        <v>1</v>
      </c>
      <c r="Q1487" s="313">
        <f ca="1">IF(P1487="","",ROUND(VLOOKUP(P1487,PRESUPUESTOS!$B$16:$L$16,9,FALSE),7))</f>
        <v>300</v>
      </c>
      <c r="R1487" s="834">
        <f>IF(OR(COUNTIF(O1465:O1474,"")&gt;9,S1481&lt;NUMMINCONT),0,SUM(O1465:O1474))</f>
        <v>1621.88</v>
      </c>
      <c r="S1487" s="834"/>
      <c r="T1487" s="284"/>
      <c r="U1487" s="284"/>
      <c r="V1487" s="310"/>
      <c r="W1487" s="284"/>
      <c r="X1487" s="545" t="str">
        <f>IF($F1480=1,"NO APLICA",$D1487)</f>
        <v/>
      </c>
      <c r="Y1487" s="543" t="str">
        <f>IF(OR($F1487="",$F1487="NO APORTA",$R1487=0,$X1487="NO APLICA"),"",ROUND($F1487/$Q1487,2))</f>
        <v/>
      </c>
      <c r="Z1487" s="544" t="str">
        <f t="shared" si="295"/>
        <v/>
      </c>
      <c r="AA1487" s="546"/>
      <c r="AB1487" s="540" t="str">
        <f>IF(COUNTIF(Z1487:AA1487,"SI APLICA")=2,"SI APLICA","")</f>
        <v/>
      </c>
      <c r="AC1487" s="28"/>
    </row>
    <row r="1488" spans="1:29" s="30" customFormat="1" ht="16.5" customHeight="1" thickBot="1">
      <c r="A1488" s="112" t="str">
        <f>"T"&amp;E1461</f>
        <v>T49</v>
      </c>
      <c r="B1488" s="792"/>
      <c r="C1488" s="821" t="s">
        <v>419</v>
      </c>
      <c r="D1488" s="822"/>
      <c r="E1488" s="822"/>
      <c r="F1488" s="518"/>
      <c r="G1488" s="519"/>
      <c r="H1488" s="845" t="str">
        <f ca="1">IF(OR($F1480="",SUM(E1482:E1487)=0),"",IF(COUNTIF(H1482:H1487,"CUMPLE")&gt;=1,"CUMPLE","NO CUMPLE"))</f>
        <v>CUMPLE</v>
      </c>
      <c r="I1488" s="795"/>
      <c r="J1488" s="642" t="str">
        <f ca="1">IF(COUNTIF(J1482:J1487,"")&gt;5,"",IF(COUNTIF(J1482:J1487,"NO CUMPLE")&gt;0,"NO CUMPLE","CUMPLE"))</f>
        <v>CUMPLE</v>
      </c>
      <c r="K1488" s="642" t="str">
        <f ca="1">IF(OR(AND(F1480=1,N1482="SI"),AND(COUNTIF(H1488:J1488,"CUMPLE")=2)),"CUMPLE","NO CUMPLE")</f>
        <v>CUMPLE</v>
      </c>
      <c r="L1488" s="519"/>
      <c r="M1488" s="519"/>
      <c r="N1488" s="519"/>
      <c r="O1488" s="833" t="str">
        <f ca="1">IF(ISNUMBER(F1461),"",IF(AND(O1487="NO CUMPLE",SUM(N1468:N1474)&lt;Q1487),"EL PROPONENTE SE DEBE REQUERIR POR EXPERIENCIA MINIMA EXIGIDA",""))</f>
        <v/>
      </c>
      <c r="P1488" s="833"/>
      <c r="Q1488" s="833"/>
      <c r="R1488" s="833"/>
      <c r="S1488" s="833"/>
      <c r="T1488" s="522"/>
      <c r="U1488" s="523"/>
      <c r="V1488" s="524"/>
      <c r="W1488" s="284"/>
      <c r="X1488" s="364" t="str">
        <f>IF(Y1488=1,"PROPONENTE INDIVIDUAL","PROPONENTE PLURAL")</f>
        <v>PROPONENTE PLURAL</v>
      </c>
      <c r="Y1488" s="276">
        <f>F1480</f>
        <v>2</v>
      </c>
      <c r="Z1488" s="277" t="str">
        <f ca="1">IF(OR(AND(Z1482="SI APLICA",AA1482="SI APLICA"),AND(Z1483="SI APLICA",AA1483="SI APLICA"),AND(Z1484="SI APLICA",AA1484="SI APLICA"),AND(Z1485="SI APLICA",AA1485="SI APLICA"),AND(Z1486="SI APLICA",AA1486="SI APLICA"),AND(Z1487="SI APLICA",AA1487="SI APLICA")),"SI APLICA","NO APLICA")</f>
        <v>SI APLICA</v>
      </c>
      <c r="AA1488" s="278" t="str">
        <f ca="1">IF(OR(AND(AA1482="SI APLICA",AB1482="SI APLICA"),AND(AA1483="SI APLICA",AB1483="SI APLICA"),AND(AA1484="SI APLICA",AB1484="SI APLICA"),AND(AA1485="SI APLICA",AB1485="SI APLICA"),AND(AA1486="SI APLICA",AB1486="SI APLICA"),AND(AA1487="SI APLICA",AB1487="SI APLICA")),"SI APLICA","NO APLICA")</f>
        <v>SI APLICA</v>
      </c>
      <c r="AB1488" s="278" t="str">
        <f ca="1">IF(COUNTIF(AB1482:AB1487,"SI APLICA")&gt;0,"SI APLICA","NO APLICA")</f>
        <v>SI APLICA</v>
      </c>
      <c r="AC1488" s="28"/>
    </row>
    <row r="1489" spans="1:29" ht="24.95" customHeight="1"/>
    <row r="1490" spans="1:29" ht="24.95" customHeight="1"/>
    <row r="1491" spans="1:29" s="41" customFormat="1" ht="24" thickBot="1">
      <c r="A1491" s="34">
        <v>50</v>
      </c>
      <c r="B1491" s="828" t="s">
        <v>355</v>
      </c>
      <c r="C1491" s="828"/>
      <c r="D1491" s="828"/>
      <c r="E1491" s="35">
        <f>VLOOKUP(A1491,PROPONENTES!$B$19:$E$108,2,FALSE)</f>
        <v>50</v>
      </c>
      <c r="F1491" s="36" t="str">
        <f>VLOOKUP(A1491,PROPONENTES!$B$19:$E$108,3,FALSE)</f>
        <v>PROYECTISTAS ASOCIADOS SAS</v>
      </c>
      <c r="G1491" s="37"/>
      <c r="H1491" s="37"/>
      <c r="I1491" s="36"/>
      <c r="J1491" s="36"/>
      <c r="K1491" s="36"/>
      <c r="L1491" s="36"/>
      <c r="M1491" s="38"/>
      <c r="N1491" s="38"/>
      <c r="O1491" s="37"/>
      <c r="P1491" s="37"/>
      <c r="Q1491" s="39"/>
      <c r="R1491" s="39"/>
      <c r="S1491" s="39"/>
      <c r="T1491" s="39"/>
      <c r="U1491" s="40"/>
      <c r="Y1491" s="52"/>
      <c r="Z1491" s="52"/>
      <c r="AA1491" s="52"/>
      <c r="AB1491" s="28"/>
      <c r="AC1491" s="28"/>
    </row>
    <row r="1492" spans="1:29" s="27" customFormat="1" ht="24.75" customHeight="1">
      <c r="A1492" s="22"/>
      <c r="B1492" s="829" t="s">
        <v>356</v>
      </c>
      <c r="C1492" s="501" t="s">
        <v>357</v>
      </c>
      <c r="D1492" s="502" t="s">
        <v>358</v>
      </c>
      <c r="E1492" s="502"/>
      <c r="F1492" s="502" t="s">
        <v>359</v>
      </c>
      <c r="G1492" s="503"/>
      <c r="H1492" s="803" t="s">
        <v>360</v>
      </c>
      <c r="I1492" s="831" t="s">
        <v>361</v>
      </c>
      <c r="J1492" s="803" t="s">
        <v>362</v>
      </c>
      <c r="K1492" s="803" t="s">
        <v>363</v>
      </c>
      <c r="L1492" s="803" t="s">
        <v>364</v>
      </c>
      <c r="M1492" s="803" t="s">
        <v>365</v>
      </c>
      <c r="N1492" s="804" t="s">
        <v>366</v>
      </c>
      <c r="O1492" s="805"/>
      <c r="P1492" s="806" t="s">
        <v>367</v>
      </c>
      <c r="Q1492" s="807"/>
      <c r="R1492" s="784" t="s">
        <v>368</v>
      </c>
      <c r="S1492" s="774"/>
      <c r="T1492" s="798" t="s">
        <v>369</v>
      </c>
      <c r="U1492" s="799"/>
      <c r="V1492" s="800"/>
      <c r="X1492" s="520"/>
      <c r="Y1492" s="520"/>
    </row>
    <row r="1493" spans="1:29" s="27" customFormat="1" ht="94.5" customHeight="1">
      <c r="A1493" s="22"/>
      <c r="B1493" s="830"/>
      <c r="C1493" s="504" t="s">
        <v>370</v>
      </c>
      <c r="D1493" s="505" t="s">
        <v>41</v>
      </c>
      <c r="E1493" s="505" t="s">
        <v>371</v>
      </c>
      <c r="F1493" s="505" t="s">
        <v>372</v>
      </c>
      <c r="G1493" s="506" t="s">
        <v>373</v>
      </c>
      <c r="H1493" s="793"/>
      <c r="I1493" s="832"/>
      <c r="J1493" s="793"/>
      <c r="K1493" s="793"/>
      <c r="L1493" s="793"/>
      <c r="M1493" s="793"/>
      <c r="N1493" s="504" t="s">
        <v>374</v>
      </c>
      <c r="O1493" s="505" t="s">
        <v>375</v>
      </c>
      <c r="P1493" s="801"/>
      <c r="Q1493" s="802"/>
      <c r="R1493" s="796"/>
      <c r="S1493" s="797"/>
      <c r="T1493" s="507" t="s">
        <v>376</v>
      </c>
      <c r="U1493" s="508" t="s">
        <v>377</v>
      </c>
      <c r="V1493" s="509" t="s">
        <v>378</v>
      </c>
      <c r="X1493" s="521" t="s">
        <v>379</v>
      </c>
      <c r="Y1493" s="521" t="s">
        <v>380</v>
      </c>
    </row>
    <row r="1494" spans="1:29" s="27" customFormat="1" ht="15" customHeight="1">
      <c r="A1494" s="22"/>
      <c r="B1494" s="594"/>
      <c r="C1494" s="595">
        <v>3</v>
      </c>
      <c r="D1494" s="595">
        <v>4</v>
      </c>
      <c r="E1494" s="595">
        <v>5</v>
      </c>
      <c r="F1494" s="595">
        <v>6</v>
      </c>
      <c r="G1494" s="595">
        <v>7</v>
      </c>
      <c r="H1494" s="595">
        <v>8</v>
      </c>
      <c r="I1494" s="595">
        <v>9</v>
      </c>
      <c r="J1494" s="595">
        <v>10</v>
      </c>
      <c r="K1494" s="595">
        <v>11</v>
      </c>
      <c r="L1494" s="595">
        <v>12</v>
      </c>
      <c r="M1494" s="595">
        <v>13</v>
      </c>
      <c r="N1494" s="595">
        <v>14</v>
      </c>
      <c r="O1494" s="595">
        <v>15</v>
      </c>
      <c r="P1494" s="596">
        <v>16</v>
      </c>
      <c r="Q1494" s="597">
        <v>17</v>
      </c>
      <c r="R1494" s="596">
        <v>18</v>
      </c>
      <c r="S1494" s="597">
        <v>19</v>
      </c>
      <c r="T1494" s="598">
        <v>20</v>
      </c>
      <c r="U1494" s="255">
        <v>21</v>
      </c>
      <c r="V1494" s="599">
        <v>22</v>
      </c>
      <c r="X1494" s="589"/>
      <c r="Y1494" s="590"/>
    </row>
    <row r="1495" spans="1:29" s="44" customFormat="1" ht="33" customHeight="1">
      <c r="A1495" s="42" t="str">
        <f>"A"&amp;E1491</f>
        <v>A50</v>
      </c>
      <c r="B1495" s="605">
        <f>IF(C1495&lt;&gt;"",B1494+1,"")</f>
        <v>1</v>
      </c>
      <c r="C1495" s="581" t="s">
        <v>786</v>
      </c>
      <c r="D1495" s="581" t="s">
        <v>787</v>
      </c>
      <c r="E1495" s="581" t="s">
        <v>788</v>
      </c>
      <c r="F1495" s="581" t="s">
        <v>384</v>
      </c>
      <c r="G1495" s="534">
        <v>1</v>
      </c>
      <c r="H1495" s="534" t="s">
        <v>385</v>
      </c>
      <c r="I1495" s="579" t="s">
        <v>384</v>
      </c>
      <c r="J1495" s="580" t="str">
        <f>IF(I1495="","",IF(I1495="I",$F1491,VLOOKUP(I1495,$C1512:$D1517,2,0)))</f>
        <v>PROYECTISTAS ASOCIADOS SAS</v>
      </c>
      <c r="K1495" s="535">
        <v>43193</v>
      </c>
      <c r="L1495" s="535">
        <v>43553</v>
      </c>
      <c r="M1495" s="536">
        <v>736.99</v>
      </c>
      <c r="N1495" s="232">
        <f>IF(OR(G1495="",M1495=""),"",M1495*G1495)</f>
        <v>736.99</v>
      </c>
      <c r="O1495" s="631">
        <f>IF(OR(H1495="",H1495="NO",K1495&lt;$Q$17,K1495&gt;$R$17,K1495="",M1495="",N1495=""),"",ROUND(N1495,7))</f>
        <v>736.99</v>
      </c>
      <c r="P1495" s="781"/>
      <c r="Q1495" s="782"/>
      <c r="R1495" s="767"/>
      <c r="S1495" s="768"/>
      <c r="T1495" s="538" t="s">
        <v>385</v>
      </c>
      <c r="U1495" s="539">
        <v>77</v>
      </c>
      <c r="V1495" s="540" t="s">
        <v>385</v>
      </c>
      <c r="X1495" s="541" t="s">
        <v>386</v>
      </c>
      <c r="Y1495" s="541" t="s">
        <v>439</v>
      </c>
    </row>
    <row r="1496" spans="1:29" s="44" customFormat="1" ht="61.5" customHeight="1">
      <c r="A1496" s="42" t="str">
        <f>"B"&amp;E1491</f>
        <v>B50</v>
      </c>
      <c r="B1496" s="605">
        <f t="shared" ref="B1496:B1504" si="299">IF(C1496&lt;&gt;"",B1495+1,"")</f>
        <v>2</v>
      </c>
      <c r="C1496" s="581" t="s">
        <v>789</v>
      </c>
      <c r="D1496" s="581" t="s">
        <v>790</v>
      </c>
      <c r="E1496" s="581" t="s">
        <v>791</v>
      </c>
      <c r="F1496" s="581" t="s">
        <v>431</v>
      </c>
      <c r="G1496" s="534">
        <v>0.6</v>
      </c>
      <c r="H1496" s="534" t="s">
        <v>385</v>
      </c>
      <c r="I1496" s="579" t="s">
        <v>384</v>
      </c>
      <c r="J1496" s="580" t="str">
        <f>IF(I1496="","",IF(I1496="I",$F1491,VLOOKUP(I1496,$C1512:$D1517,2,0)))</f>
        <v>PROYECTISTAS ASOCIADOS SAS</v>
      </c>
      <c r="K1496" s="535">
        <v>42858</v>
      </c>
      <c r="L1496" s="535">
        <v>43344</v>
      </c>
      <c r="M1496" s="536">
        <v>293.52</v>
      </c>
      <c r="N1496" s="232">
        <f>IF(OR(G1496="",M1496=""),"",M1496*G1496)</f>
        <v>176.11199999999999</v>
      </c>
      <c r="O1496" s="631">
        <f>IF(OR(H1496="",H1496="NO",K1496&lt;$Q$17,K1496&gt;$R$17,K1496="",M1496="",N1496=""),"",ROUND(N1496,7))</f>
        <v>176.11199999999999</v>
      </c>
      <c r="P1496" s="781"/>
      <c r="Q1496" s="782"/>
      <c r="R1496" s="767"/>
      <c r="S1496" s="768"/>
      <c r="T1496" s="538" t="s">
        <v>385</v>
      </c>
      <c r="U1496" s="539">
        <v>119</v>
      </c>
      <c r="V1496" s="540" t="s">
        <v>385</v>
      </c>
      <c r="X1496" s="541" t="s">
        <v>386</v>
      </c>
      <c r="Y1496" s="541" t="s">
        <v>439</v>
      </c>
    </row>
    <row r="1497" spans="1:29" s="44" customFormat="1" ht="24.95" customHeight="1">
      <c r="A1497" s="42" t="str">
        <f>"C"&amp;E1491</f>
        <v>C50</v>
      </c>
      <c r="B1497" s="605" t="str">
        <f t="shared" si="299"/>
        <v/>
      </c>
      <c r="C1497" s="581"/>
      <c r="D1497" s="581"/>
      <c r="E1497" s="581"/>
      <c r="F1497" s="581"/>
      <c r="G1497" s="534"/>
      <c r="H1497" s="534"/>
      <c r="I1497" s="579"/>
      <c r="J1497" s="580" t="str">
        <f>IF(I1497="","",IF(I1497="I",$F1491,VLOOKUP(I1497,$C1512:$D1517,2,0)))</f>
        <v/>
      </c>
      <c r="K1497" s="535"/>
      <c r="L1497" s="535"/>
      <c r="M1497" s="536"/>
      <c r="N1497" s="232" t="str">
        <f t="shared" ref="N1497:N1504" si="300">IF(OR(G1497="",M1497=""),"",M1497*G1497)</f>
        <v/>
      </c>
      <c r="O1497" s="260" t="str">
        <f t="shared" ref="O1497:O1504" si="301">IF(OR(H1497="",H1497="NO",K1497&lt;$Q$17,K1497&gt;$R$17,K1497="",M1497="",N1497=""),"",ROUND(N1497,7))</f>
        <v/>
      </c>
      <c r="P1497" s="781"/>
      <c r="Q1497" s="782"/>
      <c r="R1497" s="767"/>
      <c r="S1497" s="768"/>
      <c r="T1497" s="538"/>
      <c r="U1497" s="539"/>
      <c r="V1497" s="540"/>
      <c r="X1497" s="541"/>
      <c r="Y1497" s="541"/>
    </row>
    <row r="1498" spans="1:29" s="44" customFormat="1" ht="24.95" customHeight="1">
      <c r="A1498" s="42" t="str">
        <f>"D"&amp;E1491</f>
        <v>D50</v>
      </c>
      <c r="B1498" s="605" t="str">
        <f t="shared" si="299"/>
        <v/>
      </c>
      <c r="C1498" s="581"/>
      <c r="D1498" s="581"/>
      <c r="E1498" s="581"/>
      <c r="F1498" s="581"/>
      <c r="G1498" s="534"/>
      <c r="H1498" s="534"/>
      <c r="I1498" s="579"/>
      <c r="J1498" s="580" t="str">
        <f>IF(I1498="","",IF(I1498="I",$F1491,VLOOKUP(I1498,$C1512:$D1517,2,0)))</f>
        <v/>
      </c>
      <c r="K1498" s="535"/>
      <c r="L1498" s="535"/>
      <c r="M1498" s="536"/>
      <c r="N1498" s="232" t="str">
        <f t="shared" si="300"/>
        <v/>
      </c>
      <c r="O1498" s="260" t="str">
        <f t="shared" si="301"/>
        <v/>
      </c>
      <c r="P1498" s="781"/>
      <c r="Q1498" s="782"/>
      <c r="R1498" s="767"/>
      <c r="S1498" s="768"/>
      <c r="T1498" s="538"/>
      <c r="U1498" s="539"/>
      <c r="V1498" s="540"/>
      <c r="X1498" s="541"/>
      <c r="Y1498" s="541"/>
    </row>
    <row r="1499" spans="1:29" s="44" customFormat="1" ht="24.95" customHeight="1">
      <c r="A1499" s="42" t="str">
        <f>"E"&amp;E1491</f>
        <v>E50</v>
      </c>
      <c r="B1499" s="605" t="str">
        <f t="shared" si="299"/>
        <v/>
      </c>
      <c r="C1499" s="581"/>
      <c r="D1499" s="581"/>
      <c r="E1499" s="581"/>
      <c r="F1499" s="581"/>
      <c r="G1499" s="534"/>
      <c r="H1499" s="534"/>
      <c r="I1499" s="579"/>
      <c r="J1499" s="580" t="str">
        <f>IF(I1499="","",IF(I1499="I",$F1491,VLOOKUP(I1499,$C1512:$D1517,2,0)))</f>
        <v/>
      </c>
      <c r="K1499" s="535"/>
      <c r="L1499" s="535"/>
      <c r="M1499" s="536"/>
      <c r="N1499" s="232" t="str">
        <f t="shared" si="300"/>
        <v/>
      </c>
      <c r="O1499" s="260" t="str">
        <f t="shared" si="301"/>
        <v/>
      </c>
      <c r="P1499" s="781"/>
      <c r="Q1499" s="782"/>
      <c r="R1499" s="767"/>
      <c r="S1499" s="768"/>
      <c r="T1499" s="538"/>
      <c r="U1499" s="539"/>
      <c r="V1499" s="540"/>
      <c r="X1499" s="541"/>
      <c r="Y1499" s="541"/>
    </row>
    <row r="1500" spans="1:29" s="44" customFormat="1" ht="24.95" customHeight="1">
      <c r="A1500" s="42" t="str">
        <f>"F"&amp;E1491</f>
        <v>F50</v>
      </c>
      <c r="B1500" s="605" t="str">
        <f t="shared" si="299"/>
        <v/>
      </c>
      <c r="C1500" s="581"/>
      <c r="D1500" s="581"/>
      <c r="E1500" s="581"/>
      <c r="F1500" s="581"/>
      <c r="G1500" s="534"/>
      <c r="H1500" s="534"/>
      <c r="I1500" s="579"/>
      <c r="J1500" s="580" t="str">
        <f>IF(I1500="","",IF(I1500="I",$F1491,VLOOKUP(I1500,$C1512:$D1517,2,0)))</f>
        <v/>
      </c>
      <c r="K1500" s="535"/>
      <c r="L1500" s="535"/>
      <c r="M1500" s="536"/>
      <c r="N1500" s="232" t="str">
        <f t="shared" si="300"/>
        <v/>
      </c>
      <c r="O1500" s="260" t="str">
        <f t="shared" si="301"/>
        <v/>
      </c>
      <c r="P1500" s="781"/>
      <c r="Q1500" s="782"/>
      <c r="R1500" s="767"/>
      <c r="S1500" s="768"/>
      <c r="T1500" s="538"/>
      <c r="U1500" s="539"/>
      <c r="V1500" s="540"/>
      <c r="X1500" s="541"/>
      <c r="Y1500" s="541"/>
    </row>
    <row r="1501" spans="1:29" s="44" customFormat="1" ht="24.95" customHeight="1">
      <c r="A1501" s="42" t="str">
        <f>"G"&amp;E1491</f>
        <v>G50</v>
      </c>
      <c r="B1501" s="605" t="str">
        <f t="shared" si="299"/>
        <v/>
      </c>
      <c r="C1501" s="581"/>
      <c r="D1501" s="581"/>
      <c r="E1501" s="581"/>
      <c r="F1501" s="581"/>
      <c r="G1501" s="534"/>
      <c r="H1501" s="534"/>
      <c r="I1501" s="579"/>
      <c r="J1501" s="580" t="str">
        <f>IF(I1501="","",IF(I1501="I",$F1491,VLOOKUP(I1501,$C1512:$D1517,2,0)))</f>
        <v/>
      </c>
      <c r="K1501" s="535"/>
      <c r="L1501" s="535"/>
      <c r="M1501" s="536"/>
      <c r="N1501" s="43" t="str">
        <f t="shared" si="300"/>
        <v/>
      </c>
      <c r="O1501" s="260" t="str">
        <f t="shared" si="301"/>
        <v/>
      </c>
      <c r="P1501" s="781"/>
      <c r="Q1501" s="782"/>
      <c r="R1501" s="767"/>
      <c r="S1501" s="768"/>
      <c r="T1501" s="538"/>
      <c r="U1501" s="539"/>
      <c r="V1501" s="540"/>
      <c r="X1501" s="541"/>
      <c r="Y1501" s="541"/>
    </row>
    <row r="1502" spans="1:29" s="44" customFormat="1" ht="24.95" customHeight="1">
      <c r="A1502" s="42" t="str">
        <f>"H"&amp;E1491</f>
        <v>H50</v>
      </c>
      <c r="B1502" s="605" t="str">
        <f t="shared" si="299"/>
        <v/>
      </c>
      <c r="C1502" s="581"/>
      <c r="D1502" s="581"/>
      <c r="E1502" s="581"/>
      <c r="F1502" s="581"/>
      <c r="G1502" s="534"/>
      <c r="H1502" s="534"/>
      <c r="I1502" s="579"/>
      <c r="J1502" s="580" t="str">
        <f>IF(I1502="","",IF(I1502="I",$F1491,VLOOKUP(I1502,$C1512:$D1517,2,0)))</f>
        <v/>
      </c>
      <c r="K1502" s="535"/>
      <c r="L1502" s="535"/>
      <c r="M1502" s="537"/>
      <c r="N1502" s="43" t="str">
        <f t="shared" si="300"/>
        <v/>
      </c>
      <c r="O1502" s="260" t="str">
        <f t="shared" si="301"/>
        <v/>
      </c>
      <c r="P1502" s="781"/>
      <c r="Q1502" s="782"/>
      <c r="R1502" s="767"/>
      <c r="S1502" s="768"/>
      <c r="T1502" s="538"/>
      <c r="U1502" s="539"/>
      <c r="V1502" s="540"/>
      <c r="X1502" s="541"/>
      <c r="Y1502" s="541"/>
    </row>
    <row r="1503" spans="1:29" s="44" customFormat="1" ht="24.95" customHeight="1">
      <c r="A1503" s="42" t="str">
        <f>"I"&amp;E1491</f>
        <v>I50</v>
      </c>
      <c r="B1503" s="605" t="str">
        <f t="shared" si="299"/>
        <v/>
      </c>
      <c r="C1503" s="581"/>
      <c r="D1503" s="581"/>
      <c r="E1503" s="581"/>
      <c r="F1503" s="581"/>
      <c r="G1503" s="534"/>
      <c r="H1503" s="534"/>
      <c r="I1503" s="579"/>
      <c r="J1503" s="580" t="str">
        <f>IF(I1503="","",IF(I1503="I",$F1491,VLOOKUP(I1503,$C1512:$D1517,2,0)))</f>
        <v/>
      </c>
      <c r="K1503" s="535"/>
      <c r="L1503" s="535"/>
      <c r="M1503" s="537"/>
      <c r="N1503" s="43" t="str">
        <f t="shared" si="300"/>
        <v/>
      </c>
      <c r="O1503" s="260" t="str">
        <f t="shared" si="301"/>
        <v/>
      </c>
      <c r="P1503" s="781"/>
      <c r="Q1503" s="782"/>
      <c r="R1503" s="767"/>
      <c r="S1503" s="768"/>
      <c r="T1503" s="538"/>
      <c r="U1503" s="539"/>
      <c r="V1503" s="540"/>
      <c r="X1503" s="541"/>
      <c r="Y1503" s="541"/>
    </row>
    <row r="1504" spans="1:29" s="44" customFormat="1" ht="24.95" customHeight="1" thickBot="1">
      <c r="A1504" s="42" t="str">
        <f>"J"&amp;E1491</f>
        <v>J50</v>
      </c>
      <c r="B1504" s="612" t="str">
        <f t="shared" si="299"/>
        <v/>
      </c>
      <c r="C1504" s="582"/>
      <c r="D1504" s="582"/>
      <c r="E1504" s="582"/>
      <c r="F1504" s="582"/>
      <c r="G1504" s="583"/>
      <c r="H1504" s="583"/>
      <c r="I1504" s="584"/>
      <c r="J1504" s="585" t="str">
        <f>IF(I1504="","",IF(I1504="I",$F1491,VLOOKUP(I1504,$C1512:$D1517,2,0)))</f>
        <v/>
      </c>
      <c r="K1504" s="586"/>
      <c r="L1504" s="586"/>
      <c r="M1504" s="587"/>
      <c r="N1504" s="43" t="str">
        <f t="shared" si="300"/>
        <v/>
      </c>
      <c r="O1504" s="260" t="str">
        <f t="shared" si="301"/>
        <v/>
      </c>
      <c r="P1504" s="781"/>
      <c r="Q1504" s="782"/>
      <c r="R1504" s="767"/>
      <c r="S1504" s="768"/>
      <c r="T1504" s="538"/>
      <c r="U1504" s="539"/>
      <c r="V1504" s="540"/>
      <c r="X1504" s="541"/>
      <c r="Y1504" s="541"/>
    </row>
    <row r="1505" spans="1:29" s="27" customFormat="1" ht="12" customHeight="1" thickBot="1">
      <c r="A1505" s="42"/>
      <c r="B1505" s="45"/>
      <c r="C1505" s="46"/>
      <c r="D1505" s="46"/>
      <c r="E1505" s="46"/>
      <c r="F1505" s="46"/>
      <c r="G1505" s="46"/>
      <c r="H1505" s="606"/>
      <c r="I1505" s="46"/>
      <c r="J1505" s="46"/>
      <c r="K1505" s="46"/>
      <c r="L1505" s="46"/>
      <c r="M1505" s="46"/>
      <c r="N1505" s="46"/>
      <c r="O1505" s="259"/>
      <c r="P1505" s="46"/>
      <c r="Q1505" s="46"/>
      <c r="R1505" s="259"/>
      <c r="S1505" s="46"/>
      <c r="T1505" s="46"/>
      <c r="U1505" s="47"/>
      <c r="V1505" s="48"/>
      <c r="X1505" s="592"/>
      <c r="Y1505" s="593"/>
      <c r="AB1505" s="378"/>
    </row>
    <row r="1506" spans="1:29" s="27" customFormat="1" ht="17.25" customHeight="1" thickBot="1">
      <c r="A1506" s="42" t="str">
        <f>"Z"&amp;E1491</f>
        <v>Z50</v>
      </c>
      <c r="B1506" s="510"/>
      <c r="C1506" s="511"/>
      <c r="D1506" s="511"/>
      <c r="E1506" s="511"/>
      <c r="F1506" s="511"/>
      <c r="G1506" s="511"/>
      <c r="H1506" s="511"/>
      <c r="I1506" s="511"/>
      <c r="J1506" s="511"/>
      <c r="K1506" s="511"/>
      <c r="L1506" s="511"/>
      <c r="M1506" s="511"/>
      <c r="N1506" s="437" t="s">
        <v>388</v>
      </c>
      <c r="O1506" s="438">
        <f>IF(COUNTIF(O1495:O1504,"")&gt;9,0,SUM(O1495:O1504)/(COUNTIF(H1495:H1504,"SI")))</f>
        <v>456.55099999999999</v>
      </c>
      <c r="P1506" s="511"/>
      <c r="Q1506" s="511"/>
      <c r="R1506" s="530"/>
      <c r="S1506" s="530"/>
      <c r="T1506" s="531"/>
      <c r="U1506" s="532"/>
      <c r="V1506" s="533"/>
      <c r="W1506" s="285"/>
      <c r="X1506" s="613" t="e">
        <f>COUNTIF(#REF!,"")-COUNTIF(#REF!,"CUMPLE")-1</f>
        <v>#REF!</v>
      </c>
      <c r="Y1506" s="591"/>
      <c r="AB1506" s="28"/>
    </row>
    <row r="1507" spans="1:29" ht="17.25" customHeight="1">
      <c r="B1507" s="50"/>
      <c r="C1507" s="50"/>
      <c r="D1507" s="50"/>
      <c r="E1507" s="50"/>
      <c r="F1507" s="50"/>
      <c r="G1507" s="51"/>
      <c r="H1507" s="51"/>
      <c r="I1507" s="51"/>
      <c r="J1507" s="51"/>
      <c r="K1507" s="51"/>
      <c r="L1507" s="51"/>
      <c r="M1507" s="51"/>
      <c r="N1507" s="51"/>
      <c r="O1507" s="51"/>
      <c r="P1507" s="51"/>
      <c r="Q1507" s="51"/>
      <c r="R1507" s="51"/>
      <c r="S1507" s="51"/>
      <c r="T1507" s="51"/>
      <c r="U1507" s="51"/>
      <c r="V1507" s="51"/>
      <c r="W1507" s="51"/>
      <c r="X1507" s="608"/>
      <c r="Y1507" s="51"/>
      <c r="Z1507" s="51"/>
      <c r="AA1507" s="51"/>
      <c r="AB1507" s="51"/>
      <c r="AC1507" s="50"/>
    </row>
    <row r="1508" spans="1:29" s="27" customFormat="1" ht="16.5" customHeight="1" thickBot="1">
      <c r="A1508" s="22"/>
      <c r="B1508" s="783" t="s">
        <v>389</v>
      </c>
      <c r="C1508" s="783"/>
      <c r="D1508" s="783"/>
      <c r="E1508" s="783"/>
      <c r="F1508" s="783"/>
      <c r="G1508" s="783"/>
      <c r="H1508" s="783"/>
      <c r="I1508" s="783"/>
      <c r="J1508" s="783"/>
      <c r="K1508" s="783"/>
      <c r="L1508" s="783"/>
      <c r="M1508" s="783"/>
      <c r="N1508" s="783"/>
      <c r="O1508" s="783"/>
      <c r="P1508" s="783"/>
      <c r="Q1508" s="783"/>
      <c r="R1508" s="783"/>
      <c r="S1508" s="783"/>
      <c r="T1508" s="783"/>
      <c r="U1508" s="783"/>
      <c r="V1508" s="783"/>
      <c r="W1508" s="286"/>
      <c r="X1508" s="607"/>
      <c r="Y1508" s="52"/>
      <c r="Z1508" s="52"/>
      <c r="AA1508" s="52"/>
      <c r="AB1508" s="28"/>
      <c r="AC1508" s="28"/>
    </row>
    <row r="1509" spans="1:29" s="30" customFormat="1" ht="22.5" customHeight="1">
      <c r="A1509" s="112" t="str">
        <f>"K"&amp;E1491</f>
        <v>K50</v>
      </c>
      <c r="B1509" s="790" t="s">
        <v>390</v>
      </c>
      <c r="C1509" s="772" t="s">
        <v>391</v>
      </c>
      <c r="D1509" s="773"/>
      <c r="E1509" s="773"/>
      <c r="F1509" s="773"/>
      <c r="G1509" s="773"/>
      <c r="H1509" s="773"/>
      <c r="I1509" s="773"/>
      <c r="J1509" s="773"/>
      <c r="K1509" s="773"/>
      <c r="L1509" s="773"/>
      <c r="M1509" s="774"/>
      <c r="N1509" s="525"/>
      <c r="O1509" s="588"/>
      <c r="P1509" s="772" t="s">
        <v>392</v>
      </c>
      <c r="Q1509" s="773"/>
      <c r="R1509" s="773"/>
      <c r="S1509" s="774"/>
      <c r="T1509" s="784" t="s">
        <v>393</v>
      </c>
      <c r="U1509" s="774"/>
      <c r="V1509" s="811"/>
      <c r="W1509" s="284"/>
      <c r="X1509" s="778" t="s">
        <v>394</v>
      </c>
      <c r="Y1509" s="779"/>
      <c r="Z1509" s="779"/>
      <c r="AA1509" s="779" t="s">
        <v>395</v>
      </c>
      <c r="AB1509" s="808" t="s">
        <v>396</v>
      </c>
      <c r="AC1509" s="28"/>
    </row>
    <row r="1510" spans="1:29" s="30" customFormat="1" ht="22.5" customHeight="1">
      <c r="A1510" s="112" t="str">
        <f>"L"&amp;E1491</f>
        <v>L50</v>
      </c>
      <c r="B1510" s="791"/>
      <c r="C1510" s="769" t="s">
        <v>397</v>
      </c>
      <c r="D1510" s="770"/>
      <c r="E1510" s="771"/>
      <c r="F1510" s="512">
        <f>IF(VLOOKUP(E1491,PROPONENTES!$C$19:$E$108,3,0)="","",VLOOKUP(E1491,PROPONENTES!$C$19:$E$108,3,0))</f>
        <v>1</v>
      </c>
      <c r="G1510" s="824" t="s">
        <v>398</v>
      </c>
      <c r="H1510" s="793" t="s">
        <v>399</v>
      </c>
      <c r="I1510" s="793"/>
      <c r="J1510" s="769" t="s">
        <v>400</v>
      </c>
      <c r="K1510" s="823"/>
      <c r="L1510" s="513" t="s">
        <v>401</v>
      </c>
      <c r="M1510" s="513"/>
      <c r="N1510" s="526"/>
      <c r="O1510" s="527"/>
      <c r="P1510" s="775"/>
      <c r="Q1510" s="776"/>
      <c r="R1510" s="776"/>
      <c r="S1510" s="777"/>
      <c r="T1510" s="796"/>
      <c r="U1510" s="797"/>
      <c r="V1510" s="812"/>
      <c r="W1510" s="284"/>
      <c r="X1510" s="780" t="s">
        <v>402</v>
      </c>
      <c r="Y1510" s="810" t="s">
        <v>403</v>
      </c>
      <c r="Z1510" s="810"/>
      <c r="AA1510" s="810"/>
      <c r="AB1510" s="809"/>
      <c r="AC1510" s="28"/>
    </row>
    <row r="1511" spans="1:29" s="30" customFormat="1" ht="51.75" customHeight="1" thickBot="1">
      <c r="A1511" s="112" t="str">
        <f>"M"&amp;E1491</f>
        <v>M50</v>
      </c>
      <c r="B1511" s="791"/>
      <c r="C1511" s="770" t="s">
        <v>404</v>
      </c>
      <c r="D1511" s="771"/>
      <c r="E1511" s="514" t="s">
        <v>405</v>
      </c>
      <c r="F1511" s="515" t="s">
        <v>406</v>
      </c>
      <c r="G1511" s="824"/>
      <c r="H1511" s="793"/>
      <c r="I1511" s="793"/>
      <c r="J1511" s="504" t="s">
        <v>407</v>
      </c>
      <c r="K1511" s="516" t="s">
        <v>408</v>
      </c>
      <c r="L1511" s="517" t="s">
        <v>409</v>
      </c>
      <c r="M1511" s="517"/>
      <c r="N1511" s="528" t="s">
        <v>410</v>
      </c>
      <c r="O1511" s="529"/>
      <c r="P1511" s="386"/>
      <c r="Q1511" s="387" t="s">
        <v>411</v>
      </c>
      <c r="R1511" s="388"/>
      <c r="S1511" s="113">
        <f>COUNTIFS(H1495:H1504,"SI",O1495:O1504,"&gt;0")</f>
        <v>2</v>
      </c>
      <c r="T1511" s="785"/>
      <c r="U1511" s="787"/>
      <c r="V1511" s="813"/>
      <c r="W1511" s="284"/>
      <c r="X1511" s="780"/>
      <c r="Y1511" s="810"/>
      <c r="Z1511" s="810"/>
      <c r="AA1511" s="810"/>
      <c r="AB1511" s="809"/>
      <c r="AC1511" s="28"/>
    </row>
    <row r="1512" spans="1:29" s="30" customFormat="1" ht="15.75" customHeight="1">
      <c r="A1512" s="112" t="str">
        <f>"N"&amp;E1491</f>
        <v>N50</v>
      </c>
      <c r="B1512" s="791"/>
      <c r="C1512" s="54">
        <v>1</v>
      </c>
      <c r="D1512" s="100" t="str">
        <f>IF(AND(C1512&lt;=F1510,F1510&gt;1,F1510&lt;&gt;""),VLOOKUP(VALUE(E1491&amp;","&amp;C1512),INTEGRANTES!$D$19:$F$192,2,0),"")</f>
        <v/>
      </c>
      <c r="E1512" s="107" t="str">
        <f>IF(D1512&lt;&gt;"",VLOOKUP(VALUE(E1491&amp;","&amp;C1512),INTEGRANTES!$D$19:$F$192,3,0),"")</f>
        <v/>
      </c>
      <c r="F1512" s="380" t="str">
        <f>IF(D1512="","",IF(OR(SUMIF($J1495:$J1504,D1512,$O1495:$O1504)=0,N1512="NO"),"NO APORTA",SUMIF($J1495:$J1504,D1512,$O1495:$O1504)))</f>
        <v/>
      </c>
      <c r="G1512" s="380" t="str">
        <f>IF($D1512="","",IF($F1510&lt;=1,"",ROUND(POSMMLV*PORPO,2)))</f>
        <v/>
      </c>
      <c r="H1512" s="765" t="str">
        <f>IF($D1512="","",IF(OR(F1512="NO APORTA",G1512&gt;F1512),"NO CUMPLE","CUMPLE"))</f>
        <v/>
      </c>
      <c r="I1512" s="766"/>
      <c r="J1512" s="108" t="str">
        <f>IF(D1512="","",IF(OR(AND(SUMIF($J1495:$J1504,D1512,$O1495:$O1504)&gt;=5%*POSMMLV,N1512="SI"),AND(SUMIF($J1495:$J1504,D1512,$O1495:$O1504)=0,E1512&lt;=5%,N1512="SI")),"CUMPLE","NO CUMPLE"))</f>
        <v/>
      </c>
      <c r="K1512" s="643" t="str">
        <f>IF(OR(D1512="",J1512=""),"",IF(AND(J1512="NO CUMPLE",F1512="NO APORTA",E1512&gt;5%),"EXP = 0 y PART &gt; 5%",IF(F1512&lt;5%*Q1517,"EXP &lt; 5%*PO","")))</f>
        <v/>
      </c>
      <c r="L1512" s="389" t="str">
        <f>IF(OR(D1512="",E1512=""),"",IF(AND(E1512&gt;=0.05,F1512&lt;&gt;"NO APORTA",F1512&gt;=$R1517*0.25),"SI","NO"))</f>
        <v/>
      </c>
      <c r="M1512" s="389"/>
      <c r="N1512" s="468" t="s">
        <v>385</v>
      </c>
      <c r="O1512" s="396">
        <f>COUNTIFS(O1495:O1504,"&gt;0",H1495:H1504,"SI")</f>
        <v>2</v>
      </c>
      <c r="P1512" s="814" t="s">
        <v>139</v>
      </c>
      <c r="Q1512" s="814"/>
      <c r="R1512" s="817">
        <f>E1491</f>
        <v>50</v>
      </c>
      <c r="S1512" s="818"/>
      <c r="T1512" s="784" t="s">
        <v>412</v>
      </c>
      <c r="U1512" s="773"/>
      <c r="V1512" s="774"/>
      <c r="W1512" s="283"/>
      <c r="X1512" s="542" t="str">
        <f>IF($F1510=1,"NO APLICA",$D1512)</f>
        <v>NO APLICA</v>
      </c>
      <c r="Y1512" s="543" t="str">
        <f>IF(OR($F1512="",$F1512="NO APORTA",$R1517=0,$X1512="NO APLICA"),"",ROUND($F1512/$Q1517,2))</f>
        <v/>
      </c>
      <c r="Z1512" s="544" t="str">
        <f>IF(Y1518=1,"SI APLICA",IF(OR($X1512="",$X1512="NO APLICA",$F1512="",$F1512="NO APORTA"),"",IF(ROUND($F1512/Q1517,7)&gt;=0.4,"SI APLICA","NO APLICA")))</f>
        <v>SI APLICA</v>
      </c>
      <c r="AA1512" s="543" t="s">
        <v>413</v>
      </c>
      <c r="AB1512" s="540" t="str">
        <f>IF(COUNTIF(Z1512:AA1512,"SI APLICA")=2,"SI APLICA","")</f>
        <v>SI APLICA</v>
      </c>
      <c r="AC1512" s="28"/>
    </row>
    <row r="1513" spans="1:29" s="30" customFormat="1" ht="15.75" customHeight="1" thickBot="1">
      <c r="A1513" s="112" t="str">
        <f>"O"&amp;E1491</f>
        <v>O50</v>
      </c>
      <c r="B1513" s="791"/>
      <c r="C1513" s="54">
        <v>2</v>
      </c>
      <c r="D1513" s="100" t="str">
        <f>IF(AND(C1513&lt;=F1510,F1510&lt;&gt;""),VLOOKUP(VALUE(E1491&amp;","&amp;C1513),INTEGRANTES!$D$19:$F$192,2,0),"")</f>
        <v/>
      </c>
      <c r="E1513" s="107" t="str">
        <f>IF(D1513&lt;&gt;"",VLOOKUP(VALUE(E1491&amp;","&amp;C1513),INTEGRANTES!$D$19:$F$192,3,0),"")</f>
        <v/>
      </c>
      <c r="F1513" s="380" t="str">
        <f>IF(D1513="","",IF(OR(SUMIF($J1498:$J1504,D1513,$O1498:$O1504)=0,N1513="NO"),"NO APORTA",SUMIF($J1498:$J1504,D1513,$O1498:$O1504)))</f>
        <v/>
      </c>
      <c r="G1513" s="380" t="str">
        <f>IF($D1513="","",IF($F1510&lt;=1,"",ROUND(POSMMLV*PORPO,2)))</f>
        <v/>
      </c>
      <c r="H1513" s="765" t="str">
        <f t="shared" ref="H1513:H1516" si="302">IF($D1513="","",IF(OR(F1513="NO APORTA",G1513&gt;F1513),"NO CUMPLE","CUMPLE"))</f>
        <v/>
      </c>
      <c r="I1513" s="766"/>
      <c r="J1513" s="108" t="str">
        <f>IF(D1513="","",IF(OR(AND(SUMIF($J1495:$J1504,D1513,$O1495:$O1504)&gt;=5%*POSMMLV,N1513="SI"),AND(SUMIF($J1495:$J1504,D1513,$O1495:$O1504)=0,E1513&lt;=5%,N1513="SI")),"CUMPLE","NO CUMPLE"))</f>
        <v/>
      </c>
      <c r="K1513" s="105" t="str">
        <f>IF(OR(D1513="",J1513=""),"",IF(AND(J1513="NO CUMPLE",F1513="NO APORTA",E1513&gt;5%),"EXP = 0 y PART &gt; 5%",IF(F1513&lt;5%*Q1517,"EXP &lt; 5%*PO","")))</f>
        <v/>
      </c>
      <c r="L1513" s="389" t="str">
        <f>IF(OR(D1513="",E1513=""),"",IF(AND(E1513&gt;=0.25,F1513&lt;&gt;"NO APORTA",F1513&gt;=$R1517*0.25),"SI","NO"))</f>
        <v/>
      </c>
      <c r="M1513" s="389"/>
      <c r="N1513" s="468" t="s">
        <v>385</v>
      </c>
      <c r="O1513" s="396"/>
      <c r="P1513" s="815"/>
      <c r="Q1513" s="815"/>
      <c r="R1513" s="815"/>
      <c r="S1513" s="819"/>
      <c r="T1513" s="785"/>
      <c r="U1513" s="786"/>
      <c r="V1513" s="787"/>
      <c r="W1513" s="283"/>
      <c r="X1513" s="542" t="str">
        <f>IF($F1510=1,"NO APLICA",$D1513)</f>
        <v>NO APLICA</v>
      </c>
      <c r="Y1513" s="543" t="str">
        <f>IF(OR($F1513="",$F1513="NO APORTA",$R1517=0,$X1513="NO APLICA"),"",ROUND($F1513/$Q1517,2))</f>
        <v/>
      </c>
      <c r="Z1513" s="544"/>
      <c r="AA1513" s="543"/>
      <c r="AB1513" s="540" t="str">
        <f t="shared" ref="AB1513" si="303">IF(COUNTIF(Z1513:AA1513,"SI APLICA")=2,"SI APLICA","")</f>
        <v/>
      </c>
      <c r="AC1513" s="28"/>
    </row>
    <row r="1514" spans="1:29" s="30" customFormat="1" ht="15.75" customHeight="1">
      <c r="A1514" s="112" t="str">
        <f>"P"&amp;E1491</f>
        <v>P50</v>
      </c>
      <c r="B1514" s="791"/>
      <c r="C1514" s="54">
        <v>3</v>
      </c>
      <c r="D1514" s="100" t="str">
        <f>IF(AND(C1514&lt;=F1510,F1510&lt;&gt;""),VLOOKUP(VALUE(E1491&amp;","&amp;C1514),INTEGRANTES!$D$19:$F$192,2,0),"")</f>
        <v/>
      </c>
      <c r="E1514" s="107" t="str">
        <f>IF(D1514&lt;&gt;"",VLOOKUP(VALUE(E1491&amp;","&amp;C1514),INTEGRANTES!$D$19:$F$192,3,0),"")</f>
        <v/>
      </c>
      <c r="F1514" s="380" t="str">
        <f>IF(D1514="","",IF(OR(SUMIF($J1498:$J1504,D1514,$O1498:$O1504)=0,N1514="NO"),"NO APORTA",SUMIF($J1498:$J1504,D1514,$O1498:$O1504)))</f>
        <v/>
      </c>
      <c r="G1514" s="380" t="str">
        <f>IF($D1514="","",IF($F1510&lt;=1,"",ROUND(POSMMLV*PORPO,2)))</f>
        <v/>
      </c>
      <c r="H1514" s="765" t="str">
        <f t="shared" si="302"/>
        <v/>
      </c>
      <c r="I1514" s="766"/>
      <c r="J1514" s="108" t="str">
        <f>IF(D1514="","",IF(OR(AND(SUMIF($J1495:$J1504,D1514,$O1495:$O1504)&gt;=5%*POSMMLV,N1514="SI"),AND(SUMIF($J1495:$J1504,D1514,$O1495:$O1504)=0,E1514&lt;=5%,N1514="SI")),"CUMPLE","NO CUMPLE"))</f>
        <v/>
      </c>
      <c r="K1514" s="105" t="str">
        <f>IF(OR(D1514="",J1514=""),"",IF(AND(J1514="NO CUMPLE",F1514="NO APORTA",E1514&gt;5%),"EXP = 0 y PART &gt; 5%",IF(F1514&lt;5%*Q1517,"EXP &lt; 5%*PO","")))</f>
        <v/>
      </c>
      <c r="L1514" s="389" t="str">
        <f>IF(OR(D1514="",E1514=""),"",IF(AND(E1514&gt;=0.25,F1514&lt;&gt;"NO APORTA",F1514&gt;=$R1517*0.25),"SI","NO"))</f>
        <v/>
      </c>
      <c r="M1514" s="389"/>
      <c r="N1514" s="468"/>
      <c r="O1514" s="397"/>
      <c r="P1514" s="816"/>
      <c r="Q1514" s="816"/>
      <c r="R1514" s="816"/>
      <c r="S1514" s="820"/>
      <c r="T1514" s="308"/>
      <c r="U1514" s="308"/>
      <c r="V1514" s="309"/>
      <c r="W1514" s="284"/>
      <c r="X1514" s="542" t="str">
        <f>IF($F1510=1,"NO APLICA",$D1514)</f>
        <v>NO APLICA</v>
      </c>
      <c r="Y1514" s="543" t="str">
        <f>IF(OR($F1514="",$F1514="NO APORTA",$R1517=0,$X1514="NO APLICA"),"",ROUND($F1514/$Q1517,2))</f>
        <v/>
      </c>
      <c r="Z1514" s="544"/>
      <c r="AA1514" s="543"/>
      <c r="AB1514" s="540" t="str">
        <f>IF(COUNTIF(Z1514:AA1514,"SI APLICA")=2,"SI APLICA","")</f>
        <v/>
      </c>
      <c r="AC1514" s="28"/>
    </row>
    <row r="1515" spans="1:29" s="30" customFormat="1" ht="15.75" customHeight="1">
      <c r="A1515" s="112" t="str">
        <f>"Q"&amp;E1491</f>
        <v>Q50</v>
      </c>
      <c r="B1515" s="791"/>
      <c r="C1515" s="54">
        <v>4</v>
      </c>
      <c r="D1515" s="100" t="str">
        <f>IF(AND(C1515&lt;=F1510,F1510&lt;&gt;""),VLOOKUP(VALUE(E1491&amp;","&amp;C1515),INTEGRANTES!$D$19:$F$192,2,0),"")</f>
        <v/>
      </c>
      <c r="E1515" s="107" t="str">
        <f>IF(D1515&lt;&gt;"",VLOOKUP(VALUE(E1491&amp;","&amp;C1515),INTEGRANTES!$D$19:$F$192,3,0),"")</f>
        <v/>
      </c>
      <c r="F1515" s="380" t="str">
        <f>IF(D1515="","",IF(OR(SUMIF($J1498:$J1504,D1515,$O1498:$O1504)=0,N1515="NO"),"NO APORTA",SUMIF($J1498:$J1504,D1515,$O1498:$O1504)))</f>
        <v/>
      </c>
      <c r="G1515" s="380" t="str">
        <f>IF($D1515="","",IF($F1510&lt;=1,"",ROUND(POSMMLV*PORPO,2)))</f>
        <v/>
      </c>
      <c r="H1515" s="765" t="str">
        <f t="shared" si="302"/>
        <v/>
      </c>
      <c r="I1515" s="766"/>
      <c r="J1515" s="108" t="str">
        <f>IF(D1515="","",IF(OR(AND(SUMIF($J1495:$J1504,D1515,$O1495:$O1504)&gt;=5%*POSMMLV,N1515="SI"),AND(SUMIF($J1495:$J1504,D1515,$O1495:$O1504)=0,E1515&lt;=5%,N1515="SI")),"CUMPLE","NO CUMPLE"))</f>
        <v/>
      </c>
      <c r="K1515" s="105" t="str">
        <f>IF(OR(D1515="",J1515=""),"",IF(AND(J1515="NO CUMPLE",F1515="NO APORTA",E1515&gt;5%),"EXP = 0 y PART &gt; 5%",IF(F1515&lt;5%*Q1517,"EXP &lt; 5%*PO","")))</f>
        <v/>
      </c>
      <c r="L1515" s="389" t="str">
        <f>IF(OR(D1515="",E1515=""),"",IF(AND(E1515&gt;=0.25,F1515&lt;&gt;"NO APORTA",F1515&gt;=$R1517*0.25),"SI","NO"))</f>
        <v/>
      </c>
      <c r="M1515" s="389"/>
      <c r="N1515" s="468"/>
      <c r="O1515" s="788" t="s">
        <v>414</v>
      </c>
      <c r="P1515" s="769" t="s">
        <v>415</v>
      </c>
      <c r="Q1515" s="770"/>
      <c r="R1515" s="770"/>
      <c r="S1515" s="771"/>
      <c r="T1515" s="284"/>
      <c r="U1515" s="284"/>
      <c r="V1515" s="310"/>
      <c r="W1515" s="284"/>
      <c r="X1515" s="542" t="str">
        <f>IF($F1510=1,"NO APLICA",$D1515)</f>
        <v>NO APLICA</v>
      </c>
      <c r="Y1515" s="543" t="str">
        <f>IF(OR($F1515="",$F1515="NO APORTA",$R1517=0,$X1515="NO APLICA"),"",ROUND($F1515/$Q1517,2))</f>
        <v/>
      </c>
      <c r="Z1515" s="544"/>
      <c r="AA1515" s="543"/>
      <c r="AB1515" s="540" t="str">
        <f t="shared" ref="AB1515:AB1516" si="304">IF(COUNTIF(Z1515:AA1515,"SI APLICA")=2,"SI APLICA","")</f>
        <v/>
      </c>
      <c r="AC1515" s="28"/>
    </row>
    <row r="1516" spans="1:29" s="30" customFormat="1" ht="17.25" customHeight="1">
      <c r="A1516" s="112" t="str">
        <f>"R"&amp;E1491</f>
        <v>R50</v>
      </c>
      <c r="B1516" s="791"/>
      <c r="C1516" s="54">
        <v>5</v>
      </c>
      <c r="D1516" s="100" t="str">
        <f>IF(AND(C1516&lt;=F1510,F1510&lt;&gt;""),VLOOKUP(VALUE(E1491&amp;","&amp;C1516),INTEGRANTES!$D$19:$F$192,2,0),"")</f>
        <v/>
      </c>
      <c r="E1516" s="107" t="str">
        <f>IF(D1516&lt;&gt;"",VLOOKUP(VALUE(E1491&amp;","&amp;C1516),INTEGRANTES!$D$19:$F$192,3,0),"")</f>
        <v/>
      </c>
      <c r="F1516" s="380" t="str">
        <f>IF(D1516="","",IF(OR(SUMIF($J1498:$J1504,D1516,$O1498:$O1504)=0,N1516="NO"),"NO APORTA",SUMIF($J1498:$J1504,D1516,$O1498:$O1504)))</f>
        <v/>
      </c>
      <c r="G1516" s="380" t="str">
        <f>IF($D1516="","",IF($F1510&lt;=1,"",ROUND(POSMMLV*PORPO,2)))</f>
        <v/>
      </c>
      <c r="H1516" s="765" t="str">
        <f t="shared" si="302"/>
        <v/>
      </c>
      <c r="I1516" s="766"/>
      <c r="J1516" s="108" t="str">
        <f>IF(D1516="","",IF(OR(AND(SUMIF($J1495:$J1504,D1516,$O1495:$O1504)&gt;=5%*POSMMLV,N1516="SI"),AND(SUMIF($J1495:$J1504,D1516,$O1495:$O1504)=0,E1516&lt;=5%,N1516="SI")),"CUMPLE","NO CUMPLE"))</f>
        <v/>
      </c>
      <c r="K1516" s="105" t="str">
        <f>IF(OR(D1516="",J1516=""),"",IF(AND(J1516="NO CUMPLE",F1516="NO APORTA",E1516&gt;5%),"EXP = 0 y PART &gt; 5%",IF(F1516&lt;5%*Q1517,"EXP &lt; 5%*PO","")))</f>
        <v/>
      </c>
      <c r="L1516" s="389" t="str">
        <f>IF(OR(D1516="",E1516=""),"",IF(AND(E1516&gt;=0.25,F1516&lt;&gt;"NO APORTA",F1516&gt;=$R1517*0.25),"SI","NO"))</f>
        <v/>
      </c>
      <c r="M1516" s="389"/>
      <c r="N1516" s="468"/>
      <c r="O1516" s="789"/>
      <c r="P1516" s="504" t="s">
        <v>416</v>
      </c>
      <c r="Q1516" s="504" t="s">
        <v>417</v>
      </c>
      <c r="R1516" s="793" t="s">
        <v>418</v>
      </c>
      <c r="S1516" s="793"/>
      <c r="T1516" s="284"/>
      <c r="U1516" s="284"/>
      <c r="V1516" s="310"/>
      <c r="W1516" s="284"/>
      <c r="X1516" s="542" t="str">
        <f>IF($F1510=1,"NO APLICA",$D1516)</f>
        <v>NO APLICA</v>
      </c>
      <c r="Y1516" s="543" t="str">
        <f>IF(OR($F1516="",$F1516="NO APORTA",$R1517=0,$X1516="NO APLICA"),"",ROUND($F1516/$Q1517,2))</f>
        <v/>
      </c>
      <c r="Z1516" s="544"/>
      <c r="AA1516" s="543"/>
      <c r="AB1516" s="540" t="str">
        <f t="shared" si="304"/>
        <v/>
      </c>
      <c r="AC1516" s="28"/>
    </row>
    <row r="1517" spans="1:29" s="30" customFormat="1" ht="16.5" customHeight="1" thickBot="1">
      <c r="A1517" s="112" t="str">
        <f>"S"&amp;E1491</f>
        <v>S50</v>
      </c>
      <c r="B1517" s="791"/>
      <c r="C1517" s="109">
        <v>6</v>
      </c>
      <c r="D1517" s="110" t="str">
        <f>IF(AND(C1517&lt;=F1510,F1510&lt;&gt;""),VLOOKUP(VALUE(E1491&amp;","&amp;C1517),INTEGRANTES!$D$19:$F$192,2,0),"")</f>
        <v/>
      </c>
      <c r="E1517" s="111" t="str">
        <f>IF(D1517&lt;&gt;"",VLOOKUP(VALUE(E1491&amp;","&amp;C1517),INTEGRANTES!$D$19:$F$192,3,0),"")</f>
        <v/>
      </c>
      <c r="F1517" s="380" t="str">
        <f>IF(D1517="","",IF(OR(SUMIF($J1498:$J1504,D1517,$O1498:$O1504)=0,N1517="NO"),"NO APORTA",SUMIF($J1498:$J1504,D1517,$O1498:$O1504)))</f>
        <v/>
      </c>
      <c r="G1517" s="380" t="str">
        <f>IF($D1517="","",IF($F1510&lt;=1,"",ROUND(POSMMLV*PORPO,2)))</f>
        <v/>
      </c>
      <c r="H1517" s="765" t="str">
        <f>IF($D1517="","",IF(OR(F1517="NO APORTA",G1517&gt;F1517),"NO CUMPLE","CUMPLE"))</f>
        <v/>
      </c>
      <c r="I1517" s="766"/>
      <c r="J1517" s="108" t="str">
        <f>IF(D1517="","",IF(OR(AND(SUMIF($J1495:$J1504,D1517,$O1495:$O1504)&gt;=5%*POSMMLV,N1517="SI"),AND(SUMIF($J1495:$J1504,D1517,$O1495:$O1504)=0,E1517&lt;=5%,N1517="SI")),"CUMPLE","NO CUMPLE"))</f>
        <v/>
      </c>
      <c r="K1517" s="105" t="str">
        <f>IF(OR(D1517="",J1517=""),"",IF(AND(J1517="NO CUMPLE",F1517="NO APORTA",E1517&gt;5%),"EXP = 0 y PART &gt; 5%",IF(F1517&lt;5%*Q1517,"EXP &lt; 5%*PO","")))</f>
        <v/>
      </c>
      <c r="L1517" s="389" t="str">
        <f>IF(OR(D1517="",E1517=""),"",IF(AND(E1517&gt;=0.25,F1517&lt;&gt;"NO APORTA",F1517&gt;=$R1517*0.25),"SI","NO"))</f>
        <v/>
      </c>
      <c r="M1517" s="389"/>
      <c r="N1517" s="468"/>
      <c r="O1517" s="627" t="str">
        <f ca="1">IF(R1517&gt;=Q1517,"CUMPLE","NO CUMPLE")</f>
        <v>CUMPLE</v>
      </c>
      <c r="P1517" s="312">
        <f>NUMMOD</f>
        <v>1</v>
      </c>
      <c r="Q1517" s="313">
        <f ca="1">IF(P1517="","",ROUND(VLOOKUP(P1517,PRESUPUESTOS!$B$16:$L$16,9,FALSE),7))</f>
        <v>300</v>
      </c>
      <c r="R1517" s="834">
        <f>IF(OR(COUNTIF(O1495:O1504,"")&gt;9,S1511&lt;NUMMINCONT),0,SUM(O1495:O1504))</f>
        <v>913.10199999999998</v>
      </c>
      <c r="S1517" s="834"/>
      <c r="T1517" s="284"/>
      <c r="U1517" s="284"/>
      <c r="V1517" s="310"/>
      <c r="W1517" s="284"/>
      <c r="X1517" s="545" t="str">
        <f>IF($F1510=1,"NO APLICA",$D1517)</f>
        <v>NO APLICA</v>
      </c>
      <c r="Y1517" s="543" t="str">
        <f>IF(OR($F1517="",$F1517="NO APORTA",$R1517=0,$X1517="NO APLICA"),"",ROUND($F1517/$Q1517,2))</f>
        <v/>
      </c>
      <c r="Z1517" s="544"/>
      <c r="AA1517" s="546"/>
      <c r="AB1517" s="540" t="str">
        <f>IF(COUNTIF(Z1517:AA1517,"SI APLICA")=2,"SI APLICA","")</f>
        <v/>
      </c>
      <c r="AC1517" s="28"/>
    </row>
    <row r="1518" spans="1:29" s="30" customFormat="1" ht="16.5" customHeight="1" thickBot="1">
      <c r="A1518" s="112" t="str">
        <f>"T"&amp;E1491</f>
        <v>T50</v>
      </c>
      <c r="B1518" s="792"/>
      <c r="C1518" s="821" t="s">
        <v>419</v>
      </c>
      <c r="D1518" s="822"/>
      <c r="E1518" s="822"/>
      <c r="F1518" s="518"/>
      <c r="G1518" s="519"/>
      <c r="H1518" s="794" t="str">
        <f>IF(OR($F1510="",SUM(E1512:E1517)=0),"",IF(COUNTIF(H1512:H1517,"CUMPLE")&gt;=1,"CUMPLE","NO CUMPLE"))</f>
        <v/>
      </c>
      <c r="I1518" s="795"/>
      <c r="J1518" s="314" t="str">
        <f>IF(COUNTIF(J1512:J1517,"")&gt;5,"",IF(COUNTIF(J1512:J1517,"NO CUMPLE")&gt;0,"NO CUMPLE","CUMPLE"))</f>
        <v/>
      </c>
      <c r="K1518" s="314" t="str">
        <f>IF(OR(AND(F1510=1,N1512="SI"),AND(COUNTIF(H1518:J1518,"CUMPLE")=2)),"CUMPLE","NO CUMPLE")</f>
        <v>CUMPLE</v>
      </c>
      <c r="L1518" s="519"/>
      <c r="M1518" s="519"/>
      <c r="N1518" s="519"/>
      <c r="O1518" s="833" t="str">
        <f ca="1">IF(ISNUMBER(F1491),"",IF(AND(O1517="NO CUMPLE",SUM(N1498:N1504)&lt;Q1517),"EL PROPONENTE SE DEBE REQUERIR POR EXPERIENCIA MINIMA EXIGIDA",""))</f>
        <v/>
      </c>
      <c r="P1518" s="833"/>
      <c r="Q1518" s="833"/>
      <c r="R1518" s="833"/>
      <c r="S1518" s="833"/>
      <c r="T1518" s="522"/>
      <c r="U1518" s="523"/>
      <c r="V1518" s="524"/>
      <c r="W1518" s="284"/>
      <c r="X1518" s="364" t="str">
        <f>IF(Y1518=1,"PROPONENTE INDIVIDUAL","PROPONENTE PLURAL")</f>
        <v>PROPONENTE INDIVIDUAL</v>
      </c>
      <c r="Y1518" s="276">
        <f>F1510</f>
        <v>1</v>
      </c>
      <c r="Z1518" s="277" t="str">
        <f>IF(OR(AND(Z1512="SI APLICA",AA1512="SI APLICA"),AND(Z1513="SI APLICA",AA1513="SI APLICA"),AND(Z1514="SI APLICA",AA1514="SI APLICA"),AND(Z1515="SI APLICA",AA1515="SI APLICA"),AND(Z1516="SI APLICA",AA1516="SI APLICA"),AND(Z1517="SI APLICA",AA1517="SI APLICA")),"SI APLICA","NO APLICA")</f>
        <v>SI APLICA</v>
      </c>
      <c r="AA1518" s="278" t="str">
        <f>IF(OR(AND(AA1512="SI APLICA",AB1512="SI APLICA"),AND(AA1513="SI APLICA",AB1513="SI APLICA"),AND(AA1514="SI APLICA",AB1514="SI APLICA"),AND(AA1515="SI APLICA",AB1515="SI APLICA"),AND(AA1516="SI APLICA",AB1516="SI APLICA"),AND(AA1517="SI APLICA",AB1517="SI APLICA")),"SI APLICA","NO APLICA")</f>
        <v>SI APLICA</v>
      </c>
      <c r="AB1518" s="278" t="str">
        <f>IF(COUNTIF(AB1512:AB1517,"SI APLICA")&gt;0,"SI APLICA","NO APLICA")</f>
        <v>SI APLICA</v>
      </c>
      <c r="AC1518" s="28"/>
    </row>
    <row r="1519" spans="1:29" ht="24.95" customHeight="1"/>
    <row r="1520" spans="1:29" ht="24.95" customHeight="1"/>
    <row r="1521" spans="1:29" s="41" customFormat="1" ht="24" thickBot="1">
      <c r="A1521" s="34">
        <v>51</v>
      </c>
      <c r="B1521" s="828" t="s">
        <v>355</v>
      </c>
      <c r="C1521" s="828"/>
      <c r="D1521" s="828"/>
      <c r="E1521" s="35">
        <f>VLOOKUP(A1521,PROPONENTES!$B$19:$E$108,2,FALSE)</f>
        <v>51</v>
      </c>
      <c r="F1521" s="36" t="str">
        <f>VLOOKUP(A1521,PROPONENTES!$B$19:$E$108,3,FALSE)</f>
        <v>DAM SOLUCIONES E INGENIERIA SAS</v>
      </c>
      <c r="G1521" s="37"/>
      <c r="H1521" s="37"/>
      <c r="I1521" s="36"/>
      <c r="J1521" s="36"/>
      <c r="K1521" s="36"/>
      <c r="L1521" s="36"/>
      <c r="M1521" s="38"/>
      <c r="N1521" s="38"/>
      <c r="O1521" s="37"/>
      <c r="P1521" s="37"/>
      <c r="Q1521" s="39"/>
      <c r="R1521" s="39"/>
      <c r="S1521" s="39"/>
      <c r="T1521" s="39"/>
      <c r="U1521" s="40"/>
      <c r="Y1521" s="52"/>
      <c r="Z1521" s="52"/>
      <c r="AA1521" s="52"/>
      <c r="AB1521" s="28"/>
      <c r="AC1521" s="28"/>
    </row>
    <row r="1522" spans="1:29" s="27" customFormat="1" ht="24.75" customHeight="1">
      <c r="A1522" s="22"/>
      <c r="B1522" s="829" t="s">
        <v>356</v>
      </c>
      <c r="C1522" s="501" t="s">
        <v>357</v>
      </c>
      <c r="D1522" s="502" t="s">
        <v>358</v>
      </c>
      <c r="E1522" s="502"/>
      <c r="F1522" s="502" t="s">
        <v>359</v>
      </c>
      <c r="G1522" s="503"/>
      <c r="H1522" s="803" t="s">
        <v>360</v>
      </c>
      <c r="I1522" s="831" t="s">
        <v>361</v>
      </c>
      <c r="J1522" s="803" t="s">
        <v>362</v>
      </c>
      <c r="K1522" s="803" t="s">
        <v>363</v>
      </c>
      <c r="L1522" s="803" t="s">
        <v>364</v>
      </c>
      <c r="M1522" s="803" t="s">
        <v>365</v>
      </c>
      <c r="N1522" s="804" t="s">
        <v>366</v>
      </c>
      <c r="O1522" s="805"/>
      <c r="P1522" s="806" t="s">
        <v>367</v>
      </c>
      <c r="Q1522" s="807"/>
      <c r="R1522" s="784" t="s">
        <v>368</v>
      </c>
      <c r="S1522" s="774"/>
      <c r="T1522" s="798" t="s">
        <v>369</v>
      </c>
      <c r="U1522" s="799"/>
      <c r="V1522" s="800"/>
      <c r="X1522" s="520"/>
      <c r="Y1522" s="520"/>
    </row>
    <row r="1523" spans="1:29" s="27" customFormat="1" ht="94.5" customHeight="1">
      <c r="A1523" s="22"/>
      <c r="B1523" s="830"/>
      <c r="C1523" s="504" t="s">
        <v>370</v>
      </c>
      <c r="D1523" s="505" t="s">
        <v>41</v>
      </c>
      <c r="E1523" s="505" t="s">
        <v>371</v>
      </c>
      <c r="F1523" s="505" t="s">
        <v>372</v>
      </c>
      <c r="G1523" s="506" t="s">
        <v>373</v>
      </c>
      <c r="H1523" s="793"/>
      <c r="I1523" s="832"/>
      <c r="J1523" s="793"/>
      <c r="K1523" s="793"/>
      <c r="L1523" s="793"/>
      <c r="M1523" s="793"/>
      <c r="N1523" s="504" t="s">
        <v>374</v>
      </c>
      <c r="O1523" s="505" t="s">
        <v>375</v>
      </c>
      <c r="P1523" s="801"/>
      <c r="Q1523" s="802"/>
      <c r="R1523" s="796"/>
      <c r="S1523" s="797"/>
      <c r="T1523" s="507" t="s">
        <v>376</v>
      </c>
      <c r="U1523" s="508" t="s">
        <v>377</v>
      </c>
      <c r="V1523" s="509" t="s">
        <v>378</v>
      </c>
      <c r="X1523" s="521" t="s">
        <v>379</v>
      </c>
      <c r="Y1523" s="521" t="s">
        <v>380</v>
      </c>
    </row>
    <row r="1524" spans="1:29" s="27" customFormat="1" ht="15" customHeight="1">
      <c r="A1524" s="22"/>
      <c r="B1524" s="594"/>
      <c r="C1524" s="595">
        <v>3</v>
      </c>
      <c r="D1524" s="595">
        <v>4</v>
      </c>
      <c r="E1524" s="595">
        <v>5</v>
      </c>
      <c r="F1524" s="595">
        <v>6</v>
      </c>
      <c r="G1524" s="595">
        <v>7</v>
      </c>
      <c r="H1524" s="595">
        <v>8</v>
      </c>
      <c r="I1524" s="595">
        <v>9</v>
      </c>
      <c r="J1524" s="595">
        <v>10</v>
      </c>
      <c r="K1524" s="595">
        <v>11</v>
      </c>
      <c r="L1524" s="595">
        <v>12</v>
      </c>
      <c r="M1524" s="595">
        <v>13</v>
      </c>
      <c r="N1524" s="595">
        <v>14</v>
      </c>
      <c r="O1524" s="595">
        <v>15</v>
      </c>
      <c r="P1524" s="596">
        <v>16</v>
      </c>
      <c r="Q1524" s="597">
        <v>17</v>
      </c>
      <c r="R1524" s="596">
        <v>18</v>
      </c>
      <c r="S1524" s="597">
        <v>19</v>
      </c>
      <c r="T1524" s="598">
        <v>20</v>
      </c>
      <c r="U1524" s="255">
        <v>21</v>
      </c>
      <c r="V1524" s="599">
        <v>22</v>
      </c>
      <c r="X1524" s="589"/>
      <c r="Y1524" s="590"/>
    </row>
    <row r="1525" spans="1:29" s="44" customFormat="1" ht="51.75" customHeight="1">
      <c r="A1525" s="42" t="str">
        <f>"A"&amp;E1521</f>
        <v>A51</v>
      </c>
      <c r="B1525" s="605">
        <f>IF(C1525&lt;&gt;"",B1524+1,"")</f>
        <v>1</v>
      </c>
      <c r="C1525" s="581" t="s">
        <v>792</v>
      </c>
      <c r="D1525" s="581" t="s">
        <v>793</v>
      </c>
      <c r="E1525" s="581" t="s">
        <v>794</v>
      </c>
      <c r="F1525" s="581" t="s">
        <v>431</v>
      </c>
      <c r="G1525" s="534">
        <v>0.5</v>
      </c>
      <c r="H1525" s="534" t="s">
        <v>385</v>
      </c>
      <c r="I1525" s="579" t="s">
        <v>384</v>
      </c>
      <c r="J1525" s="580" t="str">
        <f>IF(I1525="","",IF(I1525="I",$F1521,VLOOKUP(I1525,$C1542:$D1547,2,0)))</f>
        <v>DAM SOLUCIONES E INGENIERIA SAS</v>
      </c>
      <c r="K1525" s="535">
        <v>44053</v>
      </c>
      <c r="L1525" s="535">
        <v>44315</v>
      </c>
      <c r="M1525" s="536">
        <v>1320.55</v>
      </c>
      <c r="N1525" s="232">
        <f t="shared" ref="N1525:N1534" si="305">IF(OR(G1525="",M1525=""),"",M1525*G1525)</f>
        <v>660.27499999999998</v>
      </c>
      <c r="O1525" s="260">
        <f t="shared" ref="O1525:O1534" si="306">IF(OR(H1525="",H1525="NO",K1525&lt;$Q$17,K1525&gt;$R$17,K1525="",M1525="",N1525=""),"",ROUND(N1525,7))</f>
        <v>660.27499999999998</v>
      </c>
      <c r="P1525" s="781"/>
      <c r="Q1525" s="782"/>
      <c r="R1525" s="767"/>
      <c r="S1525" s="768"/>
      <c r="T1525" s="538" t="s">
        <v>385</v>
      </c>
      <c r="U1525" s="539">
        <v>33</v>
      </c>
      <c r="V1525" s="540" t="s">
        <v>385</v>
      </c>
      <c r="X1525" s="541" t="s">
        <v>386</v>
      </c>
      <c r="Y1525" s="541" t="s">
        <v>439</v>
      </c>
    </row>
    <row r="1526" spans="1:29" s="44" customFormat="1" ht="24.95" customHeight="1">
      <c r="A1526" s="42" t="str">
        <f>"B"&amp;E1521</f>
        <v>B51</v>
      </c>
      <c r="B1526" s="605" t="str">
        <f t="shared" ref="B1526:B1534" si="307">IF(C1526&lt;&gt;"",B1525+1,"")</f>
        <v/>
      </c>
      <c r="C1526" s="581"/>
      <c r="D1526" s="581"/>
      <c r="E1526" s="581"/>
      <c r="F1526" s="581"/>
      <c r="G1526" s="534"/>
      <c r="H1526" s="534"/>
      <c r="I1526" s="579"/>
      <c r="J1526" s="580" t="str">
        <f>IF(I1526="","",IF(I1526="I",$F1521,VLOOKUP(I1526,$C1542:$D1547,2,0)))</f>
        <v/>
      </c>
      <c r="K1526" s="535"/>
      <c r="L1526" s="535"/>
      <c r="M1526" s="536"/>
      <c r="N1526" s="232" t="str">
        <f t="shared" si="305"/>
        <v/>
      </c>
      <c r="O1526" s="260" t="str">
        <f t="shared" si="306"/>
        <v/>
      </c>
      <c r="P1526" s="781"/>
      <c r="Q1526" s="782"/>
      <c r="R1526" s="767"/>
      <c r="S1526" s="768"/>
      <c r="T1526" s="538"/>
      <c r="U1526" s="539"/>
      <c r="V1526" s="540"/>
      <c r="X1526" s="541"/>
      <c r="Y1526" s="541"/>
    </row>
    <row r="1527" spans="1:29" s="44" customFormat="1" ht="24.95" customHeight="1">
      <c r="A1527" s="42" t="str">
        <f>"C"&amp;E1521</f>
        <v>C51</v>
      </c>
      <c r="B1527" s="605" t="str">
        <f t="shared" si="307"/>
        <v/>
      </c>
      <c r="C1527" s="581"/>
      <c r="D1527" s="581"/>
      <c r="E1527" s="581"/>
      <c r="F1527" s="581"/>
      <c r="G1527" s="534"/>
      <c r="H1527" s="534"/>
      <c r="I1527" s="579"/>
      <c r="J1527" s="580" t="str">
        <f>IF(I1527="","",IF(I1527="I",$F1521,VLOOKUP(I1527,$C1542:$D1547,2,0)))</f>
        <v/>
      </c>
      <c r="K1527" s="535"/>
      <c r="L1527" s="535"/>
      <c r="M1527" s="536"/>
      <c r="N1527" s="232" t="str">
        <f t="shared" si="305"/>
        <v/>
      </c>
      <c r="O1527" s="260" t="str">
        <f t="shared" si="306"/>
        <v/>
      </c>
      <c r="P1527" s="781"/>
      <c r="Q1527" s="782"/>
      <c r="R1527" s="767"/>
      <c r="S1527" s="768"/>
      <c r="T1527" s="538"/>
      <c r="U1527" s="539"/>
      <c r="V1527" s="540"/>
      <c r="X1527" s="541"/>
      <c r="Y1527" s="541"/>
    </row>
    <row r="1528" spans="1:29" s="44" customFormat="1" ht="24.95" customHeight="1">
      <c r="A1528" s="42" t="str">
        <f>"D"&amp;E1521</f>
        <v>D51</v>
      </c>
      <c r="B1528" s="605" t="str">
        <f t="shared" si="307"/>
        <v/>
      </c>
      <c r="C1528" s="581"/>
      <c r="D1528" s="581"/>
      <c r="E1528" s="581"/>
      <c r="F1528" s="581"/>
      <c r="G1528" s="534"/>
      <c r="H1528" s="534"/>
      <c r="I1528" s="579"/>
      <c r="J1528" s="580" t="str">
        <f>IF(I1528="","",IF(I1528="I",$F1521,VLOOKUP(I1528,$C1542:$D1547,2,0)))</f>
        <v/>
      </c>
      <c r="K1528" s="535"/>
      <c r="L1528" s="535"/>
      <c r="M1528" s="536"/>
      <c r="N1528" s="232" t="str">
        <f t="shared" si="305"/>
        <v/>
      </c>
      <c r="O1528" s="260" t="str">
        <f t="shared" si="306"/>
        <v/>
      </c>
      <c r="P1528" s="781"/>
      <c r="Q1528" s="782"/>
      <c r="R1528" s="767"/>
      <c r="S1528" s="768"/>
      <c r="T1528" s="538"/>
      <c r="U1528" s="539"/>
      <c r="V1528" s="540"/>
      <c r="X1528" s="541"/>
      <c r="Y1528" s="541"/>
    </row>
    <row r="1529" spans="1:29" s="44" customFormat="1" ht="24.95" customHeight="1">
      <c r="A1529" s="42" t="str">
        <f>"E"&amp;E1521</f>
        <v>E51</v>
      </c>
      <c r="B1529" s="605" t="str">
        <f t="shared" si="307"/>
        <v/>
      </c>
      <c r="C1529" s="581"/>
      <c r="D1529" s="581"/>
      <c r="E1529" s="581"/>
      <c r="F1529" s="581"/>
      <c r="G1529" s="534"/>
      <c r="H1529" s="534"/>
      <c r="I1529" s="579"/>
      <c r="J1529" s="580" t="str">
        <f>IF(I1529="","",IF(I1529="I",$F1521,VLOOKUP(I1529,$C1542:$D1547,2,0)))</f>
        <v/>
      </c>
      <c r="K1529" s="535"/>
      <c r="L1529" s="535"/>
      <c r="M1529" s="536"/>
      <c r="N1529" s="232" t="str">
        <f t="shared" si="305"/>
        <v/>
      </c>
      <c r="O1529" s="260" t="str">
        <f t="shared" si="306"/>
        <v/>
      </c>
      <c r="P1529" s="781"/>
      <c r="Q1529" s="782"/>
      <c r="R1529" s="767"/>
      <c r="S1529" s="768"/>
      <c r="T1529" s="538"/>
      <c r="U1529" s="539"/>
      <c r="V1529" s="540"/>
      <c r="X1529" s="541"/>
      <c r="Y1529" s="541"/>
    </row>
    <row r="1530" spans="1:29" s="44" customFormat="1" ht="24.95" customHeight="1">
      <c r="A1530" s="42" t="str">
        <f>"F"&amp;E1521</f>
        <v>F51</v>
      </c>
      <c r="B1530" s="605" t="str">
        <f t="shared" si="307"/>
        <v/>
      </c>
      <c r="C1530" s="581"/>
      <c r="D1530" s="581"/>
      <c r="E1530" s="581"/>
      <c r="F1530" s="581"/>
      <c r="G1530" s="534"/>
      <c r="H1530" s="534"/>
      <c r="I1530" s="579"/>
      <c r="J1530" s="580" t="str">
        <f>IF(I1530="","",IF(I1530="I",$F1521,VLOOKUP(I1530,$C1542:$D1547,2,0)))</f>
        <v/>
      </c>
      <c r="K1530" s="535"/>
      <c r="L1530" s="535"/>
      <c r="M1530" s="536"/>
      <c r="N1530" s="232" t="str">
        <f t="shared" si="305"/>
        <v/>
      </c>
      <c r="O1530" s="260" t="str">
        <f t="shared" si="306"/>
        <v/>
      </c>
      <c r="P1530" s="781"/>
      <c r="Q1530" s="782"/>
      <c r="R1530" s="767"/>
      <c r="S1530" s="768"/>
      <c r="T1530" s="538"/>
      <c r="U1530" s="539"/>
      <c r="V1530" s="540"/>
      <c r="X1530" s="541"/>
      <c r="Y1530" s="541"/>
    </row>
    <row r="1531" spans="1:29" s="44" customFormat="1" ht="24.95" customHeight="1">
      <c r="A1531" s="42" t="str">
        <f>"G"&amp;E1521</f>
        <v>G51</v>
      </c>
      <c r="B1531" s="605" t="str">
        <f t="shared" si="307"/>
        <v/>
      </c>
      <c r="C1531" s="581"/>
      <c r="D1531" s="581"/>
      <c r="E1531" s="581"/>
      <c r="F1531" s="581"/>
      <c r="G1531" s="534"/>
      <c r="H1531" s="534"/>
      <c r="I1531" s="579"/>
      <c r="J1531" s="580" t="str">
        <f>IF(I1531="","",IF(I1531="I",$F1521,VLOOKUP(I1531,$C1542:$D1547,2,0)))</f>
        <v/>
      </c>
      <c r="K1531" s="535"/>
      <c r="L1531" s="535"/>
      <c r="M1531" s="536"/>
      <c r="N1531" s="43" t="str">
        <f t="shared" si="305"/>
        <v/>
      </c>
      <c r="O1531" s="260" t="str">
        <f t="shared" si="306"/>
        <v/>
      </c>
      <c r="P1531" s="781"/>
      <c r="Q1531" s="782"/>
      <c r="R1531" s="767"/>
      <c r="S1531" s="768"/>
      <c r="T1531" s="538"/>
      <c r="U1531" s="539"/>
      <c r="V1531" s="540"/>
      <c r="X1531" s="541"/>
      <c r="Y1531" s="541"/>
    </row>
    <row r="1532" spans="1:29" s="44" customFormat="1" ht="24.95" customHeight="1">
      <c r="A1532" s="42" t="str">
        <f>"H"&amp;E1521</f>
        <v>H51</v>
      </c>
      <c r="B1532" s="605" t="str">
        <f t="shared" si="307"/>
        <v/>
      </c>
      <c r="C1532" s="581"/>
      <c r="D1532" s="581"/>
      <c r="E1532" s="581"/>
      <c r="F1532" s="581"/>
      <c r="G1532" s="534"/>
      <c r="H1532" s="534"/>
      <c r="I1532" s="579"/>
      <c r="J1532" s="580" t="str">
        <f>IF(I1532="","",IF(I1532="I",$F1521,VLOOKUP(I1532,$C1542:$D1547,2,0)))</f>
        <v/>
      </c>
      <c r="K1532" s="535"/>
      <c r="L1532" s="535"/>
      <c r="M1532" s="537"/>
      <c r="N1532" s="43" t="str">
        <f t="shared" si="305"/>
        <v/>
      </c>
      <c r="O1532" s="260" t="str">
        <f t="shared" si="306"/>
        <v/>
      </c>
      <c r="P1532" s="781"/>
      <c r="Q1532" s="782"/>
      <c r="R1532" s="767"/>
      <c r="S1532" s="768"/>
      <c r="T1532" s="538"/>
      <c r="U1532" s="539"/>
      <c r="V1532" s="540"/>
      <c r="X1532" s="541"/>
      <c r="Y1532" s="541"/>
    </row>
    <row r="1533" spans="1:29" s="44" customFormat="1" ht="24.95" customHeight="1">
      <c r="A1533" s="42" t="str">
        <f>"I"&amp;E1521</f>
        <v>I51</v>
      </c>
      <c r="B1533" s="605" t="str">
        <f t="shared" si="307"/>
        <v/>
      </c>
      <c r="C1533" s="581"/>
      <c r="D1533" s="581"/>
      <c r="E1533" s="581"/>
      <c r="F1533" s="581"/>
      <c r="G1533" s="534"/>
      <c r="H1533" s="534"/>
      <c r="I1533" s="579"/>
      <c r="J1533" s="580" t="str">
        <f>IF(I1533="","",IF(I1533="I",$F1521,VLOOKUP(I1533,$C1542:$D1547,2,0)))</f>
        <v/>
      </c>
      <c r="K1533" s="535"/>
      <c r="L1533" s="535"/>
      <c r="M1533" s="537"/>
      <c r="N1533" s="43" t="str">
        <f t="shared" si="305"/>
        <v/>
      </c>
      <c r="O1533" s="260" t="str">
        <f t="shared" si="306"/>
        <v/>
      </c>
      <c r="P1533" s="781"/>
      <c r="Q1533" s="782"/>
      <c r="R1533" s="767"/>
      <c r="S1533" s="768"/>
      <c r="T1533" s="538"/>
      <c r="U1533" s="539"/>
      <c r="V1533" s="540"/>
      <c r="X1533" s="541"/>
      <c r="Y1533" s="541"/>
    </row>
    <row r="1534" spans="1:29" s="44" customFormat="1" ht="24.95" customHeight="1" thickBot="1">
      <c r="A1534" s="42" t="str">
        <f>"J"&amp;E1521</f>
        <v>J51</v>
      </c>
      <c r="B1534" s="612" t="str">
        <f t="shared" si="307"/>
        <v/>
      </c>
      <c r="C1534" s="582"/>
      <c r="D1534" s="582"/>
      <c r="E1534" s="582"/>
      <c r="F1534" s="582"/>
      <c r="G1534" s="583"/>
      <c r="H1534" s="583"/>
      <c r="I1534" s="584"/>
      <c r="J1534" s="585" t="str">
        <f>IF(I1534="","",IF(I1534="I",$F1521,VLOOKUP(I1534,$C1542:$D1547,2,0)))</f>
        <v/>
      </c>
      <c r="K1534" s="586"/>
      <c r="L1534" s="586"/>
      <c r="M1534" s="587"/>
      <c r="N1534" s="43" t="str">
        <f t="shared" si="305"/>
        <v/>
      </c>
      <c r="O1534" s="260" t="str">
        <f t="shared" si="306"/>
        <v/>
      </c>
      <c r="P1534" s="781"/>
      <c r="Q1534" s="782"/>
      <c r="R1534" s="767"/>
      <c r="S1534" s="768"/>
      <c r="T1534" s="538"/>
      <c r="U1534" s="539"/>
      <c r="V1534" s="540"/>
      <c r="X1534" s="541"/>
      <c r="Y1534" s="541"/>
    </row>
    <row r="1535" spans="1:29" s="27" customFormat="1" ht="12" customHeight="1" thickBot="1">
      <c r="A1535" s="42"/>
      <c r="B1535" s="45"/>
      <c r="C1535" s="46"/>
      <c r="D1535" s="46"/>
      <c r="E1535" s="46"/>
      <c r="F1535" s="46"/>
      <c r="G1535" s="46"/>
      <c r="H1535" s="606"/>
      <c r="I1535" s="46"/>
      <c r="J1535" s="46"/>
      <c r="K1535" s="46"/>
      <c r="L1535" s="46"/>
      <c r="M1535" s="46"/>
      <c r="N1535" s="46"/>
      <c r="O1535" s="259"/>
      <c r="P1535" s="46"/>
      <c r="Q1535" s="46"/>
      <c r="R1535" s="259"/>
      <c r="S1535" s="46"/>
      <c r="T1535" s="46"/>
      <c r="U1535" s="47"/>
      <c r="V1535" s="48"/>
      <c r="X1535" s="592"/>
      <c r="Y1535" s="593"/>
      <c r="AB1535" s="378"/>
    </row>
    <row r="1536" spans="1:29" s="27" customFormat="1" ht="17.25" customHeight="1" thickBot="1">
      <c r="A1536" s="42" t="str">
        <f>"Z"&amp;E1521</f>
        <v>Z51</v>
      </c>
      <c r="B1536" s="510"/>
      <c r="C1536" s="511"/>
      <c r="D1536" s="511"/>
      <c r="E1536" s="511"/>
      <c r="F1536" s="511"/>
      <c r="G1536" s="511"/>
      <c r="H1536" s="511"/>
      <c r="I1536" s="511"/>
      <c r="J1536" s="511"/>
      <c r="K1536" s="511"/>
      <c r="L1536" s="511"/>
      <c r="M1536" s="511"/>
      <c r="N1536" s="437" t="s">
        <v>388</v>
      </c>
      <c r="O1536" s="438">
        <f>IF(COUNTIF(O1525:O1534,"")&gt;9,0,SUM(O1525:O1534)/(COUNTIF(H1525:H1534,"SI")))</f>
        <v>660.27499999999998</v>
      </c>
      <c r="P1536" s="511"/>
      <c r="Q1536" s="511"/>
      <c r="R1536" s="530"/>
      <c r="S1536" s="530"/>
      <c r="T1536" s="531"/>
      <c r="U1536" s="532"/>
      <c r="V1536" s="533"/>
      <c r="W1536" s="285"/>
      <c r="X1536" s="613" t="e">
        <f>COUNTIF(#REF!,"")-COUNTIF(#REF!,"CUMPLE")-1</f>
        <v>#REF!</v>
      </c>
      <c r="Y1536" s="591"/>
      <c r="AB1536" s="28"/>
    </row>
    <row r="1537" spans="1:29" ht="17.25" customHeight="1">
      <c r="B1537" s="50"/>
      <c r="C1537" s="50"/>
      <c r="D1537" s="50"/>
      <c r="E1537" s="50"/>
      <c r="F1537" s="50"/>
      <c r="G1537" s="51"/>
      <c r="H1537" s="51"/>
      <c r="I1537" s="51"/>
      <c r="J1537" s="51"/>
      <c r="K1537" s="51"/>
      <c r="L1537" s="51"/>
      <c r="M1537" s="51"/>
      <c r="N1537" s="51"/>
      <c r="O1537" s="51"/>
      <c r="P1537" s="51"/>
      <c r="Q1537" s="51"/>
      <c r="R1537" s="51"/>
      <c r="S1537" s="51"/>
      <c r="T1537" s="51"/>
      <c r="U1537" s="51"/>
      <c r="V1537" s="51"/>
      <c r="W1537" s="51"/>
      <c r="X1537" s="608"/>
      <c r="Y1537" s="51"/>
      <c r="Z1537" s="51"/>
      <c r="AA1537" s="51"/>
      <c r="AB1537" s="51"/>
      <c r="AC1537" s="50"/>
    </row>
    <row r="1538" spans="1:29" s="27" customFormat="1" ht="16.5" customHeight="1" thickBot="1">
      <c r="A1538" s="22"/>
      <c r="B1538" s="783" t="s">
        <v>389</v>
      </c>
      <c r="C1538" s="783"/>
      <c r="D1538" s="783"/>
      <c r="E1538" s="783"/>
      <c r="F1538" s="783"/>
      <c r="G1538" s="783"/>
      <c r="H1538" s="783"/>
      <c r="I1538" s="783"/>
      <c r="J1538" s="783"/>
      <c r="K1538" s="783"/>
      <c r="L1538" s="783"/>
      <c r="M1538" s="783"/>
      <c r="N1538" s="783"/>
      <c r="O1538" s="783"/>
      <c r="P1538" s="783"/>
      <c r="Q1538" s="783"/>
      <c r="R1538" s="783"/>
      <c r="S1538" s="783"/>
      <c r="T1538" s="783"/>
      <c r="U1538" s="783"/>
      <c r="V1538" s="783"/>
      <c r="W1538" s="286"/>
      <c r="X1538" s="607"/>
      <c r="Y1538" s="52"/>
      <c r="Z1538" s="52"/>
      <c r="AA1538" s="52"/>
      <c r="AB1538" s="28"/>
      <c r="AC1538" s="28"/>
    </row>
    <row r="1539" spans="1:29" s="30" customFormat="1" ht="22.5" customHeight="1">
      <c r="A1539" s="112" t="str">
        <f>"K"&amp;E1521</f>
        <v>K51</v>
      </c>
      <c r="B1539" s="790" t="s">
        <v>390</v>
      </c>
      <c r="C1539" s="772" t="s">
        <v>391</v>
      </c>
      <c r="D1539" s="773"/>
      <c r="E1539" s="773"/>
      <c r="F1539" s="773"/>
      <c r="G1539" s="773"/>
      <c r="H1539" s="773"/>
      <c r="I1539" s="773"/>
      <c r="J1539" s="773"/>
      <c r="K1539" s="773"/>
      <c r="L1539" s="773"/>
      <c r="M1539" s="774"/>
      <c r="N1539" s="525"/>
      <c r="O1539" s="588"/>
      <c r="P1539" s="772" t="s">
        <v>392</v>
      </c>
      <c r="Q1539" s="773"/>
      <c r="R1539" s="773"/>
      <c r="S1539" s="774"/>
      <c r="T1539" s="784" t="s">
        <v>393</v>
      </c>
      <c r="U1539" s="774"/>
      <c r="V1539" s="811"/>
      <c r="W1539" s="284"/>
      <c r="X1539" s="778" t="s">
        <v>394</v>
      </c>
      <c r="Y1539" s="779"/>
      <c r="Z1539" s="779"/>
      <c r="AA1539" s="779" t="s">
        <v>395</v>
      </c>
      <c r="AB1539" s="808" t="s">
        <v>396</v>
      </c>
      <c r="AC1539" s="28"/>
    </row>
    <row r="1540" spans="1:29" s="30" customFormat="1" ht="22.5" customHeight="1">
      <c r="A1540" s="112" t="str">
        <f>"L"&amp;E1521</f>
        <v>L51</v>
      </c>
      <c r="B1540" s="791"/>
      <c r="C1540" s="769" t="s">
        <v>397</v>
      </c>
      <c r="D1540" s="770"/>
      <c r="E1540" s="771"/>
      <c r="F1540" s="512">
        <f>IF(VLOOKUP(E1521,PROPONENTES!$C$19:$E$108,3,0)="","",VLOOKUP(E1521,PROPONENTES!$C$19:$E$108,3,0))</f>
        <v>1</v>
      </c>
      <c r="G1540" s="824" t="s">
        <v>398</v>
      </c>
      <c r="H1540" s="793" t="s">
        <v>399</v>
      </c>
      <c r="I1540" s="793"/>
      <c r="J1540" s="769" t="s">
        <v>400</v>
      </c>
      <c r="K1540" s="823"/>
      <c r="L1540" s="513" t="s">
        <v>401</v>
      </c>
      <c r="M1540" s="513"/>
      <c r="N1540" s="526"/>
      <c r="O1540" s="527"/>
      <c r="P1540" s="775"/>
      <c r="Q1540" s="776"/>
      <c r="R1540" s="776"/>
      <c r="S1540" s="777"/>
      <c r="T1540" s="796"/>
      <c r="U1540" s="797"/>
      <c r="V1540" s="812"/>
      <c r="W1540" s="284"/>
      <c r="X1540" s="780" t="s">
        <v>402</v>
      </c>
      <c r="Y1540" s="810" t="s">
        <v>403</v>
      </c>
      <c r="Z1540" s="810"/>
      <c r="AA1540" s="810"/>
      <c r="AB1540" s="809"/>
      <c r="AC1540" s="28"/>
    </row>
    <row r="1541" spans="1:29" s="30" customFormat="1" ht="51.75" customHeight="1" thickBot="1">
      <c r="A1541" s="112" t="str">
        <f>"M"&amp;E1521</f>
        <v>M51</v>
      </c>
      <c r="B1541" s="791"/>
      <c r="C1541" s="770" t="s">
        <v>404</v>
      </c>
      <c r="D1541" s="771"/>
      <c r="E1541" s="514" t="s">
        <v>405</v>
      </c>
      <c r="F1541" s="515" t="s">
        <v>406</v>
      </c>
      <c r="G1541" s="824"/>
      <c r="H1541" s="793"/>
      <c r="I1541" s="793"/>
      <c r="J1541" s="504" t="s">
        <v>407</v>
      </c>
      <c r="K1541" s="516" t="s">
        <v>408</v>
      </c>
      <c r="L1541" s="517" t="s">
        <v>409</v>
      </c>
      <c r="M1541" s="517"/>
      <c r="N1541" s="528" t="s">
        <v>410</v>
      </c>
      <c r="O1541" s="529"/>
      <c r="P1541" s="386"/>
      <c r="Q1541" s="387" t="s">
        <v>411</v>
      </c>
      <c r="R1541" s="388"/>
      <c r="S1541" s="113">
        <f>COUNTIFS(H1525:H1534,"SI",O1525:O1534,"&gt;0")</f>
        <v>1</v>
      </c>
      <c r="T1541" s="785"/>
      <c r="U1541" s="787"/>
      <c r="V1541" s="813"/>
      <c r="W1541" s="284"/>
      <c r="X1541" s="780"/>
      <c r="Y1541" s="810"/>
      <c r="Z1541" s="810"/>
      <c r="AA1541" s="810"/>
      <c r="AB1541" s="809"/>
      <c r="AC1541" s="28"/>
    </row>
    <row r="1542" spans="1:29" s="30" customFormat="1" ht="15.75" customHeight="1">
      <c r="A1542" s="112" t="str">
        <f>"N"&amp;E1521</f>
        <v>N51</v>
      </c>
      <c r="B1542" s="791"/>
      <c r="C1542" s="54">
        <v>1</v>
      </c>
      <c r="D1542" s="100" t="str">
        <f>IF(AND(C1542&lt;=F1540,F1540&gt;1,F1540&lt;&gt;""),VLOOKUP(VALUE(E1521&amp;","&amp;C1542),INTEGRANTES!$D$19:$F$192,2,0),"")</f>
        <v/>
      </c>
      <c r="E1542" s="107" t="str">
        <f>IF(D1542&lt;&gt;"",VLOOKUP(VALUE(E1521&amp;","&amp;C1542),INTEGRANTES!$D$19:$F$192,3,0),"")</f>
        <v/>
      </c>
      <c r="F1542" s="380" t="str">
        <f>IF(D1542="","",IF(OR(SUMIF($J1528:$J1534,D1542,$O1528:$O1534)=0,N1542="NO"),"NO APORTA",SUMIF($J1528:$J1534,D1542,$O1528:$O1534)))</f>
        <v/>
      </c>
      <c r="G1542" s="380" t="str">
        <f>IF($D1542="","",IF($F1540&lt;=1,"",ROUND(POSMMLV*PORPO,2)))</f>
        <v/>
      </c>
      <c r="H1542" s="765" t="str">
        <f>IF($D1542="","",IF(OR(F1542="NO APORTA",G1542&gt;F1542),"NO CUMPLE","CUMPLE"))</f>
        <v/>
      </c>
      <c r="I1542" s="766"/>
      <c r="J1542" s="108" t="str">
        <f>IF(D1542="","",IF(OR(AND(SUMIF($J1525:$J1534,D1542,$O1525:$O1534)&gt;=5%*POSMMLV,N1542="SI"),AND(SUMIF($J1525:$J1534,D1542,$O1525:$O1534)=0,E1542&lt;=5%,N1542="SI")),"CUMPLE","NO CUMPLE"))</f>
        <v/>
      </c>
      <c r="K1542" s="105" t="str">
        <f>IF(OR(D1542="",J1542=""),"",IF(AND(J1542="NO CUMPLE",F1542="NO APORTA",E1542&gt;5%),"EXP = 0 y PART &gt; 5%",IF(F1542&lt;5%*Q1547,"EXP &lt; 5%*PO","")))</f>
        <v/>
      </c>
      <c r="L1542" s="389" t="str">
        <f>IF(OR(D1542="",E1542=""),"",IF(AND(E1542&gt;=0.25,F1542&lt;&gt;"NO APORTA",F1542&gt;=$R1547*0.25),"SI","NO"))</f>
        <v/>
      </c>
      <c r="M1542" s="389"/>
      <c r="N1542" s="468" t="s">
        <v>385</v>
      </c>
      <c r="O1542" s="396">
        <f>COUNTIFS(O1525:O1534,"&gt;0",H1525:H1534,"SI")</f>
        <v>1</v>
      </c>
      <c r="P1542" s="814" t="s">
        <v>139</v>
      </c>
      <c r="Q1542" s="814"/>
      <c r="R1542" s="817">
        <f>E1521</f>
        <v>51</v>
      </c>
      <c r="S1542" s="818"/>
      <c r="T1542" s="784" t="s">
        <v>412</v>
      </c>
      <c r="U1542" s="773"/>
      <c r="V1542" s="774"/>
      <c r="W1542" s="283"/>
      <c r="X1542" s="542" t="str">
        <f>IF($F1540=1,"NO APLICA",$D1542)</f>
        <v>NO APLICA</v>
      </c>
      <c r="Y1542" s="543" t="str">
        <f>IF(OR($F1542="",$F1542="NO APORTA",$R1547=0,$X1542="NO APLICA"),"",ROUND($F1542/$Q1547,2))</f>
        <v/>
      </c>
      <c r="Z1542" s="544" t="str">
        <f>IF(Y1548=1,"SI APLICA",IF(OR($X1542="",$X1542="NO APLICA",$F1542="",$F1542="NO APORTA"),"",IF(ROUND($F1542/Q1547,7)&gt;=0.4,"SI APLICA","NO APLICA")))</f>
        <v>SI APLICA</v>
      </c>
      <c r="AA1542" s="543" t="s">
        <v>413</v>
      </c>
      <c r="AB1542" s="540" t="str">
        <f>IF(COUNTIF(Z1542:AA1542,"SI APLICA")=2,"SI APLICA","")</f>
        <v>SI APLICA</v>
      </c>
      <c r="AC1542" s="28"/>
    </row>
    <row r="1543" spans="1:29" s="30" customFormat="1" ht="15.75" customHeight="1" thickBot="1">
      <c r="A1543" s="112" t="str">
        <f>"O"&amp;E1521</f>
        <v>O51</v>
      </c>
      <c r="B1543" s="791"/>
      <c r="C1543" s="54">
        <v>2</v>
      </c>
      <c r="D1543" s="100" t="str">
        <f>IF(AND(C1543&lt;=F1540,F1540&lt;&gt;""),VLOOKUP(VALUE(E1521&amp;","&amp;C1543),INTEGRANTES!$D$19:$F$192,2,0),"")</f>
        <v/>
      </c>
      <c r="E1543" s="107" t="str">
        <f>IF(D1543&lt;&gt;"",VLOOKUP(VALUE(E1521&amp;","&amp;C1543),INTEGRANTES!$D$19:$F$192,3,0),"")</f>
        <v/>
      </c>
      <c r="F1543" s="380" t="str">
        <f>IF(D1543="","",IF(OR(SUMIF($J1528:$J1534,D1543,$O1528:$O1534)=0,N1543="NO"),"NO APORTA",SUMIF($J1528:$J1534,D1543,$O1528:$O1534)))</f>
        <v/>
      </c>
      <c r="G1543" s="380" t="str">
        <f>IF($D1543="","",IF($F1540&lt;=1,"",ROUND(POSMMLV*PORPO,2)))</f>
        <v/>
      </c>
      <c r="H1543" s="765" t="str">
        <f t="shared" ref="H1543:H1546" si="308">IF($D1543="","",IF(OR(F1543="NO APORTA",G1543&gt;F1543),"NO CUMPLE","CUMPLE"))</f>
        <v/>
      </c>
      <c r="I1543" s="766"/>
      <c r="J1543" s="108" t="str">
        <f>IF(D1543="","",IF(OR(AND(SUMIF($J1525:$J1534,D1543,$O1525:$O1534)&gt;=5%*POSMMLV,N1543="SI"),AND(SUMIF($J1525:$J1534,D1543,$O1525:$O1534)=0,E1543&lt;=5%,N1543="SI")),"CUMPLE","NO CUMPLE"))</f>
        <v/>
      </c>
      <c r="K1543" s="105" t="str">
        <f>IF(OR(D1543="",J1543=""),"",IF(AND(J1543="NO CUMPLE",F1543="NO APORTA",E1543&gt;5%),"EXP = 0 y PART &gt; 5%",IF(F1543&lt;5%*Q1547,"EXP &lt; 5%*PO","")))</f>
        <v/>
      </c>
      <c r="L1543" s="389" t="str">
        <f>IF(OR(D1543="",E1543=""),"",IF(AND(E1543&gt;=0.25,F1543&lt;&gt;"NO APORTA",F1543&gt;=$R1547*0.25),"SI","NO"))</f>
        <v/>
      </c>
      <c r="M1543" s="389"/>
      <c r="N1543" s="468"/>
      <c r="O1543" s="396"/>
      <c r="P1543" s="815"/>
      <c r="Q1543" s="815"/>
      <c r="R1543" s="815"/>
      <c r="S1543" s="819"/>
      <c r="T1543" s="785"/>
      <c r="U1543" s="786"/>
      <c r="V1543" s="787"/>
      <c r="W1543" s="283"/>
      <c r="X1543" s="542" t="str">
        <f>IF($F1540=1,"NO APLICA",$D1543)</f>
        <v>NO APLICA</v>
      </c>
      <c r="Y1543" s="543" t="str">
        <f>IF(OR($F1543="",$F1543="NO APORTA",$R1547=0,$X1543="NO APLICA"),"",ROUND($F1543/$Q1547,2))</f>
        <v/>
      </c>
      <c r="Z1543" s="544"/>
      <c r="AA1543" s="543"/>
      <c r="AB1543" s="540" t="str">
        <f t="shared" ref="AB1543" si="309">IF(COUNTIF(Z1543:AA1543,"SI APLICA")=2,"SI APLICA","")</f>
        <v/>
      </c>
      <c r="AC1543" s="28"/>
    </row>
    <row r="1544" spans="1:29" s="30" customFormat="1" ht="15.75" customHeight="1">
      <c r="A1544" s="112" t="str">
        <f>"P"&amp;E1521</f>
        <v>P51</v>
      </c>
      <c r="B1544" s="791"/>
      <c r="C1544" s="54">
        <v>3</v>
      </c>
      <c r="D1544" s="100" t="str">
        <f>IF(AND(C1544&lt;=F1540,F1540&lt;&gt;""),VLOOKUP(VALUE(E1521&amp;","&amp;C1544),INTEGRANTES!$D$19:$F$192,2,0),"")</f>
        <v/>
      </c>
      <c r="E1544" s="107" t="str">
        <f>IF(D1544&lt;&gt;"",VLOOKUP(VALUE(E1521&amp;","&amp;C1544),INTEGRANTES!$D$19:$F$192,3,0),"")</f>
        <v/>
      </c>
      <c r="F1544" s="380" t="str">
        <f>IF(D1544="","",IF(OR(SUMIF($J1528:$J1534,D1544,$O1528:$O1534)=0,N1544="NO"),"NO APORTA",SUMIF($J1528:$J1534,D1544,$O1528:$O1534)))</f>
        <v/>
      </c>
      <c r="G1544" s="380" t="str">
        <f>IF($D1544="","",IF($F1540&lt;=1,"",ROUND(POSMMLV*PORPO,2)))</f>
        <v/>
      </c>
      <c r="H1544" s="765" t="str">
        <f t="shared" si="308"/>
        <v/>
      </c>
      <c r="I1544" s="766"/>
      <c r="J1544" s="108" t="str">
        <f>IF(D1544="","",IF(OR(AND(SUMIF($J1525:$J1534,D1544,$O1525:$O1534)&gt;=5%*POSMMLV,N1544="SI"),AND(SUMIF($J1525:$J1534,D1544,$O1525:$O1534)=0,E1544&lt;=5%,N1544="SI")),"CUMPLE","NO CUMPLE"))</f>
        <v/>
      </c>
      <c r="K1544" s="105" t="str">
        <f>IF(OR(D1544="",J1544=""),"",IF(AND(J1544="NO CUMPLE",F1544="NO APORTA",E1544&gt;5%),"EXP = 0 y PART &gt; 5%",IF(F1544&lt;5%*Q1547,"EXP &lt; 5%*PO","")))</f>
        <v/>
      </c>
      <c r="L1544" s="389" t="str">
        <f>IF(OR(D1544="",E1544=""),"",IF(AND(E1544&gt;=0.25,F1544&lt;&gt;"NO APORTA",F1544&gt;=$R1547*0.25),"SI","NO"))</f>
        <v/>
      </c>
      <c r="M1544" s="389"/>
      <c r="N1544" s="468"/>
      <c r="O1544" s="397"/>
      <c r="P1544" s="816"/>
      <c r="Q1544" s="816"/>
      <c r="R1544" s="816"/>
      <c r="S1544" s="820"/>
      <c r="T1544" s="308"/>
      <c r="U1544" s="308"/>
      <c r="V1544" s="309"/>
      <c r="W1544" s="284"/>
      <c r="X1544" s="542" t="str">
        <f>IF($F1540=1,"NO APLICA",$D1544)</f>
        <v>NO APLICA</v>
      </c>
      <c r="Y1544" s="543" t="str">
        <f>IF(OR($F1544="",$F1544="NO APORTA",$R1547=0,$X1544="NO APLICA"),"",ROUND($F1544/$Q1547,2))</f>
        <v/>
      </c>
      <c r="Z1544" s="544"/>
      <c r="AA1544" s="543"/>
      <c r="AB1544" s="540" t="str">
        <f>IF(COUNTIF(Z1544:AA1544,"SI APLICA")=2,"SI APLICA","")</f>
        <v/>
      </c>
      <c r="AC1544" s="28"/>
    </row>
    <row r="1545" spans="1:29" s="30" customFormat="1" ht="15.75" customHeight="1">
      <c r="A1545" s="112" t="str">
        <f>"Q"&amp;E1521</f>
        <v>Q51</v>
      </c>
      <c r="B1545" s="791"/>
      <c r="C1545" s="54">
        <v>4</v>
      </c>
      <c r="D1545" s="100" t="str">
        <f>IF(AND(C1545&lt;=F1540,F1540&lt;&gt;""),VLOOKUP(VALUE(E1521&amp;","&amp;C1545),INTEGRANTES!$D$19:$F$192,2,0),"")</f>
        <v/>
      </c>
      <c r="E1545" s="107" t="str">
        <f>IF(D1545&lt;&gt;"",VLOOKUP(VALUE(E1521&amp;","&amp;C1545),INTEGRANTES!$D$19:$F$192,3,0),"")</f>
        <v/>
      </c>
      <c r="F1545" s="380" t="str">
        <f>IF(D1545="","",IF(OR(SUMIF($J1528:$J1534,D1545,$O1528:$O1534)=0,N1545="NO"),"NO APORTA",SUMIF($J1528:$J1534,D1545,$O1528:$O1534)))</f>
        <v/>
      </c>
      <c r="G1545" s="380" t="str">
        <f>IF($D1545="","",IF($F1540&lt;=1,"",ROUND(POSMMLV*PORPO,2)))</f>
        <v/>
      </c>
      <c r="H1545" s="765" t="str">
        <f t="shared" si="308"/>
        <v/>
      </c>
      <c r="I1545" s="766"/>
      <c r="J1545" s="108" t="str">
        <f>IF(D1545="","",IF(OR(AND(SUMIF($J1525:$J1534,D1545,$O1525:$O1534)&gt;=5%*POSMMLV,N1545="SI"),AND(SUMIF($J1525:$J1534,D1545,$O1525:$O1534)=0,E1545&lt;=5%,N1545="SI")),"CUMPLE","NO CUMPLE"))</f>
        <v/>
      </c>
      <c r="K1545" s="105" t="str">
        <f>IF(OR(D1545="",J1545=""),"",IF(AND(J1545="NO CUMPLE",F1545="NO APORTA",E1545&gt;5%),"EXP = 0 y PART &gt; 5%",IF(F1545&lt;5%*Q1547,"EXP &lt; 5%*PO","")))</f>
        <v/>
      </c>
      <c r="L1545" s="389" t="str">
        <f>IF(OR(D1545="",E1545=""),"",IF(AND(E1545&gt;=0.25,F1545&lt;&gt;"NO APORTA",F1545&gt;=$R1547*0.25),"SI","NO"))</f>
        <v/>
      </c>
      <c r="M1545" s="389"/>
      <c r="N1545" s="468"/>
      <c r="O1545" s="788" t="s">
        <v>414</v>
      </c>
      <c r="P1545" s="769" t="s">
        <v>415</v>
      </c>
      <c r="Q1545" s="770"/>
      <c r="R1545" s="770"/>
      <c r="S1545" s="771"/>
      <c r="T1545" s="284"/>
      <c r="U1545" s="284"/>
      <c r="V1545" s="310"/>
      <c r="W1545" s="284"/>
      <c r="X1545" s="542" t="str">
        <f>IF($F1540=1,"NO APLICA",$D1545)</f>
        <v>NO APLICA</v>
      </c>
      <c r="Y1545" s="543" t="str">
        <f>IF(OR($F1545="",$F1545="NO APORTA",$R1547=0,$X1545="NO APLICA"),"",ROUND($F1545/$Q1547,2))</f>
        <v/>
      </c>
      <c r="Z1545" s="544"/>
      <c r="AA1545" s="543"/>
      <c r="AB1545" s="540" t="str">
        <f t="shared" ref="AB1545:AB1546" si="310">IF(COUNTIF(Z1545:AA1545,"SI APLICA")=2,"SI APLICA","")</f>
        <v/>
      </c>
      <c r="AC1545" s="28"/>
    </row>
    <row r="1546" spans="1:29" s="30" customFormat="1" ht="17.25" customHeight="1">
      <c r="A1546" s="112" t="str">
        <f>"R"&amp;E1521</f>
        <v>R51</v>
      </c>
      <c r="B1546" s="791"/>
      <c r="C1546" s="54">
        <v>5</v>
      </c>
      <c r="D1546" s="100" t="str">
        <f>IF(AND(C1546&lt;=F1540,F1540&lt;&gt;""),VLOOKUP(VALUE(E1521&amp;","&amp;C1546),INTEGRANTES!$D$19:$F$192,2,0),"")</f>
        <v/>
      </c>
      <c r="E1546" s="107" t="str">
        <f>IF(D1546&lt;&gt;"",VLOOKUP(VALUE(E1521&amp;","&amp;C1546),INTEGRANTES!$D$19:$F$192,3,0),"")</f>
        <v/>
      </c>
      <c r="F1546" s="380" t="str">
        <f>IF(D1546="","",IF(OR(SUMIF($J1528:$J1534,D1546,$O1528:$O1534)=0,N1546="NO"),"NO APORTA",SUMIF($J1528:$J1534,D1546,$O1528:$O1534)))</f>
        <v/>
      </c>
      <c r="G1546" s="380" t="str">
        <f>IF($D1546="","",IF($F1540&lt;=1,"",ROUND(POSMMLV*PORPO,2)))</f>
        <v/>
      </c>
      <c r="H1546" s="765" t="str">
        <f t="shared" si="308"/>
        <v/>
      </c>
      <c r="I1546" s="766"/>
      <c r="J1546" s="108" t="str">
        <f>IF(D1546="","",IF(OR(AND(SUMIF($J1525:$J1534,D1546,$O1525:$O1534)&gt;=5%*POSMMLV,N1546="SI"),AND(SUMIF($J1525:$J1534,D1546,$O1525:$O1534)=0,E1546&lt;=5%,N1546="SI")),"CUMPLE","NO CUMPLE"))</f>
        <v/>
      </c>
      <c r="K1546" s="105" t="str">
        <f>IF(OR(D1546="",J1546=""),"",IF(AND(J1546="NO CUMPLE",F1546="NO APORTA",E1546&gt;5%),"EXP = 0 y PART &gt; 5%",IF(F1546&lt;5%*Q1547,"EXP &lt; 5%*PO","")))</f>
        <v/>
      </c>
      <c r="L1546" s="389" t="str">
        <f>IF(OR(D1546="",E1546=""),"",IF(AND(E1546&gt;=0.25,F1546&lt;&gt;"NO APORTA",F1546&gt;=$R1547*0.25),"SI","NO"))</f>
        <v/>
      </c>
      <c r="M1546" s="389"/>
      <c r="N1546" s="468"/>
      <c r="O1546" s="789"/>
      <c r="P1546" s="504" t="s">
        <v>416</v>
      </c>
      <c r="Q1546" s="504" t="s">
        <v>417</v>
      </c>
      <c r="R1546" s="793" t="s">
        <v>418</v>
      </c>
      <c r="S1546" s="793"/>
      <c r="T1546" s="284"/>
      <c r="U1546" s="284"/>
      <c r="V1546" s="310"/>
      <c r="W1546" s="284"/>
      <c r="X1546" s="542" t="str">
        <f>IF($F1540=1,"NO APLICA",$D1546)</f>
        <v>NO APLICA</v>
      </c>
      <c r="Y1546" s="543" t="str">
        <f>IF(OR($F1546="",$F1546="NO APORTA",$R1547=0,$X1546="NO APLICA"),"",ROUND($F1546/$Q1547,2))</f>
        <v/>
      </c>
      <c r="Z1546" s="544"/>
      <c r="AA1546" s="543"/>
      <c r="AB1546" s="540" t="str">
        <f t="shared" si="310"/>
        <v/>
      </c>
      <c r="AC1546" s="28"/>
    </row>
    <row r="1547" spans="1:29" s="30" customFormat="1" ht="16.5" customHeight="1" thickBot="1">
      <c r="A1547" s="112" t="str">
        <f>"S"&amp;E1521</f>
        <v>S51</v>
      </c>
      <c r="B1547" s="791"/>
      <c r="C1547" s="109">
        <v>6</v>
      </c>
      <c r="D1547" s="110" t="str">
        <f>IF(AND(C1547&lt;=F1540,F1540&lt;&gt;""),VLOOKUP(VALUE(E1521&amp;","&amp;C1547),INTEGRANTES!$D$19:$F$192,2,0),"")</f>
        <v/>
      </c>
      <c r="E1547" s="111" t="str">
        <f>IF(D1547&lt;&gt;"",VLOOKUP(VALUE(E1521&amp;","&amp;C1547),INTEGRANTES!$D$19:$F$192,3,0),"")</f>
        <v/>
      </c>
      <c r="F1547" s="380" t="str">
        <f>IF(D1547="","",IF(OR(SUMIF($J1528:$J1534,D1547,$O1528:$O1534)=0,N1547="NO"),"NO APORTA",SUMIF($J1528:$J1534,D1547,$O1528:$O1534)))</f>
        <v/>
      </c>
      <c r="G1547" s="380" t="str">
        <f>IF($D1547="","",IF($F1540&lt;=1,"",ROUND(POSMMLV*PORPO,2)))</f>
        <v/>
      </c>
      <c r="H1547" s="765" t="str">
        <f>IF($D1547="","",IF(OR(F1547="NO APORTA",G1547&gt;F1547),"NO CUMPLE","CUMPLE"))</f>
        <v/>
      </c>
      <c r="I1547" s="766"/>
      <c r="J1547" s="108" t="str">
        <f>IF(D1547="","",IF(OR(AND(SUMIF($J1525:$J1534,D1547,$O1525:$O1534)&gt;=5%*POSMMLV,N1547="SI"),AND(SUMIF($J1525:$J1534,D1547,$O1525:$O1534)=0,E1547&lt;=5%,N1547="SI")),"CUMPLE","NO CUMPLE"))</f>
        <v/>
      </c>
      <c r="K1547" s="105" t="str">
        <f>IF(OR(D1547="",J1547=""),"",IF(AND(J1547="NO CUMPLE",F1547="NO APORTA",E1547&gt;5%),"EXP = 0 y PART &gt; 5%",IF(F1547&lt;5%*Q1547,"EXP &lt; 5%*PO","")))</f>
        <v/>
      </c>
      <c r="L1547" s="389" t="str">
        <f>IF(OR(D1547="",E1547=""),"",IF(AND(E1547&gt;=0.25,F1547&lt;&gt;"NO APORTA",F1547&gt;=$R1547*0.25),"SI","NO"))</f>
        <v/>
      </c>
      <c r="M1547" s="389"/>
      <c r="N1547" s="468"/>
      <c r="O1547" s="403" t="str">
        <f ca="1">IF(R1547&gt;=Q1547,"CUMPLE","NO CUMPLE")</f>
        <v>CUMPLE</v>
      </c>
      <c r="P1547" s="312">
        <f>NUMMOD</f>
        <v>1</v>
      </c>
      <c r="Q1547" s="313">
        <f ca="1">IF(P1547="","",ROUND(VLOOKUP(P1547,PRESUPUESTOS!$B$16:$L$16,9,FALSE),7))</f>
        <v>300</v>
      </c>
      <c r="R1547" s="834">
        <f>IF(OR(COUNTIF(O1525:O1534,"")&gt;9,S1541&lt;NUMMINCONT),0,SUM(O1525:O1534))</f>
        <v>660.27499999999998</v>
      </c>
      <c r="S1547" s="834"/>
      <c r="T1547" s="284"/>
      <c r="U1547" s="284"/>
      <c r="V1547" s="310"/>
      <c r="W1547" s="284"/>
      <c r="X1547" s="545" t="str">
        <f>IF($F1540=1,"NO APLICA",$D1547)</f>
        <v>NO APLICA</v>
      </c>
      <c r="Y1547" s="543" t="str">
        <f>IF(OR($F1547="",$F1547="NO APORTA",$R1547=0,$X1547="NO APLICA"),"",ROUND($F1547/$Q1547,2))</f>
        <v/>
      </c>
      <c r="Z1547" s="544"/>
      <c r="AA1547" s="546"/>
      <c r="AB1547" s="540" t="str">
        <f>IF(COUNTIF(Z1547:AA1547,"SI APLICA")=2,"SI APLICA","")</f>
        <v/>
      </c>
      <c r="AC1547" s="28"/>
    </row>
    <row r="1548" spans="1:29" s="30" customFormat="1" ht="16.5" customHeight="1" thickBot="1">
      <c r="A1548" s="112" t="str">
        <f>"T"&amp;E1521</f>
        <v>T51</v>
      </c>
      <c r="B1548" s="792"/>
      <c r="C1548" s="821" t="s">
        <v>419</v>
      </c>
      <c r="D1548" s="822"/>
      <c r="E1548" s="822"/>
      <c r="F1548" s="518"/>
      <c r="G1548" s="519"/>
      <c r="H1548" s="794" t="str">
        <f>IF(OR($F1540="",SUM(E1542:E1547)=0),"",IF(COUNTIF(H1542:H1547,"CUMPLE")&gt;=1,"CUMPLE","NO CUMPLE"))</f>
        <v/>
      </c>
      <c r="I1548" s="795"/>
      <c r="J1548" s="314" t="str">
        <f>IF(COUNTIF(J1542:J1547,"")&gt;5,"",IF(COUNTIF(J1542:J1547,"NO CUMPLE")&gt;0,"NO CUMPLE","CUMPLE"))</f>
        <v/>
      </c>
      <c r="K1548" s="314" t="str">
        <f>IF(OR(AND(F1540=1,N1542="SI"),AND(COUNTIF(H1548:J1548,"CUMPLE")=2)),"CUMPLE","NO CUMPLE")</f>
        <v>CUMPLE</v>
      </c>
      <c r="L1548" s="519"/>
      <c r="M1548" s="519"/>
      <c r="N1548" s="519"/>
      <c r="O1548" s="833" t="str">
        <f ca="1">IF(ISNUMBER(F1521),"",IF(AND(O1547="NO CUMPLE",SUM(N1528:N1534)&lt;Q1547),"EL PROPONENTE SE DEBE REQUERIR POR EXPERIENCIA MINIMA EXIGIDA",""))</f>
        <v/>
      </c>
      <c r="P1548" s="833"/>
      <c r="Q1548" s="833"/>
      <c r="R1548" s="833"/>
      <c r="S1548" s="833"/>
      <c r="T1548" s="522"/>
      <c r="U1548" s="523"/>
      <c r="V1548" s="524"/>
      <c r="W1548" s="284"/>
      <c r="X1548" s="364" t="str">
        <f>IF(Y1548=1,"PROPONENTE INDIVIDUAL","PROPONENTE PLURAL")</f>
        <v>PROPONENTE INDIVIDUAL</v>
      </c>
      <c r="Y1548" s="276">
        <f>F1540</f>
        <v>1</v>
      </c>
      <c r="Z1548" s="277" t="str">
        <f>IF(OR(AND(Z1542="SI APLICA",AA1542="SI APLICA"),AND(Z1543="SI APLICA",AA1543="SI APLICA"),AND(Z1544="SI APLICA",AA1544="SI APLICA"),AND(Z1545="SI APLICA",AA1545="SI APLICA"),AND(Z1546="SI APLICA",AA1546="SI APLICA"),AND(Z1547="SI APLICA",AA1547="SI APLICA")),"SI APLICA","NO APLICA")</f>
        <v>SI APLICA</v>
      </c>
      <c r="AA1548" s="278" t="str">
        <f>IF(OR(AND(AA1542="SI APLICA",AB1542="SI APLICA"),AND(AA1543="SI APLICA",AB1543="SI APLICA"),AND(AA1544="SI APLICA",AB1544="SI APLICA"),AND(AA1545="SI APLICA",AB1545="SI APLICA"),AND(AA1546="SI APLICA",AB1546="SI APLICA"),AND(AA1547="SI APLICA",AB1547="SI APLICA")),"SI APLICA","NO APLICA")</f>
        <v>SI APLICA</v>
      </c>
      <c r="AB1548" s="278" t="str">
        <f>IF(COUNTIF(AB1542:AB1547,"SI APLICA")&gt;0,"SI APLICA","NO APLICA")</f>
        <v>SI APLICA</v>
      </c>
      <c r="AC1548" s="28"/>
    </row>
    <row r="1549" spans="1:29" ht="24.95" customHeight="1"/>
    <row r="1550" spans="1:29" ht="24.95" customHeight="1"/>
    <row r="1551" spans="1:29" s="41" customFormat="1" ht="24" thickBot="1">
      <c r="A1551" s="34">
        <v>52</v>
      </c>
      <c r="B1551" s="828" t="s">
        <v>355</v>
      </c>
      <c r="C1551" s="828"/>
      <c r="D1551" s="828"/>
      <c r="E1551" s="35">
        <f>VLOOKUP(A1551,PROPONENTES!$B$19:$E$108,2,FALSE)</f>
        <v>52</v>
      </c>
      <c r="F1551" s="36" t="str">
        <f>VLOOKUP(A1551,PROPONENTES!$B$19:$E$108,3,FALSE)</f>
        <v>COINZA ING SAS</v>
      </c>
      <c r="G1551" s="37"/>
      <c r="H1551" s="37"/>
      <c r="I1551" s="36"/>
      <c r="J1551" s="36"/>
      <c r="K1551" s="36"/>
      <c r="L1551" s="36"/>
      <c r="M1551" s="38"/>
      <c r="N1551" s="38"/>
      <c r="O1551" s="37"/>
      <c r="P1551" s="37"/>
      <c r="Q1551" s="39"/>
      <c r="R1551" s="39"/>
      <c r="S1551" s="39"/>
      <c r="T1551" s="39"/>
      <c r="U1551" s="40"/>
      <c r="Y1551" s="52"/>
      <c r="Z1551" s="52"/>
      <c r="AA1551" s="52"/>
      <c r="AB1551" s="28"/>
      <c r="AC1551" s="28"/>
    </row>
    <row r="1552" spans="1:29" s="27" customFormat="1" ht="24.75" customHeight="1">
      <c r="A1552" s="22"/>
      <c r="B1552" s="829" t="s">
        <v>356</v>
      </c>
      <c r="C1552" s="501" t="s">
        <v>357</v>
      </c>
      <c r="D1552" s="502" t="s">
        <v>358</v>
      </c>
      <c r="E1552" s="502"/>
      <c r="F1552" s="502" t="s">
        <v>359</v>
      </c>
      <c r="G1552" s="503"/>
      <c r="H1552" s="803" t="s">
        <v>360</v>
      </c>
      <c r="I1552" s="831" t="s">
        <v>361</v>
      </c>
      <c r="J1552" s="803" t="s">
        <v>362</v>
      </c>
      <c r="K1552" s="803" t="s">
        <v>363</v>
      </c>
      <c r="L1552" s="803" t="s">
        <v>364</v>
      </c>
      <c r="M1552" s="803" t="s">
        <v>365</v>
      </c>
      <c r="N1552" s="804" t="s">
        <v>366</v>
      </c>
      <c r="O1552" s="805"/>
      <c r="P1552" s="806" t="s">
        <v>367</v>
      </c>
      <c r="Q1552" s="807"/>
      <c r="R1552" s="784" t="s">
        <v>368</v>
      </c>
      <c r="S1552" s="774"/>
      <c r="T1552" s="798" t="s">
        <v>369</v>
      </c>
      <c r="U1552" s="799"/>
      <c r="V1552" s="800"/>
      <c r="X1552" s="520"/>
      <c r="Y1552" s="520"/>
    </row>
    <row r="1553" spans="1:29" s="27" customFormat="1" ht="94.5" customHeight="1">
      <c r="A1553" s="22"/>
      <c r="B1553" s="830"/>
      <c r="C1553" s="504" t="s">
        <v>370</v>
      </c>
      <c r="D1553" s="505" t="s">
        <v>41</v>
      </c>
      <c r="E1553" s="505" t="s">
        <v>371</v>
      </c>
      <c r="F1553" s="505" t="s">
        <v>372</v>
      </c>
      <c r="G1553" s="506" t="s">
        <v>373</v>
      </c>
      <c r="H1553" s="793"/>
      <c r="I1553" s="832"/>
      <c r="J1553" s="793"/>
      <c r="K1553" s="793"/>
      <c r="L1553" s="793"/>
      <c r="M1553" s="793"/>
      <c r="N1553" s="504" t="s">
        <v>374</v>
      </c>
      <c r="O1553" s="505" t="s">
        <v>375</v>
      </c>
      <c r="P1553" s="801"/>
      <c r="Q1553" s="802"/>
      <c r="R1553" s="796"/>
      <c r="S1553" s="797"/>
      <c r="T1553" s="507" t="s">
        <v>376</v>
      </c>
      <c r="U1553" s="508" t="s">
        <v>377</v>
      </c>
      <c r="V1553" s="509" t="s">
        <v>378</v>
      </c>
      <c r="X1553" s="521" t="s">
        <v>379</v>
      </c>
      <c r="Y1553" s="521" t="s">
        <v>380</v>
      </c>
    </row>
    <row r="1554" spans="1:29" s="27" customFormat="1" ht="15" customHeight="1">
      <c r="A1554" s="22"/>
      <c r="B1554" s="594"/>
      <c r="C1554" s="595">
        <v>3</v>
      </c>
      <c r="D1554" s="595">
        <v>4</v>
      </c>
      <c r="E1554" s="595">
        <v>5</v>
      </c>
      <c r="F1554" s="595">
        <v>6</v>
      </c>
      <c r="G1554" s="595">
        <v>7</v>
      </c>
      <c r="H1554" s="595">
        <v>8</v>
      </c>
      <c r="I1554" s="595">
        <v>9</v>
      </c>
      <c r="J1554" s="595">
        <v>10</v>
      </c>
      <c r="K1554" s="595">
        <v>11</v>
      </c>
      <c r="L1554" s="595">
        <v>12</v>
      </c>
      <c r="M1554" s="595">
        <v>13</v>
      </c>
      <c r="N1554" s="595">
        <v>14</v>
      </c>
      <c r="O1554" s="595">
        <v>15</v>
      </c>
      <c r="P1554" s="596">
        <v>16</v>
      </c>
      <c r="Q1554" s="597">
        <v>17</v>
      </c>
      <c r="R1554" s="596">
        <v>18</v>
      </c>
      <c r="S1554" s="597">
        <v>19</v>
      </c>
      <c r="T1554" s="598">
        <v>20</v>
      </c>
      <c r="U1554" s="255">
        <v>21</v>
      </c>
      <c r="V1554" s="599">
        <v>22</v>
      </c>
      <c r="X1554" s="589"/>
      <c r="Y1554" s="590"/>
    </row>
    <row r="1555" spans="1:29" s="44" customFormat="1" ht="34.5" customHeight="1">
      <c r="A1555" s="42" t="str">
        <f>"A"&amp;E1551</f>
        <v>A52</v>
      </c>
      <c r="B1555" s="605">
        <f>IF(C1555&lt;&gt;"",B1554+1,"")</f>
        <v>1</v>
      </c>
      <c r="C1555" s="638" t="s">
        <v>795</v>
      </c>
      <c r="D1555" s="581" t="s">
        <v>796</v>
      </c>
      <c r="E1555" s="581" t="s">
        <v>797</v>
      </c>
      <c r="F1555" s="581" t="s">
        <v>384</v>
      </c>
      <c r="G1555" s="534">
        <v>1</v>
      </c>
      <c r="H1555" s="534" t="s">
        <v>385</v>
      </c>
      <c r="I1555" s="579" t="s">
        <v>384</v>
      </c>
      <c r="J1555" s="580" t="str">
        <f>IF(I1555="","",IF(I1555="I",$F1551,VLOOKUP(I1555,$C1572:$D1577,2,0)))</f>
        <v>COINZA ING SAS</v>
      </c>
      <c r="K1555" s="535">
        <v>40816</v>
      </c>
      <c r="L1555" s="535">
        <v>41029</v>
      </c>
      <c r="M1555" s="536">
        <v>795.17</v>
      </c>
      <c r="N1555" s="232">
        <f t="shared" ref="N1555:N1564" si="311">IF(OR(G1555="",M1555=""),"",M1555*G1555)</f>
        <v>795.17</v>
      </c>
      <c r="O1555" s="260">
        <f t="shared" ref="O1555:O1564" si="312">IF(OR(H1555="",H1555="NO",K1555&lt;$Q$17,K1555&gt;$R$17,K1555="",M1555="",N1555=""),"",ROUND(N1555,7))</f>
        <v>795.17</v>
      </c>
      <c r="P1555" s="781"/>
      <c r="Q1555" s="782"/>
      <c r="R1555" s="767"/>
      <c r="S1555" s="768"/>
      <c r="T1555" s="538" t="s">
        <v>385</v>
      </c>
      <c r="U1555" s="539">
        <v>17</v>
      </c>
      <c r="V1555" s="540" t="s">
        <v>385</v>
      </c>
      <c r="X1555" s="541" t="s">
        <v>446</v>
      </c>
      <c r="Y1555" s="541" t="s">
        <v>387</v>
      </c>
    </row>
    <row r="1556" spans="1:29" s="44" customFormat="1" ht="34.5" customHeight="1">
      <c r="A1556" s="42" t="str">
        <f>"B"&amp;E1551</f>
        <v>B52</v>
      </c>
      <c r="B1556" s="605">
        <f t="shared" ref="B1556:B1564" si="313">IF(C1556&lt;&gt;"",B1555+1,"")</f>
        <v>2</v>
      </c>
      <c r="C1556" s="638" t="s">
        <v>798</v>
      </c>
      <c r="D1556" s="581" t="s">
        <v>799</v>
      </c>
      <c r="E1556" s="581" t="s">
        <v>800</v>
      </c>
      <c r="F1556" s="581" t="s">
        <v>384</v>
      </c>
      <c r="G1556" s="534">
        <v>1</v>
      </c>
      <c r="H1556" s="534" t="s">
        <v>385</v>
      </c>
      <c r="I1556" s="579" t="s">
        <v>384</v>
      </c>
      <c r="J1556" s="580" t="str">
        <f>IF(I1556="","",IF(I1556="I",$F1551,VLOOKUP(I1556,$C1572:$D1577,2,0)))</f>
        <v>COINZA ING SAS</v>
      </c>
      <c r="K1556" s="535">
        <v>41764</v>
      </c>
      <c r="L1556" s="535">
        <v>41901</v>
      </c>
      <c r="M1556" s="536">
        <v>200.84</v>
      </c>
      <c r="N1556" s="232">
        <f t="shared" si="311"/>
        <v>200.84</v>
      </c>
      <c r="O1556" s="260">
        <f t="shared" si="312"/>
        <v>200.84</v>
      </c>
      <c r="P1556" s="781"/>
      <c r="Q1556" s="782"/>
      <c r="R1556" s="767"/>
      <c r="S1556" s="768"/>
      <c r="T1556" s="538" t="s">
        <v>385</v>
      </c>
      <c r="U1556" s="539">
        <v>23</v>
      </c>
      <c r="V1556" s="540" t="s">
        <v>385</v>
      </c>
      <c r="X1556" s="541" t="s">
        <v>386</v>
      </c>
      <c r="Y1556" s="541" t="s">
        <v>439</v>
      </c>
    </row>
    <row r="1557" spans="1:29" s="44" customFormat="1" ht="40.5" customHeight="1">
      <c r="A1557" s="42" t="str">
        <f>"C"&amp;E1551</f>
        <v>C52</v>
      </c>
      <c r="B1557" s="605">
        <f t="shared" si="313"/>
        <v>3</v>
      </c>
      <c r="C1557" s="638" t="s">
        <v>795</v>
      </c>
      <c r="D1557" s="581" t="s">
        <v>801</v>
      </c>
      <c r="E1557" s="581" t="s">
        <v>802</v>
      </c>
      <c r="F1557" s="581" t="s">
        <v>431</v>
      </c>
      <c r="G1557" s="534">
        <v>0.5</v>
      </c>
      <c r="H1557" s="534" t="s">
        <v>385</v>
      </c>
      <c r="I1557" s="579" t="s">
        <v>384</v>
      </c>
      <c r="J1557" s="580" t="str">
        <f>IF(I1557="","",IF(I1557="I",$F1551,VLOOKUP(I1557,$C1572:$D1577,2,0)))</f>
        <v>COINZA ING SAS</v>
      </c>
      <c r="K1557" s="535">
        <v>42929</v>
      </c>
      <c r="L1557" s="535">
        <v>43084</v>
      </c>
      <c r="M1557" s="536">
        <v>202.22</v>
      </c>
      <c r="N1557" s="232">
        <f t="shared" si="311"/>
        <v>101.11</v>
      </c>
      <c r="O1557" s="260">
        <f t="shared" si="312"/>
        <v>101.11</v>
      </c>
      <c r="P1557" s="781"/>
      <c r="Q1557" s="782"/>
      <c r="R1557" s="767"/>
      <c r="S1557" s="768"/>
      <c r="T1557" s="538" t="s">
        <v>385</v>
      </c>
      <c r="U1557" s="539">
        <v>47</v>
      </c>
      <c r="V1557" s="540" t="s">
        <v>385</v>
      </c>
      <c r="X1557" s="541" t="s">
        <v>446</v>
      </c>
      <c r="Y1557" s="541" t="s">
        <v>387</v>
      </c>
    </row>
    <row r="1558" spans="1:29" s="44" customFormat="1" ht="32.25" customHeight="1">
      <c r="A1558" s="42" t="str">
        <f>"D"&amp;E1551</f>
        <v>D52</v>
      </c>
      <c r="B1558" s="605">
        <f t="shared" si="313"/>
        <v>4</v>
      </c>
      <c r="C1558" s="638" t="s">
        <v>795</v>
      </c>
      <c r="D1558" s="581" t="s">
        <v>803</v>
      </c>
      <c r="E1558" s="581" t="s">
        <v>804</v>
      </c>
      <c r="F1558" s="581" t="s">
        <v>431</v>
      </c>
      <c r="G1558" s="534">
        <v>0.5</v>
      </c>
      <c r="H1558" s="534" t="s">
        <v>385</v>
      </c>
      <c r="I1558" s="579" t="s">
        <v>384</v>
      </c>
      <c r="J1558" s="580" t="str">
        <f>IF(I1558="","",IF(I1558="I",$F1551,VLOOKUP(I1558,$C1572:$D1577,2,0)))</f>
        <v>COINZA ING SAS</v>
      </c>
      <c r="K1558" s="535">
        <v>42992</v>
      </c>
      <c r="L1558" s="535">
        <v>43146</v>
      </c>
      <c r="M1558" s="536">
        <v>506.8</v>
      </c>
      <c r="N1558" s="232">
        <f t="shared" si="311"/>
        <v>253.4</v>
      </c>
      <c r="O1558" s="260">
        <f t="shared" si="312"/>
        <v>253.4</v>
      </c>
      <c r="P1558" s="781"/>
      <c r="Q1558" s="782"/>
      <c r="R1558" s="767"/>
      <c r="S1558" s="768"/>
      <c r="T1558" s="538" t="s">
        <v>385</v>
      </c>
      <c r="U1558" s="539">
        <v>53</v>
      </c>
      <c r="V1558" s="540" t="s">
        <v>385</v>
      </c>
      <c r="X1558" s="541" t="s">
        <v>446</v>
      </c>
      <c r="Y1558" s="541" t="s">
        <v>387</v>
      </c>
    </row>
    <row r="1559" spans="1:29" s="44" customFormat="1" ht="24.95" customHeight="1">
      <c r="A1559" s="42" t="str">
        <f>"E"&amp;E1551</f>
        <v>E52</v>
      </c>
      <c r="B1559" s="605" t="str">
        <f t="shared" si="313"/>
        <v/>
      </c>
      <c r="C1559" s="581"/>
      <c r="D1559" s="581"/>
      <c r="E1559" s="581"/>
      <c r="F1559" s="581"/>
      <c r="G1559" s="534"/>
      <c r="H1559" s="534"/>
      <c r="I1559" s="579"/>
      <c r="J1559" s="580" t="str">
        <f>IF(I1559="","",IF(I1559="I",$F1551,VLOOKUP(I1559,$C1572:$D1577,2,0)))</f>
        <v/>
      </c>
      <c r="K1559" s="535"/>
      <c r="L1559" s="535"/>
      <c r="M1559" s="536"/>
      <c r="N1559" s="232" t="str">
        <f t="shared" si="311"/>
        <v/>
      </c>
      <c r="O1559" s="260" t="str">
        <f t="shared" si="312"/>
        <v/>
      </c>
      <c r="P1559" s="781"/>
      <c r="Q1559" s="782"/>
      <c r="R1559" s="767"/>
      <c r="S1559" s="768"/>
      <c r="T1559" s="538"/>
      <c r="U1559" s="539"/>
      <c r="V1559" s="540"/>
      <c r="X1559" s="541"/>
      <c r="Y1559" s="541"/>
    </row>
    <row r="1560" spans="1:29" s="44" customFormat="1" ht="24.95" customHeight="1">
      <c r="A1560" s="42" t="str">
        <f>"F"&amp;E1551</f>
        <v>F52</v>
      </c>
      <c r="B1560" s="605" t="str">
        <f t="shared" si="313"/>
        <v/>
      </c>
      <c r="C1560" s="581"/>
      <c r="D1560" s="581"/>
      <c r="E1560" s="581"/>
      <c r="F1560" s="581"/>
      <c r="G1560" s="534"/>
      <c r="H1560" s="534"/>
      <c r="I1560" s="579"/>
      <c r="J1560" s="580" t="str">
        <f>IF(I1560="","",IF(I1560="I",$F1551,VLOOKUP(I1560,$C1572:$D1577,2,0)))</f>
        <v/>
      </c>
      <c r="K1560" s="535"/>
      <c r="L1560" s="535"/>
      <c r="M1560" s="536"/>
      <c r="N1560" s="232" t="str">
        <f t="shared" si="311"/>
        <v/>
      </c>
      <c r="O1560" s="260" t="str">
        <f t="shared" si="312"/>
        <v/>
      </c>
      <c r="P1560" s="781"/>
      <c r="Q1560" s="782"/>
      <c r="R1560" s="767"/>
      <c r="S1560" s="768"/>
      <c r="T1560" s="538"/>
      <c r="U1560" s="539"/>
      <c r="V1560" s="540"/>
      <c r="X1560" s="541"/>
      <c r="Y1560" s="541"/>
    </row>
    <row r="1561" spans="1:29" s="44" customFormat="1" ht="24.95" customHeight="1">
      <c r="A1561" s="42" t="str">
        <f>"G"&amp;E1551</f>
        <v>G52</v>
      </c>
      <c r="B1561" s="605" t="str">
        <f t="shared" si="313"/>
        <v/>
      </c>
      <c r="C1561" s="581"/>
      <c r="D1561" s="581"/>
      <c r="E1561" s="581"/>
      <c r="F1561" s="581"/>
      <c r="G1561" s="534"/>
      <c r="H1561" s="534"/>
      <c r="I1561" s="579"/>
      <c r="J1561" s="580" t="str">
        <f>IF(I1561="","",IF(I1561="I",$F1551,VLOOKUP(I1561,$C1572:$D1577,2,0)))</f>
        <v/>
      </c>
      <c r="K1561" s="535"/>
      <c r="L1561" s="535"/>
      <c r="M1561" s="536"/>
      <c r="N1561" s="43" t="str">
        <f t="shared" si="311"/>
        <v/>
      </c>
      <c r="O1561" s="260" t="str">
        <f t="shared" si="312"/>
        <v/>
      </c>
      <c r="P1561" s="781"/>
      <c r="Q1561" s="782"/>
      <c r="R1561" s="767"/>
      <c r="S1561" s="768"/>
      <c r="T1561" s="538"/>
      <c r="U1561" s="539"/>
      <c r="V1561" s="540"/>
      <c r="X1561" s="541"/>
      <c r="Y1561" s="541"/>
    </row>
    <row r="1562" spans="1:29" s="44" customFormat="1" ht="24.95" customHeight="1">
      <c r="A1562" s="42" t="str">
        <f>"H"&amp;E1551</f>
        <v>H52</v>
      </c>
      <c r="B1562" s="605" t="str">
        <f t="shared" si="313"/>
        <v/>
      </c>
      <c r="C1562" s="581"/>
      <c r="D1562" s="581"/>
      <c r="E1562" s="581"/>
      <c r="F1562" s="581"/>
      <c r="G1562" s="534"/>
      <c r="H1562" s="534"/>
      <c r="I1562" s="579"/>
      <c r="J1562" s="580" t="str">
        <f>IF(I1562="","",IF(I1562="I",$F1551,VLOOKUP(I1562,$C1572:$D1577,2,0)))</f>
        <v/>
      </c>
      <c r="K1562" s="535"/>
      <c r="L1562" s="535"/>
      <c r="M1562" s="537"/>
      <c r="N1562" s="43" t="str">
        <f t="shared" si="311"/>
        <v/>
      </c>
      <c r="O1562" s="260" t="str">
        <f t="shared" si="312"/>
        <v/>
      </c>
      <c r="P1562" s="781"/>
      <c r="Q1562" s="782"/>
      <c r="R1562" s="767"/>
      <c r="S1562" s="768"/>
      <c r="T1562" s="538"/>
      <c r="U1562" s="539"/>
      <c r="V1562" s="540"/>
      <c r="X1562" s="541"/>
      <c r="Y1562" s="541"/>
    </row>
    <row r="1563" spans="1:29" s="44" customFormat="1" ht="24.95" customHeight="1">
      <c r="A1563" s="42" t="str">
        <f>"I"&amp;E1551</f>
        <v>I52</v>
      </c>
      <c r="B1563" s="605" t="str">
        <f t="shared" si="313"/>
        <v/>
      </c>
      <c r="C1563" s="581"/>
      <c r="D1563" s="581"/>
      <c r="E1563" s="581"/>
      <c r="F1563" s="581"/>
      <c r="G1563" s="534"/>
      <c r="H1563" s="534"/>
      <c r="I1563" s="579"/>
      <c r="J1563" s="580" t="str">
        <f>IF(I1563="","",IF(I1563="I",$F1551,VLOOKUP(I1563,$C1572:$D1577,2,0)))</f>
        <v/>
      </c>
      <c r="K1563" s="535"/>
      <c r="L1563" s="535"/>
      <c r="M1563" s="537"/>
      <c r="N1563" s="43" t="str">
        <f t="shared" si="311"/>
        <v/>
      </c>
      <c r="O1563" s="260" t="str">
        <f t="shared" si="312"/>
        <v/>
      </c>
      <c r="P1563" s="781"/>
      <c r="Q1563" s="782"/>
      <c r="R1563" s="767"/>
      <c r="S1563" s="768"/>
      <c r="T1563" s="538"/>
      <c r="U1563" s="539"/>
      <c r="V1563" s="540"/>
      <c r="X1563" s="541"/>
      <c r="Y1563" s="541"/>
    </row>
    <row r="1564" spans="1:29" s="44" customFormat="1" ht="24.95" customHeight="1" thickBot="1">
      <c r="A1564" s="42" t="str">
        <f>"J"&amp;E1551</f>
        <v>J52</v>
      </c>
      <c r="B1564" s="612" t="str">
        <f t="shared" si="313"/>
        <v/>
      </c>
      <c r="C1564" s="582"/>
      <c r="D1564" s="582"/>
      <c r="E1564" s="582"/>
      <c r="F1564" s="582"/>
      <c r="G1564" s="583"/>
      <c r="H1564" s="583"/>
      <c r="I1564" s="584"/>
      <c r="J1564" s="585" t="str">
        <f>IF(I1564="","",IF(I1564="I",$F1551,VLOOKUP(I1564,$C1572:$D1577,2,0)))</f>
        <v/>
      </c>
      <c r="K1564" s="586"/>
      <c r="L1564" s="586"/>
      <c r="M1564" s="587"/>
      <c r="N1564" s="43" t="str">
        <f t="shared" si="311"/>
        <v/>
      </c>
      <c r="O1564" s="260" t="str">
        <f t="shared" si="312"/>
        <v/>
      </c>
      <c r="P1564" s="781"/>
      <c r="Q1564" s="782"/>
      <c r="R1564" s="767"/>
      <c r="S1564" s="768"/>
      <c r="T1564" s="538"/>
      <c r="U1564" s="539"/>
      <c r="V1564" s="540"/>
      <c r="X1564" s="541"/>
      <c r="Y1564" s="541"/>
    </row>
    <row r="1565" spans="1:29" s="27" customFormat="1" ht="12" customHeight="1" thickBot="1">
      <c r="A1565" s="42"/>
      <c r="B1565" s="45"/>
      <c r="C1565" s="46"/>
      <c r="D1565" s="46"/>
      <c r="E1565" s="46"/>
      <c r="F1565" s="46"/>
      <c r="G1565" s="46"/>
      <c r="H1565" s="606"/>
      <c r="I1565" s="46"/>
      <c r="J1565" s="46"/>
      <c r="K1565" s="46"/>
      <c r="L1565" s="46"/>
      <c r="M1565" s="46"/>
      <c r="N1565" s="46"/>
      <c r="O1565" s="259"/>
      <c r="P1565" s="46"/>
      <c r="Q1565" s="46"/>
      <c r="R1565" s="259"/>
      <c r="S1565" s="46"/>
      <c r="T1565" s="46"/>
      <c r="U1565" s="47"/>
      <c r="V1565" s="48"/>
      <c r="X1565" s="592"/>
      <c r="Y1565" s="593"/>
      <c r="AB1565" s="378"/>
    </row>
    <row r="1566" spans="1:29" s="27" customFormat="1" ht="17.25" customHeight="1" thickBot="1">
      <c r="A1566" s="42" t="str">
        <f>"Z"&amp;E1551</f>
        <v>Z52</v>
      </c>
      <c r="B1566" s="510"/>
      <c r="C1566" s="511"/>
      <c r="D1566" s="511"/>
      <c r="E1566" s="511"/>
      <c r="F1566" s="511"/>
      <c r="G1566" s="511"/>
      <c r="H1566" s="511"/>
      <c r="I1566" s="511"/>
      <c r="J1566" s="511"/>
      <c r="K1566" s="511"/>
      <c r="L1566" s="511"/>
      <c r="M1566" s="511"/>
      <c r="N1566" s="437" t="s">
        <v>388</v>
      </c>
      <c r="O1566" s="438">
        <f>IF(COUNTIF(O1555:O1564,"")&gt;9,0,SUM(O1555:O1564)/(COUNTIF(H1555:H1564,"SI")))</f>
        <v>337.63</v>
      </c>
      <c r="P1566" s="511"/>
      <c r="Q1566" s="511"/>
      <c r="R1566" s="530"/>
      <c r="S1566" s="530"/>
      <c r="T1566" s="531"/>
      <c r="U1566" s="532"/>
      <c r="V1566" s="533"/>
      <c r="W1566" s="285"/>
      <c r="X1566" s="613" t="e">
        <f>COUNTIF(#REF!,"")-COUNTIF(#REF!,"CUMPLE")-1</f>
        <v>#REF!</v>
      </c>
      <c r="Y1566" s="591"/>
      <c r="AB1566" s="28"/>
    </row>
    <row r="1567" spans="1:29" ht="17.25" customHeight="1">
      <c r="B1567" s="50"/>
      <c r="C1567" s="50"/>
      <c r="D1567" s="50"/>
      <c r="E1567" s="50"/>
      <c r="F1567" s="50"/>
      <c r="G1567" s="51"/>
      <c r="H1567" s="51"/>
      <c r="I1567" s="51"/>
      <c r="J1567" s="51"/>
      <c r="K1567" s="51"/>
      <c r="L1567" s="51"/>
      <c r="M1567" s="51"/>
      <c r="N1567" s="51"/>
      <c r="O1567" s="51"/>
      <c r="P1567" s="51"/>
      <c r="Q1567" s="51"/>
      <c r="R1567" s="51"/>
      <c r="S1567" s="51"/>
      <c r="T1567" s="51"/>
      <c r="U1567" s="51"/>
      <c r="V1567" s="51"/>
      <c r="W1567" s="51"/>
      <c r="X1567" s="608"/>
      <c r="Y1567" s="51"/>
      <c r="Z1567" s="51"/>
      <c r="AA1567" s="51"/>
      <c r="AB1567" s="51"/>
      <c r="AC1567" s="50"/>
    </row>
    <row r="1568" spans="1:29" s="27" customFormat="1" ht="16.5" customHeight="1" thickBot="1">
      <c r="A1568" s="22"/>
      <c r="B1568" s="783" t="s">
        <v>389</v>
      </c>
      <c r="C1568" s="783"/>
      <c r="D1568" s="783"/>
      <c r="E1568" s="783"/>
      <c r="F1568" s="783"/>
      <c r="G1568" s="783"/>
      <c r="H1568" s="783"/>
      <c r="I1568" s="783"/>
      <c r="J1568" s="783"/>
      <c r="K1568" s="783"/>
      <c r="L1568" s="783"/>
      <c r="M1568" s="783"/>
      <c r="N1568" s="783"/>
      <c r="O1568" s="783"/>
      <c r="P1568" s="783"/>
      <c r="Q1568" s="783"/>
      <c r="R1568" s="783"/>
      <c r="S1568" s="783"/>
      <c r="T1568" s="783"/>
      <c r="U1568" s="783"/>
      <c r="V1568" s="783"/>
      <c r="W1568" s="286"/>
      <c r="X1568" s="607"/>
      <c r="Y1568" s="52"/>
      <c r="Z1568" s="52"/>
      <c r="AA1568" s="52"/>
      <c r="AB1568" s="28"/>
      <c r="AC1568" s="28"/>
    </row>
    <row r="1569" spans="1:29" s="30" customFormat="1" ht="22.5" customHeight="1">
      <c r="A1569" s="112" t="str">
        <f>"K"&amp;E1551</f>
        <v>K52</v>
      </c>
      <c r="B1569" s="790" t="s">
        <v>390</v>
      </c>
      <c r="C1569" s="772" t="s">
        <v>391</v>
      </c>
      <c r="D1569" s="773"/>
      <c r="E1569" s="773"/>
      <c r="F1569" s="773"/>
      <c r="G1569" s="773"/>
      <c r="H1569" s="773"/>
      <c r="I1569" s="773"/>
      <c r="J1569" s="773"/>
      <c r="K1569" s="773"/>
      <c r="L1569" s="773"/>
      <c r="M1569" s="774"/>
      <c r="N1569" s="525"/>
      <c r="O1569" s="588"/>
      <c r="P1569" s="772" t="s">
        <v>392</v>
      </c>
      <c r="Q1569" s="773"/>
      <c r="R1569" s="773"/>
      <c r="S1569" s="774"/>
      <c r="T1569" s="784" t="s">
        <v>393</v>
      </c>
      <c r="U1569" s="774"/>
      <c r="V1569" s="811"/>
      <c r="W1569" s="284"/>
      <c r="X1569" s="778" t="s">
        <v>394</v>
      </c>
      <c r="Y1569" s="779"/>
      <c r="Z1569" s="779"/>
      <c r="AA1569" s="779" t="s">
        <v>395</v>
      </c>
      <c r="AB1569" s="808" t="s">
        <v>396</v>
      </c>
      <c r="AC1569" s="28"/>
    </row>
    <row r="1570" spans="1:29" s="30" customFormat="1" ht="22.5" customHeight="1">
      <c r="A1570" s="112" t="str">
        <f>"L"&amp;E1551</f>
        <v>L52</v>
      </c>
      <c r="B1570" s="791"/>
      <c r="C1570" s="769" t="s">
        <v>397</v>
      </c>
      <c r="D1570" s="770"/>
      <c r="E1570" s="771"/>
      <c r="F1570" s="512">
        <f>IF(VLOOKUP(E1551,PROPONENTES!$C$19:$E$108,3,0)="","",VLOOKUP(E1551,PROPONENTES!$C$19:$E$108,3,0))</f>
        <v>1</v>
      </c>
      <c r="G1570" s="824" t="s">
        <v>398</v>
      </c>
      <c r="H1570" s="793" t="s">
        <v>399</v>
      </c>
      <c r="I1570" s="793"/>
      <c r="J1570" s="769" t="s">
        <v>400</v>
      </c>
      <c r="K1570" s="823"/>
      <c r="L1570" s="513" t="s">
        <v>401</v>
      </c>
      <c r="M1570" s="513"/>
      <c r="N1570" s="526"/>
      <c r="O1570" s="527"/>
      <c r="P1570" s="775"/>
      <c r="Q1570" s="776"/>
      <c r="R1570" s="776"/>
      <c r="S1570" s="777"/>
      <c r="T1570" s="796"/>
      <c r="U1570" s="797"/>
      <c r="V1570" s="812"/>
      <c r="W1570" s="284"/>
      <c r="X1570" s="780" t="s">
        <v>402</v>
      </c>
      <c r="Y1570" s="810" t="s">
        <v>403</v>
      </c>
      <c r="Z1570" s="810"/>
      <c r="AA1570" s="810"/>
      <c r="AB1570" s="809"/>
      <c r="AC1570" s="28"/>
    </row>
    <row r="1571" spans="1:29" s="30" customFormat="1" ht="51.75" customHeight="1" thickBot="1">
      <c r="A1571" s="112" t="str">
        <f>"M"&amp;E1551</f>
        <v>M52</v>
      </c>
      <c r="B1571" s="791"/>
      <c r="C1571" s="770" t="s">
        <v>404</v>
      </c>
      <c r="D1571" s="771"/>
      <c r="E1571" s="514" t="s">
        <v>405</v>
      </c>
      <c r="F1571" s="515" t="s">
        <v>406</v>
      </c>
      <c r="G1571" s="824"/>
      <c r="H1571" s="793"/>
      <c r="I1571" s="793"/>
      <c r="J1571" s="504" t="s">
        <v>407</v>
      </c>
      <c r="K1571" s="516" t="s">
        <v>408</v>
      </c>
      <c r="L1571" s="517" t="s">
        <v>409</v>
      </c>
      <c r="M1571" s="517"/>
      <c r="N1571" s="528" t="s">
        <v>410</v>
      </c>
      <c r="O1571" s="529"/>
      <c r="P1571" s="386"/>
      <c r="Q1571" s="387" t="s">
        <v>411</v>
      </c>
      <c r="R1571" s="388"/>
      <c r="S1571" s="113">
        <f>COUNTIFS(H1555:H1564,"SI",O1555:O1564,"&gt;0")</f>
        <v>4</v>
      </c>
      <c r="T1571" s="785"/>
      <c r="U1571" s="787"/>
      <c r="V1571" s="813"/>
      <c r="W1571" s="284"/>
      <c r="X1571" s="780"/>
      <c r="Y1571" s="810"/>
      <c r="Z1571" s="810"/>
      <c r="AA1571" s="810"/>
      <c r="AB1571" s="809"/>
      <c r="AC1571" s="28"/>
    </row>
    <row r="1572" spans="1:29" s="30" customFormat="1" ht="15.75" customHeight="1">
      <c r="A1572" s="112" t="str">
        <f>"N"&amp;E1551</f>
        <v>N52</v>
      </c>
      <c r="B1572" s="791"/>
      <c r="C1572" s="54">
        <v>1</v>
      </c>
      <c r="D1572" s="100" t="str">
        <f>IF(AND(C1572&lt;=F1570,F1570&gt;1,F1570&lt;&gt;""),VLOOKUP(VALUE(E1551&amp;","&amp;C1572),INTEGRANTES!$D$19:$F$192,2,0),"")</f>
        <v/>
      </c>
      <c r="E1572" s="107" t="str">
        <f>IF(D1572&lt;&gt;"",VLOOKUP(VALUE(E1551&amp;","&amp;C1572),INTEGRANTES!$D$19:$F$192,3,0),"")</f>
        <v/>
      </c>
      <c r="F1572" s="380" t="str">
        <f>IF(D1572="","",IF(OR(SUMIF($J1558:$J1564,D1572,$O1558:$O1564)=0,N1572="NO"),"NO APORTA",SUMIF($J1558:$J1564,D1572,$O1558:$O1564)))</f>
        <v/>
      </c>
      <c r="G1572" s="380" t="str">
        <f>IF($D1572="","",IF($F1570&lt;=1,"",ROUND(POSMMLV*PORPO,2)))</f>
        <v/>
      </c>
      <c r="H1572" s="765" t="str">
        <f>IF($D1572="","",IF(OR(F1572="NO APORTA",G1572&gt;F1572),"NO CUMPLE","CUMPLE"))</f>
        <v/>
      </c>
      <c r="I1572" s="766"/>
      <c r="J1572" s="108" t="str">
        <f>IF(D1572="","",IF(OR(AND(SUMIF($J1555:$J1564,D1572,$O1555:$O1564)&gt;=5%*POSMMLV,N1572="SI"),AND(SUMIF($J1555:$J1564,D1572,$O1555:$O1564)=0,E1572&lt;=5%,N1572="SI")),"CUMPLE","NO CUMPLE"))</f>
        <v/>
      </c>
      <c r="K1572" s="105" t="str">
        <f>IF(OR(D1572="",J1572=""),"",IF(AND(J1572="NO CUMPLE",F1572="NO APORTA",E1572&gt;5%),"EXP = 0 y PART &gt; 5%",IF(F1572&lt;5%*Q1577,"EXP &lt; 5%*PO","")))</f>
        <v/>
      </c>
      <c r="L1572" s="389" t="str">
        <f>IF(OR(D1572="",E1572=""),"",IF(AND(E1572&gt;=0.25,F1572&lt;&gt;"NO APORTA",F1572&gt;=$R1577*0.25),"SI","NO"))</f>
        <v/>
      </c>
      <c r="M1572" s="389"/>
      <c r="N1572" s="468" t="s">
        <v>385</v>
      </c>
      <c r="O1572" s="396">
        <f>COUNTIFS(O1555:O1564,"&gt;0",H1555:H1564,"SI")</f>
        <v>4</v>
      </c>
      <c r="P1572" s="814" t="s">
        <v>139</v>
      </c>
      <c r="Q1572" s="814"/>
      <c r="R1572" s="817">
        <f>E1551</f>
        <v>52</v>
      </c>
      <c r="S1572" s="818"/>
      <c r="T1572" s="784" t="s">
        <v>412</v>
      </c>
      <c r="U1572" s="773"/>
      <c r="V1572" s="774"/>
      <c r="W1572" s="283"/>
      <c r="X1572" s="542" t="str">
        <f>IF($F1570=1,"NO APLICA",$D1572)</f>
        <v>NO APLICA</v>
      </c>
      <c r="Y1572" s="543" t="str">
        <f>IF(OR($F1572="",$F1572="NO APORTA",$R1577=0,$X1572="NO APLICA"),"",ROUND($F1572/$Q1577,2))</f>
        <v/>
      </c>
      <c r="Z1572" s="544" t="str">
        <f>IF(Y1578=1,"SI APLICA",IF(OR($X1572="",$X1572="NO APLICA",$F1572="",$F1572="NO APORTA"),"",IF(ROUND($F1572/Q1577,7)&gt;=0.4,"SI APLICA","NO APLICA")))</f>
        <v>SI APLICA</v>
      </c>
      <c r="AA1572" s="543" t="s">
        <v>413</v>
      </c>
      <c r="AB1572" s="540" t="str">
        <f>IF(COUNTIF(Z1572:AA1572,"SI APLICA")=2,"SI APLICA","")</f>
        <v>SI APLICA</v>
      </c>
      <c r="AC1572" s="28"/>
    </row>
    <row r="1573" spans="1:29" s="30" customFormat="1" ht="15.75" customHeight="1" thickBot="1">
      <c r="A1573" s="112" t="str">
        <f>"O"&amp;E1551</f>
        <v>O52</v>
      </c>
      <c r="B1573" s="791"/>
      <c r="C1573" s="54">
        <v>2</v>
      </c>
      <c r="D1573" s="100" t="str">
        <f>IF(AND(C1573&lt;=F1570,F1570&lt;&gt;""),VLOOKUP(VALUE(E1551&amp;","&amp;C1573),INTEGRANTES!$D$19:$F$192,2,0),"")</f>
        <v/>
      </c>
      <c r="E1573" s="107" t="str">
        <f>IF(D1573&lt;&gt;"",VLOOKUP(VALUE(E1551&amp;","&amp;C1573),INTEGRANTES!$D$19:$F$192,3,0),"")</f>
        <v/>
      </c>
      <c r="F1573" s="380" t="str">
        <f>IF(D1573="","",IF(OR(SUMIF($J1558:$J1564,D1573,$O1558:$O1564)=0,N1573="NO"),"NO APORTA",SUMIF($J1558:$J1564,D1573,$O1558:$O1564)))</f>
        <v/>
      </c>
      <c r="G1573" s="380" t="str">
        <f>IF($D1573="","",IF($F1570&lt;=1,"",ROUND(POSMMLV*PORPO,2)))</f>
        <v/>
      </c>
      <c r="H1573" s="765" t="str">
        <f t="shared" ref="H1573:H1576" si="314">IF($D1573="","",IF(OR(F1573="NO APORTA",G1573&gt;F1573),"NO CUMPLE","CUMPLE"))</f>
        <v/>
      </c>
      <c r="I1573" s="766"/>
      <c r="J1573" s="108" t="str">
        <f>IF(D1573="","",IF(OR(AND(SUMIF($J1555:$J1564,D1573,$O1555:$O1564)&gt;=5%*POSMMLV,N1573="SI"),AND(SUMIF($J1555:$J1564,D1573,$O1555:$O1564)=0,E1573&lt;=5%,N1573="SI")),"CUMPLE","NO CUMPLE"))</f>
        <v/>
      </c>
      <c r="K1573" s="105" t="str">
        <f>IF(OR(D1573="",J1573=""),"",IF(AND(J1573="NO CUMPLE",F1573="NO APORTA",E1573&gt;5%),"EXP = 0 y PART &gt; 5%",IF(F1573&lt;5%*Q1577,"EXP &lt; 5%*PO","")))</f>
        <v/>
      </c>
      <c r="L1573" s="389" t="str">
        <f>IF(OR(D1573="",E1573=""),"",IF(AND(E1573&gt;=0.25,F1573&lt;&gt;"NO APORTA",F1573&gt;=$R1577*0.25),"SI","NO"))</f>
        <v/>
      </c>
      <c r="M1573" s="389"/>
      <c r="N1573" s="468" t="s">
        <v>385</v>
      </c>
      <c r="O1573" s="396"/>
      <c r="P1573" s="815"/>
      <c r="Q1573" s="815"/>
      <c r="R1573" s="815"/>
      <c r="S1573" s="819"/>
      <c r="T1573" s="785"/>
      <c r="U1573" s="786"/>
      <c r="V1573" s="787"/>
      <c r="W1573" s="283"/>
      <c r="X1573" s="542" t="str">
        <f>IF($F1570=1,"NO APLICA",$D1573)</f>
        <v>NO APLICA</v>
      </c>
      <c r="Y1573" s="543" t="str">
        <f>IF(OR($F1573="",$F1573="NO APORTA",$R1577=0,$X1573="NO APLICA"),"",ROUND($F1573/$Q1577,2))</f>
        <v/>
      </c>
      <c r="Z1573" s="544"/>
      <c r="AA1573" s="543"/>
      <c r="AB1573" s="540" t="str">
        <f t="shared" ref="AB1573" si="315">IF(COUNTIF(Z1573:AA1573,"SI APLICA")=2,"SI APLICA","")</f>
        <v/>
      </c>
      <c r="AC1573" s="28"/>
    </row>
    <row r="1574" spans="1:29" s="30" customFormat="1" ht="15.75" customHeight="1">
      <c r="A1574" s="112" t="str">
        <f>"P"&amp;E1551</f>
        <v>P52</v>
      </c>
      <c r="B1574" s="791"/>
      <c r="C1574" s="54">
        <v>3</v>
      </c>
      <c r="D1574" s="100" t="str">
        <f>IF(AND(C1574&lt;=F1570,F1570&lt;&gt;""),VLOOKUP(VALUE(E1551&amp;","&amp;C1574),INTEGRANTES!$D$19:$F$192,2,0),"")</f>
        <v/>
      </c>
      <c r="E1574" s="107" t="str">
        <f>IF(D1574&lt;&gt;"",VLOOKUP(VALUE(E1551&amp;","&amp;C1574),INTEGRANTES!$D$19:$F$192,3,0),"")</f>
        <v/>
      </c>
      <c r="F1574" s="380" t="str">
        <f>IF(D1574="","",IF(OR(SUMIF($J1558:$J1564,D1574,$O1558:$O1564)=0,N1574="NO"),"NO APORTA",SUMIF($J1558:$J1564,D1574,$O1558:$O1564)))</f>
        <v/>
      </c>
      <c r="G1574" s="380" t="str">
        <f>IF($D1574="","",IF($F1570&lt;=1,"",ROUND(POSMMLV*PORPO,2)))</f>
        <v/>
      </c>
      <c r="H1574" s="765" t="str">
        <f t="shared" si="314"/>
        <v/>
      </c>
      <c r="I1574" s="766"/>
      <c r="J1574" s="108" t="str">
        <f>IF(D1574="","",IF(OR(AND(SUMIF($J1555:$J1564,D1574,$O1555:$O1564)&gt;=5%*POSMMLV,N1574="SI"),AND(SUMIF($J1555:$J1564,D1574,$O1555:$O1564)=0,E1574&lt;=5%,N1574="SI")),"CUMPLE","NO CUMPLE"))</f>
        <v/>
      </c>
      <c r="K1574" s="105" t="str">
        <f>IF(OR(D1574="",J1574=""),"",IF(AND(J1574="NO CUMPLE",F1574="NO APORTA",E1574&gt;5%),"EXP = 0 y PART &gt; 5%",IF(F1574&lt;5%*Q1577,"EXP &lt; 5%*PO","")))</f>
        <v/>
      </c>
      <c r="L1574" s="389" t="str">
        <f>IF(OR(D1574="",E1574=""),"",IF(AND(E1574&gt;=0.25,F1574&lt;&gt;"NO APORTA",F1574&gt;=$R1577*0.25),"SI","NO"))</f>
        <v/>
      </c>
      <c r="M1574" s="389"/>
      <c r="N1574" s="468"/>
      <c r="O1574" s="397"/>
      <c r="P1574" s="816"/>
      <c r="Q1574" s="816"/>
      <c r="R1574" s="816"/>
      <c r="S1574" s="820"/>
      <c r="T1574" s="308"/>
      <c r="U1574" s="308"/>
      <c r="V1574" s="309"/>
      <c r="W1574" s="284"/>
      <c r="X1574" s="542" t="str">
        <f>IF($F1570=1,"NO APLICA",$D1574)</f>
        <v>NO APLICA</v>
      </c>
      <c r="Y1574" s="543" t="str">
        <f>IF(OR($F1574="",$F1574="NO APORTA",$R1577=0,$X1574="NO APLICA"),"",ROUND($F1574/$Q1577,2))</f>
        <v/>
      </c>
      <c r="Z1574" s="544"/>
      <c r="AA1574" s="543"/>
      <c r="AB1574" s="540" t="str">
        <f>IF(COUNTIF(Z1574:AA1574,"SI APLICA")=2,"SI APLICA","")</f>
        <v/>
      </c>
      <c r="AC1574" s="28"/>
    </row>
    <row r="1575" spans="1:29" s="30" customFormat="1" ht="15.75" customHeight="1">
      <c r="A1575" s="112" t="str">
        <f>"Q"&amp;E1551</f>
        <v>Q52</v>
      </c>
      <c r="B1575" s="791"/>
      <c r="C1575" s="54">
        <v>4</v>
      </c>
      <c r="D1575" s="100" t="str">
        <f>IF(AND(C1575&lt;=F1570,F1570&lt;&gt;""),VLOOKUP(VALUE(E1551&amp;","&amp;C1575),INTEGRANTES!$D$19:$F$192,2,0),"")</f>
        <v/>
      </c>
      <c r="E1575" s="107" t="str">
        <f>IF(D1575&lt;&gt;"",VLOOKUP(VALUE(E1551&amp;","&amp;C1575),INTEGRANTES!$D$19:$F$192,3,0),"")</f>
        <v/>
      </c>
      <c r="F1575" s="380" t="str">
        <f>IF(D1575="","",IF(OR(SUMIF($J1558:$J1564,D1575,$O1558:$O1564)=0,N1575="NO"),"NO APORTA",SUMIF($J1558:$J1564,D1575,$O1558:$O1564)))</f>
        <v/>
      </c>
      <c r="G1575" s="380" t="str">
        <f>IF($D1575="","",IF($F1570&lt;=1,"",ROUND(POSMMLV*PORPO,2)))</f>
        <v/>
      </c>
      <c r="H1575" s="765" t="str">
        <f t="shared" si="314"/>
        <v/>
      </c>
      <c r="I1575" s="766"/>
      <c r="J1575" s="108" t="str">
        <f>IF(D1575="","",IF(OR(AND(SUMIF($J1555:$J1564,D1575,$O1555:$O1564)&gt;=5%*POSMMLV,N1575="SI"),AND(SUMIF($J1555:$J1564,D1575,$O1555:$O1564)=0,E1575&lt;=5%,N1575="SI")),"CUMPLE","NO CUMPLE"))</f>
        <v/>
      </c>
      <c r="K1575" s="105" t="str">
        <f>IF(OR(D1575="",J1575=""),"",IF(AND(J1575="NO CUMPLE",F1575="NO APORTA",E1575&gt;5%),"EXP = 0 y PART &gt; 5%",IF(F1575&lt;5%*Q1577,"EXP &lt; 5%*PO","")))</f>
        <v/>
      </c>
      <c r="L1575" s="389" t="str">
        <f>IF(OR(D1575="",E1575=""),"",IF(AND(E1575&gt;=0.25,F1575&lt;&gt;"NO APORTA",F1575&gt;=$R1577*0.25),"SI","NO"))</f>
        <v/>
      </c>
      <c r="M1575" s="389"/>
      <c r="N1575" s="468"/>
      <c r="O1575" s="788" t="s">
        <v>414</v>
      </c>
      <c r="P1575" s="769" t="s">
        <v>415</v>
      </c>
      <c r="Q1575" s="770"/>
      <c r="R1575" s="770"/>
      <c r="S1575" s="771"/>
      <c r="T1575" s="284"/>
      <c r="U1575" s="284"/>
      <c r="V1575" s="310"/>
      <c r="W1575" s="284"/>
      <c r="X1575" s="542" t="str">
        <f>IF($F1570=1,"NO APLICA",$D1575)</f>
        <v>NO APLICA</v>
      </c>
      <c r="Y1575" s="543" t="str">
        <f>IF(OR($F1575="",$F1575="NO APORTA",$R1577=0,$X1575="NO APLICA"),"",ROUND($F1575/$Q1577,2))</f>
        <v/>
      </c>
      <c r="Z1575" s="544"/>
      <c r="AA1575" s="543"/>
      <c r="AB1575" s="540" t="str">
        <f t="shared" ref="AB1575:AB1576" si="316">IF(COUNTIF(Z1575:AA1575,"SI APLICA")=2,"SI APLICA","")</f>
        <v/>
      </c>
      <c r="AC1575" s="28"/>
    </row>
    <row r="1576" spans="1:29" s="30" customFormat="1" ht="17.25" customHeight="1">
      <c r="A1576" s="112" t="str">
        <f>"R"&amp;E1551</f>
        <v>R52</v>
      </c>
      <c r="B1576" s="791"/>
      <c r="C1576" s="54">
        <v>5</v>
      </c>
      <c r="D1576" s="100" t="str">
        <f>IF(AND(C1576&lt;=F1570,F1570&lt;&gt;""),VLOOKUP(VALUE(E1551&amp;","&amp;C1576),INTEGRANTES!$D$19:$F$192,2,0),"")</f>
        <v/>
      </c>
      <c r="E1576" s="107" t="str">
        <f>IF(D1576&lt;&gt;"",VLOOKUP(VALUE(E1551&amp;","&amp;C1576),INTEGRANTES!$D$19:$F$192,3,0),"")</f>
        <v/>
      </c>
      <c r="F1576" s="380" t="str">
        <f>IF(D1576="","",IF(OR(SUMIF($J1558:$J1564,D1576,$O1558:$O1564)=0,N1576="NO"),"NO APORTA",SUMIF($J1558:$J1564,D1576,$O1558:$O1564)))</f>
        <v/>
      </c>
      <c r="G1576" s="380" t="str">
        <f>IF($D1576="","",IF($F1570&lt;=1,"",ROUND(POSMMLV*PORPO,2)))</f>
        <v/>
      </c>
      <c r="H1576" s="765" t="str">
        <f t="shared" si="314"/>
        <v/>
      </c>
      <c r="I1576" s="766"/>
      <c r="J1576" s="108" t="str">
        <f>IF(D1576="","",IF(OR(AND(SUMIF($J1555:$J1564,D1576,$O1555:$O1564)&gt;=5%*POSMMLV,N1576="SI"),AND(SUMIF($J1555:$J1564,D1576,$O1555:$O1564)=0,E1576&lt;=5%,N1576="SI")),"CUMPLE","NO CUMPLE"))</f>
        <v/>
      </c>
      <c r="K1576" s="105" t="str">
        <f>IF(OR(D1576="",J1576=""),"",IF(AND(J1576="NO CUMPLE",F1576="NO APORTA",E1576&gt;5%),"EXP = 0 y PART &gt; 5%",IF(F1576&lt;5%*Q1577,"EXP &lt; 5%*PO","")))</f>
        <v/>
      </c>
      <c r="L1576" s="389" t="str">
        <f>IF(OR(D1576="",E1576=""),"",IF(AND(E1576&gt;=0.25,F1576&lt;&gt;"NO APORTA",F1576&gt;=$R1577*0.25),"SI","NO"))</f>
        <v/>
      </c>
      <c r="M1576" s="389"/>
      <c r="N1576" s="468"/>
      <c r="O1576" s="789"/>
      <c r="P1576" s="504" t="s">
        <v>416</v>
      </c>
      <c r="Q1576" s="504" t="s">
        <v>417</v>
      </c>
      <c r="R1576" s="793" t="s">
        <v>418</v>
      </c>
      <c r="S1576" s="793"/>
      <c r="T1576" s="284"/>
      <c r="U1576" s="284"/>
      <c r="V1576" s="310"/>
      <c r="W1576" s="284"/>
      <c r="X1576" s="542" t="str">
        <f>IF($F1570=1,"NO APLICA",$D1576)</f>
        <v>NO APLICA</v>
      </c>
      <c r="Y1576" s="543" t="str">
        <f>IF(OR($F1576="",$F1576="NO APORTA",$R1577=0,$X1576="NO APLICA"),"",ROUND($F1576/$Q1577,2))</f>
        <v/>
      </c>
      <c r="Z1576" s="544"/>
      <c r="AA1576" s="543"/>
      <c r="AB1576" s="540" t="str">
        <f t="shared" si="316"/>
        <v/>
      </c>
      <c r="AC1576" s="28"/>
    </row>
    <row r="1577" spans="1:29" s="30" customFormat="1" ht="16.5" customHeight="1" thickBot="1">
      <c r="A1577" s="112" t="str">
        <f>"S"&amp;E1551</f>
        <v>S52</v>
      </c>
      <c r="B1577" s="791"/>
      <c r="C1577" s="109">
        <v>6</v>
      </c>
      <c r="D1577" s="110" t="str">
        <f>IF(AND(C1577&lt;=F1570,F1570&lt;&gt;""),VLOOKUP(VALUE(E1551&amp;","&amp;C1577),INTEGRANTES!$D$19:$F$192,2,0),"")</f>
        <v/>
      </c>
      <c r="E1577" s="111" t="str">
        <f>IF(D1577&lt;&gt;"",VLOOKUP(VALUE(E1551&amp;","&amp;C1577),INTEGRANTES!$D$19:$F$192,3,0),"")</f>
        <v/>
      </c>
      <c r="F1577" s="380" t="str">
        <f>IF(D1577="","",IF(OR(SUMIF($J1558:$J1564,D1577,$O1558:$O1564)=0,N1577="NO"),"NO APORTA",SUMIF($J1558:$J1564,D1577,$O1558:$O1564)))</f>
        <v/>
      </c>
      <c r="G1577" s="380" t="str">
        <f>IF($D1577="","",IF($F1570&lt;=1,"",ROUND(POSMMLV*PORPO,2)))</f>
        <v/>
      </c>
      <c r="H1577" s="765" t="str">
        <f>IF($D1577="","",IF(OR(F1577="NO APORTA",G1577&gt;F1577),"NO CUMPLE","CUMPLE"))</f>
        <v/>
      </c>
      <c r="I1577" s="766"/>
      <c r="J1577" s="108" t="str">
        <f>IF(D1577="","",IF(OR(AND(SUMIF($J1555:$J1564,D1577,$O1555:$O1564)&gt;=5%*POSMMLV,N1577="SI"),AND(SUMIF($J1555:$J1564,D1577,$O1555:$O1564)=0,E1577&lt;=5%,N1577="SI")),"CUMPLE","NO CUMPLE"))</f>
        <v/>
      </c>
      <c r="K1577" s="105" t="str">
        <f>IF(OR(D1577="",J1577=""),"",IF(AND(J1577="NO CUMPLE",F1577="NO APORTA",E1577&gt;5%),"EXP = 0 y PART &gt; 5%",IF(F1577&lt;5%*Q1577,"EXP &lt; 5%*PO","")))</f>
        <v/>
      </c>
      <c r="L1577" s="389" t="str">
        <f>IF(OR(D1577="",E1577=""),"",IF(AND(E1577&gt;=0.25,F1577&lt;&gt;"NO APORTA",F1577&gt;=$R1577*0.25),"SI","NO"))</f>
        <v/>
      </c>
      <c r="M1577" s="389"/>
      <c r="N1577" s="468"/>
      <c r="O1577" s="403" t="str">
        <f ca="1">IF(R1577&gt;=Q1577,"CUMPLE","NO CUMPLE")</f>
        <v>CUMPLE</v>
      </c>
      <c r="P1577" s="312">
        <f>NUMMOD</f>
        <v>1</v>
      </c>
      <c r="Q1577" s="313">
        <f ca="1">IF(P1577="","",ROUND(VLOOKUP(P1577,PRESUPUESTOS!$B$16:$L$16,9,FALSE),7))</f>
        <v>300</v>
      </c>
      <c r="R1577" s="834">
        <f>IF(OR(COUNTIF(O1555:O1564,"")&gt;9,S1571&lt;NUMMINCONT),0,SUM(O1555:O1564))</f>
        <v>1350.52</v>
      </c>
      <c r="S1577" s="834"/>
      <c r="T1577" s="284"/>
      <c r="U1577" s="284"/>
      <c r="V1577" s="310"/>
      <c r="W1577" s="284"/>
      <c r="X1577" s="545" t="str">
        <f>IF($F1570=1,"NO APLICA",$D1577)</f>
        <v>NO APLICA</v>
      </c>
      <c r="Y1577" s="543" t="str">
        <f>IF(OR($F1577="",$F1577="NO APORTA",$R1577=0,$X1577="NO APLICA"),"",ROUND($F1577/$Q1577,2))</f>
        <v/>
      </c>
      <c r="Z1577" s="544"/>
      <c r="AA1577" s="546"/>
      <c r="AB1577" s="540" t="str">
        <f>IF(COUNTIF(Z1577:AA1577,"SI APLICA")=2,"SI APLICA","")</f>
        <v/>
      </c>
      <c r="AC1577" s="28"/>
    </row>
    <row r="1578" spans="1:29" s="30" customFormat="1" ht="16.5" customHeight="1" thickBot="1">
      <c r="A1578" s="112" t="str">
        <f>"T"&amp;E1551</f>
        <v>T52</v>
      </c>
      <c r="B1578" s="792"/>
      <c r="C1578" s="821" t="s">
        <v>419</v>
      </c>
      <c r="D1578" s="822"/>
      <c r="E1578" s="822"/>
      <c r="F1578" s="518"/>
      <c r="G1578" s="519"/>
      <c r="H1578" s="794" t="str">
        <f>IF(OR($F1570="",SUM(E1572:E1577)=0),"",IF(COUNTIF(H1572:H1577,"CUMPLE")&gt;=1,"CUMPLE","NO CUMPLE"))</f>
        <v/>
      </c>
      <c r="I1578" s="795"/>
      <c r="J1578" s="314" t="str">
        <f>IF(COUNTIF(J1572:J1577,"")&gt;5,"",IF(COUNTIF(J1572:J1577,"NO CUMPLE")&gt;0,"NO CUMPLE","CUMPLE"))</f>
        <v/>
      </c>
      <c r="K1578" s="314" t="str">
        <f>IF(OR(AND(F1570=1,N1572="SI"),AND(COUNTIF(H1578:J1578,"CUMPLE")=2)),"CUMPLE","NO CUMPLE")</f>
        <v>CUMPLE</v>
      </c>
      <c r="L1578" s="519"/>
      <c r="M1578" s="519"/>
      <c r="N1578" s="519"/>
      <c r="O1578" s="833" t="str">
        <f ca="1">IF(ISNUMBER(F1551),"",IF(AND(O1577="NO CUMPLE",SUM(N1558:N1564)&lt;Q1577),"EL PROPONENTE SE DEBE REQUERIR POR EXPERIENCIA MINIMA EXIGIDA",""))</f>
        <v/>
      </c>
      <c r="P1578" s="833"/>
      <c r="Q1578" s="833"/>
      <c r="R1578" s="833"/>
      <c r="S1578" s="833"/>
      <c r="T1578" s="522"/>
      <c r="U1578" s="523"/>
      <c r="V1578" s="524"/>
      <c r="W1578" s="284"/>
      <c r="X1578" s="364" t="str">
        <f>IF(Y1578=1,"PROPONENTE INDIVIDUAL","PROPONENTE PLURAL")</f>
        <v>PROPONENTE INDIVIDUAL</v>
      </c>
      <c r="Y1578" s="276">
        <f>F1570</f>
        <v>1</v>
      </c>
      <c r="Z1578" s="277" t="str">
        <f>IF(OR(AND(Z1572="SI APLICA",AA1572="SI APLICA"),AND(Z1573="SI APLICA",AA1573="SI APLICA"),AND(Z1574="SI APLICA",AA1574="SI APLICA"),AND(Z1575="SI APLICA",AA1575="SI APLICA"),AND(Z1576="SI APLICA",AA1576="SI APLICA"),AND(Z1577="SI APLICA",AA1577="SI APLICA")),"SI APLICA","NO APLICA")</f>
        <v>SI APLICA</v>
      </c>
      <c r="AA1578" s="278" t="str">
        <f>IF(OR(AND(AA1572="SI APLICA",AB1572="SI APLICA"),AND(AA1573="SI APLICA",AB1573="SI APLICA"),AND(AA1574="SI APLICA",AB1574="SI APLICA"),AND(AA1575="SI APLICA",AB1575="SI APLICA"),AND(AA1576="SI APLICA",AB1576="SI APLICA"),AND(AA1577="SI APLICA",AB1577="SI APLICA")),"SI APLICA","NO APLICA")</f>
        <v>SI APLICA</v>
      </c>
      <c r="AB1578" s="278" t="str">
        <f>IF(COUNTIF(AB1572:AB1577,"SI APLICA")&gt;0,"SI APLICA","NO APLICA")</f>
        <v>SI APLICA</v>
      </c>
      <c r="AC1578" s="28"/>
    </row>
    <row r="1579" spans="1:29" ht="24.95" customHeight="1"/>
    <row r="1580" spans="1:29" ht="24.95" customHeight="1"/>
    <row r="1581" spans="1:29" s="41" customFormat="1" ht="24" thickBot="1">
      <c r="A1581" s="34">
        <v>53</v>
      </c>
      <c r="B1581" s="828" t="s">
        <v>355</v>
      </c>
      <c r="C1581" s="828"/>
      <c r="D1581" s="828"/>
      <c r="E1581" s="35">
        <f>VLOOKUP(A1581,PROPONENTES!$B$19:$E$108,2,FALSE)</f>
        <v>53</v>
      </c>
      <c r="F1581" s="36" t="str">
        <f>VLOOKUP(A1581,PROPONENTES!$B$19:$E$108,3,FALSE)</f>
        <v>NORBERTO BAYONA ESPITIA</v>
      </c>
      <c r="G1581" s="37"/>
      <c r="H1581" s="37"/>
      <c r="I1581" s="36"/>
      <c r="J1581" s="36"/>
      <c r="K1581" s="36"/>
      <c r="L1581" s="36"/>
      <c r="M1581" s="38"/>
      <c r="N1581" s="38"/>
      <c r="O1581" s="37"/>
      <c r="P1581" s="37"/>
      <c r="Q1581" s="39"/>
      <c r="R1581" s="39"/>
      <c r="S1581" s="39"/>
      <c r="T1581" s="39"/>
      <c r="U1581" s="40"/>
      <c r="Y1581" s="52"/>
      <c r="Z1581" s="52"/>
      <c r="AA1581" s="52"/>
      <c r="AB1581" s="28"/>
      <c r="AC1581" s="28"/>
    </row>
    <row r="1582" spans="1:29" s="27" customFormat="1" ht="24.75" customHeight="1">
      <c r="A1582" s="22"/>
      <c r="B1582" s="829" t="s">
        <v>356</v>
      </c>
      <c r="C1582" s="501" t="s">
        <v>357</v>
      </c>
      <c r="D1582" s="502" t="s">
        <v>358</v>
      </c>
      <c r="E1582" s="502"/>
      <c r="F1582" s="502" t="s">
        <v>359</v>
      </c>
      <c r="G1582" s="503"/>
      <c r="H1582" s="803" t="s">
        <v>360</v>
      </c>
      <c r="I1582" s="831" t="s">
        <v>361</v>
      </c>
      <c r="J1582" s="803" t="s">
        <v>362</v>
      </c>
      <c r="K1582" s="803" t="s">
        <v>363</v>
      </c>
      <c r="L1582" s="803" t="s">
        <v>364</v>
      </c>
      <c r="M1582" s="803" t="s">
        <v>365</v>
      </c>
      <c r="N1582" s="804" t="s">
        <v>366</v>
      </c>
      <c r="O1582" s="805"/>
      <c r="P1582" s="806" t="s">
        <v>367</v>
      </c>
      <c r="Q1582" s="807"/>
      <c r="R1582" s="784" t="s">
        <v>368</v>
      </c>
      <c r="S1582" s="774"/>
      <c r="T1582" s="798" t="s">
        <v>369</v>
      </c>
      <c r="U1582" s="799"/>
      <c r="V1582" s="800"/>
      <c r="X1582" s="520"/>
      <c r="Y1582" s="520"/>
    </row>
    <row r="1583" spans="1:29" s="27" customFormat="1" ht="94.5" customHeight="1">
      <c r="A1583" s="22"/>
      <c r="B1583" s="830"/>
      <c r="C1583" s="504" t="s">
        <v>370</v>
      </c>
      <c r="D1583" s="505" t="s">
        <v>41</v>
      </c>
      <c r="E1583" s="505" t="s">
        <v>371</v>
      </c>
      <c r="F1583" s="505" t="s">
        <v>372</v>
      </c>
      <c r="G1583" s="506" t="s">
        <v>373</v>
      </c>
      <c r="H1583" s="793"/>
      <c r="I1583" s="832"/>
      <c r="J1583" s="793"/>
      <c r="K1583" s="793"/>
      <c r="L1583" s="793"/>
      <c r="M1583" s="793"/>
      <c r="N1583" s="504" t="s">
        <v>374</v>
      </c>
      <c r="O1583" s="505" t="s">
        <v>375</v>
      </c>
      <c r="P1583" s="801"/>
      <c r="Q1583" s="802"/>
      <c r="R1583" s="796"/>
      <c r="S1583" s="797"/>
      <c r="T1583" s="507" t="s">
        <v>376</v>
      </c>
      <c r="U1583" s="508" t="s">
        <v>377</v>
      </c>
      <c r="V1583" s="509" t="s">
        <v>378</v>
      </c>
      <c r="X1583" s="521" t="s">
        <v>379</v>
      </c>
      <c r="Y1583" s="521" t="s">
        <v>380</v>
      </c>
    </row>
    <row r="1584" spans="1:29" s="27" customFormat="1" ht="15" customHeight="1">
      <c r="A1584" s="22"/>
      <c r="B1584" s="594"/>
      <c r="C1584" s="595">
        <v>3</v>
      </c>
      <c r="D1584" s="595">
        <v>4</v>
      </c>
      <c r="E1584" s="595">
        <v>5</v>
      </c>
      <c r="F1584" s="595">
        <v>6</v>
      </c>
      <c r="G1584" s="595">
        <v>7</v>
      </c>
      <c r="H1584" s="595">
        <v>8</v>
      </c>
      <c r="I1584" s="595">
        <v>9</v>
      </c>
      <c r="J1584" s="595">
        <v>10</v>
      </c>
      <c r="K1584" s="595">
        <v>11</v>
      </c>
      <c r="L1584" s="595">
        <v>12</v>
      </c>
      <c r="M1584" s="595">
        <v>13</v>
      </c>
      <c r="N1584" s="595">
        <v>14</v>
      </c>
      <c r="O1584" s="595">
        <v>15</v>
      </c>
      <c r="P1584" s="596">
        <v>16</v>
      </c>
      <c r="Q1584" s="597">
        <v>17</v>
      </c>
      <c r="R1584" s="596">
        <v>18</v>
      </c>
      <c r="S1584" s="597">
        <v>19</v>
      </c>
      <c r="T1584" s="598">
        <v>20</v>
      </c>
      <c r="U1584" s="255">
        <v>21</v>
      </c>
      <c r="V1584" s="599">
        <v>22</v>
      </c>
      <c r="X1584" s="589"/>
      <c r="Y1584" s="590"/>
    </row>
    <row r="1585" spans="1:29" s="44" customFormat="1" ht="31.5" customHeight="1">
      <c r="A1585" s="42" t="str">
        <f>"A"&amp;E1581</f>
        <v>A53</v>
      </c>
      <c r="B1585" s="605">
        <f>IF(C1585&lt;&gt;"",B1584+1,"")</f>
        <v>1</v>
      </c>
      <c r="C1585" s="581" t="s">
        <v>805</v>
      </c>
      <c r="D1585" s="581" t="s">
        <v>806</v>
      </c>
      <c r="E1585" s="581" t="s">
        <v>807</v>
      </c>
      <c r="F1585" s="581" t="s">
        <v>431</v>
      </c>
      <c r="G1585" s="534">
        <v>0.67</v>
      </c>
      <c r="H1585" s="534" t="s">
        <v>385</v>
      </c>
      <c r="I1585" s="579" t="s">
        <v>384</v>
      </c>
      <c r="J1585" s="580" t="str">
        <f>IF(I1585="","",IF(I1585="I",$F1581,VLOOKUP(I1585,$C1602:$D1607,2,0)))</f>
        <v>NORBERTO BAYONA ESPITIA</v>
      </c>
      <c r="K1585" s="535">
        <v>39092</v>
      </c>
      <c r="L1585" s="535">
        <v>39669</v>
      </c>
      <c r="M1585" s="536">
        <v>628.53</v>
      </c>
      <c r="N1585" s="232">
        <f t="shared" ref="N1585:N1594" si="317">IF(OR(G1585="",M1585=""),"",M1585*G1585)</f>
        <v>421.11509999999998</v>
      </c>
      <c r="O1585" s="260">
        <f t="shared" ref="O1585:O1594" si="318">IF(OR(H1585="",H1585="NO",K1585&lt;$Q$17,K1585&gt;$R$17,K1585="",M1585="",N1585=""),"",ROUND(N1585,7))</f>
        <v>421.11509999999998</v>
      </c>
      <c r="P1585" s="781"/>
      <c r="Q1585" s="782"/>
      <c r="R1585" s="767"/>
      <c r="S1585" s="768"/>
      <c r="T1585" s="538" t="s">
        <v>385</v>
      </c>
      <c r="U1585" s="539">
        <v>13</v>
      </c>
      <c r="V1585" s="540" t="s">
        <v>385</v>
      </c>
      <c r="X1585" s="541" t="s">
        <v>446</v>
      </c>
      <c r="Y1585" s="541" t="s">
        <v>387</v>
      </c>
    </row>
    <row r="1586" spans="1:29" s="44" customFormat="1" ht="40.5" customHeight="1">
      <c r="A1586" s="42" t="str">
        <f>"B"&amp;E1581</f>
        <v>B53</v>
      </c>
      <c r="B1586" s="605">
        <f t="shared" ref="B1586:B1594" si="319">IF(C1586&lt;&gt;"",B1585+1,"")</f>
        <v>2</v>
      </c>
      <c r="C1586" s="581" t="s">
        <v>808</v>
      </c>
      <c r="D1586" s="581" t="s">
        <v>809</v>
      </c>
      <c r="E1586" s="581" t="s">
        <v>810</v>
      </c>
      <c r="F1586" s="581" t="s">
        <v>384</v>
      </c>
      <c r="G1586" s="534">
        <v>1</v>
      </c>
      <c r="H1586" s="534" t="s">
        <v>385</v>
      </c>
      <c r="I1586" s="579" t="s">
        <v>384</v>
      </c>
      <c r="J1586" s="580" t="str">
        <f>IF(I1586="","",IF(I1586="I",$F1581,VLOOKUP(I1586,$C1602:$D1607,2,0)))</f>
        <v>NORBERTO BAYONA ESPITIA</v>
      </c>
      <c r="K1586" s="535">
        <v>41253</v>
      </c>
      <c r="L1586" s="535">
        <v>41472</v>
      </c>
      <c r="M1586" s="536">
        <v>187.82</v>
      </c>
      <c r="N1586" s="232">
        <f t="shared" si="317"/>
        <v>187.82</v>
      </c>
      <c r="O1586" s="260">
        <f t="shared" si="318"/>
        <v>187.82</v>
      </c>
      <c r="P1586" s="781"/>
      <c r="Q1586" s="782"/>
      <c r="R1586" s="767"/>
      <c r="S1586" s="768"/>
      <c r="T1586" s="538" t="s">
        <v>385</v>
      </c>
      <c r="U1586" s="539">
        <v>2</v>
      </c>
      <c r="V1586" s="540" t="s">
        <v>385</v>
      </c>
      <c r="X1586" s="541" t="s">
        <v>386</v>
      </c>
      <c r="Y1586" s="541" t="s">
        <v>387</v>
      </c>
    </row>
    <row r="1587" spans="1:29" s="44" customFormat="1" ht="37.5" customHeight="1">
      <c r="A1587" s="42" t="str">
        <f>"C"&amp;E1581</f>
        <v>C53</v>
      </c>
      <c r="B1587" s="605">
        <f t="shared" si="319"/>
        <v>3</v>
      </c>
      <c r="C1587" s="581" t="s">
        <v>443</v>
      </c>
      <c r="D1587" s="581" t="s">
        <v>811</v>
      </c>
      <c r="E1587" s="581" t="s">
        <v>812</v>
      </c>
      <c r="F1587" s="581" t="s">
        <v>431</v>
      </c>
      <c r="G1587" s="534">
        <v>0.4</v>
      </c>
      <c r="H1587" s="534" t="s">
        <v>385</v>
      </c>
      <c r="I1587" s="579" t="s">
        <v>384</v>
      </c>
      <c r="J1587" s="580" t="str">
        <f>IF(I1587="","",IF(I1587="I",$F1581,VLOOKUP(I1587,$C1602:$D1607,2,0)))</f>
        <v>NORBERTO BAYONA ESPITIA</v>
      </c>
      <c r="K1587" s="535">
        <v>42538</v>
      </c>
      <c r="L1587" s="535">
        <v>42691</v>
      </c>
      <c r="M1587" s="536">
        <v>418.25</v>
      </c>
      <c r="N1587" s="232">
        <f t="shared" si="317"/>
        <v>167.3</v>
      </c>
      <c r="O1587" s="260">
        <f t="shared" si="318"/>
        <v>167.3</v>
      </c>
      <c r="P1587" s="781"/>
      <c r="Q1587" s="782"/>
      <c r="R1587" s="767"/>
      <c r="S1587" s="768"/>
      <c r="T1587" s="538" t="s">
        <v>385</v>
      </c>
      <c r="U1587" s="539">
        <v>43</v>
      </c>
      <c r="V1587" s="540" t="s">
        <v>385</v>
      </c>
      <c r="X1587" s="541" t="s">
        <v>449</v>
      </c>
      <c r="Y1587" s="541" t="s">
        <v>387</v>
      </c>
    </row>
    <row r="1588" spans="1:29" s="44" customFormat="1" ht="81" customHeight="1">
      <c r="A1588" s="42" t="str">
        <f>"D"&amp;E1581</f>
        <v>D53</v>
      </c>
      <c r="B1588" s="605">
        <f t="shared" si="319"/>
        <v>4</v>
      </c>
      <c r="C1588" s="581" t="s">
        <v>813</v>
      </c>
      <c r="D1588" s="581" t="s">
        <v>814</v>
      </c>
      <c r="E1588" s="581" t="s">
        <v>815</v>
      </c>
      <c r="F1588" s="581" t="s">
        <v>431</v>
      </c>
      <c r="G1588" s="534">
        <v>0.7</v>
      </c>
      <c r="H1588" s="534" t="s">
        <v>385</v>
      </c>
      <c r="I1588" s="579" t="s">
        <v>384</v>
      </c>
      <c r="J1588" s="580" t="str">
        <f>IF(I1588="","",IF(I1588="I",$F1581,VLOOKUP(I1588,$C1602:$D1607,2,0)))</f>
        <v>NORBERTO BAYONA ESPITIA</v>
      </c>
      <c r="K1588" s="535">
        <v>40140</v>
      </c>
      <c r="L1588" s="535">
        <v>40550</v>
      </c>
      <c r="M1588" s="536">
        <v>1719.39</v>
      </c>
      <c r="N1588" s="232">
        <f t="shared" si="317"/>
        <v>1203.5730000000001</v>
      </c>
      <c r="O1588" s="260">
        <f t="shared" si="318"/>
        <v>1203.5730000000001</v>
      </c>
      <c r="P1588" s="781"/>
      <c r="Q1588" s="782"/>
      <c r="R1588" s="767"/>
      <c r="S1588" s="768"/>
      <c r="T1588" s="538" t="s">
        <v>385</v>
      </c>
      <c r="U1588" s="539">
        <v>7</v>
      </c>
      <c r="V1588" s="540" t="s">
        <v>385</v>
      </c>
      <c r="X1588" s="541" t="s">
        <v>386</v>
      </c>
      <c r="Y1588" s="541" t="s">
        <v>387</v>
      </c>
    </row>
    <row r="1589" spans="1:29" s="44" customFormat="1" ht="24.95" customHeight="1">
      <c r="A1589" s="42" t="str">
        <f>"E"&amp;E1581</f>
        <v>E53</v>
      </c>
      <c r="B1589" s="605" t="str">
        <f t="shared" si="319"/>
        <v/>
      </c>
      <c r="C1589" s="581"/>
      <c r="D1589" s="581"/>
      <c r="E1589" s="581"/>
      <c r="F1589" s="581"/>
      <c r="G1589" s="534"/>
      <c r="H1589" s="534"/>
      <c r="I1589" s="579"/>
      <c r="J1589" s="580" t="str">
        <f>IF(I1589="","",IF(I1589="I",$F1581,VLOOKUP(I1589,$C1602:$D1607,2,0)))</f>
        <v/>
      </c>
      <c r="K1589" s="535"/>
      <c r="L1589" s="535"/>
      <c r="M1589" s="536"/>
      <c r="N1589" s="232" t="str">
        <f t="shared" si="317"/>
        <v/>
      </c>
      <c r="O1589" s="260" t="str">
        <f t="shared" si="318"/>
        <v/>
      </c>
      <c r="P1589" s="781"/>
      <c r="Q1589" s="782"/>
      <c r="R1589" s="767"/>
      <c r="S1589" s="768"/>
      <c r="T1589" s="538"/>
      <c r="U1589" s="539"/>
      <c r="V1589" s="540"/>
      <c r="X1589" s="541"/>
      <c r="Y1589" s="541"/>
    </row>
    <row r="1590" spans="1:29" s="44" customFormat="1" ht="24.95" customHeight="1">
      <c r="A1590" s="42" t="str">
        <f>"F"&amp;E1581</f>
        <v>F53</v>
      </c>
      <c r="B1590" s="605" t="str">
        <f t="shared" si="319"/>
        <v/>
      </c>
      <c r="C1590" s="581"/>
      <c r="D1590" s="581"/>
      <c r="E1590" s="581"/>
      <c r="F1590" s="581"/>
      <c r="G1590" s="534"/>
      <c r="H1590" s="534"/>
      <c r="I1590" s="579"/>
      <c r="J1590" s="580" t="str">
        <f>IF(I1590="","",IF(I1590="I",$F1581,VLOOKUP(I1590,$C1602:$D1607,2,0)))</f>
        <v/>
      </c>
      <c r="K1590" s="535"/>
      <c r="L1590" s="535"/>
      <c r="M1590" s="536"/>
      <c r="N1590" s="232" t="str">
        <f t="shared" si="317"/>
        <v/>
      </c>
      <c r="O1590" s="260" t="str">
        <f t="shared" si="318"/>
        <v/>
      </c>
      <c r="P1590" s="781"/>
      <c r="Q1590" s="782"/>
      <c r="R1590" s="767"/>
      <c r="S1590" s="768"/>
      <c r="T1590" s="538"/>
      <c r="U1590" s="539"/>
      <c r="V1590" s="540"/>
      <c r="X1590" s="541"/>
      <c r="Y1590" s="541"/>
    </row>
    <row r="1591" spans="1:29" s="44" customFormat="1" ht="24.95" customHeight="1">
      <c r="A1591" s="42" t="str">
        <f>"G"&amp;E1581</f>
        <v>G53</v>
      </c>
      <c r="B1591" s="605" t="str">
        <f t="shared" si="319"/>
        <v/>
      </c>
      <c r="C1591" s="581"/>
      <c r="D1591" s="581"/>
      <c r="E1591" s="581"/>
      <c r="F1591" s="581"/>
      <c r="G1591" s="534"/>
      <c r="H1591" s="534"/>
      <c r="I1591" s="579"/>
      <c r="J1591" s="580" t="str">
        <f>IF(I1591="","",IF(I1591="I",$F1581,VLOOKUP(I1591,$C1602:$D1607,2,0)))</f>
        <v/>
      </c>
      <c r="K1591" s="535"/>
      <c r="L1591" s="535"/>
      <c r="M1591" s="536"/>
      <c r="N1591" s="43" t="str">
        <f t="shared" si="317"/>
        <v/>
      </c>
      <c r="O1591" s="260" t="str">
        <f t="shared" si="318"/>
        <v/>
      </c>
      <c r="P1591" s="781"/>
      <c r="Q1591" s="782"/>
      <c r="R1591" s="767"/>
      <c r="S1591" s="768"/>
      <c r="T1591" s="538"/>
      <c r="U1591" s="539"/>
      <c r="V1591" s="540"/>
      <c r="X1591" s="541"/>
      <c r="Y1591" s="541"/>
    </row>
    <row r="1592" spans="1:29" s="44" customFormat="1" ht="24.95" customHeight="1">
      <c r="A1592" s="42" t="str">
        <f>"H"&amp;E1581</f>
        <v>H53</v>
      </c>
      <c r="B1592" s="605" t="str">
        <f t="shared" si="319"/>
        <v/>
      </c>
      <c r="C1592" s="581"/>
      <c r="D1592" s="581"/>
      <c r="E1592" s="581"/>
      <c r="F1592" s="581"/>
      <c r="G1592" s="534"/>
      <c r="H1592" s="534"/>
      <c r="I1592" s="579"/>
      <c r="J1592" s="580" t="str">
        <f>IF(I1592="","",IF(I1592="I",$F1581,VLOOKUP(I1592,$C1602:$D1607,2,0)))</f>
        <v/>
      </c>
      <c r="K1592" s="535"/>
      <c r="L1592" s="535"/>
      <c r="M1592" s="537"/>
      <c r="N1592" s="43" t="str">
        <f t="shared" si="317"/>
        <v/>
      </c>
      <c r="O1592" s="260" t="str">
        <f t="shared" si="318"/>
        <v/>
      </c>
      <c r="P1592" s="781"/>
      <c r="Q1592" s="782"/>
      <c r="R1592" s="767"/>
      <c r="S1592" s="768"/>
      <c r="T1592" s="538"/>
      <c r="U1592" s="539"/>
      <c r="V1592" s="540"/>
      <c r="X1592" s="541"/>
      <c r="Y1592" s="541"/>
    </row>
    <row r="1593" spans="1:29" s="44" customFormat="1" ht="24.95" customHeight="1">
      <c r="A1593" s="42" t="str">
        <f>"I"&amp;E1581</f>
        <v>I53</v>
      </c>
      <c r="B1593" s="605" t="str">
        <f t="shared" si="319"/>
        <v/>
      </c>
      <c r="C1593" s="581"/>
      <c r="D1593" s="581"/>
      <c r="E1593" s="581"/>
      <c r="F1593" s="581"/>
      <c r="G1593" s="534"/>
      <c r="H1593" s="534"/>
      <c r="I1593" s="579"/>
      <c r="J1593" s="580" t="str">
        <f>IF(I1593="","",IF(I1593="I",$F1581,VLOOKUP(I1593,$C1602:$D1607,2,0)))</f>
        <v/>
      </c>
      <c r="K1593" s="535"/>
      <c r="L1593" s="535"/>
      <c r="M1593" s="537"/>
      <c r="N1593" s="43" t="str">
        <f t="shared" si="317"/>
        <v/>
      </c>
      <c r="O1593" s="260" t="str">
        <f t="shared" si="318"/>
        <v/>
      </c>
      <c r="P1593" s="781"/>
      <c r="Q1593" s="782"/>
      <c r="R1593" s="767"/>
      <c r="S1593" s="768"/>
      <c r="T1593" s="538"/>
      <c r="U1593" s="539"/>
      <c r="V1593" s="540"/>
      <c r="X1593" s="541"/>
      <c r="Y1593" s="541"/>
    </row>
    <row r="1594" spans="1:29" s="44" customFormat="1" ht="24.95" customHeight="1" thickBot="1">
      <c r="A1594" s="42" t="str">
        <f>"J"&amp;E1581</f>
        <v>J53</v>
      </c>
      <c r="B1594" s="612" t="str">
        <f t="shared" si="319"/>
        <v/>
      </c>
      <c r="C1594" s="582"/>
      <c r="D1594" s="582"/>
      <c r="E1594" s="582"/>
      <c r="F1594" s="582"/>
      <c r="G1594" s="583"/>
      <c r="H1594" s="583"/>
      <c r="I1594" s="584"/>
      <c r="J1594" s="585" t="str">
        <f>IF(I1594="","",IF(I1594="I",$F1581,VLOOKUP(I1594,$C1602:$D1607,2,0)))</f>
        <v/>
      </c>
      <c r="K1594" s="586"/>
      <c r="L1594" s="586"/>
      <c r="M1594" s="587"/>
      <c r="N1594" s="43" t="str">
        <f t="shared" si="317"/>
        <v/>
      </c>
      <c r="O1594" s="260" t="str">
        <f t="shared" si="318"/>
        <v/>
      </c>
      <c r="P1594" s="781"/>
      <c r="Q1594" s="782"/>
      <c r="R1594" s="767"/>
      <c r="S1594" s="768"/>
      <c r="T1594" s="538"/>
      <c r="U1594" s="539"/>
      <c r="V1594" s="540"/>
      <c r="X1594" s="541"/>
      <c r="Y1594" s="541"/>
    </row>
    <row r="1595" spans="1:29" s="27" customFormat="1" ht="12" customHeight="1" thickBot="1">
      <c r="A1595" s="42"/>
      <c r="B1595" s="45"/>
      <c r="C1595" s="46"/>
      <c r="D1595" s="46"/>
      <c r="E1595" s="46"/>
      <c r="F1595" s="46"/>
      <c r="G1595" s="46"/>
      <c r="H1595" s="606"/>
      <c r="I1595" s="46"/>
      <c r="J1595" s="46"/>
      <c r="K1595" s="46"/>
      <c r="L1595" s="46"/>
      <c r="M1595" s="46"/>
      <c r="N1595" s="46"/>
      <c r="O1595" s="259"/>
      <c r="P1595" s="46"/>
      <c r="Q1595" s="46"/>
      <c r="R1595" s="259"/>
      <c r="S1595" s="46"/>
      <c r="T1595" s="46"/>
      <c r="U1595" s="47"/>
      <c r="V1595" s="48"/>
      <c r="X1595" s="592"/>
      <c r="Y1595" s="593"/>
      <c r="AB1595" s="378"/>
    </row>
    <row r="1596" spans="1:29" s="27" customFormat="1" ht="17.25" customHeight="1" thickBot="1">
      <c r="A1596" s="42" t="str">
        <f>"Z"&amp;E1581</f>
        <v>Z53</v>
      </c>
      <c r="B1596" s="510"/>
      <c r="C1596" s="511"/>
      <c r="D1596" s="511"/>
      <c r="E1596" s="511"/>
      <c r="F1596" s="511"/>
      <c r="G1596" s="511"/>
      <c r="H1596" s="511"/>
      <c r="I1596" s="511"/>
      <c r="J1596" s="511"/>
      <c r="K1596" s="511"/>
      <c r="L1596" s="511"/>
      <c r="M1596" s="511"/>
      <c r="N1596" s="437" t="s">
        <v>388</v>
      </c>
      <c r="O1596" s="438">
        <f>IF(COUNTIF(O1585:O1594,"")&gt;9,0,SUM(O1585:O1594)/(COUNTIF(H1585:H1594,"SI")))</f>
        <v>494.95202499999999</v>
      </c>
      <c r="P1596" s="511"/>
      <c r="Q1596" s="511"/>
      <c r="R1596" s="530"/>
      <c r="S1596" s="530"/>
      <c r="T1596" s="531"/>
      <c r="U1596" s="532"/>
      <c r="V1596" s="533"/>
      <c r="W1596" s="285"/>
      <c r="X1596" s="613" t="e">
        <f>COUNTIF(#REF!,"")-COUNTIF(#REF!,"CUMPLE")-1</f>
        <v>#REF!</v>
      </c>
      <c r="Y1596" s="591"/>
      <c r="AB1596" s="28"/>
    </row>
    <row r="1597" spans="1:29" ht="17.25" customHeight="1">
      <c r="B1597" s="50"/>
      <c r="C1597" s="50"/>
      <c r="D1597" s="50"/>
      <c r="E1597" s="50"/>
      <c r="F1597" s="50"/>
      <c r="G1597" s="51"/>
      <c r="H1597" s="51"/>
      <c r="I1597" s="51"/>
      <c r="J1597" s="51"/>
      <c r="K1597" s="51"/>
      <c r="L1597" s="51"/>
      <c r="M1597" s="51"/>
      <c r="N1597" s="51"/>
      <c r="O1597" s="51"/>
      <c r="P1597" s="51"/>
      <c r="Q1597" s="51"/>
      <c r="R1597" s="51"/>
      <c r="S1597" s="51"/>
      <c r="T1597" s="51"/>
      <c r="U1597" s="51"/>
      <c r="V1597" s="51"/>
      <c r="W1597" s="51"/>
      <c r="X1597" s="608"/>
      <c r="Y1597" s="51"/>
      <c r="Z1597" s="51"/>
      <c r="AA1597" s="51"/>
      <c r="AB1597" s="51"/>
      <c r="AC1597" s="50"/>
    </row>
    <row r="1598" spans="1:29" s="27" customFormat="1" ht="16.5" customHeight="1" thickBot="1">
      <c r="A1598" s="22"/>
      <c r="B1598" s="783" t="s">
        <v>389</v>
      </c>
      <c r="C1598" s="783"/>
      <c r="D1598" s="783"/>
      <c r="E1598" s="783"/>
      <c r="F1598" s="783"/>
      <c r="G1598" s="783"/>
      <c r="H1598" s="783"/>
      <c r="I1598" s="783"/>
      <c r="J1598" s="783"/>
      <c r="K1598" s="783"/>
      <c r="L1598" s="783"/>
      <c r="M1598" s="783"/>
      <c r="N1598" s="783"/>
      <c r="O1598" s="783"/>
      <c r="P1598" s="783"/>
      <c r="Q1598" s="783"/>
      <c r="R1598" s="783"/>
      <c r="S1598" s="783"/>
      <c r="T1598" s="783"/>
      <c r="U1598" s="783"/>
      <c r="V1598" s="783"/>
      <c r="W1598" s="286"/>
      <c r="X1598" s="607"/>
      <c r="Y1598" s="52"/>
      <c r="Z1598" s="52"/>
      <c r="AA1598" s="52"/>
      <c r="AB1598" s="28"/>
      <c r="AC1598" s="28"/>
    </row>
    <row r="1599" spans="1:29" s="30" customFormat="1" ht="22.5" customHeight="1">
      <c r="A1599" s="112" t="str">
        <f>"K"&amp;E1581</f>
        <v>K53</v>
      </c>
      <c r="B1599" s="790" t="s">
        <v>390</v>
      </c>
      <c r="C1599" s="772" t="s">
        <v>391</v>
      </c>
      <c r="D1599" s="773"/>
      <c r="E1599" s="773"/>
      <c r="F1599" s="773"/>
      <c r="G1599" s="773"/>
      <c r="H1599" s="773"/>
      <c r="I1599" s="773"/>
      <c r="J1599" s="773"/>
      <c r="K1599" s="773"/>
      <c r="L1599" s="773"/>
      <c r="M1599" s="774"/>
      <c r="N1599" s="525"/>
      <c r="O1599" s="588"/>
      <c r="P1599" s="772" t="s">
        <v>392</v>
      </c>
      <c r="Q1599" s="773"/>
      <c r="R1599" s="773"/>
      <c r="S1599" s="774"/>
      <c r="T1599" s="784" t="s">
        <v>393</v>
      </c>
      <c r="U1599" s="774"/>
      <c r="V1599" s="811"/>
      <c r="W1599" s="284"/>
      <c r="X1599" s="778" t="s">
        <v>394</v>
      </c>
      <c r="Y1599" s="779"/>
      <c r="Z1599" s="779"/>
      <c r="AA1599" s="779" t="s">
        <v>395</v>
      </c>
      <c r="AB1599" s="808" t="s">
        <v>396</v>
      </c>
      <c r="AC1599" s="28"/>
    </row>
    <row r="1600" spans="1:29" s="30" customFormat="1" ht="22.5" customHeight="1">
      <c r="A1600" s="112" t="str">
        <f>"L"&amp;E1581</f>
        <v>L53</v>
      </c>
      <c r="B1600" s="791"/>
      <c r="C1600" s="769" t="s">
        <v>397</v>
      </c>
      <c r="D1600" s="770"/>
      <c r="E1600" s="771"/>
      <c r="F1600" s="512">
        <f>IF(VLOOKUP(E1581,PROPONENTES!$C$19:$E$108,3,0)="","",VLOOKUP(E1581,PROPONENTES!$C$19:$E$108,3,0))</f>
        <v>1</v>
      </c>
      <c r="G1600" s="824" t="s">
        <v>398</v>
      </c>
      <c r="H1600" s="793" t="s">
        <v>399</v>
      </c>
      <c r="I1600" s="793"/>
      <c r="J1600" s="769" t="s">
        <v>400</v>
      </c>
      <c r="K1600" s="823"/>
      <c r="L1600" s="513" t="s">
        <v>401</v>
      </c>
      <c r="M1600" s="513"/>
      <c r="N1600" s="526"/>
      <c r="O1600" s="527"/>
      <c r="P1600" s="775"/>
      <c r="Q1600" s="776"/>
      <c r="R1600" s="776"/>
      <c r="S1600" s="777"/>
      <c r="T1600" s="796"/>
      <c r="U1600" s="797"/>
      <c r="V1600" s="812"/>
      <c r="W1600" s="284"/>
      <c r="X1600" s="780" t="s">
        <v>402</v>
      </c>
      <c r="Y1600" s="810" t="s">
        <v>403</v>
      </c>
      <c r="Z1600" s="810"/>
      <c r="AA1600" s="810"/>
      <c r="AB1600" s="809"/>
      <c r="AC1600" s="28"/>
    </row>
    <row r="1601" spans="1:29" s="30" customFormat="1" ht="51.75" customHeight="1" thickBot="1">
      <c r="A1601" s="112" t="str">
        <f>"M"&amp;E1581</f>
        <v>M53</v>
      </c>
      <c r="B1601" s="791"/>
      <c r="C1601" s="770" t="s">
        <v>404</v>
      </c>
      <c r="D1601" s="771"/>
      <c r="E1601" s="514" t="s">
        <v>405</v>
      </c>
      <c r="F1601" s="515" t="s">
        <v>406</v>
      </c>
      <c r="G1601" s="824"/>
      <c r="H1601" s="793"/>
      <c r="I1601" s="793"/>
      <c r="J1601" s="504" t="s">
        <v>407</v>
      </c>
      <c r="K1601" s="516" t="s">
        <v>408</v>
      </c>
      <c r="L1601" s="517" t="s">
        <v>409</v>
      </c>
      <c r="M1601" s="517"/>
      <c r="N1601" s="528" t="s">
        <v>410</v>
      </c>
      <c r="O1601" s="529"/>
      <c r="P1601" s="386"/>
      <c r="Q1601" s="387" t="s">
        <v>411</v>
      </c>
      <c r="R1601" s="388"/>
      <c r="S1601" s="113">
        <f>COUNTIFS(H1585:H1594,"SI",O1585:O1594,"&gt;0")</f>
        <v>4</v>
      </c>
      <c r="T1601" s="785"/>
      <c r="U1601" s="787"/>
      <c r="V1601" s="813"/>
      <c r="W1601" s="284"/>
      <c r="X1601" s="780"/>
      <c r="Y1601" s="810"/>
      <c r="Z1601" s="810"/>
      <c r="AA1601" s="810"/>
      <c r="AB1601" s="809"/>
      <c r="AC1601" s="28"/>
    </row>
    <row r="1602" spans="1:29" s="30" customFormat="1" ht="15.75" customHeight="1">
      <c r="A1602" s="112" t="str">
        <f>"N"&amp;E1581</f>
        <v>N53</v>
      </c>
      <c r="B1602" s="791"/>
      <c r="C1602" s="54">
        <v>1</v>
      </c>
      <c r="D1602" s="100" t="str">
        <f>IF(AND(C1602&lt;=F1600,F1600&gt;1,F1600&lt;&gt;""),VLOOKUP(VALUE(E1581&amp;","&amp;C1602),INTEGRANTES!$D$19:$F$192,2,0),"")</f>
        <v/>
      </c>
      <c r="E1602" s="107" t="str">
        <f>IF(D1602&lt;&gt;"",VLOOKUP(VALUE(E1581&amp;","&amp;C1602),INTEGRANTES!$D$19:$F$192,3,0),"")</f>
        <v/>
      </c>
      <c r="F1602" s="380" t="str">
        <f>IF(D1602="","",IF(OR(SUMIF($J1588:$J1594,D1602,$O1588:$O1594)=0,N1602="NO"),"NO APORTA",SUMIF($J1588:$J1594,D1602,$O1588:$O1594)))</f>
        <v/>
      </c>
      <c r="G1602" s="380" t="str">
        <f>IF($D1602="","",IF($F1600&lt;=1,"",ROUND(POSMMLV*PORPO,2)))</f>
        <v/>
      </c>
      <c r="H1602" s="765" t="str">
        <f>IF($D1602="","",IF(OR(F1602="NO APORTA",G1602&gt;F1602),"NO CUMPLE","CUMPLE"))</f>
        <v/>
      </c>
      <c r="I1602" s="766"/>
      <c r="J1602" s="108" t="str">
        <f>IF(D1602="","",IF(OR(AND(SUMIF($J1585:$J1594,D1602,$O1585:$O1594)&gt;=5%*POSMMLV,N1602="SI"),AND(SUMIF($J1585:$J1594,D1602,$O1585:$O1594)=0,E1602&lt;=5%,N1602="SI")),"CUMPLE","NO CUMPLE"))</f>
        <v/>
      </c>
      <c r="K1602" s="105" t="str">
        <f>IF(OR(D1602="",J1602=""),"",IF(AND(J1602="NO CUMPLE",F1602="NO APORTA",E1602&gt;5%),"EXP = 0 y PART &gt; 5%",IF(F1602&lt;5%*Q1607,"EXP &lt; 5%*PO","")))</f>
        <v/>
      </c>
      <c r="L1602" s="389" t="str">
        <f>IF(OR(D1602="",E1602=""),"",IF(AND(E1602&gt;=0.25,F1602&lt;&gt;"NO APORTA",F1602&gt;=$R1607*0.25),"SI","NO"))</f>
        <v/>
      </c>
      <c r="M1602" s="389"/>
      <c r="N1602" s="468" t="s">
        <v>385</v>
      </c>
      <c r="O1602" s="396">
        <f>COUNTIFS(O1585:O1594,"&gt;0",H1585:H1594,"SI")</f>
        <v>4</v>
      </c>
      <c r="P1602" s="814" t="s">
        <v>139</v>
      </c>
      <c r="Q1602" s="814"/>
      <c r="R1602" s="817">
        <f>E1581</f>
        <v>53</v>
      </c>
      <c r="S1602" s="818"/>
      <c r="T1602" s="784" t="s">
        <v>412</v>
      </c>
      <c r="U1602" s="773"/>
      <c r="V1602" s="774"/>
      <c r="W1602" s="283"/>
      <c r="X1602" s="542" t="str">
        <f>IF($F1600=1,"NO APLICA",$D1602)</f>
        <v>NO APLICA</v>
      </c>
      <c r="Y1602" s="543" t="str">
        <f>IF(OR($F1602="",$F1602="NO APORTA",$R1607=0,$X1602="NO APLICA"),"",ROUND($F1602/$Q1607,2))</f>
        <v/>
      </c>
      <c r="Z1602" s="544" t="str">
        <f>IF(Y1608=1,"SI APLICA",IF(OR($X1602="",$X1602="NO APLICA",$F1602="",$F1602="NO APORTA"),"",IF(ROUND($F1602/Q1607,7)&gt;=0.4,"SI APLICA","NO APLICA")))</f>
        <v>SI APLICA</v>
      </c>
      <c r="AA1602" s="543" t="s">
        <v>413</v>
      </c>
      <c r="AB1602" s="540" t="str">
        <f>IF(COUNTIF(Z1602:AA1602,"SI APLICA")=2,"SI APLICA","")</f>
        <v>SI APLICA</v>
      </c>
      <c r="AC1602" s="28"/>
    </row>
    <row r="1603" spans="1:29" s="30" customFormat="1" ht="15.75" customHeight="1" thickBot="1">
      <c r="A1603" s="112" t="str">
        <f>"O"&amp;E1581</f>
        <v>O53</v>
      </c>
      <c r="B1603" s="791"/>
      <c r="C1603" s="54">
        <v>2</v>
      </c>
      <c r="D1603" s="100" t="str">
        <f>IF(AND(C1603&lt;=F1600,F1600&lt;&gt;""),VLOOKUP(VALUE(E1581&amp;","&amp;C1603),INTEGRANTES!$D$19:$F$192,2,0),"")</f>
        <v/>
      </c>
      <c r="E1603" s="107" t="str">
        <f>IF(D1603&lt;&gt;"",VLOOKUP(VALUE(E1581&amp;","&amp;C1603),INTEGRANTES!$D$19:$F$192,3,0),"")</f>
        <v/>
      </c>
      <c r="F1603" s="380" t="str">
        <f>IF(D1603="","",IF(OR(SUMIF($J1588:$J1594,D1603,$O1588:$O1594)=0,N1603="NO"),"NO APORTA",SUMIF($J1588:$J1594,D1603,$O1588:$O1594)))</f>
        <v/>
      </c>
      <c r="G1603" s="380" t="str">
        <f>IF($D1603="","",IF($F1600&lt;=1,"",ROUND(POSMMLV*PORPO,2)))</f>
        <v/>
      </c>
      <c r="H1603" s="765" t="str">
        <f t="shared" ref="H1603:H1606" si="320">IF($D1603="","",IF(OR(F1603="NO APORTA",G1603&gt;F1603),"NO CUMPLE","CUMPLE"))</f>
        <v/>
      </c>
      <c r="I1603" s="766"/>
      <c r="J1603" s="108" t="str">
        <f>IF(D1603="","",IF(OR(AND(SUMIF($J1585:$J1594,D1603,$O1585:$O1594)&gt;=5%*POSMMLV,N1603="SI"),AND(SUMIF($J1585:$J1594,D1603,$O1585:$O1594)=0,E1603&lt;=5%,N1603="SI")),"CUMPLE","NO CUMPLE"))</f>
        <v/>
      </c>
      <c r="K1603" s="105" t="str">
        <f>IF(OR(D1603="",J1603=""),"",IF(AND(J1603="NO CUMPLE",F1603="NO APORTA",E1603&gt;5%),"EXP = 0 y PART &gt; 5%",IF(F1603&lt;5%*Q1607,"EXP &lt; 5%*PO","")))</f>
        <v/>
      </c>
      <c r="L1603" s="389" t="str">
        <f>IF(OR(D1603="",E1603=""),"",IF(AND(E1603&gt;=0.25,F1603&lt;&gt;"NO APORTA",F1603&gt;=$R1607*0.25),"SI","NO"))</f>
        <v/>
      </c>
      <c r="M1603" s="389"/>
      <c r="N1603" s="468" t="s">
        <v>385</v>
      </c>
      <c r="O1603" s="396"/>
      <c r="P1603" s="815"/>
      <c r="Q1603" s="815"/>
      <c r="R1603" s="815"/>
      <c r="S1603" s="819"/>
      <c r="T1603" s="785"/>
      <c r="U1603" s="786"/>
      <c r="V1603" s="787"/>
      <c r="W1603" s="283"/>
      <c r="X1603" s="542" t="str">
        <f>IF($F1600=1,"NO APLICA",$D1603)</f>
        <v>NO APLICA</v>
      </c>
      <c r="Y1603" s="543" t="str">
        <f>IF(OR($F1603="",$F1603="NO APORTA",$R1607=0,$X1603="NO APLICA"),"",ROUND($F1603/$Q1607,2))</f>
        <v/>
      </c>
      <c r="Z1603" s="544"/>
      <c r="AA1603" s="543"/>
      <c r="AB1603" s="540" t="str">
        <f t="shared" ref="AB1603" si="321">IF(COUNTIF(Z1603:AA1603,"SI APLICA")=2,"SI APLICA","")</f>
        <v/>
      </c>
      <c r="AC1603" s="28"/>
    </row>
    <row r="1604" spans="1:29" s="30" customFormat="1" ht="15.75" customHeight="1">
      <c r="A1604" s="112" t="str">
        <f>"P"&amp;E1581</f>
        <v>P53</v>
      </c>
      <c r="B1604" s="791"/>
      <c r="C1604" s="54">
        <v>3</v>
      </c>
      <c r="D1604" s="100" t="str">
        <f>IF(AND(C1604&lt;=F1600,F1600&lt;&gt;""),VLOOKUP(VALUE(E1581&amp;","&amp;C1604),INTEGRANTES!$D$19:$F$192,2,0),"")</f>
        <v/>
      </c>
      <c r="E1604" s="107" t="str">
        <f>IF(D1604&lt;&gt;"",VLOOKUP(VALUE(E1581&amp;","&amp;C1604),INTEGRANTES!$D$19:$F$192,3,0),"")</f>
        <v/>
      </c>
      <c r="F1604" s="380" t="str">
        <f>IF(D1604="","",IF(OR(SUMIF($J1588:$J1594,D1604,$O1588:$O1594)=0,N1604="NO"),"NO APORTA",SUMIF($J1588:$J1594,D1604,$O1588:$O1594)))</f>
        <v/>
      </c>
      <c r="G1604" s="380" t="str">
        <f>IF($D1604="","",IF($F1600&lt;=1,"",ROUND(POSMMLV*PORPO,2)))</f>
        <v/>
      </c>
      <c r="H1604" s="765" t="str">
        <f t="shared" si="320"/>
        <v/>
      </c>
      <c r="I1604" s="766"/>
      <c r="J1604" s="108" t="str">
        <f>IF(D1604="","",IF(OR(AND(SUMIF($J1585:$J1594,D1604,$O1585:$O1594)&gt;=5%*POSMMLV,N1604="SI"),AND(SUMIF($J1585:$J1594,D1604,$O1585:$O1594)=0,E1604&lt;=5%,N1604="SI")),"CUMPLE","NO CUMPLE"))</f>
        <v/>
      </c>
      <c r="K1604" s="105" t="str">
        <f>IF(OR(D1604="",J1604=""),"",IF(AND(J1604="NO CUMPLE",F1604="NO APORTA",E1604&gt;5%),"EXP = 0 y PART &gt; 5%",IF(F1604&lt;5%*Q1607,"EXP &lt; 5%*PO","")))</f>
        <v/>
      </c>
      <c r="L1604" s="389" t="str">
        <f>IF(OR(D1604="",E1604=""),"",IF(AND(E1604&gt;=0.25,F1604&lt;&gt;"NO APORTA",F1604&gt;=$R1607*0.25),"SI","NO"))</f>
        <v/>
      </c>
      <c r="M1604" s="389"/>
      <c r="N1604" s="468"/>
      <c r="O1604" s="397"/>
      <c r="P1604" s="816"/>
      <c r="Q1604" s="816"/>
      <c r="R1604" s="816"/>
      <c r="S1604" s="820"/>
      <c r="T1604" s="308"/>
      <c r="U1604" s="308"/>
      <c r="V1604" s="309"/>
      <c r="W1604" s="284"/>
      <c r="X1604" s="542" t="str">
        <f>IF($F1600=1,"NO APLICA",$D1604)</f>
        <v>NO APLICA</v>
      </c>
      <c r="Y1604" s="543" t="str">
        <f>IF(OR($F1604="",$F1604="NO APORTA",$R1607=0,$X1604="NO APLICA"),"",ROUND($F1604/$Q1607,2))</f>
        <v/>
      </c>
      <c r="Z1604" s="544"/>
      <c r="AA1604" s="543"/>
      <c r="AB1604" s="540" t="str">
        <f>IF(COUNTIF(Z1604:AA1604,"SI APLICA")=2,"SI APLICA","")</f>
        <v/>
      </c>
      <c r="AC1604" s="28"/>
    </row>
    <row r="1605" spans="1:29" s="30" customFormat="1" ht="15.75" customHeight="1">
      <c r="A1605" s="112" t="str">
        <f>"Q"&amp;E1581</f>
        <v>Q53</v>
      </c>
      <c r="B1605" s="791"/>
      <c r="C1605" s="54">
        <v>4</v>
      </c>
      <c r="D1605" s="100" t="str">
        <f>IF(AND(C1605&lt;=F1600,F1600&lt;&gt;""),VLOOKUP(VALUE(E1581&amp;","&amp;C1605),INTEGRANTES!$D$19:$F$192,2,0),"")</f>
        <v/>
      </c>
      <c r="E1605" s="107" t="str">
        <f>IF(D1605&lt;&gt;"",VLOOKUP(VALUE(E1581&amp;","&amp;C1605),INTEGRANTES!$D$19:$F$192,3,0),"")</f>
        <v/>
      </c>
      <c r="F1605" s="380" t="str">
        <f>IF(D1605="","",IF(OR(SUMIF($J1588:$J1594,D1605,$O1588:$O1594)=0,N1605="NO"),"NO APORTA",SUMIF($J1588:$J1594,D1605,$O1588:$O1594)))</f>
        <v/>
      </c>
      <c r="G1605" s="380" t="str">
        <f>IF($D1605="","",IF($F1600&lt;=1,"",ROUND(POSMMLV*PORPO,2)))</f>
        <v/>
      </c>
      <c r="H1605" s="765" t="str">
        <f t="shared" si="320"/>
        <v/>
      </c>
      <c r="I1605" s="766"/>
      <c r="J1605" s="108" t="str">
        <f>IF(D1605="","",IF(OR(AND(SUMIF($J1585:$J1594,D1605,$O1585:$O1594)&gt;=5%*POSMMLV,N1605="SI"),AND(SUMIF($J1585:$J1594,D1605,$O1585:$O1594)=0,E1605&lt;=5%,N1605="SI")),"CUMPLE","NO CUMPLE"))</f>
        <v/>
      </c>
      <c r="K1605" s="105" t="str">
        <f>IF(OR(D1605="",J1605=""),"",IF(AND(J1605="NO CUMPLE",F1605="NO APORTA",E1605&gt;5%),"EXP = 0 y PART &gt; 5%",IF(F1605&lt;5%*Q1607,"EXP &lt; 5%*PO","")))</f>
        <v/>
      </c>
      <c r="L1605" s="389" t="str">
        <f>IF(OR(D1605="",E1605=""),"",IF(AND(E1605&gt;=0.25,F1605&lt;&gt;"NO APORTA",F1605&gt;=$R1607*0.25),"SI","NO"))</f>
        <v/>
      </c>
      <c r="M1605" s="389"/>
      <c r="N1605" s="468"/>
      <c r="O1605" s="788" t="s">
        <v>414</v>
      </c>
      <c r="P1605" s="769" t="s">
        <v>415</v>
      </c>
      <c r="Q1605" s="770"/>
      <c r="R1605" s="770"/>
      <c r="S1605" s="771"/>
      <c r="T1605" s="284"/>
      <c r="U1605" s="284"/>
      <c r="V1605" s="310"/>
      <c r="W1605" s="284"/>
      <c r="X1605" s="542" t="str">
        <f>IF($F1600=1,"NO APLICA",$D1605)</f>
        <v>NO APLICA</v>
      </c>
      <c r="Y1605" s="543" t="str">
        <f>IF(OR($F1605="",$F1605="NO APORTA",$R1607=0,$X1605="NO APLICA"),"",ROUND($F1605/$Q1607,2))</f>
        <v/>
      </c>
      <c r="Z1605" s="544"/>
      <c r="AA1605" s="543"/>
      <c r="AB1605" s="540" t="str">
        <f t="shared" ref="AB1605:AB1606" si="322">IF(COUNTIF(Z1605:AA1605,"SI APLICA")=2,"SI APLICA","")</f>
        <v/>
      </c>
      <c r="AC1605" s="28"/>
    </row>
    <row r="1606" spans="1:29" s="30" customFormat="1" ht="17.25" customHeight="1">
      <c r="A1606" s="112" t="str">
        <f>"R"&amp;E1581</f>
        <v>R53</v>
      </c>
      <c r="B1606" s="791"/>
      <c r="C1606" s="54">
        <v>5</v>
      </c>
      <c r="D1606" s="100" t="str">
        <f>IF(AND(C1606&lt;=F1600,F1600&lt;&gt;""),VLOOKUP(VALUE(E1581&amp;","&amp;C1606),INTEGRANTES!$D$19:$F$192,2,0),"")</f>
        <v/>
      </c>
      <c r="E1606" s="107" t="str">
        <f>IF(D1606&lt;&gt;"",VLOOKUP(VALUE(E1581&amp;","&amp;C1606),INTEGRANTES!$D$19:$F$192,3,0),"")</f>
        <v/>
      </c>
      <c r="F1606" s="380" t="str">
        <f>IF(D1606="","",IF(OR(SUMIF($J1588:$J1594,D1606,$O1588:$O1594)=0,N1606="NO"),"NO APORTA",SUMIF($J1588:$J1594,D1606,$O1588:$O1594)))</f>
        <v/>
      </c>
      <c r="G1606" s="380" t="str">
        <f>IF($D1606="","",IF($F1600&lt;=1,"",ROUND(POSMMLV*PORPO,2)))</f>
        <v/>
      </c>
      <c r="H1606" s="765" t="str">
        <f t="shared" si="320"/>
        <v/>
      </c>
      <c r="I1606" s="766"/>
      <c r="J1606" s="108" t="str">
        <f>IF(D1606="","",IF(OR(AND(SUMIF($J1585:$J1594,D1606,$O1585:$O1594)&gt;=5%*POSMMLV,N1606="SI"),AND(SUMIF($J1585:$J1594,D1606,$O1585:$O1594)=0,E1606&lt;=5%,N1606="SI")),"CUMPLE","NO CUMPLE"))</f>
        <v/>
      </c>
      <c r="K1606" s="105" t="str">
        <f>IF(OR(D1606="",J1606=""),"",IF(AND(J1606="NO CUMPLE",F1606="NO APORTA",E1606&gt;5%),"EXP = 0 y PART &gt; 5%",IF(F1606&lt;5%*Q1607,"EXP &lt; 5%*PO","")))</f>
        <v/>
      </c>
      <c r="L1606" s="389" t="str">
        <f>IF(OR(D1606="",E1606=""),"",IF(AND(E1606&gt;=0.25,F1606&lt;&gt;"NO APORTA",F1606&gt;=$R1607*0.25),"SI","NO"))</f>
        <v/>
      </c>
      <c r="M1606" s="389"/>
      <c r="N1606" s="468"/>
      <c r="O1606" s="789"/>
      <c r="P1606" s="504" t="s">
        <v>416</v>
      </c>
      <c r="Q1606" s="504" t="s">
        <v>417</v>
      </c>
      <c r="R1606" s="793" t="s">
        <v>418</v>
      </c>
      <c r="S1606" s="793"/>
      <c r="T1606" s="284"/>
      <c r="U1606" s="284"/>
      <c r="V1606" s="310"/>
      <c r="W1606" s="284"/>
      <c r="X1606" s="542" t="str">
        <f>IF($F1600=1,"NO APLICA",$D1606)</f>
        <v>NO APLICA</v>
      </c>
      <c r="Y1606" s="543" t="str">
        <f>IF(OR($F1606="",$F1606="NO APORTA",$R1607=0,$X1606="NO APLICA"),"",ROUND($F1606/$Q1607,2))</f>
        <v/>
      </c>
      <c r="Z1606" s="544"/>
      <c r="AA1606" s="543"/>
      <c r="AB1606" s="540" t="str">
        <f t="shared" si="322"/>
        <v/>
      </c>
      <c r="AC1606" s="28"/>
    </row>
    <row r="1607" spans="1:29" s="30" customFormat="1" ht="16.5" customHeight="1" thickBot="1">
      <c r="A1607" s="112" t="str">
        <f>"S"&amp;E1581</f>
        <v>S53</v>
      </c>
      <c r="B1607" s="791"/>
      <c r="C1607" s="109">
        <v>6</v>
      </c>
      <c r="D1607" s="110" t="str">
        <f>IF(AND(C1607&lt;=F1600,F1600&lt;&gt;""),VLOOKUP(VALUE(E1581&amp;","&amp;C1607),INTEGRANTES!$D$19:$F$192,2,0),"")</f>
        <v/>
      </c>
      <c r="E1607" s="111" t="str">
        <f>IF(D1607&lt;&gt;"",VLOOKUP(VALUE(E1581&amp;","&amp;C1607),INTEGRANTES!$D$19:$F$192,3,0),"")</f>
        <v/>
      </c>
      <c r="F1607" s="380" t="str">
        <f>IF(D1607="","",IF(OR(SUMIF($J1588:$J1594,D1607,$O1588:$O1594)=0,N1607="NO"),"NO APORTA",SUMIF($J1588:$J1594,D1607,$O1588:$O1594)))</f>
        <v/>
      </c>
      <c r="G1607" s="380" t="str">
        <f>IF($D1607="","",IF($F1600&lt;=1,"",ROUND(POSMMLV*PORPO,2)))</f>
        <v/>
      </c>
      <c r="H1607" s="765" t="str">
        <f>IF($D1607="","",IF(OR(F1607="NO APORTA",G1607&gt;F1607),"NO CUMPLE","CUMPLE"))</f>
        <v/>
      </c>
      <c r="I1607" s="766"/>
      <c r="J1607" s="108" t="str">
        <f>IF(D1607="","",IF(OR(AND(SUMIF($J1585:$J1594,D1607,$O1585:$O1594)&gt;=5%*POSMMLV,N1607="SI"),AND(SUMIF($J1585:$J1594,D1607,$O1585:$O1594)=0,E1607&lt;=5%,N1607="SI")),"CUMPLE","NO CUMPLE"))</f>
        <v/>
      </c>
      <c r="K1607" s="105" t="str">
        <f>IF(OR(D1607="",J1607=""),"",IF(AND(J1607="NO CUMPLE",F1607="NO APORTA",E1607&gt;5%),"EXP = 0 y PART &gt; 5%",IF(F1607&lt;5%*Q1607,"EXP &lt; 5%*PO","")))</f>
        <v/>
      </c>
      <c r="L1607" s="389" t="str">
        <f>IF(OR(D1607="",E1607=""),"",IF(AND(E1607&gt;=0.25,F1607&lt;&gt;"NO APORTA",F1607&gt;=$R1607*0.25),"SI","NO"))</f>
        <v/>
      </c>
      <c r="M1607" s="389"/>
      <c r="N1607" s="468"/>
      <c r="O1607" s="403" t="str">
        <f ca="1">IF(R1607&gt;=Q1607,"CUMPLE","NO CUMPLE")</f>
        <v>CUMPLE</v>
      </c>
      <c r="P1607" s="312">
        <f>NUMMOD</f>
        <v>1</v>
      </c>
      <c r="Q1607" s="313">
        <f ca="1">IF(P1607="","",ROUND(VLOOKUP(P1607,PRESUPUESTOS!$B$16:$L$16,9,FALSE),7))</f>
        <v>300</v>
      </c>
      <c r="R1607" s="834">
        <f>IF(OR(COUNTIF(O1585:O1594,"")&gt;9,S1601&lt;NUMMINCONT),0,SUM(O1585:O1594))</f>
        <v>1979.8081</v>
      </c>
      <c r="S1607" s="834"/>
      <c r="T1607" s="284"/>
      <c r="U1607" s="284"/>
      <c r="V1607" s="310"/>
      <c r="W1607" s="284"/>
      <c r="X1607" s="545" t="str">
        <f>IF($F1600=1,"NO APLICA",$D1607)</f>
        <v>NO APLICA</v>
      </c>
      <c r="Y1607" s="543" t="str">
        <f>IF(OR($F1607="",$F1607="NO APORTA",$R1607=0,$X1607="NO APLICA"),"",ROUND($F1607/$Q1607,2))</f>
        <v/>
      </c>
      <c r="Z1607" s="544"/>
      <c r="AA1607" s="546"/>
      <c r="AB1607" s="540" t="str">
        <f>IF(COUNTIF(Z1607:AA1607,"SI APLICA")=2,"SI APLICA","")</f>
        <v/>
      </c>
      <c r="AC1607" s="28"/>
    </row>
    <row r="1608" spans="1:29" s="30" customFormat="1" ht="16.5" customHeight="1" thickBot="1">
      <c r="A1608" s="112" t="str">
        <f>"T"&amp;E1581</f>
        <v>T53</v>
      </c>
      <c r="B1608" s="792"/>
      <c r="C1608" s="821" t="s">
        <v>419</v>
      </c>
      <c r="D1608" s="822"/>
      <c r="E1608" s="822"/>
      <c r="F1608" s="518"/>
      <c r="G1608" s="519"/>
      <c r="H1608" s="794" t="str">
        <f>IF(OR($F1600="",SUM(E1602:E1607)=0),"",IF(COUNTIF(H1602:H1607,"CUMPLE")&gt;=1,"CUMPLE","NO CUMPLE"))</f>
        <v/>
      </c>
      <c r="I1608" s="795"/>
      <c r="J1608" s="314" t="str">
        <f>IF(COUNTIF(J1602:J1607,"")&gt;5,"",IF(COUNTIF(J1602:J1607,"NO CUMPLE")&gt;0,"NO CUMPLE","CUMPLE"))</f>
        <v/>
      </c>
      <c r="K1608" s="314" t="str">
        <f>IF(OR(AND(F1600=1,N1602="SI"),AND(COUNTIF(H1608:J1608,"CUMPLE")=2)),"CUMPLE","NO CUMPLE")</f>
        <v>CUMPLE</v>
      </c>
      <c r="L1608" s="519"/>
      <c r="M1608" s="519"/>
      <c r="N1608" s="519"/>
      <c r="O1608" s="833" t="str">
        <f ca="1">IF(ISNUMBER(F1581),"",IF(AND(O1607="NO CUMPLE",SUM(N1588:N1594)&lt;Q1607),"EL PROPONENTE SE DEBE REQUERIR POR EXPERIENCIA MINIMA EXIGIDA",""))</f>
        <v/>
      </c>
      <c r="P1608" s="833"/>
      <c r="Q1608" s="833"/>
      <c r="R1608" s="833"/>
      <c r="S1608" s="833"/>
      <c r="T1608" s="522"/>
      <c r="U1608" s="523"/>
      <c r="V1608" s="524"/>
      <c r="W1608" s="284"/>
      <c r="X1608" s="364" t="str">
        <f>IF(Y1608=1,"PROPONENTE INDIVIDUAL","PROPONENTE PLURAL")</f>
        <v>PROPONENTE INDIVIDUAL</v>
      </c>
      <c r="Y1608" s="276">
        <f>F1600</f>
        <v>1</v>
      </c>
      <c r="Z1608" s="277" t="str">
        <f>IF(OR(AND(Z1602="SI APLICA",AA1602="SI APLICA"),AND(Z1603="SI APLICA",AA1603="SI APLICA"),AND(Z1604="SI APLICA",AA1604="SI APLICA"),AND(Z1605="SI APLICA",AA1605="SI APLICA"),AND(Z1606="SI APLICA",AA1606="SI APLICA"),AND(Z1607="SI APLICA",AA1607="SI APLICA")),"SI APLICA","NO APLICA")</f>
        <v>SI APLICA</v>
      </c>
      <c r="AA1608" s="278" t="str">
        <f>IF(OR(AND(AA1602="SI APLICA",AB1602="SI APLICA"),AND(AA1603="SI APLICA",AB1603="SI APLICA"),AND(AA1604="SI APLICA",AB1604="SI APLICA"),AND(AA1605="SI APLICA",AB1605="SI APLICA"),AND(AA1606="SI APLICA",AB1606="SI APLICA"),AND(AA1607="SI APLICA",AB1607="SI APLICA")),"SI APLICA","NO APLICA")</f>
        <v>SI APLICA</v>
      </c>
      <c r="AB1608" s="278" t="str">
        <f>IF(COUNTIF(AB1602:AB1607,"SI APLICA")&gt;0,"SI APLICA","NO APLICA")</f>
        <v>SI APLICA</v>
      </c>
      <c r="AC1608" s="28"/>
    </row>
    <row r="1609" spans="1:29" ht="24.95" customHeight="1"/>
    <row r="1610" spans="1:29" ht="24.95" customHeight="1"/>
    <row r="1611" spans="1:29" s="41" customFormat="1" ht="24" thickBot="1">
      <c r="A1611" s="34">
        <v>54</v>
      </c>
      <c r="B1611" s="828" t="s">
        <v>355</v>
      </c>
      <c r="C1611" s="828"/>
      <c r="D1611" s="828"/>
      <c r="E1611" s="35">
        <f>VLOOKUP(A1611,PROPONENTES!$B$19:$E$108,2,FALSE)</f>
        <v>54</v>
      </c>
      <c r="F1611" s="36" t="str">
        <f>VLOOKUP(A1611,PROPONENTES!$B$19:$E$108,3,FALSE)</f>
        <v>CONSORCIO HC INTERVENTORES 2022</v>
      </c>
      <c r="G1611" s="37"/>
      <c r="H1611" s="37"/>
      <c r="I1611" s="36"/>
      <c r="J1611" s="36"/>
      <c r="K1611" s="36"/>
      <c r="L1611" s="36"/>
      <c r="M1611" s="38"/>
      <c r="N1611" s="38"/>
      <c r="O1611" s="37"/>
      <c r="P1611" s="37"/>
      <c r="Q1611" s="39"/>
      <c r="R1611" s="39"/>
      <c r="S1611" s="39"/>
      <c r="T1611" s="39"/>
      <c r="U1611" s="40"/>
      <c r="Y1611" s="52"/>
      <c r="Z1611" s="52"/>
      <c r="AA1611" s="52"/>
      <c r="AB1611" s="28"/>
      <c r="AC1611" s="28"/>
    </row>
    <row r="1612" spans="1:29" s="27" customFormat="1" ht="24.75" customHeight="1">
      <c r="A1612" s="22"/>
      <c r="B1612" s="829" t="s">
        <v>356</v>
      </c>
      <c r="C1612" s="501" t="s">
        <v>357</v>
      </c>
      <c r="D1612" s="502" t="s">
        <v>358</v>
      </c>
      <c r="E1612" s="502"/>
      <c r="F1612" s="502" t="s">
        <v>359</v>
      </c>
      <c r="G1612" s="503"/>
      <c r="H1612" s="803" t="s">
        <v>360</v>
      </c>
      <c r="I1612" s="831" t="s">
        <v>361</v>
      </c>
      <c r="J1612" s="803" t="s">
        <v>362</v>
      </c>
      <c r="K1612" s="803" t="s">
        <v>363</v>
      </c>
      <c r="L1612" s="803" t="s">
        <v>364</v>
      </c>
      <c r="M1612" s="803" t="s">
        <v>365</v>
      </c>
      <c r="N1612" s="804" t="s">
        <v>366</v>
      </c>
      <c r="O1612" s="805"/>
      <c r="P1612" s="806" t="s">
        <v>367</v>
      </c>
      <c r="Q1612" s="807"/>
      <c r="R1612" s="784" t="s">
        <v>368</v>
      </c>
      <c r="S1612" s="774"/>
      <c r="T1612" s="798" t="s">
        <v>369</v>
      </c>
      <c r="U1612" s="799"/>
      <c r="V1612" s="800"/>
      <c r="X1612" s="520"/>
      <c r="Y1612" s="520"/>
    </row>
    <row r="1613" spans="1:29" s="27" customFormat="1" ht="94.5" customHeight="1">
      <c r="A1613" s="22"/>
      <c r="B1613" s="830"/>
      <c r="C1613" s="504" t="s">
        <v>370</v>
      </c>
      <c r="D1613" s="505" t="s">
        <v>41</v>
      </c>
      <c r="E1613" s="505" t="s">
        <v>371</v>
      </c>
      <c r="F1613" s="505" t="s">
        <v>372</v>
      </c>
      <c r="G1613" s="506" t="s">
        <v>373</v>
      </c>
      <c r="H1613" s="793"/>
      <c r="I1613" s="832"/>
      <c r="J1613" s="793"/>
      <c r="K1613" s="793"/>
      <c r="L1613" s="793"/>
      <c r="M1613" s="793"/>
      <c r="N1613" s="504" t="s">
        <v>374</v>
      </c>
      <c r="O1613" s="505" t="s">
        <v>375</v>
      </c>
      <c r="P1613" s="801"/>
      <c r="Q1613" s="802"/>
      <c r="R1613" s="796"/>
      <c r="S1613" s="797"/>
      <c r="T1613" s="507" t="s">
        <v>376</v>
      </c>
      <c r="U1613" s="508" t="s">
        <v>377</v>
      </c>
      <c r="V1613" s="509" t="s">
        <v>378</v>
      </c>
      <c r="X1613" s="521" t="s">
        <v>379</v>
      </c>
      <c r="Y1613" s="521" t="s">
        <v>380</v>
      </c>
    </row>
    <row r="1614" spans="1:29" s="27" customFormat="1" ht="15" customHeight="1">
      <c r="A1614" s="22"/>
      <c r="B1614" s="594"/>
      <c r="C1614" s="595">
        <v>3</v>
      </c>
      <c r="D1614" s="595">
        <v>4</v>
      </c>
      <c r="E1614" s="595">
        <v>5</v>
      </c>
      <c r="F1614" s="595">
        <v>6</v>
      </c>
      <c r="G1614" s="595">
        <v>7</v>
      </c>
      <c r="H1614" s="595">
        <v>8</v>
      </c>
      <c r="I1614" s="595">
        <v>9</v>
      </c>
      <c r="J1614" s="595">
        <v>10</v>
      </c>
      <c r="K1614" s="595">
        <v>11</v>
      </c>
      <c r="L1614" s="595">
        <v>12</v>
      </c>
      <c r="M1614" s="595">
        <v>13</v>
      </c>
      <c r="N1614" s="595">
        <v>14</v>
      </c>
      <c r="O1614" s="595">
        <v>15</v>
      </c>
      <c r="P1614" s="596">
        <v>16</v>
      </c>
      <c r="Q1614" s="597">
        <v>17</v>
      </c>
      <c r="R1614" s="596">
        <v>18</v>
      </c>
      <c r="S1614" s="597">
        <v>19</v>
      </c>
      <c r="T1614" s="598">
        <v>20</v>
      </c>
      <c r="U1614" s="255">
        <v>21</v>
      </c>
      <c r="V1614" s="599">
        <v>22</v>
      </c>
      <c r="X1614" s="589"/>
      <c r="Y1614" s="590"/>
    </row>
    <row r="1615" spans="1:29" s="44" customFormat="1" ht="24.95" customHeight="1">
      <c r="A1615" s="42" t="str">
        <f>"A"&amp;E1611</f>
        <v>A54</v>
      </c>
      <c r="B1615" s="605">
        <f>IF(C1615&lt;&gt;"",B1614+1,"")</f>
        <v>1</v>
      </c>
      <c r="C1615" s="581" t="s">
        <v>816</v>
      </c>
      <c r="D1615" s="581" t="s">
        <v>817</v>
      </c>
      <c r="E1615" s="581" t="s">
        <v>818</v>
      </c>
      <c r="F1615" s="581" t="s">
        <v>431</v>
      </c>
      <c r="G1615" s="534">
        <v>0.4</v>
      </c>
      <c r="H1615" s="534" t="s">
        <v>385</v>
      </c>
      <c r="I1615" s="579">
        <v>1</v>
      </c>
      <c r="J1615" s="580" t="str">
        <f>IF(I1615="","",IF(I1615="I",$F1611,VLOOKUP(I1615,$C1632:$D1637,2,0)))</f>
        <v>ENRIQUE HERNANDO PRIETO ACEVEDO</v>
      </c>
      <c r="K1615" s="535">
        <v>38906</v>
      </c>
      <c r="L1615" s="535">
        <v>39424</v>
      </c>
      <c r="M1615" s="536">
        <v>1304.33</v>
      </c>
      <c r="N1615" s="232">
        <f t="shared" ref="N1615:N1624" si="323">IF(OR(G1615="",M1615=""),"",M1615*G1615)</f>
        <v>521.73199999999997</v>
      </c>
      <c r="O1615" s="260">
        <f t="shared" ref="O1615:O1624" si="324">IF(OR(H1615="",H1615="NO",K1615&lt;$Q$17,K1615&gt;$R$17,K1615="",M1615="",N1615=""),"",ROUND(N1615,7))</f>
        <v>521.73199999999997</v>
      </c>
      <c r="P1615" s="781"/>
      <c r="Q1615" s="782"/>
      <c r="R1615" s="767"/>
      <c r="S1615" s="768"/>
      <c r="T1615" s="538" t="s">
        <v>385</v>
      </c>
      <c r="U1615" s="539">
        <v>21</v>
      </c>
      <c r="V1615" s="540" t="s">
        <v>385</v>
      </c>
      <c r="X1615" s="541"/>
      <c r="Y1615" s="541"/>
    </row>
    <row r="1616" spans="1:29" s="44" customFormat="1" ht="45" customHeight="1">
      <c r="A1616" s="42" t="str">
        <f>"B"&amp;E1611</f>
        <v>B54</v>
      </c>
      <c r="B1616" s="605">
        <f t="shared" ref="B1616:B1624" si="325">IF(C1616&lt;&gt;"",B1615+1,"")</f>
        <v>2</v>
      </c>
      <c r="C1616" s="581" t="s">
        <v>819</v>
      </c>
      <c r="D1616" s="581" t="s">
        <v>820</v>
      </c>
      <c r="E1616" s="581" t="s">
        <v>821</v>
      </c>
      <c r="F1616" s="581" t="s">
        <v>431</v>
      </c>
      <c r="G1616" s="534">
        <v>0.2</v>
      </c>
      <c r="H1616" s="534" t="s">
        <v>385</v>
      </c>
      <c r="I1616" s="579">
        <v>2</v>
      </c>
      <c r="J1616" s="580" t="str">
        <f>IF(I1616="","",IF(I1616="I",$F1611,VLOOKUP(I1616,$C1632:$D1637,2,0)))</f>
        <v>CAMINOS SAS</v>
      </c>
      <c r="K1616" s="535">
        <v>41519</v>
      </c>
      <c r="L1616" s="535">
        <v>41929</v>
      </c>
      <c r="M1616" s="536">
        <v>766.7</v>
      </c>
      <c r="N1616" s="232">
        <f t="shared" si="323"/>
        <v>153.34</v>
      </c>
      <c r="O1616" s="260">
        <f t="shared" si="324"/>
        <v>153.34</v>
      </c>
      <c r="P1616" s="781"/>
      <c r="Q1616" s="782"/>
      <c r="R1616" s="841" t="s">
        <v>822</v>
      </c>
      <c r="S1616" s="842"/>
      <c r="T1616" s="538" t="s">
        <v>385</v>
      </c>
      <c r="U1616" s="539">
        <v>22</v>
      </c>
      <c r="V1616" s="540" t="s">
        <v>385</v>
      </c>
      <c r="X1616" s="541"/>
      <c r="Y1616" s="541"/>
    </row>
    <row r="1617" spans="1:29" s="44" customFormat="1" ht="51" customHeight="1">
      <c r="A1617" s="42" t="str">
        <f>"C"&amp;E1611</f>
        <v>C54</v>
      </c>
      <c r="B1617" s="605">
        <f t="shared" si="325"/>
        <v>3</v>
      </c>
      <c r="C1617" s="581" t="s">
        <v>823</v>
      </c>
      <c r="D1617" s="581" t="s">
        <v>824</v>
      </c>
      <c r="E1617" s="581" t="s">
        <v>825</v>
      </c>
      <c r="F1617" s="581" t="s">
        <v>384</v>
      </c>
      <c r="G1617" s="534">
        <v>1</v>
      </c>
      <c r="H1617" s="534" t="s">
        <v>385</v>
      </c>
      <c r="I1617" s="579">
        <v>1</v>
      </c>
      <c r="J1617" s="580" t="str">
        <f>IF(I1617="","",IF(I1617="I",$F1611,VLOOKUP(I1617,$C1632:$D1637,2,0)))</f>
        <v>ENRIQUE HERNANDO PRIETO ACEVEDO</v>
      </c>
      <c r="K1617" s="535">
        <v>42221</v>
      </c>
      <c r="L1617" s="535">
        <v>42405</v>
      </c>
      <c r="M1617" s="536">
        <v>406.08</v>
      </c>
      <c r="N1617" s="232">
        <f t="shared" si="323"/>
        <v>406.08</v>
      </c>
      <c r="O1617" s="260">
        <f t="shared" si="324"/>
        <v>406.08</v>
      </c>
      <c r="P1617" s="846"/>
      <c r="Q1617" s="847"/>
      <c r="R1617" s="841" t="s">
        <v>826</v>
      </c>
      <c r="S1617" s="842"/>
      <c r="T1617" s="538" t="s">
        <v>385</v>
      </c>
      <c r="U1617" s="539">
        <v>50</v>
      </c>
      <c r="V1617" s="540" t="s">
        <v>385</v>
      </c>
      <c r="X1617" s="541"/>
      <c r="Y1617" s="541"/>
    </row>
    <row r="1618" spans="1:29" s="44" customFormat="1" ht="24.95" customHeight="1">
      <c r="A1618" s="42" t="str">
        <f>"D"&amp;E1611</f>
        <v>D54</v>
      </c>
      <c r="B1618" s="605" t="str">
        <f t="shared" si="325"/>
        <v/>
      </c>
      <c r="C1618" s="581"/>
      <c r="D1618" s="581"/>
      <c r="E1618" s="581"/>
      <c r="F1618" s="581"/>
      <c r="G1618" s="534"/>
      <c r="H1618" s="534"/>
      <c r="I1618" s="579"/>
      <c r="J1618" s="580" t="str">
        <f>IF(I1618="","",IF(I1618="I",$F1611,VLOOKUP(I1618,$C1632:$D1637,2,0)))</f>
        <v/>
      </c>
      <c r="K1618" s="535"/>
      <c r="L1618" s="535"/>
      <c r="M1618" s="536"/>
      <c r="N1618" s="232" t="str">
        <f t="shared" si="323"/>
        <v/>
      </c>
      <c r="O1618" s="260" t="str">
        <f t="shared" si="324"/>
        <v/>
      </c>
      <c r="P1618" s="781"/>
      <c r="Q1618" s="782"/>
      <c r="R1618" s="767"/>
      <c r="S1618" s="768"/>
      <c r="T1618" s="538"/>
      <c r="U1618" s="539"/>
      <c r="V1618" s="540"/>
      <c r="X1618" s="541"/>
      <c r="Y1618" s="541"/>
    </row>
    <row r="1619" spans="1:29" s="44" customFormat="1" ht="24.95" customHeight="1">
      <c r="A1619" s="42" t="str">
        <f>"E"&amp;E1611</f>
        <v>E54</v>
      </c>
      <c r="B1619" s="605" t="str">
        <f t="shared" si="325"/>
        <v/>
      </c>
      <c r="C1619" s="581"/>
      <c r="D1619" s="581"/>
      <c r="E1619" s="581"/>
      <c r="F1619" s="581"/>
      <c r="G1619" s="534"/>
      <c r="H1619" s="534"/>
      <c r="I1619" s="579"/>
      <c r="J1619" s="580" t="str">
        <f>IF(I1619="","",IF(I1619="I",$F1611,VLOOKUP(I1619,$C1632:$D1637,2,0)))</f>
        <v/>
      </c>
      <c r="K1619" s="535"/>
      <c r="L1619" s="535"/>
      <c r="M1619" s="536"/>
      <c r="N1619" s="232" t="str">
        <f t="shared" si="323"/>
        <v/>
      </c>
      <c r="O1619" s="260" t="str">
        <f t="shared" si="324"/>
        <v/>
      </c>
      <c r="P1619" s="781"/>
      <c r="Q1619" s="782"/>
      <c r="R1619" s="767"/>
      <c r="S1619" s="768"/>
      <c r="T1619" s="538"/>
      <c r="U1619" s="539"/>
      <c r="V1619" s="540"/>
      <c r="X1619" s="541"/>
      <c r="Y1619" s="541"/>
    </row>
    <row r="1620" spans="1:29" s="44" customFormat="1" ht="24.95" customHeight="1">
      <c r="A1620" s="42" t="str">
        <f>"F"&amp;E1611</f>
        <v>F54</v>
      </c>
      <c r="B1620" s="605" t="str">
        <f t="shared" si="325"/>
        <v/>
      </c>
      <c r="C1620" s="581"/>
      <c r="D1620" s="581"/>
      <c r="E1620" s="581"/>
      <c r="F1620" s="581"/>
      <c r="G1620" s="534"/>
      <c r="H1620" s="534"/>
      <c r="I1620" s="579"/>
      <c r="J1620" s="580" t="str">
        <f>IF(I1620="","",IF(I1620="I",$F1611,VLOOKUP(I1620,$C1632:$D1637,2,0)))</f>
        <v/>
      </c>
      <c r="K1620" s="535"/>
      <c r="L1620" s="535"/>
      <c r="M1620" s="536"/>
      <c r="N1620" s="232" t="str">
        <f t="shared" si="323"/>
        <v/>
      </c>
      <c r="O1620" s="260" t="str">
        <f t="shared" si="324"/>
        <v/>
      </c>
      <c r="P1620" s="781"/>
      <c r="Q1620" s="782"/>
      <c r="R1620" s="767"/>
      <c r="S1620" s="768"/>
      <c r="T1620" s="538"/>
      <c r="U1620" s="539"/>
      <c r="V1620" s="540"/>
      <c r="X1620" s="541"/>
      <c r="Y1620" s="541"/>
    </row>
    <row r="1621" spans="1:29" s="44" customFormat="1" ht="24.95" customHeight="1">
      <c r="A1621" s="42" t="str">
        <f>"G"&amp;E1611</f>
        <v>G54</v>
      </c>
      <c r="B1621" s="605" t="str">
        <f t="shared" si="325"/>
        <v/>
      </c>
      <c r="C1621" s="581"/>
      <c r="D1621" s="581"/>
      <c r="E1621" s="581"/>
      <c r="F1621" s="581"/>
      <c r="G1621" s="534"/>
      <c r="H1621" s="534"/>
      <c r="I1621" s="579"/>
      <c r="J1621" s="580" t="str">
        <f>IF(I1621="","",IF(I1621="I",$F1611,VLOOKUP(I1621,$C1632:$D1637,2,0)))</f>
        <v/>
      </c>
      <c r="K1621" s="535"/>
      <c r="L1621" s="535"/>
      <c r="M1621" s="536"/>
      <c r="N1621" s="43" t="str">
        <f t="shared" si="323"/>
        <v/>
      </c>
      <c r="O1621" s="260" t="str">
        <f t="shared" si="324"/>
        <v/>
      </c>
      <c r="P1621" s="781"/>
      <c r="Q1621" s="782"/>
      <c r="R1621" s="767"/>
      <c r="S1621" s="768"/>
      <c r="T1621" s="538"/>
      <c r="U1621" s="539"/>
      <c r="V1621" s="540"/>
      <c r="X1621" s="541"/>
      <c r="Y1621" s="541"/>
    </row>
    <row r="1622" spans="1:29" s="44" customFormat="1" ht="24.95" customHeight="1">
      <c r="A1622" s="42" t="str">
        <f>"H"&amp;E1611</f>
        <v>H54</v>
      </c>
      <c r="B1622" s="605" t="str">
        <f t="shared" si="325"/>
        <v/>
      </c>
      <c r="C1622" s="581"/>
      <c r="D1622" s="581"/>
      <c r="E1622" s="581"/>
      <c r="F1622" s="581"/>
      <c r="G1622" s="534"/>
      <c r="H1622" s="534"/>
      <c r="I1622" s="579"/>
      <c r="J1622" s="580" t="str">
        <f>IF(I1622="","",IF(I1622="I",$F1611,VLOOKUP(I1622,$C1632:$D1637,2,0)))</f>
        <v/>
      </c>
      <c r="K1622" s="535"/>
      <c r="L1622" s="535"/>
      <c r="M1622" s="537"/>
      <c r="N1622" s="43" t="str">
        <f t="shared" si="323"/>
        <v/>
      </c>
      <c r="O1622" s="260" t="str">
        <f t="shared" si="324"/>
        <v/>
      </c>
      <c r="P1622" s="781"/>
      <c r="Q1622" s="782"/>
      <c r="R1622" s="767"/>
      <c r="S1622" s="768"/>
      <c r="T1622" s="538"/>
      <c r="U1622" s="539"/>
      <c r="V1622" s="540"/>
      <c r="X1622" s="541"/>
      <c r="Y1622" s="541"/>
    </row>
    <row r="1623" spans="1:29" s="44" customFormat="1" ht="24.95" customHeight="1">
      <c r="A1623" s="42" t="str">
        <f>"I"&amp;E1611</f>
        <v>I54</v>
      </c>
      <c r="B1623" s="605" t="str">
        <f t="shared" si="325"/>
        <v/>
      </c>
      <c r="C1623" s="581"/>
      <c r="D1623" s="581"/>
      <c r="E1623" s="581"/>
      <c r="F1623" s="581"/>
      <c r="G1623" s="534"/>
      <c r="H1623" s="534"/>
      <c r="I1623" s="579"/>
      <c r="J1623" s="580" t="str">
        <f>IF(I1623="","",IF(I1623="I",$F1611,VLOOKUP(I1623,$C1632:$D1637,2,0)))</f>
        <v/>
      </c>
      <c r="K1623" s="535"/>
      <c r="L1623" s="535"/>
      <c r="M1623" s="537"/>
      <c r="N1623" s="43" t="str">
        <f t="shared" si="323"/>
        <v/>
      </c>
      <c r="O1623" s="260" t="str">
        <f t="shared" si="324"/>
        <v/>
      </c>
      <c r="P1623" s="781"/>
      <c r="Q1623" s="782"/>
      <c r="R1623" s="767"/>
      <c r="S1623" s="768"/>
      <c r="T1623" s="538"/>
      <c r="U1623" s="539"/>
      <c r="V1623" s="540"/>
      <c r="X1623" s="541"/>
      <c r="Y1623" s="541"/>
    </row>
    <row r="1624" spans="1:29" s="44" customFormat="1" ht="24.95" customHeight="1" thickBot="1">
      <c r="A1624" s="42" t="str">
        <f>"J"&amp;E1611</f>
        <v>J54</v>
      </c>
      <c r="B1624" s="612" t="str">
        <f t="shared" si="325"/>
        <v/>
      </c>
      <c r="C1624" s="582"/>
      <c r="D1624" s="582"/>
      <c r="E1624" s="582"/>
      <c r="F1624" s="582"/>
      <c r="G1624" s="583"/>
      <c r="H1624" s="583"/>
      <c r="I1624" s="584"/>
      <c r="J1624" s="585" t="str">
        <f>IF(I1624="","",IF(I1624="I",$F1611,VLOOKUP(I1624,$C1632:$D1637,2,0)))</f>
        <v/>
      </c>
      <c r="K1624" s="586"/>
      <c r="L1624" s="586"/>
      <c r="M1624" s="587"/>
      <c r="N1624" s="43" t="str">
        <f t="shared" si="323"/>
        <v/>
      </c>
      <c r="O1624" s="260" t="str">
        <f t="shared" si="324"/>
        <v/>
      </c>
      <c r="P1624" s="781"/>
      <c r="Q1624" s="782"/>
      <c r="R1624" s="767"/>
      <c r="S1624" s="768"/>
      <c r="T1624" s="538"/>
      <c r="U1624" s="539"/>
      <c r="V1624" s="540"/>
      <c r="X1624" s="541"/>
      <c r="Y1624" s="541"/>
    </row>
    <row r="1625" spans="1:29" s="27" customFormat="1" ht="12" customHeight="1" thickBot="1">
      <c r="A1625" s="42"/>
      <c r="B1625" s="45"/>
      <c r="C1625" s="46"/>
      <c r="D1625" s="46"/>
      <c r="E1625" s="46"/>
      <c r="F1625" s="46"/>
      <c r="G1625" s="46"/>
      <c r="H1625" s="606"/>
      <c r="I1625" s="46"/>
      <c r="J1625" s="46"/>
      <c r="K1625" s="46"/>
      <c r="L1625" s="46"/>
      <c r="M1625" s="46"/>
      <c r="N1625" s="46"/>
      <c r="O1625" s="259"/>
      <c r="P1625" s="46"/>
      <c r="Q1625" s="46"/>
      <c r="R1625" s="259"/>
      <c r="S1625" s="46"/>
      <c r="T1625" s="46"/>
      <c r="U1625" s="47"/>
      <c r="V1625" s="48"/>
      <c r="X1625" s="592"/>
      <c r="Y1625" s="593"/>
      <c r="AB1625" s="378"/>
    </row>
    <row r="1626" spans="1:29" s="27" customFormat="1" ht="17.25" customHeight="1" thickBot="1">
      <c r="A1626" s="42" t="str">
        <f>"Z"&amp;E1611</f>
        <v>Z54</v>
      </c>
      <c r="B1626" s="510"/>
      <c r="C1626" s="511"/>
      <c r="D1626" s="511"/>
      <c r="E1626" s="511"/>
      <c r="F1626" s="511"/>
      <c r="G1626" s="511"/>
      <c r="H1626" s="511"/>
      <c r="I1626" s="511"/>
      <c r="J1626" s="511"/>
      <c r="K1626" s="511"/>
      <c r="L1626" s="511"/>
      <c r="M1626" s="511"/>
      <c r="N1626" s="437" t="s">
        <v>388</v>
      </c>
      <c r="O1626" s="438">
        <f>IF(COUNTIF(O1615:O1624,"")&gt;9,0,SUM(O1615:O1624)/(COUNTIF(H1615:H1624,"SI")))</f>
        <v>360.38400000000001</v>
      </c>
      <c r="P1626" s="511"/>
      <c r="Q1626" s="511"/>
      <c r="R1626" s="530"/>
      <c r="S1626" s="530"/>
      <c r="T1626" s="531"/>
      <c r="U1626" s="532"/>
      <c r="V1626" s="533"/>
      <c r="W1626" s="285"/>
      <c r="X1626" s="613" t="e">
        <f>COUNTIF(#REF!,"")-COUNTIF(#REF!,"CUMPLE")-1</f>
        <v>#REF!</v>
      </c>
      <c r="Y1626" s="591"/>
      <c r="AB1626" s="28"/>
    </row>
    <row r="1627" spans="1:29" ht="17.25" customHeight="1">
      <c r="B1627" s="50"/>
      <c r="C1627" s="50"/>
      <c r="D1627" s="50"/>
      <c r="E1627" s="50"/>
      <c r="F1627" s="50"/>
      <c r="G1627" s="51"/>
      <c r="H1627" s="51"/>
      <c r="I1627" s="51"/>
      <c r="J1627" s="51"/>
      <c r="K1627" s="51"/>
      <c r="L1627" s="51"/>
      <c r="M1627" s="51"/>
      <c r="N1627" s="51"/>
      <c r="O1627" s="51"/>
      <c r="P1627" s="51"/>
      <c r="Q1627" s="51"/>
      <c r="R1627" s="51"/>
      <c r="S1627" s="51"/>
      <c r="T1627" s="51"/>
      <c r="U1627" s="51"/>
      <c r="V1627" s="51"/>
      <c r="W1627" s="51"/>
      <c r="X1627" s="608"/>
      <c r="Y1627" s="51"/>
      <c r="Z1627" s="51"/>
      <c r="AA1627" s="51"/>
      <c r="AB1627" s="51"/>
      <c r="AC1627" s="50"/>
    </row>
    <row r="1628" spans="1:29" s="27" customFormat="1" ht="16.5" customHeight="1" thickBot="1">
      <c r="A1628" s="22"/>
      <c r="B1628" s="783" t="s">
        <v>389</v>
      </c>
      <c r="C1628" s="783"/>
      <c r="D1628" s="783"/>
      <c r="E1628" s="783"/>
      <c r="F1628" s="783"/>
      <c r="G1628" s="783"/>
      <c r="H1628" s="783"/>
      <c r="I1628" s="783"/>
      <c r="J1628" s="783"/>
      <c r="K1628" s="783"/>
      <c r="L1628" s="783"/>
      <c r="M1628" s="783"/>
      <c r="N1628" s="783"/>
      <c r="O1628" s="783"/>
      <c r="P1628" s="783"/>
      <c r="Q1628" s="783"/>
      <c r="R1628" s="783"/>
      <c r="S1628" s="783"/>
      <c r="T1628" s="783"/>
      <c r="U1628" s="783"/>
      <c r="V1628" s="783"/>
      <c r="W1628" s="286"/>
      <c r="X1628" s="607"/>
      <c r="Y1628" s="52"/>
      <c r="Z1628" s="52"/>
      <c r="AA1628" s="52"/>
      <c r="AB1628" s="28"/>
      <c r="AC1628" s="28"/>
    </row>
    <row r="1629" spans="1:29" s="30" customFormat="1" ht="22.5" customHeight="1">
      <c r="A1629" s="112" t="str">
        <f>"K"&amp;E1611</f>
        <v>K54</v>
      </c>
      <c r="B1629" s="790" t="s">
        <v>390</v>
      </c>
      <c r="C1629" s="772" t="s">
        <v>391</v>
      </c>
      <c r="D1629" s="773"/>
      <c r="E1629" s="773"/>
      <c r="F1629" s="773"/>
      <c r="G1629" s="773"/>
      <c r="H1629" s="773"/>
      <c r="I1629" s="773"/>
      <c r="J1629" s="773"/>
      <c r="K1629" s="773"/>
      <c r="L1629" s="773"/>
      <c r="M1629" s="774"/>
      <c r="N1629" s="525"/>
      <c r="O1629" s="588"/>
      <c r="P1629" s="772" t="s">
        <v>392</v>
      </c>
      <c r="Q1629" s="773"/>
      <c r="R1629" s="773"/>
      <c r="S1629" s="774"/>
      <c r="T1629" s="784" t="s">
        <v>393</v>
      </c>
      <c r="U1629" s="774"/>
      <c r="V1629" s="811"/>
      <c r="W1629" s="284"/>
      <c r="X1629" s="778" t="s">
        <v>394</v>
      </c>
      <c r="Y1629" s="779"/>
      <c r="Z1629" s="779"/>
      <c r="AA1629" s="779" t="s">
        <v>395</v>
      </c>
      <c r="AB1629" s="808" t="s">
        <v>396</v>
      </c>
      <c r="AC1629" s="28"/>
    </row>
    <row r="1630" spans="1:29" s="30" customFormat="1" ht="22.5" customHeight="1">
      <c r="A1630" s="112" t="str">
        <f>"L"&amp;E1611</f>
        <v>L54</v>
      </c>
      <c r="B1630" s="791"/>
      <c r="C1630" s="769" t="s">
        <v>397</v>
      </c>
      <c r="D1630" s="770"/>
      <c r="E1630" s="771"/>
      <c r="F1630" s="512">
        <f>IF(VLOOKUP(E1611,PROPONENTES!$C$19:$E$108,3,0)="","",VLOOKUP(E1611,PROPONENTES!$C$19:$E$108,3,0))</f>
        <v>2</v>
      </c>
      <c r="G1630" s="824" t="s">
        <v>398</v>
      </c>
      <c r="H1630" s="793" t="s">
        <v>399</v>
      </c>
      <c r="I1630" s="793"/>
      <c r="J1630" s="769" t="s">
        <v>400</v>
      </c>
      <c r="K1630" s="823"/>
      <c r="L1630" s="513" t="s">
        <v>401</v>
      </c>
      <c r="M1630" s="513"/>
      <c r="N1630" s="526"/>
      <c r="O1630" s="527"/>
      <c r="P1630" s="775"/>
      <c r="Q1630" s="776"/>
      <c r="R1630" s="776"/>
      <c r="S1630" s="777"/>
      <c r="T1630" s="796"/>
      <c r="U1630" s="797"/>
      <c r="V1630" s="812"/>
      <c r="W1630" s="284"/>
      <c r="X1630" s="780" t="s">
        <v>402</v>
      </c>
      <c r="Y1630" s="810" t="s">
        <v>403</v>
      </c>
      <c r="Z1630" s="810"/>
      <c r="AA1630" s="810"/>
      <c r="AB1630" s="809"/>
      <c r="AC1630" s="28"/>
    </row>
    <row r="1631" spans="1:29" s="30" customFormat="1" ht="51.75" customHeight="1" thickBot="1">
      <c r="A1631" s="112" t="str">
        <f>"M"&amp;E1611</f>
        <v>M54</v>
      </c>
      <c r="B1631" s="791"/>
      <c r="C1631" s="770" t="s">
        <v>404</v>
      </c>
      <c r="D1631" s="771"/>
      <c r="E1631" s="514" t="s">
        <v>405</v>
      </c>
      <c r="F1631" s="515" t="s">
        <v>406</v>
      </c>
      <c r="G1631" s="824"/>
      <c r="H1631" s="793"/>
      <c r="I1631" s="793"/>
      <c r="J1631" s="504" t="s">
        <v>407</v>
      </c>
      <c r="K1631" s="516" t="s">
        <v>408</v>
      </c>
      <c r="L1631" s="517" t="s">
        <v>409</v>
      </c>
      <c r="M1631" s="517"/>
      <c r="N1631" s="528" t="s">
        <v>410</v>
      </c>
      <c r="O1631" s="529"/>
      <c r="P1631" s="386"/>
      <c r="Q1631" s="387" t="s">
        <v>411</v>
      </c>
      <c r="R1631" s="388"/>
      <c r="S1631" s="113">
        <f>COUNTIFS(H1615:H1624,"SI",O1615:O1624,"&gt;0")</f>
        <v>3</v>
      </c>
      <c r="T1631" s="785"/>
      <c r="U1631" s="787"/>
      <c r="V1631" s="813"/>
      <c r="W1631" s="284"/>
      <c r="X1631" s="780"/>
      <c r="Y1631" s="810"/>
      <c r="Z1631" s="810"/>
      <c r="AA1631" s="810"/>
      <c r="AB1631" s="809"/>
      <c r="AC1631" s="28"/>
    </row>
    <row r="1632" spans="1:29" s="30" customFormat="1" ht="25.5">
      <c r="A1632" s="112" t="str">
        <f>"N"&amp;E1611</f>
        <v>N54</v>
      </c>
      <c r="B1632" s="791"/>
      <c r="C1632" s="54">
        <v>1</v>
      </c>
      <c r="D1632" s="100" t="str">
        <f>IF(AND(C1632&lt;=F1630,F1630&gt;1,F1630&lt;&gt;""),VLOOKUP(VALUE(E1611&amp;","&amp;C1632),INTEGRANTES!$D$19:$F$192,2,0),"")</f>
        <v>ENRIQUE HERNANDO PRIETO ACEVEDO</v>
      </c>
      <c r="E1632" s="107">
        <f>IF(D1632&lt;&gt;"",VLOOKUP(VALUE(E1611&amp;","&amp;C1632),INTEGRANTES!$D$19:$F$192,3,0),"")</f>
        <v>0.5</v>
      </c>
      <c r="F1632" s="380">
        <f>IF(D1632="","",IF(OR(SUMIF($J1615:$J1624,D1632,$O1615:$O1624)=0,N1632="NO"),"NO APORTA",SUMIF($J1615:$J1624,D1632,$O1615:$O1624)))</f>
        <v>927.8119999999999</v>
      </c>
      <c r="G1632" s="380">
        <f ca="1">IF($D1632="","",IF($F1630&lt;=1,"",ROUND(POSMMLV*PORPO,2)))</f>
        <v>150</v>
      </c>
      <c r="H1632" s="765" t="str">
        <f ca="1">IF($D1632="","",IF(OR(F1632="NO APORTA",G1632&gt;F1632),"NO CUMPLE","CUMPLE"))</f>
        <v>CUMPLE</v>
      </c>
      <c r="I1632" s="766"/>
      <c r="J1632" s="108" t="str">
        <f ca="1">IF(D1632="","",IF(OR(AND(SUMIF($J1615:$J1624,D1632,$O1615:$O1624)&gt;=5%*POSMMLV,N1632="SI"),AND(SUMIF($J1615:$J1624,D1632,$O1615:$O1624)=0,E1632&lt;=5%,N1632="SI")),"CUMPLE","NO CUMPLE"))</f>
        <v>CUMPLE</v>
      </c>
      <c r="K1632" s="105" t="str">
        <f ca="1">IF(OR(D1632="",J1632=""),"",IF(AND(J1632="NO CUMPLE",F1632="NO APORTA",E1632&gt;5%),"EXP = 0 y PART &gt; 5%",IF(F1632&lt;5%*Q1637,"EXP &lt; 5%*PO","")))</f>
        <v/>
      </c>
      <c r="L1632" s="389" t="str">
        <f>IF(OR(D1632="",E1632=""),"",IF(AND(E1632&gt;=0.25,F1632&lt;&gt;"NO APORTA",F1632&gt;=$R1637*0.25),"SI","NO"))</f>
        <v>SI</v>
      </c>
      <c r="M1632" s="389"/>
      <c r="N1632" s="468" t="s">
        <v>385</v>
      </c>
      <c r="O1632" s="396">
        <f>COUNTIFS(O1615:O1624,"&gt;0",H1615:H1624,"SI")</f>
        <v>3</v>
      </c>
      <c r="P1632" s="814" t="s">
        <v>139</v>
      </c>
      <c r="Q1632" s="814"/>
      <c r="R1632" s="817">
        <f>E1611</f>
        <v>54</v>
      </c>
      <c r="S1632" s="818"/>
      <c r="T1632" s="784" t="s">
        <v>412</v>
      </c>
      <c r="U1632" s="773"/>
      <c r="V1632" s="774"/>
      <c r="W1632" s="283"/>
      <c r="X1632" s="542" t="str">
        <f>IF($F1630=1,"NO APLICA",$D1632)</f>
        <v>ENRIQUE HERNANDO PRIETO ACEVEDO</v>
      </c>
      <c r="Y1632" s="543">
        <f ca="1">IF(OR($F1632="",$F1632="NO APORTA",$R1637=0,$X1632="NO APLICA"),"",ROUND($F1632/$Q1637,2))</f>
        <v>3.09</v>
      </c>
      <c r="Z1632" s="544" t="str">
        <f ca="1">IF(Y1638=1,"SI APLICA",IF(OR($X1632="",$X1632="NO APLICA",$F1632="",$F1632="NO APORTA"),"",IF(ROUND($F1632/Q1637,7)&gt;=0.4,"SI APLICA","NO APLICA")))</f>
        <v>SI APLICA</v>
      </c>
      <c r="AA1632" s="543" t="s">
        <v>413</v>
      </c>
      <c r="AB1632" s="540" t="str">
        <f ca="1">IF(COUNTIF(Z1632:AA1632,"SI APLICA")=2,"SI APLICA","")</f>
        <v>SI APLICA</v>
      </c>
      <c r="AC1632" s="28"/>
    </row>
    <row r="1633" spans="1:29" s="30" customFormat="1" ht="15.75" customHeight="1" thickBot="1">
      <c r="A1633" s="112" t="str">
        <f>"O"&amp;E1611</f>
        <v>O54</v>
      </c>
      <c r="B1633" s="791"/>
      <c r="C1633" s="54">
        <v>2</v>
      </c>
      <c r="D1633" s="100" t="str">
        <f>IF(AND(C1633&lt;=F1630,F1630&lt;&gt;""),VLOOKUP(VALUE(E1611&amp;","&amp;C1633),INTEGRANTES!$D$19:$F$192,2,0),"")</f>
        <v>CAMINOS SAS</v>
      </c>
      <c r="E1633" s="107">
        <f>IF(D1633&lt;&gt;"",VLOOKUP(VALUE(E1611&amp;","&amp;C1633),INTEGRANTES!$D$19:$F$192,3,0),"")</f>
        <v>0.5</v>
      </c>
      <c r="F1633" s="380">
        <f>IF(D1633="","",IF(OR(SUMIF($J1615:$J1624,D1633,$O1615:$O1624)=0,N1633="NO"),"NO APORTA",SUMIF($J1615:$J1624,D1633,$O1615:$O1624)))</f>
        <v>153.34</v>
      </c>
      <c r="G1633" s="380">
        <f ca="1">IF($D1633="","",IF($F1630&lt;=1,"",ROUND(POSMMLV*PORPO,2)))</f>
        <v>150</v>
      </c>
      <c r="H1633" s="765" t="str">
        <f t="shared" ref="H1633:H1636" ca="1" si="326">IF($D1633="","",IF(OR(F1633="NO APORTA",G1633&gt;F1633),"NO CUMPLE","CUMPLE"))</f>
        <v>CUMPLE</v>
      </c>
      <c r="I1633" s="766"/>
      <c r="J1633" s="108" t="str">
        <f ca="1">IF(D1633="","",IF(OR(AND(SUMIF($J1615:$J1624,D1633,$O1615:$O1624)&gt;=5%*POSMMLV,N1633="SI"),AND(SUMIF($J1615:$J1624,D1633,$O1615:$O1624)=0,E1633&lt;=5%,N1633="SI")),"CUMPLE","NO CUMPLE"))</f>
        <v>CUMPLE</v>
      </c>
      <c r="K1633" s="105" t="str">
        <f ca="1">IF(OR(D1633="",J1633=""),"",IF(AND(J1633="NO CUMPLE",F1633="NO APORTA",E1633&gt;5%),"EXP = 0 y PART &gt; 5%",IF(F1633&lt;5%*Q1637,"EXP &lt; 5%*PO","")))</f>
        <v/>
      </c>
      <c r="L1633" s="389" t="str">
        <f>IF(OR(D1633="",E1633=""),"",IF(AND(E1633&gt;=0.25,F1633&lt;&gt;"NO APORTA",F1633&gt;=$R1637*0.25),"SI","NO"))</f>
        <v>NO</v>
      </c>
      <c r="M1633" s="389"/>
      <c r="N1633" s="468" t="s">
        <v>385</v>
      </c>
      <c r="O1633" s="396"/>
      <c r="P1633" s="815"/>
      <c r="Q1633" s="815"/>
      <c r="R1633" s="815"/>
      <c r="S1633" s="819"/>
      <c r="T1633" s="785"/>
      <c r="U1633" s="786"/>
      <c r="V1633" s="787"/>
      <c r="W1633" s="283"/>
      <c r="X1633" s="542" t="str">
        <f>IF($F1630=1,"NO APLICA",$D1633)</f>
        <v>CAMINOS SAS</v>
      </c>
      <c r="Y1633" s="543">
        <f ca="1">IF(OR($F1633="",$F1633="NO APORTA",$R1637=0,$X1633="NO APLICA"),"",ROUND($F1633/$Q1637,2))</f>
        <v>0.51</v>
      </c>
      <c r="Z1633" s="544" t="str">
        <f ca="1">IF(Y1638=1,"SI APLICA",IF(OR($X1633="",$X1633="NO APLICA",$F1633="",$F1633="NO APORTA"),"",IF(ROUND($F1633/Q1637,7)&gt;=0.4,"SI APLICA","NO APLICA")))</f>
        <v>SI APLICA</v>
      </c>
      <c r="AA1633" s="543" t="s">
        <v>413</v>
      </c>
      <c r="AB1633" s="540" t="str">
        <f t="shared" ref="AB1633" ca="1" si="327">IF(COUNTIF(Z1633:AA1633,"SI APLICA")=2,"SI APLICA","")</f>
        <v>SI APLICA</v>
      </c>
      <c r="AC1633" s="28"/>
    </row>
    <row r="1634" spans="1:29" s="30" customFormat="1" ht="15.75" customHeight="1">
      <c r="A1634" s="112" t="str">
        <f>"P"&amp;E1611</f>
        <v>P54</v>
      </c>
      <c r="B1634" s="791"/>
      <c r="C1634" s="54">
        <v>3</v>
      </c>
      <c r="D1634" s="100" t="str">
        <f>IF(AND(C1634&lt;=F1630,F1630&lt;&gt;""),VLOOKUP(VALUE(E1611&amp;","&amp;C1634),INTEGRANTES!$D$19:$F$192,2,0),"")</f>
        <v/>
      </c>
      <c r="E1634" s="107" t="str">
        <f>IF(D1634&lt;&gt;"",VLOOKUP(VALUE(E1611&amp;","&amp;C1634),INTEGRANTES!$D$19:$F$192,3,0),"")</f>
        <v/>
      </c>
      <c r="F1634" s="380" t="str">
        <f>IF(D1634="","",IF(OR(SUMIF($J1618:$J1624,D1634,$O1618:$O1624)=0,N1634="NO"),"NO APORTA",SUMIF($J1618:$J1624,D1634,$O1618:$O1624)))</f>
        <v/>
      </c>
      <c r="G1634" s="380" t="str">
        <f>IF($D1634="","",IF($F1630&lt;=1,"",ROUND(POSMMLV*PORPO,2)))</f>
        <v/>
      </c>
      <c r="H1634" s="765" t="str">
        <f t="shared" si="326"/>
        <v/>
      </c>
      <c r="I1634" s="766"/>
      <c r="J1634" s="108" t="str">
        <f>IF(D1634="","",IF(OR(AND(SUMIF($J1615:$J1624,D1634,$O1615:$O1624)&gt;=5%*POSMMLV,N1634="SI"),AND(SUMIF($J1615:$J1624,D1634,$O1615:$O1624)=0,E1634&lt;=5%,N1634="SI")),"CUMPLE","NO CUMPLE"))</f>
        <v/>
      </c>
      <c r="K1634" s="105" t="str">
        <f>IF(OR(D1634="",J1634=""),"",IF(AND(J1634="NO CUMPLE",F1634="NO APORTA",E1634&gt;5%),"EXP = 0 y PART &gt; 5%",IF(F1634&lt;5%*Q1637,"EXP &lt; 5%*PO","")))</f>
        <v/>
      </c>
      <c r="L1634" s="389" t="str">
        <f>IF(OR(D1634="",E1634=""),"",IF(AND(E1634&gt;=0.25,F1634&lt;&gt;"NO APORTA",F1634&gt;=$R1637*0.25),"SI","NO"))</f>
        <v/>
      </c>
      <c r="M1634" s="389"/>
      <c r="N1634" s="468"/>
      <c r="O1634" s="397"/>
      <c r="P1634" s="816"/>
      <c r="Q1634" s="816"/>
      <c r="R1634" s="816"/>
      <c r="S1634" s="820"/>
      <c r="T1634" s="308"/>
      <c r="U1634" s="308"/>
      <c r="V1634" s="309"/>
      <c r="W1634" s="284"/>
      <c r="X1634" s="542" t="str">
        <f>IF($F1630=1,"NO APLICA",$D1634)</f>
        <v/>
      </c>
      <c r="Y1634" s="543" t="str">
        <f>IF(OR($F1634="",$F1634="NO APORTA",$R1637=0,$X1634="NO APLICA"),"",ROUND($F1634/$Q1637,2))</f>
        <v/>
      </c>
      <c r="Z1634" s="544" t="str">
        <f>IF(Y1638=1,"SI APLICA",IF(OR($X1634="",$X1634="NO APLICA",$F1634="",$F1634="NO APORTA"),"",IF(ROUND($F1634/Q1637,7)&gt;=0.4,"SI APLICA","NO APLICA")))</f>
        <v/>
      </c>
      <c r="AA1634" s="543"/>
      <c r="AB1634" s="540" t="str">
        <f>IF(COUNTIF(Z1634:AA1634,"SI APLICA")=2,"SI APLICA","")</f>
        <v/>
      </c>
      <c r="AC1634" s="28"/>
    </row>
    <row r="1635" spans="1:29" s="30" customFormat="1" ht="15.75" customHeight="1">
      <c r="A1635" s="112" t="str">
        <f>"Q"&amp;E1611</f>
        <v>Q54</v>
      </c>
      <c r="B1635" s="791"/>
      <c r="C1635" s="54">
        <v>4</v>
      </c>
      <c r="D1635" s="100" t="str">
        <f>IF(AND(C1635&lt;=F1630,F1630&lt;&gt;""),VLOOKUP(VALUE(E1611&amp;","&amp;C1635),INTEGRANTES!$D$19:$F$192,2,0),"")</f>
        <v/>
      </c>
      <c r="E1635" s="107" t="str">
        <f>IF(D1635&lt;&gt;"",VLOOKUP(VALUE(E1611&amp;","&amp;C1635),INTEGRANTES!$D$19:$F$192,3,0),"")</f>
        <v/>
      </c>
      <c r="F1635" s="380" t="str">
        <f>IF(D1635="","",IF(OR(SUMIF($J1618:$J1624,D1635,$O1618:$O1624)=0,N1635="NO"),"NO APORTA",SUMIF($J1618:$J1624,D1635,$O1618:$O1624)))</f>
        <v/>
      </c>
      <c r="G1635" s="380" t="str">
        <f>IF($D1635="","",IF($F1630&lt;=1,"",ROUND(POSMMLV*PORPO,2)))</f>
        <v/>
      </c>
      <c r="H1635" s="765" t="str">
        <f t="shared" si="326"/>
        <v/>
      </c>
      <c r="I1635" s="766"/>
      <c r="J1635" s="108" t="str">
        <f>IF(D1635="","",IF(OR(AND(SUMIF($J1615:$J1624,D1635,$O1615:$O1624)&gt;=5%*POSMMLV,N1635="SI"),AND(SUMIF($J1615:$J1624,D1635,$O1615:$O1624)=0,E1635&lt;=5%,N1635="SI")),"CUMPLE","NO CUMPLE"))</f>
        <v/>
      </c>
      <c r="K1635" s="105" t="str">
        <f>IF(OR(D1635="",J1635=""),"",IF(AND(J1635="NO CUMPLE",F1635="NO APORTA",E1635&gt;5%),"EXP = 0 y PART &gt; 5%",IF(F1635&lt;5%*Q1637,"EXP &lt; 5%*PO","")))</f>
        <v/>
      </c>
      <c r="L1635" s="389" t="str">
        <f>IF(OR(D1635="",E1635=""),"",IF(AND(E1635&gt;=0.25,F1635&lt;&gt;"NO APORTA",F1635&gt;=$R1637*0.25),"SI","NO"))</f>
        <v/>
      </c>
      <c r="M1635" s="389"/>
      <c r="N1635" s="468"/>
      <c r="O1635" s="788" t="s">
        <v>414</v>
      </c>
      <c r="P1635" s="769" t="s">
        <v>415</v>
      </c>
      <c r="Q1635" s="770"/>
      <c r="R1635" s="770"/>
      <c r="S1635" s="771"/>
      <c r="T1635" s="284"/>
      <c r="U1635" s="284"/>
      <c r="V1635" s="310"/>
      <c r="W1635" s="284"/>
      <c r="X1635" s="542" t="str">
        <f>IF($F1630=1,"NO APLICA",$D1635)</f>
        <v/>
      </c>
      <c r="Y1635" s="543" t="str">
        <f>IF(OR($F1635="",$F1635="NO APORTA",$R1637=0,$X1635="NO APLICA"),"",ROUND($F1635/$Q1637,2))</f>
        <v/>
      </c>
      <c r="Z1635" s="544" t="str">
        <f>IF(Y1638=1,"SI APLICA",IF(OR($X1635="",$X1635="NO APLICA",$F1635="",$F1635="NO APORTA"),"",IF(ROUND($F1635/Q1637,7)&gt;=0.4,"SI APLICA","NO APLICA")))</f>
        <v/>
      </c>
      <c r="AA1635" s="543"/>
      <c r="AB1635" s="540" t="str">
        <f t="shared" ref="AB1635:AB1636" si="328">IF(COUNTIF(Z1635:AA1635,"SI APLICA")=2,"SI APLICA","")</f>
        <v/>
      </c>
      <c r="AC1635" s="28"/>
    </row>
    <row r="1636" spans="1:29" s="30" customFormat="1" ht="17.25" customHeight="1">
      <c r="A1636" s="112" t="str">
        <f>"R"&amp;E1611</f>
        <v>R54</v>
      </c>
      <c r="B1636" s="791"/>
      <c r="C1636" s="54">
        <v>5</v>
      </c>
      <c r="D1636" s="100" t="str">
        <f>IF(AND(C1636&lt;=F1630,F1630&lt;&gt;""),VLOOKUP(VALUE(E1611&amp;","&amp;C1636),INTEGRANTES!$D$19:$F$192,2,0),"")</f>
        <v/>
      </c>
      <c r="E1636" s="107" t="str">
        <f>IF(D1636&lt;&gt;"",VLOOKUP(VALUE(E1611&amp;","&amp;C1636),INTEGRANTES!$D$19:$F$192,3,0),"")</f>
        <v/>
      </c>
      <c r="F1636" s="380" t="str">
        <f>IF(D1636="","",IF(OR(SUMIF($J1618:$J1624,D1636,$O1618:$O1624)=0,N1636="NO"),"NO APORTA",SUMIF($J1618:$J1624,D1636,$O1618:$O1624)))</f>
        <v/>
      </c>
      <c r="G1636" s="380" t="str">
        <f>IF($D1636="","",IF($F1630&lt;=1,"",ROUND(POSMMLV*PORPO,2)))</f>
        <v/>
      </c>
      <c r="H1636" s="765" t="str">
        <f t="shared" si="326"/>
        <v/>
      </c>
      <c r="I1636" s="766"/>
      <c r="J1636" s="108" t="str">
        <f>IF(D1636="","",IF(OR(AND(SUMIF($J1615:$J1624,D1636,$O1615:$O1624)&gt;=5%*POSMMLV,N1636="SI"),AND(SUMIF($J1615:$J1624,D1636,$O1615:$O1624)=0,E1636&lt;=5%,N1636="SI")),"CUMPLE","NO CUMPLE"))</f>
        <v/>
      </c>
      <c r="K1636" s="105" t="str">
        <f>IF(OR(D1636="",J1636=""),"",IF(AND(J1636="NO CUMPLE",F1636="NO APORTA",E1636&gt;5%),"EXP = 0 y PART &gt; 5%",IF(F1636&lt;5%*Q1637,"EXP &lt; 5%*PO","")))</f>
        <v/>
      </c>
      <c r="L1636" s="389" t="str">
        <f>IF(OR(D1636="",E1636=""),"",IF(AND(E1636&gt;=0.25,F1636&lt;&gt;"NO APORTA",F1636&gt;=$R1637*0.25),"SI","NO"))</f>
        <v/>
      </c>
      <c r="M1636" s="389"/>
      <c r="N1636" s="468"/>
      <c r="O1636" s="789"/>
      <c r="P1636" s="504" t="s">
        <v>416</v>
      </c>
      <c r="Q1636" s="504" t="s">
        <v>417</v>
      </c>
      <c r="R1636" s="793" t="s">
        <v>418</v>
      </c>
      <c r="S1636" s="793"/>
      <c r="T1636" s="284"/>
      <c r="U1636" s="284"/>
      <c r="V1636" s="310"/>
      <c r="W1636" s="284"/>
      <c r="X1636" s="542" t="str">
        <f>IF($F1630=1,"NO APLICA",$D1636)</f>
        <v/>
      </c>
      <c r="Y1636" s="543" t="str">
        <f>IF(OR($F1636="",$F1636="NO APORTA",$R1637=0,$X1636="NO APLICA"),"",ROUND($F1636/$Q1637,2))</f>
        <v/>
      </c>
      <c r="Z1636" s="544" t="str">
        <f>IF(Y1638=1,"SI APLICA",IF(OR($X1636="",$X1636="NO APLICA",$F1636="",$F1636="NO APORTA"),"",IF(ROUND($F1636/Q1637,7)&gt;=0.4,"SI APLICA","NO APLICA")))</f>
        <v/>
      </c>
      <c r="AA1636" s="543"/>
      <c r="AB1636" s="540" t="str">
        <f t="shared" si="328"/>
        <v/>
      </c>
      <c r="AC1636" s="28"/>
    </row>
    <row r="1637" spans="1:29" s="30" customFormat="1" ht="16.5" customHeight="1" thickBot="1">
      <c r="A1637" s="112" t="str">
        <f>"S"&amp;E1611</f>
        <v>S54</v>
      </c>
      <c r="B1637" s="791"/>
      <c r="C1637" s="109">
        <v>6</v>
      </c>
      <c r="D1637" s="110" t="str">
        <f>IF(AND(C1637&lt;=F1630,F1630&lt;&gt;""),VLOOKUP(VALUE(E1611&amp;","&amp;C1637),INTEGRANTES!$D$19:$F$192,2,0),"")</f>
        <v/>
      </c>
      <c r="E1637" s="111" t="str">
        <f>IF(D1637&lt;&gt;"",VLOOKUP(VALUE(E1611&amp;","&amp;C1637),INTEGRANTES!$D$19:$F$192,3,0),"")</f>
        <v/>
      </c>
      <c r="F1637" s="380" t="str">
        <f>IF(D1637="","",IF(OR(SUMIF($J1618:$J1624,D1637,$O1618:$O1624)=0,N1637="NO"),"NO APORTA",SUMIF($J1618:$J1624,D1637,$O1618:$O1624)))</f>
        <v/>
      </c>
      <c r="G1637" s="380" t="str">
        <f>IF($D1637="","",IF($F1630&lt;=1,"",ROUND(POSMMLV*PORPO,2)))</f>
        <v/>
      </c>
      <c r="H1637" s="765" t="str">
        <f>IF($D1637="","",IF(OR(F1637="NO APORTA",G1637&gt;F1637),"NO CUMPLE","CUMPLE"))</f>
        <v/>
      </c>
      <c r="I1637" s="766"/>
      <c r="J1637" s="108" t="str">
        <f>IF(D1637="","",IF(OR(AND(SUMIF($J1615:$J1624,D1637,$O1615:$O1624)&gt;=5%*POSMMLV,N1637="SI"),AND(SUMIF($J1615:$J1624,D1637,$O1615:$O1624)=0,E1637&lt;=5%,N1637="SI")),"CUMPLE","NO CUMPLE"))</f>
        <v/>
      </c>
      <c r="K1637" s="105" t="str">
        <f>IF(OR(D1637="",J1637=""),"",IF(AND(J1637="NO CUMPLE",F1637="NO APORTA",E1637&gt;5%),"EXP = 0 y PART &gt; 5%",IF(F1637&lt;5%*Q1637,"EXP &lt; 5%*PO","")))</f>
        <v/>
      </c>
      <c r="L1637" s="389" t="str">
        <f>IF(OR(D1637="",E1637=""),"",IF(AND(E1637&gt;=0.25,F1637&lt;&gt;"NO APORTA",F1637&gt;=$R1637*0.25),"SI","NO"))</f>
        <v/>
      </c>
      <c r="M1637" s="389"/>
      <c r="N1637" s="468"/>
      <c r="O1637" s="403" t="str">
        <f ca="1">IF(R1637&gt;=Q1637,"CUMPLE","NO CUMPLE")</f>
        <v>CUMPLE</v>
      </c>
      <c r="P1637" s="312">
        <f>NUMMOD</f>
        <v>1</v>
      </c>
      <c r="Q1637" s="313">
        <f ca="1">IF(P1637="","",ROUND(VLOOKUP(P1637,PRESUPUESTOS!$B$16:$L$16,9,FALSE),7))</f>
        <v>300</v>
      </c>
      <c r="R1637" s="834">
        <f>IF(OR(COUNTIF(O1615:O1624,"")&gt;9,S1631&lt;NUMMINCONT),0,SUM(O1615:O1624))</f>
        <v>1081.152</v>
      </c>
      <c r="S1637" s="834"/>
      <c r="T1637" s="284"/>
      <c r="U1637" s="284"/>
      <c r="V1637" s="310"/>
      <c r="W1637" s="284"/>
      <c r="X1637" s="545" t="str">
        <f>IF($F1630=1,"NO APLICA",$D1637)</f>
        <v/>
      </c>
      <c r="Y1637" s="543" t="str">
        <f>IF(OR($F1637="",$F1637="NO APORTA",$R1637=0,$X1637="NO APLICA"),"",ROUND($F1637/$Q1637,2))</f>
        <v/>
      </c>
      <c r="Z1637" s="544" t="str">
        <f>IF(Y1638=1,"SI APLICA",IF(OR($X1637="",$X1637="NO APLICA",$F1637="",$F1637="NO APORTA"),"",IF(ROUND($F1637/Q1637,7)&gt;=0.4,"SI APLICA","NO APLICA")))</f>
        <v/>
      </c>
      <c r="AA1637" s="546"/>
      <c r="AB1637" s="540" t="str">
        <f>IF(COUNTIF(Z1637:AA1637,"SI APLICA")=2,"SI APLICA","")</f>
        <v/>
      </c>
      <c r="AC1637" s="28"/>
    </row>
    <row r="1638" spans="1:29" s="30" customFormat="1" ht="16.5" customHeight="1" thickBot="1">
      <c r="A1638" s="112" t="str">
        <f>"T"&amp;E1611</f>
        <v>T54</v>
      </c>
      <c r="B1638" s="792"/>
      <c r="C1638" s="821" t="s">
        <v>419</v>
      </c>
      <c r="D1638" s="822"/>
      <c r="E1638" s="822"/>
      <c r="F1638" s="518"/>
      <c r="G1638" s="519"/>
      <c r="H1638" s="794" t="str">
        <f ca="1">IF(OR($F1630="",SUM(E1632:E1637)=0),"",IF(COUNTIF(H1632:H1637,"CUMPLE")&gt;=1,"CUMPLE","NO CUMPLE"))</f>
        <v>CUMPLE</v>
      </c>
      <c r="I1638" s="795"/>
      <c r="J1638" s="314" t="str">
        <f ca="1">IF(COUNTIF(J1632:J1637,"")&gt;5,"",IF(COUNTIF(J1632:J1637,"NO CUMPLE")&gt;0,"NO CUMPLE","CUMPLE"))</f>
        <v>CUMPLE</v>
      </c>
      <c r="K1638" s="314" t="str">
        <f ca="1">IF(OR(AND(F1630=1,N1632="SI"),AND(COUNTIF(H1638:J1638,"CUMPLE")=2)),"CUMPLE","NO CUMPLE")</f>
        <v>CUMPLE</v>
      </c>
      <c r="L1638" s="519"/>
      <c r="M1638" s="519"/>
      <c r="N1638" s="519"/>
      <c r="O1638" s="833" t="str">
        <f ca="1">IF(ISNUMBER(F1611),"",IF(AND(O1637="NO CUMPLE",SUM(N1618:N1624)&lt;Q1637),"EL PROPONENTE SE DEBE REQUERIR POR EXPERIENCIA MINIMA EXIGIDA",""))</f>
        <v/>
      </c>
      <c r="P1638" s="833"/>
      <c r="Q1638" s="833"/>
      <c r="R1638" s="833"/>
      <c r="S1638" s="833"/>
      <c r="T1638" s="522"/>
      <c r="U1638" s="523"/>
      <c r="V1638" s="524"/>
      <c r="W1638" s="284"/>
      <c r="X1638" s="364" t="str">
        <f>IF(Y1638=1,"PROPONENTE INDIVIDUAL","PROPONENTE PLURAL")</f>
        <v>PROPONENTE PLURAL</v>
      </c>
      <c r="Y1638" s="276">
        <f>F1630</f>
        <v>2</v>
      </c>
      <c r="Z1638" s="277" t="str">
        <f ca="1">IF(OR(AND(Z1632="SI APLICA",AA1632="SI APLICA"),AND(Z1633="SI APLICA",AA1633="SI APLICA"),AND(Z1634="SI APLICA",AA1634="SI APLICA"),AND(Z1635="SI APLICA",AA1635="SI APLICA"),AND(Z1636="SI APLICA",AA1636="SI APLICA"),AND(Z1637="SI APLICA",AA1637="SI APLICA")),"SI APLICA","NO APLICA")</f>
        <v>SI APLICA</v>
      </c>
      <c r="AA1638" s="278" t="str">
        <f ca="1">IF(OR(AND(AA1632="SI APLICA",AB1632="SI APLICA"),AND(AA1633="SI APLICA",AB1633="SI APLICA"),AND(AA1634="SI APLICA",AB1634="SI APLICA"),AND(AA1635="SI APLICA",AB1635="SI APLICA"),AND(AA1636="SI APLICA",AB1636="SI APLICA"),AND(AA1637="SI APLICA",AB1637="SI APLICA")),"SI APLICA","NO APLICA")</f>
        <v>SI APLICA</v>
      </c>
      <c r="AB1638" s="278" t="str">
        <f ca="1">IF(COUNTIF(AB1632:AB1637,"SI APLICA")&gt;0,"SI APLICA","NO APLICA")</f>
        <v>SI APLICA</v>
      </c>
      <c r="AC1638" s="28"/>
    </row>
    <row r="1639" spans="1:29" ht="24.95" customHeight="1"/>
    <row r="1640" spans="1:29" ht="24.95" customHeight="1"/>
    <row r="1641" spans="1:29" s="41" customFormat="1" ht="24" thickBot="1">
      <c r="A1641" s="34">
        <v>55</v>
      </c>
      <c r="B1641" s="828" t="s">
        <v>355</v>
      </c>
      <c r="C1641" s="828"/>
      <c r="D1641" s="828"/>
      <c r="E1641" s="35">
        <f>VLOOKUP(A1641,PROPONENTES!$B$19:$E$108,2,FALSE)</f>
        <v>55</v>
      </c>
      <c r="F1641" s="36" t="str">
        <f>VLOOKUP(A1641,PROPONENTES!$B$19:$E$108,3,FALSE)</f>
        <v>MARIO DE JESUS GIL CARDONA</v>
      </c>
      <c r="G1641" s="37"/>
      <c r="H1641" s="37"/>
      <c r="I1641" s="36"/>
      <c r="J1641" s="36"/>
      <c r="K1641" s="36"/>
      <c r="L1641" s="36"/>
      <c r="M1641" s="38"/>
      <c r="N1641" s="38"/>
      <c r="O1641" s="37"/>
      <c r="P1641" s="37"/>
      <c r="Q1641" s="39"/>
      <c r="R1641" s="39"/>
      <c r="S1641" s="39"/>
      <c r="T1641" s="39"/>
      <c r="U1641" s="40"/>
      <c r="Y1641" s="52"/>
      <c r="Z1641" s="52"/>
      <c r="AA1641" s="52"/>
      <c r="AB1641" s="28"/>
      <c r="AC1641" s="28"/>
    </row>
    <row r="1642" spans="1:29" s="27" customFormat="1" ht="24.75" customHeight="1">
      <c r="A1642" s="22"/>
      <c r="B1642" s="829" t="s">
        <v>356</v>
      </c>
      <c r="C1642" s="501" t="s">
        <v>357</v>
      </c>
      <c r="D1642" s="502" t="s">
        <v>358</v>
      </c>
      <c r="E1642" s="502"/>
      <c r="F1642" s="502" t="s">
        <v>359</v>
      </c>
      <c r="G1642" s="503"/>
      <c r="H1642" s="803" t="s">
        <v>360</v>
      </c>
      <c r="I1642" s="831" t="s">
        <v>361</v>
      </c>
      <c r="J1642" s="803" t="s">
        <v>362</v>
      </c>
      <c r="K1642" s="803" t="s">
        <v>363</v>
      </c>
      <c r="L1642" s="803" t="s">
        <v>364</v>
      </c>
      <c r="M1642" s="803" t="s">
        <v>365</v>
      </c>
      <c r="N1642" s="804" t="s">
        <v>366</v>
      </c>
      <c r="O1642" s="805"/>
      <c r="P1642" s="806" t="s">
        <v>367</v>
      </c>
      <c r="Q1642" s="807"/>
      <c r="R1642" s="784" t="s">
        <v>368</v>
      </c>
      <c r="S1642" s="774"/>
      <c r="T1642" s="798" t="s">
        <v>369</v>
      </c>
      <c r="U1642" s="799"/>
      <c r="V1642" s="800"/>
      <c r="X1642" s="520"/>
      <c r="Y1642" s="520"/>
    </row>
    <row r="1643" spans="1:29" s="27" customFormat="1" ht="94.5" customHeight="1">
      <c r="A1643" s="22"/>
      <c r="B1643" s="830"/>
      <c r="C1643" s="504" t="s">
        <v>370</v>
      </c>
      <c r="D1643" s="505" t="s">
        <v>41</v>
      </c>
      <c r="E1643" s="505" t="s">
        <v>371</v>
      </c>
      <c r="F1643" s="505" t="s">
        <v>372</v>
      </c>
      <c r="G1643" s="506" t="s">
        <v>373</v>
      </c>
      <c r="H1643" s="793"/>
      <c r="I1643" s="832"/>
      <c r="J1643" s="793"/>
      <c r="K1643" s="793"/>
      <c r="L1643" s="793"/>
      <c r="M1643" s="793"/>
      <c r="N1643" s="504" t="s">
        <v>374</v>
      </c>
      <c r="O1643" s="505" t="s">
        <v>375</v>
      </c>
      <c r="P1643" s="801"/>
      <c r="Q1643" s="802"/>
      <c r="R1643" s="796"/>
      <c r="S1643" s="797"/>
      <c r="T1643" s="507" t="s">
        <v>376</v>
      </c>
      <c r="U1643" s="508" t="s">
        <v>377</v>
      </c>
      <c r="V1643" s="509" t="s">
        <v>378</v>
      </c>
      <c r="X1643" s="521" t="s">
        <v>379</v>
      </c>
      <c r="Y1643" s="521" t="s">
        <v>380</v>
      </c>
    </row>
    <row r="1644" spans="1:29" s="27" customFormat="1" ht="15" customHeight="1">
      <c r="A1644" s="22"/>
      <c r="B1644" s="594"/>
      <c r="C1644" s="595">
        <v>3</v>
      </c>
      <c r="D1644" s="595">
        <v>4</v>
      </c>
      <c r="E1644" s="595">
        <v>5</v>
      </c>
      <c r="F1644" s="595">
        <v>6</v>
      </c>
      <c r="G1644" s="595">
        <v>7</v>
      </c>
      <c r="H1644" s="595">
        <v>8</v>
      </c>
      <c r="I1644" s="595">
        <v>9</v>
      </c>
      <c r="J1644" s="595">
        <v>10</v>
      </c>
      <c r="K1644" s="595">
        <v>11</v>
      </c>
      <c r="L1644" s="595">
        <v>12</v>
      </c>
      <c r="M1644" s="595">
        <v>13</v>
      </c>
      <c r="N1644" s="595">
        <v>14</v>
      </c>
      <c r="O1644" s="595">
        <v>15</v>
      </c>
      <c r="P1644" s="596">
        <v>16</v>
      </c>
      <c r="Q1644" s="597">
        <v>17</v>
      </c>
      <c r="R1644" s="596">
        <v>18</v>
      </c>
      <c r="S1644" s="597">
        <v>19</v>
      </c>
      <c r="T1644" s="598">
        <v>20</v>
      </c>
      <c r="U1644" s="255">
        <v>21</v>
      </c>
      <c r="V1644" s="599">
        <v>22</v>
      </c>
      <c r="X1644" s="589"/>
      <c r="Y1644" s="590"/>
    </row>
    <row r="1645" spans="1:29" s="44" customFormat="1" ht="36.75" customHeight="1">
      <c r="A1645" s="42" t="str">
        <f>"A"&amp;E1641</f>
        <v>A55</v>
      </c>
      <c r="B1645" s="605">
        <f>IF(C1645&lt;&gt;"",B1644+1,"")</f>
        <v>1</v>
      </c>
      <c r="C1645" s="581" t="s">
        <v>827</v>
      </c>
      <c r="D1645" s="581" t="s">
        <v>828</v>
      </c>
      <c r="E1645" s="581" t="s">
        <v>829</v>
      </c>
      <c r="F1645" s="581" t="s">
        <v>431</v>
      </c>
      <c r="G1645" s="534">
        <v>0.15</v>
      </c>
      <c r="H1645" s="534" t="s">
        <v>385</v>
      </c>
      <c r="I1645" s="579" t="s">
        <v>384</v>
      </c>
      <c r="J1645" s="580" t="str">
        <f>IF(I1645="","",IF(I1645="I",$F1641,VLOOKUP(I1645,$C1662:$D1667,2,0)))</f>
        <v>MARIO DE JESUS GIL CARDONA</v>
      </c>
      <c r="K1645" s="535">
        <v>40422</v>
      </c>
      <c r="L1645" s="535">
        <v>41168</v>
      </c>
      <c r="M1645" s="536">
        <v>2507.86</v>
      </c>
      <c r="N1645" s="232">
        <f t="shared" ref="N1645:N1654" si="329">IF(OR(G1645="",M1645=""),"",M1645*G1645)</f>
        <v>376.17900000000003</v>
      </c>
      <c r="O1645" s="260">
        <f t="shared" ref="O1645:O1654" si="330">IF(OR(H1645="",H1645="NO",K1645&lt;$Q$17,K1645&gt;$R$17,K1645="",M1645="",N1645=""),"",ROUND(N1645,7))</f>
        <v>376.17899999999997</v>
      </c>
      <c r="P1645" s="781"/>
      <c r="Q1645" s="782"/>
      <c r="R1645" s="767"/>
      <c r="S1645" s="768"/>
      <c r="T1645" s="538" t="s">
        <v>385</v>
      </c>
      <c r="U1645" s="539">
        <v>2</v>
      </c>
      <c r="V1645" s="540" t="s">
        <v>385</v>
      </c>
      <c r="X1645" s="541" t="s">
        <v>386</v>
      </c>
      <c r="Y1645" s="541" t="s">
        <v>387</v>
      </c>
    </row>
    <row r="1646" spans="1:29" s="44" customFormat="1" ht="33.75" customHeight="1">
      <c r="A1646" s="42" t="str">
        <f>"B"&amp;E1641</f>
        <v>B55</v>
      </c>
      <c r="B1646" s="605">
        <f t="shared" ref="B1646:B1654" si="331">IF(C1646&lt;&gt;"",B1645+1,"")</f>
        <v>2</v>
      </c>
      <c r="C1646" s="581" t="s">
        <v>830</v>
      </c>
      <c r="D1646" s="581" t="s">
        <v>831</v>
      </c>
      <c r="E1646" s="581" t="s">
        <v>832</v>
      </c>
      <c r="F1646" s="581" t="s">
        <v>431</v>
      </c>
      <c r="G1646" s="534">
        <v>0.5</v>
      </c>
      <c r="H1646" s="534" t="s">
        <v>385</v>
      </c>
      <c r="I1646" s="579" t="s">
        <v>384</v>
      </c>
      <c r="J1646" s="580" t="str">
        <f>IF(I1646="","",IF(I1646="I",$F1641,VLOOKUP(I1646,$C1662:$D1667,2,0)))</f>
        <v>MARIO DE JESUS GIL CARDONA</v>
      </c>
      <c r="K1646" s="535">
        <v>43266</v>
      </c>
      <c r="L1646" s="535">
        <v>44042</v>
      </c>
      <c r="M1646" s="536">
        <v>2019.57</v>
      </c>
      <c r="N1646" s="232">
        <f t="shared" si="329"/>
        <v>1009.785</v>
      </c>
      <c r="O1646" s="260">
        <f t="shared" si="330"/>
        <v>1009.785</v>
      </c>
      <c r="P1646" s="781"/>
      <c r="Q1646" s="782"/>
      <c r="R1646" s="767" t="s">
        <v>833</v>
      </c>
      <c r="S1646" s="768"/>
      <c r="T1646" s="538" t="s">
        <v>385</v>
      </c>
      <c r="U1646" s="539">
        <v>81</v>
      </c>
      <c r="V1646" s="540" t="s">
        <v>385</v>
      </c>
      <c r="X1646" s="541" t="s">
        <v>386</v>
      </c>
      <c r="Y1646" s="541" t="s">
        <v>387</v>
      </c>
    </row>
    <row r="1647" spans="1:29" s="44" customFormat="1" ht="24.95" customHeight="1">
      <c r="A1647" s="42" t="str">
        <f>"C"&amp;E1641</f>
        <v>C55</v>
      </c>
      <c r="B1647" s="605" t="str">
        <f t="shared" si="331"/>
        <v/>
      </c>
      <c r="C1647" s="581"/>
      <c r="D1647" s="581"/>
      <c r="E1647" s="581"/>
      <c r="F1647" s="581"/>
      <c r="G1647" s="534"/>
      <c r="H1647" s="534"/>
      <c r="I1647" s="579"/>
      <c r="J1647" s="580" t="str">
        <f>IF(I1647="","",IF(I1647="I",$F1641,VLOOKUP(I1647,$C1662:$D1667,2,0)))</f>
        <v/>
      </c>
      <c r="K1647" s="535"/>
      <c r="L1647" s="535"/>
      <c r="M1647" s="536"/>
      <c r="N1647" s="232" t="str">
        <f t="shared" si="329"/>
        <v/>
      </c>
      <c r="O1647" s="260" t="str">
        <f t="shared" si="330"/>
        <v/>
      </c>
      <c r="P1647" s="781"/>
      <c r="Q1647" s="782"/>
      <c r="R1647" s="767"/>
      <c r="S1647" s="768"/>
      <c r="T1647" s="538"/>
      <c r="U1647" s="539"/>
      <c r="V1647" s="540"/>
      <c r="X1647" s="541"/>
      <c r="Y1647" s="541"/>
    </row>
    <row r="1648" spans="1:29" s="44" customFormat="1" ht="24.95" customHeight="1">
      <c r="A1648" s="42" t="str">
        <f>"D"&amp;E1641</f>
        <v>D55</v>
      </c>
      <c r="B1648" s="605" t="str">
        <f t="shared" si="331"/>
        <v/>
      </c>
      <c r="C1648" s="581"/>
      <c r="D1648" s="581"/>
      <c r="E1648" s="581"/>
      <c r="F1648" s="581"/>
      <c r="G1648" s="534"/>
      <c r="H1648" s="534"/>
      <c r="I1648" s="579"/>
      <c r="J1648" s="580" t="str">
        <f>IF(I1648="","",IF(I1648="I",$F1641,VLOOKUP(I1648,$C1662:$D1667,2,0)))</f>
        <v/>
      </c>
      <c r="K1648" s="535"/>
      <c r="L1648" s="535"/>
      <c r="M1648" s="536"/>
      <c r="N1648" s="232" t="str">
        <f t="shared" si="329"/>
        <v/>
      </c>
      <c r="O1648" s="260" t="str">
        <f t="shared" si="330"/>
        <v/>
      </c>
      <c r="P1648" s="781"/>
      <c r="Q1648" s="782"/>
      <c r="R1648" s="767"/>
      <c r="S1648" s="768"/>
      <c r="T1648" s="538"/>
      <c r="U1648" s="539"/>
      <c r="V1648" s="540"/>
      <c r="X1648" s="541"/>
      <c r="Y1648" s="541"/>
    </row>
    <row r="1649" spans="1:29" s="44" customFormat="1" ht="24.95" customHeight="1">
      <c r="A1649" s="42" t="str">
        <f>"E"&amp;E1641</f>
        <v>E55</v>
      </c>
      <c r="B1649" s="605" t="str">
        <f t="shared" si="331"/>
        <v/>
      </c>
      <c r="C1649" s="581"/>
      <c r="D1649" s="581"/>
      <c r="E1649" s="581"/>
      <c r="F1649" s="581"/>
      <c r="G1649" s="534"/>
      <c r="H1649" s="534"/>
      <c r="I1649" s="579"/>
      <c r="J1649" s="580" t="str">
        <f>IF(I1649="","",IF(I1649="I",$F1641,VLOOKUP(I1649,$C1662:$D1667,2,0)))</f>
        <v/>
      </c>
      <c r="K1649" s="535"/>
      <c r="L1649" s="535"/>
      <c r="M1649" s="536"/>
      <c r="N1649" s="232" t="str">
        <f t="shared" si="329"/>
        <v/>
      </c>
      <c r="O1649" s="260" t="str">
        <f t="shared" si="330"/>
        <v/>
      </c>
      <c r="P1649" s="781"/>
      <c r="Q1649" s="782"/>
      <c r="R1649" s="767"/>
      <c r="S1649" s="768"/>
      <c r="T1649" s="538"/>
      <c r="U1649" s="539"/>
      <c r="V1649" s="540"/>
      <c r="X1649" s="541"/>
      <c r="Y1649" s="541"/>
    </row>
    <row r="1650" spans="1:29" s="44" customFormat="1" ht="24.95" customHeight="1">
      <c r="A1650" s="42" t="str">
        <f>"F"&amp;E1641</f>
        <v>F55</v>
      </c>
      <c r="B1650" s="605" t="str">
        <f t="shared" si="331"/>
        <v/>
      </c>
      <c r="C1650" s="581"/>
      <c r="D1650" s="581"/>
      <c r="E1650" s="581"/>
      <c r="F1650" s="581"/>
      <c r="G1650" s="534"/>
      <c r="H1650" s="534"/>
      <c r="I1650" s="579"/>
      <c r="J1650" s="580" t="str">
        <f>IF(I1650="","",IF(I1650="I",$F1641,VLOOKUP(I1650,$C1662:$D1667,2,0)))</f>
        <v/>
      </c>
      <c r="K1650" s="535"/>
      <c r="L1650" s="535"/>
      <c r="M1650" s="536"/>
      <c r="N1650" s="232" t="str">
        <f t="shared" si="329"/>
        <v/>
      </c>
      <c r="O1650" s="260" t="str">
        <f t="shared" si="330"/>
        <v/>
      </c>
      <c r="P1650" s="781"/>
      <c r="Q1650" s="782"/>
      <c r="R1650" s="767"/>
      <c r="S1650" s="768"/>
      <c r="T1650" s="538"/>
      <c r="U1650" s="539"/>
      <c r="V1650" s="540"/>
      <c r="X1650" s="541"/>
      <c r="Y1650" s="541"/>
    </row>
    <row r="1651" spans="1:29" s="44" customFormat="1" ht="24.95" customHeight="1">
      <c r="A1651" s="42" t="str">
        <f>"G"&amp;E1641</f>
        <v>G55</v>
      </c>
      <c r="B1651" s="605" t="str">
        <f t="shared" si="331"/>
        <v/>
      </c>
      <c r="C1651" s="581"/>
      <c r="D1651" s="581"/>
      <c r="E1651" s="581"/>
      <c r="F1651" s="581"/>
      <c r="G1651" s="534"/>
      <c r="H1651" s="534"/>
      <c r="I1651" s="579"/>
      <c r="J1651" s="580" t="str">
        <f>IF(I1651="","",IF(I1651="I",$F1641,VLOOKUP(I1651,$C1662:$D1667,2,0)))</f>
        <v/>
      </c>
      <c r="K1651" s="535"/>
      <c r="L1651" s="535"/>
      <c r="M1651" s="536"/>
      <c r="N1651" s="43" t="str">
        <f t="shared" si="329"/>
        <v/>
      </c>
      <c r="O1651" s="260" t="str">
        <f t="shared" si="330"/>
        <v/>
      </c>
      <c r="P1651" s="781"/>
      <c r="Q1651" s="782"/>
      <c r="R1651" s="767"/>
      <c r="S1651" s="768"/>
      <c r="T1651" s="538"/>
      <c r="U1651" s="539"/>
      <c r="V1651" s="540"/>
      <c r="X1651" s="541"/>
      <c r="Y1651" s="541"/>
    </row>
    <row r="1652" spans="1:29" s="44" customFormat="1" ht="24.95" customHeight="1">
      <c r="A1652" s="42" t="str">
        <f>"H"&amp;E1641</f>
        <v>H55</v>
      </c>
      <c r="B1652" s="605" t="str">
        <f t="shared" si="331"/>
        <v/>
      </c>
      <c r="C1652" s="581"/>
      <c r="D1652" s="581"/>
      <c r="E1652" s="581"/>
      <c r="F1652" s="581"/>
      <c r="G1652" s="534"/>
      <c r="H1652" s="534"/>
      <c r="I1652" s="579"/>
      <c r="J1652" s="580" t="str">
        <f>IF(I1652="","",IF(I1652="I",$F1641,VLOOKUP(I1652,$C1662:$D1667,2,0)))</f>
        <v/>
      </c>
      <c r="K1652" s="535"/>
      <c r="L1652" s="535"/>
      <c r="M1652" s="537"/>
      <c r="N1652" s="43" t="str">
        <f t="shared" si="329"/>
        <v/>
      </c>
      <c r="O1652" s="260" t="str">
        <f t="shared" si="330"/>
        <v/>
      </c>
      <c r="P1652" s="781"/>
      <c r="Q1652" s="782"/>
      <c r="R1652" s="767"/>
      <c r="S1652" s="768"/>
      <c r="T1652" s="538"/>
      <c r="U1652" s="539"/>
      <c r="V1652" s="540"/>
      <c r="X1652" s="541"/>
      <c r="Y1652" s="541"/>
    </row>
    <row r="1653" spans="1:29" s="44" customFormat="1" ht="24.95" customHeight="1">
      <c r="A1653" s="42" t="str">
        <f>"I"&amp;E1641</f>
        <v>I55</v>
      </c>
      <c r="B1653" s="605" t="str">
        <f t="shared" si="331"/>
        <v/>
      </c>
      <c r="C1653" s="581"/>
      <c r="D1653" s="581"/>
      <c r="E1653" s="581"/>
      <c r="F1653" s="581"/>
      <c r="G1653" s="534"/>
      <c r="H1653" s="534"/>
      <c r="I1653" s="579"/>
      <c r="J1653" s="580" t="str">
        <f>IF(I1653="","",IF(I1653="I",$F1641,VLOOKUP(I1653,$C1662:$D1667,2,0)))</f>
        <v/>
      </c>
      <c r="K1653" s="535"/>
      <c r="L1653" s="535"/>
      <c r="M1653" s="537"/>
      <c r="N1653" s="43" t="str">
        <f t="shared" si="329"/>
        <v/>
      </c>
      <c r="O1653" s="260" t="str">
        <f t="shared" si="330"/>
        <v/>
      </c>
      <c r="P1653" s="781"/>
      <c r="Q1653" s="782"/>
      <c r="R1653" s="767"/>
      <c r="S1653" s="768"/>
      <c r="T1653" s="538"/>
      <c r="U1653" s="539"/>
      <c r="V1653" s="540"/>
      <c r="X1653" s="541"/>
      <c r="Y1653" s="541"/>
    </row>
    <row r="1654" spans="1:29" s="44" customFormat="1" ht="24.95" customHeight="1" thickBot="1">
      <c r="A1654" s="42" t="str">
        <f>"J"&amp;E1641</f>
        <v>J55</v>
      </c>
      <c r="B1654" s="612" t="str">
        <f t="shared" si="331"/>
        <v/>
      </c>
      <c r="C1654" s="582"/>
      <c r="D1654" s="582"/>
      <c r="E1654" s="582"/>
      <c r="F1654" s="582"/>
      <c r="G1654" s="583"/>
      <c r="H1654" s="583"/>
      <c r="I1654" s="584"/>
      <c r="J1654" s="585" t="str">
        <f>IF(I1654="","",IF(I1654="I",$F1641,VLOOKUP(I1654,$C1662:$D1667,2,0)))</f>
        <v/>
      </c>
      <c r="K1654" s="586"/>
      <c r="L1654" s="586"/>
      <c r="M1654" s="587"/>
      <c r="N1654" s="43" t="str">
        <f t="shared" si="329"/>
        <v/>
      </c>
      <c r="O1654" s="260" t="str">
        <f t="shared" si="330"/>
        <v/>
      </c>
      <c r="P1654" s="781"/>
      <c r="Q1654" s="782"/>
      <c r="R1654" s="767"/>
      <c r="S1654" s="768"/>
      <c r="T1654" s="538"/>
      <c r="U1654" s="539"/>
      <c r="V1654" s="540"/>
      <c r="X1654" s="541"/>
      <c r="Y1654" s="541"/>
    </row>
    <row r="1655" spans="1:29" s="27" customFormat="1" ht="12" customHeight="1" thickBot="1">
      <c r="A1655" s="42"/>
      <c r="B1655" s="45"/>
      <c r="C1655" s="46"/>
      <c r="D1655" s="46"/>
      <c r="E1655" s="46"/>
      <c r="F1655" s="46"/>
      <c r="G1655" s="46"/>
      <c r="H1655" s="606"/>
      <c r="I1655" s="46"/>
      <c r="J1655" s="46"/>
      <c r="K1655" s="46"/>
      <c r="L1655" s="46"/>
      <c r="M1655" s="46"/>
      <c r="N1655" s="46"/>
      <c r="O1655" s="259"/>
      <c r="P1655" s="46"/>
      <c r="Q1655" s="46"/>
      <c r="R1655" s="259"/>
      <c r="S1655" s="46"/>
      <c r="T1655" s="46"/>
      <c r="U1655" s="47"/>
      <c r="V1655" s="48"/>
      <c r="X1655" s="592"/>
      <c r="Y1655" s="593"/>
      <c r="AB1655" s="378"/>
    </row>
    <row r="1656" spans="1:29" s="27" customFormat="1" ht="17.25" customHeight="1" thickBot="1">
      <c r="A1656" s="42" t="str">
        <f>"Z"&amp;E1641</f>
        <v>Z55</v>
      </c>
      <c r="B1656" s="510"/>
      <c r="C1656" s="511"/>
      <c r="D1656" s="511"/>
      <c r="E1656" s="511"/>
      <c r="F1656" s="511"/>
      <c r="G1656" s="511"/>
      <c r="H1656" s="511"/>
      <c r="I1656" s="511"/>
      <c r="J1656" s="511"/>
      <c r="K1656" s="511"/>
      <c r="L1656" s="511"/>
      <c r="M1656" s="511"/>
      <c r="N1656" s="437" t="s">
        <v>388</v>
      </c>
      <c r="O1656" s="438">
        <f>IF(COUNTIF(O1645:O1654,"")&gt;9,0,SUM(O1645:O1654)/(COUNTIF(H1645:H1654,"SI")))</f>
        <v>692.98199999999997</v>
      </c>
      <c r="P1656" s="511"/>
      <c r="Q1656" s="511"/>
      <c r="R1656" s="530"/>
      <c r="S1656" s="530"/>
      <c r="T1656" s="531"/>
      <c r="U1656" s="532"/>
      <c r="V1656" s="533"/>
      <c r="W1656" s="285"/>
      <c r="X1656" s="613" t="e">
        <f>COUNTIF(#REF!,"")-COUNTIF(#REF!,"CUMPLE")-1</f>
        <v>#REF!</v>
      </c>
      <c r="Y1656" s="591"/>
      <c r="AB1656" s="28"/>
    </row>
    <row r="1657" spans="1:29" ht="17.25" customHeight="1">
      <c r="B1657" s="50"/>
      <c r="C1657" s="50"/>
      <c r="D1657" s="50"/>
      <c r="E1657" s="50"/>
      <c r="F1657" s="50"/>
      <c r="G1657" s="51"/>
      <c r="H1657" s="51"/>
      <c r="I1657" s="51"/>
      <c r="J1657" s="51"/>
      <c r="K1657" s="51"/>
      <c r="L1657" s="51"/>
      <c r="M1657" s="51"/>
      <c r="N1657" s="51"/>
      <c r="O1657" s="51"/>
      <c r="P1657" s="51"/>
      <c r="Q1657" s="51"/>
      <c r="R1657" s="51"/>
      <c r="S1657" s="51"/>
      <c r="T1657" s="51"/>
      <c r="U1657" s="51"/>
      <c r="V1657" s="51"/>
      <c r="W1657" s="51"/>
      <c r="X1657" s="608"/>
      <c r="Y1657" s="51"/>
      <c r="Z1657" s="51"/>
      <c r="AA1657" s="51"/>
      <c r="AB1657" s="51"/>
      <c r="AC1657" s="50"/>
    </row>
    <row r="1658" spans="1:29" s="27" customFormat="1" ht="16.5" customHeight="1" thickBot="1">
      <c r="A1658" s="22"/>
      <c r="B1658" s="783" t="s">
        <v>389</v>
      </c>
      <c r="C1658" s="783"/>
      <c r="D1658" s="783"/>
      <c r="E1658" s="783"/>
      <c r="F1658" s="783"/>
      <c r="G1658" s="783"/>
      <c r="H1658" s="783"/>
      <c r="I1658" s="783"/>
      <c r="J1658" s="783"/>
      <c r="K1658" s="783"/>
      <c r="L1658" s="783"/>
      <c r="M1658" s="783"/>
      <c r="N1658" s="783"/>
      <c r="O1658" s="783"/>
      <c r="P1658" s="783"/>
      <c r="Q1658" s="783"/>
      <c r="R1658" s="783"/>
      <c r="S1658" s="783"/>
      <c r="T1658" s="783"/>
      <c r="U1658" s="783"/>
      <c r="V1658" s="783"/>
      <c r="W1658" s="286"/>
      <c r="X1658" s="607"/>
      <c r="Y1658" s="52"/>
      <c r="Z1658" s="52"/>
      <c r="AA1658" s="52"/>
      <c r="AB1658" s="28"/>
      <c r="AC1658" s="28"/>
    </row>
    <row r="1659" spans="1:29" s="30" customFormat="1" ht="22.5" customHeight="1">
      <c r="A1659" s="112" t="str">
        <f>"K"&amp;E1641</f>
        <v>K55</v>
      </c>
      <c r="B1659" s="790" t="s">
        <v>390</v>
      </c>
      <c r="C1659" s="772" t="s">
        <v>391</v>
      </c>
      <c r="D1659" s="773"/>
      <c r="E1659" s="773"/>
      <c r="F1659" s="773"/>
      <c r="G1659" s="773"/>
      <c r="H1659" s="773"/>
      <c r="I1659" s="773"/>
      <c r="J1659" s="773"/>
      <c r="K1659" s="773"/>
      <c r="L1659" s="773"/>
      <c r="M1659" s="774"/>
      <c r="N1659" s="525"/>
      <c r="O1659" s="588"/>
      <c r="P1659" s="772" t="s">
        <v>392</v>
      </c>
      <c r="Q1659" s="773"/>
      <c r="R1659" s="773"/>
      <c r="S1659" s="774"/>
      <c r="T1659" s="784" t="s">
        <v>393</v>
      </c>
      <c r="U1659" s="774"/>
      <c r="V1659" s="811"/>
      <c r="W1659" s="284"/>
      <c r="X1659" s="778" t="s">
        <v>394</v>
      </c>
      <c r="Y1659" s="779"/>
      <c r="Z1659" s="779"/>
      <c r="AA1659" s="779" t="s">
        <v>395</v>
      </c>
      <c r="AB1659" s="808" t="s">
        <v>396</v>
      </c>
      <c r="AC1659" s="28"/>
    </row>
    <row r="1660" spans="1:29" s="30" customFormat="1" ht="22.5" customHeight="1">
      <c r="A1660" s="112" t="str">
        <f>"L"&amp;E1641</f>
        <v>L55</v>
      </c>
      <c r="B1660" s="791"/>
      <c r="C1660" s="769" t="s">
        <v>397</v>
      </c>
      <c r="D1660" s="770"/>
      <c r="E1660" s="771"/>
      <c r="F1660" s="512">
        <f>IF(VLOOKUP(E1641,PROPONENTES!$C$19:$E$108,3,0)="","",VLOOKUP(E1641,PROPONENTES!$C$19:$E$108,3,0))</f>
        <v>1</v>
      </c>
      <c r="G1660" s="824" t="s">
        <v>398</v>
      </c>
      <c r="H1660" s="793" t="s">
        <v>399</v>
      </c>
      <c r="I1660" s="793"/>
      <c r="J1660" s="769" t="s">
        <v>400</v>
      </c>
      <c r="K1660" s="823"/>
      <c r="L1660" s="513" t="s">
        <v>401</v>
      </c>
      <c r="M1660" s="513"/>
      <c r="N1660" s="526"/>
      <c r="O1660" s="527"/>
      <c r="P1660" s="775"/>
      <c r="Q1660" s="776"/>
      <c r="R1660" s="776"/>
      <c r="S1660" s="777"/>
      <c r="T1660" s="796"/>
      <c r="U1660" s="797"/>
      <c r="V1660" s="812"/>
      <c r="W1660" s="284"/>
      <c r="X1660" s="780" t="s">
        <v>402</v>
      </c>
      <c r="Y1660" s="810" t="s">
        <v>403</v>
      </c>
      <c r="Z1660" s="810"/>
      <c r="AA1660" s="810"/>
      <c r="AB1660" s="809"/>
      <c r="AC1660" s="28"/>
    </row>
    <row r="1661" spans="1:29" s="30" customFormat="1" ht="51.75" customHeight="1" thickBot="1">
      <c r="A1661" s="112" t="str">
        <f>"M"&amp;E1641</f>
        <v>M55</v>
      </c>
      <c r="B1661" s="791"/>
      <c r="C1661" s="770" t="s">
        <v>404</v>
      </c>
      <c r="D1661" s="771"/>
      <c r="E1661" s="514" t="s">
        <v>405</v>
      </c>
      <c r="F1661" s="515" t="s">
        <v>406</v>
      </c>
      <c r="G1661" s="824"/>
      <c r="H1661" s="793"/>
      <c r="I1661" s="793"/>
      <c r="J1661" s="504" t="s">
        <v>407</v>
      </c>
      <c r="K1661" s="516" t="s">
        <v>408</v>
      </c>
      <c r="L1661" s="517" t="s">
        <v>409</v>
      </c>
      <c r="M1661" s="517"/>
      <c r="N1661" s="528" t="s">
        <v>410</v>
      </c>
      <c r="O1661" s="529"/>
      <c r="P1661" s="386"/>
      <c r="Q1661" s="387" t="s">
        <v>411</v>
      </c>
      <c r="R1661" s="388"/>
      <c r="S1661" s="113">
        <f>COUNTIFS(H1645:H1654,"SI",O1645:O1654,"&gt;0")</f>
        <v>2</v>
      </c>
      <c r="T1661" s="785"/>
      <c r="U1661" s="787"/>
      <c r="V1661" s="813"/>
      <c r="W1661" s="284"/>
      <c r="X1661" s="780"/>
      <c r="Y1661" s="810"/>
      <c r="Z1661" s="810"/>
      <c r="AA1661" s="810"/>
      <c r="AB1661" s="809"/>
      <c r="AC1661" s="28"/>
    </row>
    <row r="1662" spans="1:29" s="30" customFormat="1" ht="15.75" customHeight="1">
      <c r="A1662" s="112" t="str">
        <f>"N"&amp;E1641</f>
        <v>N55</v>
      </c>
      <c r="B1662" s="791"/>
      <c r="C1662" s="54">
        <v>1</v>
      </c>
      <c r="D1662" s="100" t="str">
        <f>IF(AND(C1662&lt;=F1660,F1660&gt;1,F1660&lt;&gt;""),VLOOKUP(VALUE(E1641&amp;","&amp;C1662),INTEGRANTES!$D$19:$F$192,2,0),"")</f>
        <v/>
      </c>
      <c r="E1662" s="107" t="str">
        <f>IF(D1662&lt;&gt;"",VLOOKUP(VALUE(E1641&amp;","&amp;C1662),INTEGRANTES!$D$19:$F$192,3,0),"")</f>
        <v/>
      </c>
      <c r="F1662" s="380" t="str">
        <f>IF(D1662="","",IF(OR(SUMIF($J1648:$J1654,D1662,$O1648:$O1654)=0,N1662="NO"),"NO APORTA",SUMIF($J1648:$J1654,D1662,$O1648:$O1654)))</f>
        <v/>
      </c>
      <c r="G1662" s="380" t="str">
        <f>IF($D1662="","",IF($F1660&lt;=1,"",ROUND(POSMMLV*PORPO,2)))</f>
        <v/>
      </c>
      <c r="H1662" s="765" t="str">
        <f>IF($D1662="","",IF(OR(F1662="NO APORTA",G1662&gt;F1662),"NO CUMPLE","CUMPLE"))</f>
        <v/>
      </c>
      <c r="I1662" s="766"/>
      <c r="J1662" s="108" t="str">
        <f>IF(D1662="","",IF(OR(AND(SUMIF($J1645:$J1654,D1662,$O1645:$O1654)&gt;=5%*POSMMLV,N1662="SI"),AND(SUMIF($J1645:$J1654,D1662,$O1645:$O1654)=0,E1662&lt;=5%,N1662="SI")),"CUMPLE","NO CUMPLE"))</f>
        <v/>
      </c>
      <c r="K1662" s="105" t="str">
        <f>IF(OR(D1662="",J1662=""),"",IF(AND(J1662="NO CUMPLE",F1662="NO APORTA",E1662&gt;5%),"EXP = 0 y PART &gt; 5%",IF(F1662&lt;5%*Q1667,"EXP &lt; 5%*PO","")))</f>
        <v/>
      </c>
      <c r="L1662" s="389" t="str">
        <f>IF(OR(D1662="",E1662=""),"",IF(AND(E1662&gt;=0.25,F1662&lt;&gt;"NO APORTA",F1662&gt;=$R1667*0.25),"SI","NO"))</f>
        <v/>
      </c>
      <c r="M1662" s="389"/>
      <c r="N1662" s="468" t="s">
        <v>385</v>
      </c>
      <c r="O1662" s="396">
        <f>COUNTIFS(O1645:O1654,"&gt;0",H1645:H1654,"SI")</f>
        <v>2</v>
      </c>
      <c r="P1662" s="814" t="s">
        <v>139</v>
      </c>
      <c r="Q1662" s="814"/>
      <c r="R1662" s="817">
        <f>E1641</f>
        <v>55</v>
      </c>
      <c r="S1662" s="818"/>
      <c r="T1662" s="784" t="s">
        <v>412</v>
      </c>
      <c r="U1662" s="773"/>
      <c r="V1662" s="774"/>
      <c r="W1662" s="283"/>
      <c r="X1662" s="542" t="str">
        <f>IF($F1660=1,"NO APLICA",$D1662)</f>
        <v>NO APLICA</v>
      </c>
      <c r="Y1662" s="543" t="str">
        <f>IF(OR($F1662="",$F1662="NO APORTA",$R1667=0,$X1662="NO APLICA"),"",ROUND($F1662/$Q1667,2))</f>
        <v/>
      </c>
      <c r="Z1662" s="544" t="str">
        <f>IF(Y1668=1,"SI APLICA",IF(OR($X1662="",$X1662="NO APLICA",$F1662="",$F1662="NO APORTA"),"",IF(ROUND($F1662/Q1667,7)&gt;=0.4,"SI APLICA","NO APLICA")))</f>
        <v>SI APLICA</v>
      </c>
      <c r="AA1662" s="543" t="s">
        <v>413</v>
      </c>
      <c r="AB1662" s="540" t="str">
        <f>IF(COUNTIF(Z1662:AA1662,"SI APLICA")=2,"SI APLICA","")</f>
        <v>SI APLICA</v>
      </c>
      <c r="AC1662" s="28"/>
    </row>
    <row r="1663" spans="1:29" s="30" customFormat="1" ht="15.75" customHeight="1" thickBot="1">
      <c r="A1663" s="112" t="str">
        <f>"O"&amp;E1641</f>
        <v>O55</v>
      </c>
      <c r="B1663" s="791"/>
      <c r="C1663" s="54">
        <v>2</v>
      </c>
      <c r="D1663" s="100" t="str">
        <f>IF(AND(C1663&lt;=F1660,F1660&lt;&gt;""),VLOOKUP(VALUE(E1641&amp;","&amp;C1663),INTEGRANTES!$D$19:$F$192,2,0),"")</f>
        <v/>
      </c>
      <c r="E1663" s="107" t="str">
        <f>IF(D1663&lt;&gt;"",VLOOKUP(VALUE(E1641&amp;","&amp;C1663),INTEGRANTES!$D$19:$F$192,3,0),"")</f>
        <v/>
      </c>
      <c r="F1663" s="380" t="str">
        <f>IF(D1663="","",IF(OR(SUMIF($J1648:$J1654,D1663,$O1648:$O1654)=0,N1663="NO"),"NO APORTA",SUMIF($J1648:$J1654,D1663,$O1648:$O1654)))</f>
        <v/>
      </c>
      <c r="G1663" s="380" t="str">
        <f>IF($D1663="","",IF($F1660&lt;=1,"",ROUND(POSMMLV*PORPO,2)))</f>
        <v/>
      </c>
      <c r="H1663" s="765" t="str">
        <f t="shared" ref="H1663:H1666" si="332">IF($D1663="","",IF(OR(F1663="NO APORTA",G1663&gt;F1663),"NO CUMPLE","CUMPLE"))</f>
        <v/>
      </c>
      <c r="I1663" s="766"/>
      <c r="J1663" s="108" t="str">
        <f>IF(D1663="","",IF(OR(AND(SUMIF($J1645:$J1654,D1663,$O1645:$O1654)&gt;=5%*POSMMLV,N1663="SI"),AND(SUMIF($J1645:$J1654,D1663,$O1645:$O1654)=0,E1663&lt;=5%,N1663="SI")),"CUMPLE","NO CUMPLE"))</f>
        <v/>
      </c>
      <c r="K1663" s="105" t="str">
        <f>IF(OR(D1663="",J1663=""),"",IF(AND(J1663="NO CUMPLE",F1663="NO APORTA",E1663&gt;5%),"EXP = 0 y PART &gt; 5%",IF(F1663&lt;5%*Q1667,"EXP &lt; 5%*PO","")))</f>
        <v/>
      </c>
      <c r="L1663" s="389" t="str">
        <f>IF(OR(D1663="",E1663=""),"",IF(AND(E1663&gt;=0.25,F1663&lt;&gt;"NO APORTA",F1663&gt;=$R1667*0.25),"SI","NO"))</f>
        <v/>
      </c>
      <c r="M1663" s="389"/>
      <c r="N1663" s="468" t="s">
        <v>385</v>
      </c>
      <c r="O1663" s="396"/>
      <c r="P1663" s="815"/>
      <c r="Q1663" s="815"/>
      <c r="R1663" s="815"/>
      <c r="S1663" s="819"/>
      <c r="T1663" s="785"/>
      <c r="U1663" s="786"/>
      <c r="V1663" s="787"/>
      <c r="W1663" s="283"/>
      <c r="X1663" s="542" t="str">
        <f>IF($F1660=1,"NO APLICA",$D1663)</f>
        <v>NO APLICA</v>
      </c>
      <c r="Y1663" s="543" t="str">
        <f>IF(OR($F1663="",$F1663="NO APORTA",$R1667=0,$X1663="NO APLICA"),"",ROUND($F1663/$Q1667,2))</f>
        <v/>
      </c>
      <c r="Z1663" s="544"/>
      <c r="AA1663" s="543"/>
      <c r="AB1663" s="540" t="str">
        <f t="shared" ref="AB1663" si="333">IF(COUNTIF(Z1663:AA1663,"SI APLICA")=2,"SI APLICA","")</f>
        <v/>
      </c>
      <c r="AC1663" s="28"/>
    </row>
    <row r="1664" spans="1:29" s="30" customFormat="1" ht="15.75" customHeight="1">
      <c r="A1664" s="112" t="str">
        <f>"P"&amp;E1641</f>
        <v>P55</v>
      </c>
      <c r="B1664" s="791"/>
      <c r="C1664" s="54">
        <v>3</v>
      </c>
      <c r="D1664" s="100" t="str">
        <f>IF(AND(C1664&lt;=F1660,F1660&lt;&gt;""),VLOOKUP(VALUE(E1641&amp;","&amp;C1664),INTEGRANTES!$D$19:$F$192,2,0),"")</f>
        <v/>
      </c>
      <c r="E1664" s="107" t="str">
        <f>IF(D1664&lt;&gt;"",VLOOKUP(VALUE(E1641&amp;","&amp;C1664),INTEGRANTES!$D$19:$F$192,3,0),"")</f>
        <v/>
      </c>
      <c r="F1664" s="380" t="str">
        <f>IF(D1664="","",IF(OR(SUMIF($J1648:$J1654,D1664,$O1648:$O1654)=0,N1664="NO"),"NO APORTA",SUMIF($J1648:$J1654,D1664,$O1648:$O1654)))</f>
        <v/>
      </c>
      <c r="G1664" s="380" t="str">
        <f>IF($D1664="","",IF($F1660&lt;=1,"",ROUND(POSMMLV*PORPO,2)))</f>
        <v/>
      </c>
      <c r="H1664" s="765" t="str">
        <f t="shared" si="332"/>
        <v/>
      </c>
      <c r="I1664" s="766"/>
      <c r="J1664" s="108" t="str">
        <f>IF(D1664="","",IF(OR(AND(SUMIF($J1645:$J1654,D1664,$O1645:$O1654)&gt;=5%*POSMMLV,N1664="SI"),AND(SUMIF($J1645:$J1654,D1664,$O1645:$O1654)=0,E1664&lt;=5%,N1664="SI")),"CUMPLE","NO CUMPLE"))</f>
        <v/>
      </c>
      <c r="K1664" s="105" t="str">
        <f>IF(OR(D1664="",J1664=""),"",IF(AND(J1664="NO CUMPLE",F1664="NO APORTA",E1664&gt;5%),"EXP = 0 y PART &gt; 5%",IF(F1664&lt;5%*Q1667,"EXP &lt; 5%*PO","")))</f>
        <v/>
      </c>
      <c r="L1664" s="389" t="str">
        <f>IF(OR(D1664="",E1664=""),"",IF(AND(E1664&gt;=0.25,F1664&lt;&gt;"NO APORTA",F1664&gt;=$R1667*0.25),"SI","NO"))</f>
        <v/>
      </c>
      <c r="M1664" s="389"/>
      <c r="N1664" s="468"/>
      <c r="O1664" s="397"/>
      <c r="P1664" s="816"/>
      <c r="Q1664" s="816"/>
      <c r="R1664" s="816"/>
      <c r="S1664" s="820"/>
      <c r="T1664" s="308"/>
      <c r="U1664" s="308"/>
      <c r="V1664" s="309"/>
      <c r="W1664" s="284"/>
      <c r="X1664" s="542" t="str">
        <f>IF($F1660=1,"NO APLICA",$D1664)</f>
        <v>NO APLICA</v>
      </c>
      <c r="Y1664" s="543" t="str">
        <f>IF(OR($F1664="",$F1664="NO APORTA",$R1667=0,$X1664="NO APLICA"),"",ROUND($F1664/$Q1667,2))</f>
        <v/>
      </c>
      <c r="Z1664" s="544"/>
      <c r="AA1664" s="543"/>
      <c r="AB1664" s="540" t="str">
        <f>IF(COUNTIF(Z1664:AA1664,"SI APLICA")=2,"SI APLICA","")</f>
        <v/>
      </c>
      <c r="AC1664" s="28"/>
    </row>
    <row r="1665" spans="1:29" s="30" customFormat="1" ht="15.75" customHeight="1">
      <c r="A1665" s="112" t="str">
        <f>"Q"&amp;E1641</f>
        <v>Q55</v>
      </c>
      <c r="B1665" s="791"/>
      <c r="C1665" s="54">
        <v>4</v>
      </c>
      <c r="D1665" s="100" t="str">
        <f>IF(AND(C1665&lt;=F1660,F1660&lt;&gt;""),VLOOKUP(VALUE(E1641&amp;","&amp;C1665),INTEGRANTES!$D$19:$F$192,2,0),"")</f>
        <v/>
      </c>
      <c r="E1665" s="107" t="str">
        <f>IF(D1665&lt;&gt;"",VLOOKUP(VALUE(E1641&amp;","&amp;C1665),INTEGRANTES!$D$19:$F$192,3,0),"")</f>
        <v/>
      </c>
      <c r="F1665" s="380" t="str">
        <f>IF(D1665="","",IF(OR(SUMIF($J1648:$J1654,D1665,$O1648:$O1654)=0,N1665="NO"),"NO APORTA",SUMIF($J1648:$J1654,D1665,$O1648:$O1654)))</f>
        <v/>
      </c>
      <c r="G1665" s="380" t="str">
        <f>IF($D1665="","",IF($F1660&lt;=1,"",ROUND(POSMMLV*PORPO,2)))</f>
        <v/>
      </c>
      <c r="H1665" s="765" t="str">
        <f t="shared" si="332"/>
        <v/>
      </c>
      <c r="I1665" s="766"/>
      <c r="J1665" s="108" t="str">
        <f>IF(D1665="","",IF(OR(AND(SUMIF($J1645:$J1654,D1665,$O1645:$O1654)&gt;=5%*POSMMLV,N1665="SI"),AND(SUMIF($J1645:$J1654,D1665,$O1645:$O1654)=0,E1665&lt;=5%,N1665="SI")),"CUMPLE","NO CUMPLE"))</f>
        <v/>
      </c>
      <c r="K1665" s="105" t="str">
        <f>IF(OR(D1665="",J1665=""),"",IF(AND(J1665="NO CUMPLE",F1665="NO APORTA",E1665&gt;5%),"EXP = 0 y PART &gt; 5%",IF(F1665&lt;5%*Q1667,"EXP &lt; 5%*PO","")))</f>
        <v/>
      </c>
      <c r="L1665" s="389" t="str">
        <f>IF(OR(D1665="",E1665=""),"",IF(AND(E1665&gt;=0.25,F1665&lt;&gt;"NO APORTA",F1665&gt;=$R1667*0.25),"SI","NO"))</f>
        <v/>
      </c>
      <c r="M1665" s="389"/>
      <c r="N1665" s="468"/>
      <c r="O1665" s="788" t="s">
        <v>414</v>
      </c>
      <c r="P1665" s="769" t="s">
        <v>415</v>
      </c>
      <c r="Q1665" s="770"/>
      <c r="R1665" s="770"/>
      <c r="S1665" s="771"/>
      <c r="T1665" s="284"/>
      <c r="U1665" s="284"/>
      <c r="V1665" s="310"/>
      <c r="W1665" s="284"/>
      <c r="X1665" s="542" t="str">
        <f>IF($F1660=1,"NO APLICA",$D1665)</f>
        <v>NO APLICA</v>
      </c>
      <c r="Y1665" s="543" t="str">
        <f>IF(OR($F1665="",$F1665="NO APORTA",$R1667=0,$X1665="NO APLICA"),"",ROUND($F1665/$Q1667,2))</f>
        <v/>
      </c>
      <c r="Z1665" s="544"/>
      <c r="AA1665" s="543"/>
      <c r="AB1665" s="540" t="str">
        <f t="shared" ref="AB1665:AB1666" si="334">IF(COUNTIF(Z1665:AA1665,"SI APLICA")=2,"SI APLICA","")</f>
        <v/>
      </c>
      <c r="AC1665" s="28"/>
    </row>
    <row r="1666" spans="1:29" s="30" customFormat="1" ht="17.25" customHeight="1">
      <c r="A1666" s="112" t="str">
        <f>"R"&amp;E1641</f>
        <v>R55</v>
      </c>
      <c r="B1666" s="791"/>
      <c r="C1666" s="54">
        <v>5</v>
      </c>
      <c r="D1666" s="100" t="str">
        <f>IF(AND(C1666&lt;=F1660,F1660&lt;&gt;""),VLOOKUP(VALUE(E1641&amp;","&amp;C1666),INTEGRANTES!$D$19:$F$192,2,0),"")</f>
        <v/>
      </c>
      <c r="E1666" s="107" t="str">
        <f>IF(D1666&lt;&gt;"",VLOOKUP(VALUE(E1641&amp;","&amp;C1666),INTEGRANTES!$D$19:$F$192,3,0),"")</f>
        <v/>
      </c>
      <c r="F1666" s="380" t="str">
        <f>IF(D1666="","",IF(OR(SUMIF($J1648:$J1654,D1666,$O1648:$O1654)=0,N1666="NO"),"NO APORTA",SUMIF($J1648:$J1654,D1666,$O1648:$O1654)))</f>
        <v/>
      </c>
      <c r="G1666" s="380" t="str">
        <f>IF($D1666="","",IF($F1660&lt;=1,"",ROUND(POSMMLV*PORPO,2)))</f>
        <v/>
      </c>
      <c r="H1666" s="765" t="str">
        <f t="shared" si="332"/>
        <v/>
      </c>
      <c r="I1666" s="766"/>
      <c r="J1666" s="108" t="str">
        <f>IF(D1666="","",IF(OR(AND(SUMIF($J1645:$J1654,D1666,$O1645:$O1654)&gt;=5%*POSMMLV,N1666="SI"),AND(SUMIF($J1645:$J1654,D1666,$O1645:$O1654)=0,E1666&lt;=5%,N1666="SI")),"CUMPLE","NO CUMPLE"))</f>
        <v/>
      </c>
      <c r="K1666" s="105" t="str">
        <f>IF(OR(D1666="",J1666=""),"",IF(AND(J1666="NO CUMPLE",F1666="NO APORTA",E1666&gt;5%),"EXP = 0 y PART &gt; 5%",IF(F1666&lt;5%*Q1667,"EXP &lt; 5%*PO","")))</f>
        <v/>
      </c>
      <c r="L1666" s="389" t="str">
        <f>IF(OR(D1666="",E1666=""),"",IF(AND(E1666&gt;=0.25,F1666&lt;&gt;"NO APORTA",F1666&gt;=$R1667*0.25),"SI","NO"))</f>
        <v/>
      </c>
      <c r="M1666" s="389"/>
      <c r="N1666" s="468"/>
      <c r="O1666" s="789"/>
      <c r="P1666" s="504" t="s">
        <v>416</v>
      </c>
      <c r="Q1666" s="504" t="s">
        <v>417</v>
      </c>
      <c r="R1666" s="793" t="s">
        <v>418</v>
      </c>
      <c r="S1666" s="793"/>
      <c r="T1666" s="284"/>
      <c r="U1666" s="284"/>
      <c r="V1666" s="310"/>
      <c r="W1666" s="284"/>
      <c r="X1666" s="542" t="str">
        <f>IF($F1660=1,"NO APLICA",$D1666)</f>
        <v>NO APLICA</v>
      </c>
      <c r="Y1666" s="543" t="str">
        <f>IF(OR($F1666="",$F1666="NO APORTA",$R1667=0,$X1666="NO APLICA"),"",ROUND($F1666/$Q1667,2))</f>
        <v/>
      </c>
      <c r="Z1666" s="544"/>
      <c r="AA1666" s="543"/>
      <c r="AB1666" s="540" t="str">
        <f t="shared" si="334"/>
        <v/>
      </c>
      <c r="AC1666" s="28"/>
    </row>
    <row r="1667" spans="1:29" s="30" customFormat="1" ht="16.5" customHeight="1" thickBot="1">
      <c r="A1667" s="112" t="str">
        <f>"S"&amp;E1641</f>
        <v>S55</v>
      </c>
      <c r="B1667" s="791"/>
      <c r="C1667" s="109">
        <v>6</v>
      </c>
      <c r="D1667" s="110" t="str">
        <f>IF(AND(C1667&lt;=F1660,F1660&lt;&gt;""),VLOOKUP(VALUE(E1641&amp;","&amp;C1667),INTEGRANTES!$D$19:$F$192,2,0),"")</f>
        <v/>
      </c>
      <c r="E1667" s="111" t="str">
        <f>IF(D1667&lt;&gt;"",VLOOKUP(VALUE(E1641&amp;","&amp;C1667),INTEGRANTES!$D$19:$F$192,3,0),"")</f>
        <v/>
      </c>
      <c r="F1667" s="380" t="str">
        <f>IF(D1667="","",IF(OR(SUMIF($J1648:$J1654,D1667,$O1648:$O1654)=0,N1667="NO"),"NO APORTA",SUMIF($J1648:$J1654,D1667,$O1648:$O1654)))</f>
        <v/>
      </c>
      <c r="G1667" s="380" t="str">
        <f>IF($D1667="","",IF($F1660&lt;=1,"",ROUND(POSMMLV*PORPO,2)))</f>
        <v/>
      </c>
      <c r="H1667" s="765" t="str">
        <f>IF($D1667="","",IF(OR(F1667="NO APORTA",G1667&gt;F1667),"NO CUMPLE","CUMPLE"))</f>
        <v/>
      </c>
      <c r="I1667" s="766"/>
      <c r="J1667" s="108" t="str">
        <f>IF(D1667="","",IF(OR(AND(SUMIF($J1645:$J1654,D1667,$O1645:$O1654)&gt;=5%*POSMMLV,N1667="SI"),AND(SUMIF($J1645:$J1654,D1667,$O1645:$O1654)=0,E1667&lt;=5%,N1667="SI")),"CUMPLE","NO CUMPLE"))</f>
        <v/>
      </c>
      <c r="K1667" s="105" t="str">
        <f>IF(OR(D1667="",J1667=""),"",IF(AND(J1667="NO CUMPLE",F1667="NO APORTA",E1667&gt;5%),"EXP = 0 y PART &gt; 5%",IF(F1667&lt;5%*Q1667,"EXP &lt; 5%*PO","")))</f>
        <v/>
      </c>
      <c r="L1667" s="389" t="str">
        <f>IF(OR(D1667="",E1667=""),"",IF(AND(E1667&gt;=0.25,F1667&lt;&gt;"NO APORTA",F1667&gt;=$R1667*0.25),"SI","NO"))</f>
        <v/>
      </c>
      <c r="M1667" s="389"/>
      <c r="N1667" s="468"/>
      <c r="O1667" s="403" t="str">
        <f ca="1">IF(R1667&gt;=Q1667,"CUMPLE","NO CUMPLE")</f>
        <v>CUMPLE</v>
      </c>
      <c r="P1667" s="312">
        <f>NUMMOD</f>
        <v>1</v>
      </c>
      <c r="Q1667" s="313">
        <f ca="1">IF(P1667="","",ROUND(VLOOKUP(P1667,PRESUPUESTOS!$B$16:$L$16,9,FALSE),7))</f>
        <v>300</v>
      </c>
      <c r="R1667" s="834">
        <f>IF(OR(COUNTIF(O1645:O1654,"")&gt;9,S1661&lt;NUMMINCONT),0,SUM(O1645:O1654))</f>
        <v>1385.9639999999999</v>
      </c>
      <c r="S1667" s="834"/>
      <c r="T1667" s="284"/>
      <c r="U1667" s="284"/>
      <c r="V1667" s="310"/>
      <c r="W1667" s="284"/>
      <c r="X1667" s="545" t="str">
        <f>IF($F1660=1,"NO APLICA",$D1667)</f>
        <v>NO APLICA</v>
      </c>
      <c r="Y1667" s="543" t="str">
        <f>IF(OR($F1667="",$F1667="NO APORTA",$R1667=0,$X1667="NO APLICA"),"",ROUND($F1667/$Q1667,2))</f>
        <v/>
      </c>
      <c r="Z1667" s="544"/>
      <c r="AA1667" s="546"/>
      <c r="AB1667" s="540" t="str">
        <f>IF(COUNTIF(Z1667:AA1667,"SI APLICA")=2,"SI APLICA","")</f>
        <v/>
      </c>
      <c r="AC1667" s="28"/>
    </row>
    <row r="1668" spans="1:29" s="30" customFormat="1" ht="16.5" customHeight="1" thickBot="1">
      <c r="A1668" s="112" t="str">
        <f>"T"&amp;E1641</f>
        <v>T55</v>
      </c>
      <c r="B1668" s="792"/>
      <c r="C1668" s="821" t="s">
        <v>419</v>
      </c>
      <c r="D1668" s="822"/>
      <c r="E1668" s="822"/>
      <c r="F1668" s="518"/>
      <c r="G1668" s="519"/>
      <c r="H1668" s="794" t="str">
        <f>IF(OR($F1660="",SUM(E1662:E1667)=0),"",IF(COUNTIF(H1662:H1667,"CUMPLE")&gt;=1,"CUMPLE","NO CUMPLE"))</f>
        <v/>
      </c>
      <c r="I1668" s="795"/>
      <c r="J1668" s="314" t="str">
        <f>IF(COUNTIF(J1662:J1667,"")&gt;5,"",IF(COUNTIF(J1662:J1667,"NO CUMPLE")&gt;0,"NO CUMPLE","CUMPLE"))</f>
        <v/>
      </c>
      <c r="K1668" s="314" t="str">
        <f>IF(OR(AND(F1660=1,N1662="SI"),AND(COUNTIF(H1668:J1668,"CUMPLE")=2)),"CUMPLE","NO CUMPLE")</f>
        <v>CUMPLE</v>
      </c>
      <c r="L1668" s="519"/>
      <c r="M1668" s="519"/>
      <c r="N1668" s="519"/>
      <c r="O1668" s="833" t="str">
        <f ca="1">IF(ISNUMBER(F1641),"",IF(AND(O1667="NO CUMPLE",SUM(N1648:N1654)&lt;Q1667),"EL PROPONENTE SE DEBE REQUERIR POR EXPERIENCIA MINIMA EXIGIDA",""))</f>
        <v/>
      </c>
      <c r="P1668" s="833"/>
      <c r="Q1668" s="833"/>
      <c r="R1668" s="833"/>
      <c r="S1668" s="833"/>
      <c r="T1668" s="522"/>
      <c r="U1668" s="523"/>
      <c r="V1668" s="524"/>
      <c r="W1668" s="284"/>
      <c r="X1668" s="364" t="str">
        <f>IF(Y1668=1,"PROPONENTE INDIVIDUAL","PROPONENTE PLURAL")</f>
        <v>PROPONENTE INDIVIDUAL</v>
      </c>
      <c r="Y1668" s="276">
        <f>F1660</f>
        <v>1</v>
      </c>
      <c r="Z1668" s="277" t="str">
        <f>IF(OR(AND(Z1662="SI APLICA",AA1662="SI APLICA"),AND(Z1663="SI APLICA",AA1663="SI APLICA"),AND(Z1664="SI APLICA",AA1664="SI APLICA"),AND(Z1665="SI APLICA",AA1665="SI APLICA"),AND(Z1666="SI APLICA",AA1666="SI APLICA"),AND(Z1667="SI APLICA",AA1667="SI APLICA")),"SI APLICA","NO APLICA")</f>
        <v>SI APLICA</v>
      </c>
      <c r="AA1668" s="278" t="str">
        <f>IF(OR(AND(AA1662="SI APLICA",AB1662="SI APLICA"),AND(AA1663="SI APLICA",AB1663="SI APLICA"),AND(AA1664="SI APLICA",AB1664="SI APLICA"),AND(AA1665="SI APLICA",AB1665="SI APLICA"),AND(AA1666="SI APLICA",AB1666="SI APLICA"),AND(AA1667="SI APLICA",AB1667="SI APLICA")),"SI APLICA","NO APLICA")</f>
        <v>SI APLICA</v>
      </c>
      <c r="AB1668" s="278" t="str">
        <f>IF(COUNTIF(AB1662:AB1667,"SI APLICA")&gt;0,"SI APLICA","NO APLICA")</f>
        <v>SI APLICA</v>
      </c>
      <c r="AC1668" s="28"/>
    </row>
    <row r="1669" spans="1:29" ht="24.95" customHeight="1"/>
    <row r="1670" spans="1:29" ht="24.95" customHeight="1"/>
    <row r="1671" spans="1:29" s="41" customFormat="1" ht="24" thickBot="1">
      <c r="A1671" s="34">
        <v>56</v>
      </c>
      <c r="B1671" s="828" t="s">
        <v>355</v>
      </c>
      <c r="C1671" s="828"/>
      <c r="D1671" s="828"/>
      <c r="E1671" s="35">
        <f>VLOOKUP(A1671,PROPONENTES!$B$19:$E$108,2,FALSE)</f>
        <v>56</v>
      </c>
      <c r="F1671" s="36" t="str">
        <f>VLOOKUP(A1671,PROPONENTES!$B$19:$E$108,3,FALSE)</f>
        <v>CONSORCIO COLOMBIA RURAL ET</v>
      </c>
      <c r="G1671" s="37"/>
      <c r="H1671" s="37"/>
      <c r="I1671" s="36"/>
      <c r="J1671" s="36"/>
      <c r="K1671" s="36"/>
      <c r="L1671" s="36"/>
      <c r="M1671" s="38"/>
      <c r="N1671" s="38"/>
      <c r="O1671" s="37"/>
      <c r="P1671" s="37"/>
      <c r="Q1671" s="39"/>
      <c r="R1671" s="39"/>
      <c r="S1671" s="39"/>
      <c r="T1671" s="39"/>
      <c r="U1671" s="40"/>
      <c r="Y1671" s="52"/>
      <c r="Z1671" s="52"/>
      <c r="AA1671" s="52"/>
      <c r="AB1671" s="28"/>
      <c r="AC1671" s="28"/>
    </row>
    <row r="1672" spans="1:29" s="27" customFormat="1" ht="24.75" customHeight="1">
      <c r="A1672" s="22"/>
      <c r="B1672" s="829" t="s">
        <v>356</v>
      </c>
      <c r="C1672" s="501" t="s">
        <v>357</v>
      </c>
      <c r="D1672" s="502" t="s">
        <v>358</v>
      </c>
      <c r="E1672" s="502"/>
      <c r="F1672" s="502" t="s">
        <v>359</v>
      </c>
      <c r="G1672" s="503"/>
      <c r="H1672" s="803" t="s">
        <v>360</v>
      </c>
      <c r="I1672" s="831" t="s">
        <v>361</v>
      </c>
      <c r="J1672" s="803" t="s">
        <v>362</v>
      </c>
      <c r="K1672" s="803" t="s">
        <v>363</v>
      </c>
      <c r="L1672" s="803" t="s">
        <v>364</v>
      </c>
      <c r="M1672" s="803" t="s">
        <v>365</v>
      </c>
      <c r="N1672" s="804" t="s">
        <v>366</v>
      </c>
      <c r="O1672" s="805"/>
      <c r="P1672" s="806" t="s">
        <v>367</v>
      </c>
      <c r="Q1672" s="807"/>
      <c r="R1672" s="784" t="s">
        <v>368</v>
      </c>
      <c r="S1672" s="774"/>
      <c r="T1672" s="798" t="s">
        <v>369</v>
      </c>
      <c r="U1672" s="799"/>
      <c r="V1672" s="800"/>
      <c r="X1672" s="520"/>
      <c r="Y1672" s="520"/>
    </row>
    <row r="1673" spans="1:29" s="27" customFormat="1" ht="94.5" customHeight="1">
      <c r="A1673" s="22"/>
      <c r="B1673" s="830"/>
      <c r="C1673" s="504" t="s">
        <v>370</v>
      </c>
      <c r="D1673" s="505" t="s">
        <v>41</v>
      </c>
      <c r="E1673" s="505" t="s">
        <v>371</v>
      </c>
      <c r="F1673" s="505" t="s">
        <v>372</v>
      </c>
      <c r="G1673" s="506" t="s">
        <v>373</v>
      </c>
      <c r="H1673" s="793"/>
      <c r="I1673" s="832"/>
      <c r="J1673" s="793"/>
      <c r="K1673" s="793"/>
      <c r="L1673" s="793"/>
      <c r="M1673" s="793"/>
      <c r="N1673" s="504" t="s">
        <v>374</v>
      </c>
      <c r="O1673" s="505" t="s">
        <v>375</v>
      </c>
      <c r="P1673" s="801"/>
      <c r="Q1673" s="802"/>
      <c r="R1673" s="796"/>
      <c r="S1673" s="797"/>
      <c r="T1673" s="507" t="s">
        <v>376</v>
      </c>
      <c r="U1673" s="508" t="s">
        <v>377</v>
      </c>
      <c r="V1673" s="509" t="s">
        <v>378</v>
      </c>
      <c r="X1673" s="521" t="s">
        <v>379</v>
      </c>
      <c r="Y1673" s="521" t="s">
        <v>380</v>
      </c>
    </row>
    <row r="1674" spans="1:29" s="27" customFormat="1" ht="15" customHeight="1">
      <c r="A1674" s="22"/>
      <c r="B1674" s="594"/>
      <c r="C1674" s="595">
        <v>3</v>
      </c>
      <c r="D1674" s="595">
        <v>4</v>
      </c>
      <c r="E1674" s="595">
        <v>5</v>
      </c>
      <c r="F1674" s="595">
        <v>6</v>
      </c>
      <c r="G1674" s="595">
        <v>7</v>
      </c>
      <c r="H1674" s="595">
        <v>8</v>
      </c>
      <c r="I1674" s="595">
        <v>9</v>
      </c>
      <c r="J1674" s="595">
        <v>10</v>
      </c>
      <c r="K1674" s="595">
        <v>11</v>
      </c>
      <c r="L1674" s="595">
        <v>12</v>
      </c>
      <c r="M1674" s="595">
        <v>13</v>
      </c>
      <c r="N1674" s="595">
        <v>14</v>
      </c>
      <c r="O1674" s="595">
        <v>15</v>
      </c>
      <c r="P1674" s="596">
        <v>16</v>
      </c>
      <c r="Q1674" s="597">
        <v>17</v>
      </c>
      <c r="R1674" s="596">
        <v>18</v>
      </c>
      <c r="S1674" s="597">
        <v>19</v>
      </c>
      <c r="T1674" s="598">
        <v>20</v>
      </c>
      <c r="U1674" s="255">
        <v>21</v>
      </c>
      <c r="V1674" s="599">
        <v>22</v>
      </c>
      <c r="X1674" s="589"/>
      <c r="Y1674" s="590"/>
    </row>
    <row r="1675" spans="1:29" s="44" customFormat="1" ht="36.75" customHeight="1">
      <c r="A1675" s="42" t="str">
        <f>"A"&amp;E1671</f>
        <v>A56</v>
      </c>
      <c r="B1675" s="605">
        <f>IF(C1675&lt;&gt;"",B1674+1,"")</f>
        <v>1</v>
      </c>
      <c r="C1675" s="581" t="s">
        <v>443</v>
      </c>
      <c r="D1675" s="581" t="s">
        <v>834</v>
      </c>
      <c r="E1675" s="581" t="s">
        <v>835</v>
      </c>
      <c r="F1675" s="581" t="s">
        <v>384</v>
      </c>
      <c r="G1675" s="534">
        <v>1</v>
      </c>
      <c r="H1675" s="534" t="s">
        <v>385</v>
      </c>
      <c r="I1675" s="579">
        <v>1</v>
      </c>
      <c r="J1675" s="580" t="str">
        <f>IF(I1675="","",IF(I1675="I",$F1671,VLOOKUP(I1675,$C1692:$D1697,2,0)))</f>
        <v>ECOVIAS S.A.S</v>
      </c>
      <c r="K1675" s="535">
        <v>41961</v>
      </c>
      <c r="L1675" s="535">
        <v>42141</v>
      </c>
      <c r="M1675" s="536">
        <v>510.11</v>
      </c>
      <c r="N1675" s="232">
        <f t="shared" ref="N1675:N1684" si="335">IF(OR(G1675="",M1675=""),"",M1675*G1675)</f>
        <v>510.11</v>
      </c>
      <c r="O1675" s="260">
        <f t="shared" ref="O1675:O1684" si="336">IF(OR(H1675="",H1675="NO",K1675&lt;$Q$17,K1675&gt;$R$17,K1675="",M1675="",N1675=""),"",ROUND(N1675,7))</f>
        <v>510.11</v>
      </c>
      <c r="P1675" s="781"/>
      <c r="Q1675" s="782"/>
      <c r="R1675" s="767"/>
      <c r="S1675" s="768"/>
      <c r="T1675" s="538" t="s">
        <v>385</v>
      </c>
      <c r="U1675" s="539">
        <v>166</v>
      </c>
      <c r="V1675" s="540" t="s">
        <v>385</v>
      </c>
      <c r="X1675" s="541" t="s">
        <v>449</v>
      </c>
      <c r="Y1675" s="541" t="s">
        <v>387</v>
      </c>
    </row>
    <row r="1676" spans="1:29" s="44" customFormat="1" ht="40.5" customHeight="1">
      <c r="A1676" s="42" t="str">
        <f>"B"&amp;E1671</f>
        <v>B56</v>
      </c>
      <c r="B1676" s="605">
        <f t="shared" ref="B1676:B1684" si="337">IF(C1676&lt;&gt;"",B1675+1,"")</f>
        <v>2</v>
      </c>
      <c r="C1676" s="581" t="s">
        <v>443</v>
      </c>
      <c r="D1676" s="581" t="s">
        <v>836</v>
      </c>
      <c r="E1676" s="581" t="s">
        <v>837</v>
      </c>
      <c r="F1676" s="581" t="s">
        <v>431</v>
      </c>
      <c r="G1676" s="534">
        <v>0.5</v>
      </c>
      <c r="H1676" s="534" t="s">
        <v>385</v>
      </c>
      <c r="I1676" s="579">
        <v>1</v>
      </c>
      <c r="J1676" s="580" t="str">
        <f>IF(I1676="","",IF(I1676="I",$F1671,VLOOKUP(I1676,$C1692:$D1697,2,0)))</f>
        <v>ECOVIAS S.A.S</v>
      </c>
      <c r="K1676" s="535">
        <v>37943</v>
      </c>
      <c r="L1676" s="535">
        <v>38216</v>
      </c>
      <c r="M1676" s="536">
        <v>1211.72</v>
      </c>
      <c r="N1676" s="232">
        <f t="shared" si="335"/>
        <v>605.86</v>
      </c>
      <c r="O1676" s="260">
        <f t="shared" si="336"/>
        <v>605.86</v>
      </c>
      <c r="P1676" s="781"/>
      <c r="Q1676" s="782"/>
      <c r="R1676" s="767"/>
      <c r="S1676" s="768"/>
      <c r="T1676" s="538" t="s">
        <v>385</v>
      </c>
      <c r="U1676" s="539">
        <v>31</v>
      </c>
      <c r="V1676" s="540" t="s">
        <v>385</v>
      </c>
      <c r="X1676" s="541" t="s">
        <v>449</v>
      </c>
      <c r="Y1676" s="541" t="s">
        <v>387</v>
      </c>
    </row>
    <row r="1677" spans="1:29" s="44" customFormat="1" ht="37.5" customHeight="1">
      <c r="A1677" s="42" t="str">
        <f>"C"&amp;E1671</f>
        <v>C56</v>
      </c>
      <c r="B1677" s="605">
        <f t="shared" si="337"/>
        <v>3</v>
      </c>
      <c r="C1677" s="581" t="s">
        <v>443</v>
      </c>
      <c r="D1677" s="581" t="s">
        <v>838</v>
      </c>
      <c r="E1677" s="581" t="s">
        <v>839</v>
      </c>
      <c r="F1677" s="581" t="s">
        <v>431</v>
      </c>
      <c r="G1677" s="534">
        <v>0.5</v>
      </c>
      <c r="H1677" s="534" t="s">
        <v>385</v>
      </c>
      <c r="I1677" s="579">
        <v>2</v>
      </c>
      <c r="J1677" s="580" t="str">
        <f>IF(I1677="","",IF(I1677="I",$F1671,VLOOKUP(I1677,$C1692:$D1697,2,0)))</f>
        <v>TRANVIAS S.A.S</v>
      </c>
      <c r="K1677" s="535">
        <v>41800</v>
      </c>
      <c r="L1677" s="535">
        <v>42034</v>
      </c>
      <c r="M1677" s="536">
        <v>969</v>
      </c>
      <c r="N1677" s="232">
        <f t="shared" si="335"/>
        <v>484.5</v>
      </c>
      <c r="O1677" s="260">
        <f t="shared" si="336"/>
        <v>484.5</v>
      </c>
      <c r="P1677" s="781"/>
      <c r="Q1677" s="782"/>
      <c r="R1677" s="767"/>
      <c r="S1677" s="768"/>
      <c r="T1677" s="538" t="s">
        <v>385</v>
      </c>
      <c r="U1677" s="539">
        <v>52</v>
      </c>
      <c r="V1677" s="540" t="s">
        <v>385</v>
      </c>
      <c r="X1677" s="541" t="s">
        <v>423</v>
      </c>
      <c r="Y1677" s="541" t="s">
        <v>435</v>
      </c>
    </row>
    <row r="1678" spans="1:29" s="44" customFormat="1" ht="24.95" customHeight="1">
      <c r="A1678" s="42" t="str">
        <f>"D"&amp;E1671</f>
        <v>D56</v>
      </c>
      <c r="B1678" s="605" t="str">
        <f t="shared" si="337"/>
        <v/>
      </c>
      <c r="C1678" s="581"/>
      <c r="D1678" s="581"/>
      <c r="E1678" s="581"/>
      <c r="F1678" s="581"/>
      <c r="G1678" s="534"/>
      <c r="H1678" s="534"/>
      <c r="I1678" s="579"/>
      <c r="J1678" s="580" t="str">
        <f>IF(I1678="","",IF(I1678="I",$F1671,VLOOKUP(I1678,$C1692:$D1697,2,0)))</f>
        <v/>
      </c>
      <c r="K1678" s="535"/>
      <c r="L1678" s="535"/>
      <c r="M1678" s="536"/>
      <c r="N1678" s="232" t="str">
        <f t="shared" si="335"/>
        <v/>
      </c>
      <c r="O1678" s="260" t="str">
        <f t="shared" si="336"/>
        <v/>
      </c>
      <c r="P1678" s="781"/>
      <c r="Q1678" s="782"/>
      <c r="R1678" s="767"/>
      <c r="S1678" s="768"/>
      <c r="T1678" s="538"/>
      <c r="U1678" s="539"/>
      <c r="V1678" s="540"/>
      <c r="X1678" s="541"/>
      <c r="Y1678" s="541"/>
    </row>
    <row r="1679" spans="1:29" s="44" customFormat="1" ht="24.95" customHeight="1">
      <c r="A1679" s="42" t="str">
        <f>"E"&amp;E1671</f>
        <v>E56</v>
      </c>
      <c r="B1679" s="605" t="str">
        <f t="shared" si="337"/>
        <v/>
      </c>
      <c r="C1679" s="581"/>
      <c r="D1679" s="581"/>
      <c r="E1679" s="581"/>
      <c r="F1679" s="581"/>
      <c r="G1679" s="534"/>
      <c r="H1679" s="534"/>
      <c r="I1679" s="579"/>
      <c r="J1679" s="580" t="str">
        <f>IF(I1679="","",IF(I1679="I",$F1671,VLOOKUP(I1679,$C1692:$D1697,2,0)))</f>
        <v/>
      </c>
      <c r="K1679" s="535"/>
      <c r="L1679" s="535"/>
      <c r="M1679" s="536"/>
      <c r="N1679" s="232" t="str">
        <f t="shared" si="335"/>
        <v/>
      </c>
      <c r="O1679" s="260" t="str">
        <f t="shared" si="336"/>
        <v/>
      </c>
      <c r="P1679" s="781"/>
      <c r="Q1679" s="782"/>
      <c r="R1679" s="767"/>
      <c r="S1679" s="768"/>
      <c r="T1679" s="538"/>
      <c r="U1679" s="539"/>
      <c r="V1679" s="540"/>
      <c r="X1679" s="541"/>
      <c r="Y1679" s="541"/>
    </row>
    <row r="1680" spans="1:29" s="44" customFormat="1" ht="24.95" customHeight="1">
      <c r="A1680" s="42" t="str">
        <f>"F"&amp;E1671</f>
        <v>F56</v>
      </c>
      <c r="B1680" s="605" t="str">
        <f t="shared" si="337"/>
        <v/>
      </c>
      <c r="C1680" s="581"/>
      <c r="D1680" s="581"/>
      <c r="E1680" s="581"/>
      <c r="F1680" s="581"/>
      <c r="G1680" s="534"/>
      <c r="H1680" s="534"/>
      <c r="I1680" s="579"/>
      <c r="J1680" s="580" t="str">
        <f>IF(I1680="","",IF(I1680="I",$F1671,VLOOKUP(I1680,$C1692:$D1697,2,0)))</f>
        <v/>
      </c>
      <c r="K1680" s="535"/>
      <c r="L1680" s="535"/>
      <c r="M1680" s="536"/>
      <c r="N1680" s="232" t="str">
        <f t="shared" si="335"/>
        <v/>
      </c>
      <c r="O1680" s="260" t="str">
        <f t="shared" si="336"/>
        <v/>
      </c>
      <c r="P1680" s="781"/>
      <c r="Q1680" s="782"/>
      <c r="R1680" s="767"/>
      <c r="S1680" s="768"/>
      <c r="T1680" s="538"/>
      <c r="U1680" s="539"/>
      <c r="V1680" s="540"/>
      <c r="X1680" s="541"/>
      <c r="Y1680" s="541"/>
    </row>
    <row r="1681" spans="1:29" s="44" customFormat="1" ht="24.95" customHeight="1">
      <c r="A1681" s="42" t="str">
        <f>"G"&amp;E1671</f>
        <v>G56</v>
      </c>
      <c r="B1681" s="605" t="str">
        <f t="shared" si="337"/>
        <v/>
      </c>
      <c r="C1681" s="581"/>
      <c r="D1681" s="581"/>
      <c r="E1681" s="581"/>
      <c r="F1681" s="581"/>
      <c r="G1681" s="534"/>
      <c r="H1681" s="534"/>
      <c r="I1681" s="579"/>
      <c r="J1681" s="580" t="str">
        <f>IF(I1681="","",IF(I1681="I",$F1671,VLOOKUP(I1681,$C1692:$D1697,2,0)))</f>
        <v/>
      </c>
      <c r="K1681" s="535"/>
      <c r="L1681" s="535"/>
      <c r="M1681" s="536"/>
      <c r="N1681" s="43" t="str">
        <f t="shared" si="335"/>
        <v/>
      </c>
      <c r="O1681" s="260" t="str">
        <f t="shared" si="336"/>
        <v/>
      </c>
      <c r="P1681" s="781"/>
      <c r="Q1681" s="782"/>
      <c r="R1681" s="767"/>
      <c r="S1681" s="768"/>
      <c r="T1681" s="538"/>
      <c r="U1681" s="539"/>
      <c r="V1681" s="540"/>
      <c r="X1681" s="541"/>
      <c r="Y1681" s="541"/>
    </row>
    <row r="1682" spans="1:29" s="44" customFormat="1" ht="24.95" customHeight="1">
      <c r="A1682" s="42" t="str">
        <f>"H"&amp;E1671</f>
        <v>H56</v>
      </c>
      <c r="B1682" s="605" t="str">
        <f t="shared" si="337"/>
        <v/>
      </c>
      <c r="C1682" s="581"/>
      <c r="D1682" s="581"/>
      <c r="E1682" s="581"/>
      <c r="F1682" s="581"/>
      <c r="G1682" s="534"/>
      <c r="H1682" s="534"/>
      <c r="I1682" s="579"/>
      <c r="J1682" s="580" t="str">
        <f>IF(I1682="","",IF(I1682="I",$F1671,VLOOKUP(I1682,$C1692:$D1697,2,0)))</f>
        <v/>
      </c>
      <c r="K1682" s="535"/>
      <c r="L1682" s="535"/>
      <c r="M1682" s="537"/>
      <c r="N1682" s="43" t="str">
        <f t="shared" si="335"/>
        <v/>
      </c>
      <c r="O1682" s="260" t="str">
        <f t="shared" si="336"/>
        <v/>
      </c>
      <c r="P1682" s="781"/>
      <c r="Q1682" s="782"/>
      <c r="R1682" s="767"/>
      <c r="S1682" s="768"/>
      <c r="T1682" s="538"/>
      <c r="U1682" s="539"/>
      <c r="V1682" s="540"/>
      <c r="X1682" s="541"/>
      <c r="Y1682" s="541"/>
    </row>
    <row r="1683" spans="1:29" s="44" customFormat="1" ht="24.95" customHeight="1">
      <c r="A1683" s="42" t="str">
        <f>"I"&amp;E1671</f>
        <v>I56</v>
      </c>
      <c r="B1683" s="605" t="str">
        <f t="shared" si="337"/>
        <v/>
      </c>
      <c r="C1683" s="581"/>
      <c r="D1683" s="581"/>
      <c r="E1683" s="581"/>
      <c r="F1683" s="581"/>
      <c r="G1683" s="534"/>
      <c r="H1683" s="534"/>
      <c r="I1683" s="579"/>
      <c r="J1683" s="580" t="str">
        <f>IF(I1683="","",IF(I1683="I",$F1671,VLOOKUP(I1683,$C1692:$D1697,2,0)))</f>
        <v/>
      </c>
      <c r="K1683" s="535"/>
      <c r="L1683" s="535"/>
      <c r="M1683" s="537"/>
      <c r="N1683" s="43" t="str">
        <f t="shared" si="335"/>
        <v/>
      </c>
      <c r="O1683" s="260" t="str">
        <f t="shared" si="336"/>
        <v/>
      </c>
      <c r="P1683" s="781"/>
      <c r="Q1683" s="782"/>
      <c r="R1683" s="767"/>
      <c r="S1683" s="768"/>
      <c r="T1683" s="538"/>
      <c r="U1683" s="539"/>
      <c r="V1683" s="540"/>
      <c r="X1683" s="541"/>
      <c r="Y1683" s="541"/>
    </row>
    <row r="1684" spans="1:29" s="44" customFormat="1" ht="24.95" customHeight="1" thickBot="1">
      <c r="A1684" s="42" t="str">
        <f>"J"&amp;E1671</f>
        <v>J56</v>
      </c>
      <c r="B1684" s="612" t="str">
        <f t="shared" si="337"/>
        <v/>
      </c>
      <c r="C1684" s="582"/>
      <c r="D1684" s="582"/>
      <c r="E1684" s="582"/>
      <c r="F1684" s="582"/>
      <c r="G1684" s="583"/>
      <c r="H1684" s="583"/>
      <c r="I1684" s="584"/>
      <c r="J1684" s="585" t="str">
        <f>IF(I1684="","",IF(I1684="I",$F1671,VLOOKUP(I1684,$C1692:$D1697,2,0)))</f>
        <v/>
      </c>
      <c r="K1684" s="586"/>
      <c r="L1684" s="586"/>
      <c r="M1684" s="587"/>
      <c r="N1684" s="43" t="str">
        <f t="shared" si="335"/>
        <v/>
      </c>
      <c r="O1684" s="260" t="str">
        <f t="shared" si="336"/>
        <v/>
      </c>
      <c r="P1684" s="781"/>
      <c r="Q1684" s="782"/>
      <c r="R1684" s="767"/>
      <c r="S1684" s="768"/>
      <c r="T1684" s="538"/>
      <c r="U1684" s="539"/>
      <c r="V1684" s="540"/>
      <c r="X1684" s="541"/>
      <c r="Y1684" s="541"/>
    </row>
    <row r="1685" spans="1:29" s="27" customFormat="1" ht="12" customHeight="1" thickBot="1">
      <c r="A1685" s="42"/>
      <c r="B1685" s="45"/>
      <c r="C1685" s="46"/>
      <c r="D1685" s="46"/>
      <c r="E1685" s="46"/>
      <c r="F1685" s="46"/>
      <c r="G1685" s="46"/>
      <c r="H1685" s="606"/>
      <c r="I1685" s="46"/>
      <c r="J1685" s="46"/>
      <c r="K1685" s="46"/>
      <c r="L1685" s="46"/>
      <c r="M1685" s="46"/>
      <c r="N1685" s="46"/>
      <c r="O1685" s="259"/>
      <c r="P1685" s="46"/>
      <c r="Q1685" s="46"/>
      <c r="R1685" s="259"/>
      <c r="S1685" s="46"/>
      <c r="T1685" s="46"/>
      <c r="U1685" s="47"/>
      <c r="V1685" s="48"/>
      <c r="X1685" s="592"/>
      <c r="Y1685" s="593"/>
      <c r="AB1685" s="378"/>
    </row>
    <row r="1686" spans="1:29" s="27" customFormat="1" ht="17.25" customHeight="1" thickBot="1">
      <c r="A1686" s="42" t="str">
        <f>"Z"&amp;E1671</f>
        <v>Z56</v>
      </c>
      <c r="B1686" s="510"/>
      <c r="C1686" s="511"/>
      <c r="D1686" s="511"/>
      <c r="E1686" s="511"/>
      <c r="F1686" s="511"/>
      <c r="G1686" s="511"/>
      <c r="H1686" s="511"/>
      <c r="I1686" s="511"/>
      <c r="J1686" s="511"/>
      <c r="K1686" s="511"/>
      <c r="L1686" s="511"/>
      <c r="M1686" s="511"/>
      <c r="N1686" s="437" t="s">
        <v>388</v>
      </c>
      <c r="O1686" s="438">
        <f>IF(COUNTIF(O1675:O1684,"")&gt;9,0,SUM(O1675:O1684)/(COUNTIF(H1675:H1684,"SI")))</f>
        <v>533.49</v>
      </c>
      <c r="P1686" s="511"/>
      <c r="Q1686" s="511"/>
      <c r="R1686" s="530"/>
      <c r="S1686" s="530"/>
      <c r="T1686" s="531"/>
      <c r="U1686" s="532"/>
      <c r="V1686" s="533"/>
      <c r="W1686" s="285"/>
      <c r="X1686" s="613" t="e">
        <f>COUNTIF(#REF!,"")-COUNTIF(#REF!,"CUMPLE")-1</f>
        <v>#REF!</v>
      </c>
      <c r="Y1686" s="591"/>
      <c r="AB1686" s="28"/>
    </row>
    <row r="1687" spans="1:29" ht="17.25" customHeight="1">
      <c r="B1687" s="50"/>
      <c r="C1687" s="50"/>
      <c r="D1687" s="50"/>
      <c r="E1687" s="50"/>
      <c r="F1687" s="50"/>
      <c r="G1687" s="51"/>
      <c r="H1687" s="51"/>
      <c r="I1687" s="51"/>
      <c r="J1687" s="51"/>
      <c r="K1687" s="51"/>
      <c r="L1687" s="51"/>
      <c r="M1687" s="51"/>
      <c r="N1687" s="51"/>
      <c r="O1687" s="51"/>
      <c r="P1687" s="51"/>
      <c r="Q1687" s="51"/>
      <c r="R1687" s="51"/>
      <c r="S1687" s="51"/>
      <c r="T1687" s="51"/>
      <c r="U1687" s="51"/>
      <c r="V1687" s="51"/>
      <c r="W1687" s="51"/>
      <c r="X1687" s="608"/>
      <c r="Y1687" s="51"/>
      <c r="Z1687" s="51"/>
      <c r="AA1687" s="51"/>
      <c r="AB1687" s="51"/>
      <c r="AC1687" s="50"/>
    </row>
    <row r="1688" spans="1:29" s="27" customFormat="1" ht="16.5" customHeight="1" thickBot="1">
      <c r="A1688" s="22"/>
      <c r="B1688" s="783" t="s">
        <v>389</v>
      </c>
      <c r="C1688" s="783"/>
      <c r="D1688" s="783"/>
      <c r="E1688" s="783"/>
      <c r="F1688" s="783"/>
      <c r="G1688" s="783"/>
      <c r="H1688" s="783"/>
      <c r="I1688" s="783"/>
      <c r="J1688" s="783"/>
      <c r="K1688" s="783"/>
      <c r="L1688" s="783"/>
      <c r="M1688" s="783"/>
      <c r="N1688" s="783"/>
      <c r="O1688" s="783"/>
      <c r="P1688" s="783"/>
      <c r="Q1688" s="783"/>
      <c r="R1688" s="783"/>
      <c r="S1688" s="783"/>
      <c r="T1688" s="783"/>
      <c r="U1688" s="783"/>
      <c r="V1688" s="783"/>
      <c r="W1688" s="286"/>
      <c r="X1688" s="607"/>
      <c r="Y1688" s="52"/>
      <c r="Z1688" s="52"/>
      <c r="AA1688" s="52"/>
      <c r="AB1688" s="28"/>
      <c r="AC1688" s="28"/>
    </row>
    <row r="1689" spans="1:29" s="30" customFormat="1" ht="22.5" customHeight="1">
      <c r="A1689" s="112" t="str">
        <f>"K"&amp;E1671</f>
        <v>K56</v>
      </c>
      <c r="B1689" s="790" t="s">
        <v>390</v>
      </c>
      <c r="C1689" s="772" t="s">
        <v>391</v>
      </c>
      <c r="D1689" s="773"/>
      <c r="E1689" s="773"/>
      <c r="F1689" s="773"/>
      <c r="G1689" s="773"/>
      <c r="H1689" s="773"/>
      <c r="I1689" s="773"/>
      <c r="J1689" s="773"/>
      <c r="K1689" s="773"/>
      <c r="L1689" s="773"/>
      <c r="M1689" s="774"/>
      <c r="N1689" s="525"/>
      <c r="O1689" s="588"/>
      <c r="P1689" s="772" t="s">
        <v>392</v>
      </c>
      <c r="Q1689" s="773"/>
      <c r="R1689" s="773"/>
      <c r="S1689" s="774"/>
      <c r="T1689" s="784" t="s">
        <v>393</v>
      </c>
      <c r="U1689" s="774"/>
      <c r="V1689" s="811"/>
      <c r="W1689" s="284"/>
      <c r="X1689" s="778" t="s">
        <v>394</v>
      </c>
      <c r="Y1689" s="779"/>
      <c r="Z1689" s="779"/>
      <c r="AA1689" s="779" t="s">
        <v>395</v>
      </c>
      <c r="AB1689" s="808" t="s">
        <v>396</v>
      </c>
      <c r="AC1689" s="28"/>
    </row>
    <row r="1690" spans="1:29" s="30" customFormat="1" ht="22.5" customHeight="1">
      <c r="A1690" s="112" t="str">
        <f>"L"&amp;E1671</f>
        <v>L56</v>
      </c>
      <c r="B1690" s="791"/>
      <c r="C1690" s="769" t="s">
        <v>397</v>
      </c>
      <c r="D1690" s="770"/>
      <c r="E1690" s="771"/>
      <c r="F1690" s="512">
        <f>IF(VLOOKUP(E1671,PROPONENTES!$C$19:$E$108,3,0)="","",VLOOKUP(E1671,PROPONENTES!$C$19:$E$108,3,0))</f>
        <v>2</v>
      </c>
      <c r="G1690" s="824" t="s">
        <v>398</v>
      </c>
      <c r="H1690" s="793" t="s">
        <v>399</v>
      </c>
      <c r="I1690" s="793"/>
      <c r="J1690" s="769" t="s">
        <v>400</v>
      </c>
      <c r="K1690" s="823"/>
      <c r="L1690" s="513" t="s">
        <v>401</v>
      </c>
      <c r="M1690" s="513"/>
      <c r="N1690" s="526"/>
      <c r="O1690" s="527"/>
      <c r="P1690" s="775"/>
      <c r="Q1690" s="776"/>
      <c r="R1690" s="776"/>
      <c r="S1690" s="777"/>
      <c r="T1690" s="796"/>
      <c r="U1690" s="797"/>
      <c r="V1690" s="812"/>
      <c r="W1690" s="284"/>
      <c r="X1690" s="780" t="s">
        <v>402</v>
      </c>
      <c r="Y1690" s="810" t="s">
        <v>403</v>
      </c>
      <c r="Z1690" s="810"/>
      <c r="AA1690" s="810"/>
      <c r="AB1690" s="809"/>
      <c r="AC1690" s="28"/>
    </row>
    <row r="1691" spans="1:29" s="30" customFormat="1" ht="51.75" customHeight="1" thickBot="1">
      <c r="A1691" s="112" t="str">
        <f>"M"&amp;E1671</f>
        <v>M56</v>
      </c>
      <c r="B1691" s="791"/>
      <c r="C1691" s="770" t="s">
        <v>404</v>
      </c>
      <c r="D1691" s="771"/>
      <c r="E1691" s="514" t="s">
        <v>405</v>
      </c>
      <c r="F1691" s="515" t="s">
        <v>406</v>
      </c>
      <c r="G1691" s="824"/>
      <c r="H1691" s="793"/>
      <c r="I1691" s="793"/>
      <c r="J1691" s="504" t="s">
        <v>407</v>
      </c>
      <c r="K1691" s="516" t="s">
        <v>408</v>
      </c>
      <c r="L1691" s="517" t="s">
        <v>409</v>
      </c>
      <c r="M1691" s="517"/>
      <c r="N1691" s="528" t="s">
        <v>410</v>
      </c>
      <c r="O1691" s="529"/>
      <c r="P1691" s="386"/>
      <c r="Q1691" s="387" t="s">
        <v>411</v>
      </c>
      <c r="R1691" s="388"/>
      <c r="S1691" s="113">
        <f>COUNTIFS(H1675:H1684,"SI",O1675:O1684,"&gt;0")</f>
        <v>3</v>
      </c>
      <c r="T1691" s="785"/>
      <c r="U1691" s="787"/>
      <c r="V1691" s="813"/>
      <c r="W1691" s="284"/>
      <c r="X1691" s="780"/>
      <c r="Y1691" s="810"/>
      <c r="Z1691" s="810"/>
      <c r="AA1691" s="810"/>
      <c r="AB1691" s="809"/>
      <c r="AC1691" s="28"/>
    </row>
    <row r="1692" spans="1:29" s="30" customFormat="1" ht="15.75" customHeight="1">
      <c r="A1692" s="112" t="str">
        <f>"N"&amp;E1671</f>
        <v>N56</v>
      </c>
      <c r="B1692" s="791"/>
      <c r="C1692" s="54">
        <v>1</v>
      </c>
      <c r="D1692" s="100" t="str">
        <f>IF(AND(C1692&lt;=F1690,F1690&gt;1,F1690&lt;&gt;""),VLOOKUP(VALUE(E1671&amp;","&amp;C1692),INTEGRANTES!$D$19:$F$192,2,0),"")</f>
        <v>ECOVIAS S.A.S</v>
      </c>
      <c r="E1692" s="107">
        <f>IF(D1692&lt;&gt;"",VLOOKUP(VALUE(E1671&amp;","&amp;C1692),INTEGRANTES!$D$19:$F$192,3,0),"")</f>
        <v>0.5</v>
      </c>
      <c r="F1692" s="380">
        <f>IF(D1692="","",IF(OR(SUMIF($J1675:$J1684,D1692,$O1675:$O1684)=0,N1692="NO"),"NO APORTA",SUMIF($J1675:$J1684,D1692,$O1675:$O1684)))</f>
        <v>1115.97</v>
      </c>
      <c r="G1692" s="380">
        <f ca="1">IF($D1692="","",IF($F1690&lt;=1,"",ROUND(POSMMLV*PORPO,2)))</f>
        <v>150</v>
      </c>
      <c r="H1692" s="765" t="str">
        <f ca="1">IF($D1692="","",IF(OR(F1692="NO APORTA",G1692&gt;F1692),"NO CUMPLE","CUMPLE"))</f>
        <v>CUMPLE</v>
      </c>
      <c r="I1692" s="766"/>
      <c r="J1692" s="108" t="str">
        <f ca="1">IF(D1692="","",IF(OR(AND(SUMIF($J1675:$J1684,D1692,$O1675:$O1684)&gt;=5%*POSMMLV,N1692="SI"),AND(SUMIF($J1675:$J1684,D1692,$O1675:$O1684)=0,E1692&lt;=5%,N1692="SI")),"CUMPLE","NO CUMPLE"))</f>
        <v>CUMPLE</v>
      </c>
      <c r="K1692" s="105" t="str">
        <f ca="1">IF(OR(D1692="",J1692=""),"",IF(AND(J1692="NO CUMPLE",F1692="NO APORTA",E1692&gt;5%),"EXP = 0 y PART &gt; 5%",IF(F1692&lt;5%*Q1697,"EXP &lt; 5%*PO","")))</f>
        <v/>
      </c>
      <c r="L1692" s="389" t="str">
        <f>IF(OR(D1692="",E1692=""),"",IF(AND(E1692&gt;=0.25,F1692&lt;&gt;"NO APORTA",F1692&gt;=$R1697*0.25),"SI","NO"))</f>
        <v>SI</v>
      </c>
      <c r="M1692" s="389"/>
      <c r="N1692" s="468" t="s">
        <v>385</v>
      </c>
      <c r="O1692" s="396">
        <f>COUNTIFS(O1675:O1684,"&gt;0",H1675:H1684,"SI")</f>
        <v>3</v>
      </c>
      <c r="P1692" s="814" t="s">
        <v>139</v>
      </c>
      <c r="Q1692" s="814"/>
      <c r="R1692" s="817">
        <f>E1671</f>
        <v>56</v>
      </c>
      <c r="S1692" s="818"/>
      <c r="T1692" s="784" t="s">
        <v>412</v>
      </c>
      <c r="U1692" s="773"/>
      <c r="V1692" s="774"/>
      <c r="W1692" s="283"/>
      <c r="X1692" s="542" t="str">
        <f>IF($F1690=1,"NO APLICA",$D1692)</f>
        <v>ECOVIAS S.A.S</v>
      </c>
      <c r="Y1692" s="543">
        <f ca="1">IF(OR($F1692="",$F1692="NO APORTA",$R1697=0,$X1692="NO APLICA"),"",ROUND($F1692/$Q1697,2))</f>
        <v>3.72</v>
      </c>
      <c r="Z1692" s="544" t="str">
        <f ca="1">IF(Y1698=1,"SI APLICA",IF(OR($X1692="",$X1692="NO APLICA",$F1692="",$F1692="NO APORTA"),"",IF(ROUND($F1692/Q1697,7)&gt;=0.4,"SI APLICA","NO APLICA")))</f>
        <v>SI APLICA</v>
      </c>
      <c r="AA1692" s="543" t="s">
        <v>413</v>
      </c>
      <c r="AB1692" s="540" t="str">
        <f ca="1">IF(COUNTIF(Z1692:AA1692,"SI APLICA")=2,"SI APLICA","")</f>
        <v>SI APLICA</v>
      </c>
      <c r="AC1692" s="28"/>
    </row>
    <row r="1693" spans="1:29" s="30" customFormat="1" ht="15.75" customHeight="1" thickBot="1">
      <c r="A1693" s="112" t="str">
        <f>"O"&amp;E1671</f>
        <v>O56</v>
      </c>
      <c r="B1693" s="791"/>
      <c r="C1693" s="54">
        <v>2</v>
      </c>
      <c r="D1693" s="100" t="str">
        <f>IF(AND(C1693&lt;=F1690,F1690&lt;&gt;""),VLOOKUP(VALUE(E1671&amp;","&amp;C1693),INTEGRANTES!$D$19:$F$192,2,0),"")</f>
        <v>TRANVIAS S.A.S</v>
      </c>
      <c r="E1693" s="107">
        <f>IF(D1693&lt;&gt;"",VLOOKUP(VALUE(E1671&amp;","&amp;C1693),INTEGRANTES!$D$19:$F$192,3,0),"")</f>
        <v>0.5</v>
      </c>
      <c r="F1693" s="380">
        <f>IF(D1693="","",IF(OR(SUMIF($J1675:$J1684,D1693,$O1675:$O1684)=0,N1693="NO"),"NO APORTA",SUMIF($J1675:$J1684,D1693,$O1675:$O1684)))</f>
        <v>484.5</v>
      </c>
      <c r="G1693" s="380">
        <f ca="1">IF($D1693="","",IF($F1690&lt;=1,"",ROUND(POSMMLV*PORPO,2)))</f>
        <v>150</v>
      </c>
      <c r="H1693" s="765" t="str">
        <f t="shared" ref="H1693:H1696" ca="1" si="338">IF($D1693="","",IF(OR(F1693="NO APORTA",G1693&gt;F1693),"NO CUMPLE","CUMPLE"))</f>
        <v>CUMPLE</v>
      </c>
      <c r="I1693" s="766"/>
      <c r="J1693" s="108" t="str">
        <f ca="1">IF(D1693="","",IF(OR(AND(SUMIF($J1675:$J1684,D1693,$O1675:$O1684)&gt;=5%*POSMMLV,N1693="SI"),AND(SUMIF($J1675:$J1684,D1693,$O1675:$O1684)=0,E1693&lt;=5%,N1693="SI")),"CUMPLE","NO CUMPLE"))</f>
        <v>CUMPLE</v>
      </c>
      <c r="K1693" s="105" t="str">
        <f ca="1">IF(OR(D1693="",J1693=""),"",IF(AND(J1693="NO CUMPLE",F1693="NO APORTA",E1693&gt;5%),"EXP = 0 y PART &gt; 5%",IF(F1693&lt;5%*Q1697,"EXP &lt; 5%*PO","")))</f>
        <v/>
      </c>
      <c r="L1693" s="389" t="str">
        <f>IF(OR(D1693="",E1693=""),"",IF(AND(E1693&gt;=0.25,F1693&lt;&gt;"NO APORTA",F1693&gt;=$R1697*0.25),"SI","NO"))</f>
        <v>SI</v>
      </c>
      <c r="M1693" s="389"/>
      <c r="N1693" s="468" t="s">
        <v>385</v>
      </c>
      <c r="O1693" s="396"/>
      <c r="P1693" s="815"/>
      <c r="Q1693" s="815"/>
      <c r="R1693" s="815"/>
      <c r="S1693" s="819"/>
      <c r="T1693" s="785"/>
      <c r="U1693" s="786"/>
      <c r="V1693" s="787"/>
      <c r="W1693" s="283"/>
      <c r="X1693" s="542" t="str">
        <f>IF($F1690=1,"NO APLICA",$D1693)</f>
        <v>TRANVIAS S.A.S</v>
      </c>
      <c r="Y1693" s="543">
        <f ca="1">IF(OR($F1693="",$F1693="NO APORTA",$R1697=0,$X1693="NO APLICA"),"",ROUND($F1693/$Q1697,2))</f>
        <v>1.62</v>
      </c>
      <c r="Z1693" s="544" t="str">
        <f ca="1">IF(Y1698=1,"SI APLICA",IF(OR($X1693="",$X1693="NO APLICA",$F1693="",$F1693="NO APORTA"),"",IF(ROUND($F1693/Q1697,7)&gt;=0.4,"SI APLICA","NO APLICA")))</f>
        <v>SI APLICA</v>
      </c>
      <c r="AA1693" s="543" t="s">
        <v>516</v>
      </c>
      <c r="AB1693" s="540" t="str">
        <f t="shared" ref="AB1693" ca="1" si="339">IF(COUNTIF(Z1693:AA1693,"SI APLICA")=2,"SI APLICA","")</f>
        <v/>
      </c>
      <c r="AC1693" s="28"/>
    </row>
    <row r="1694" spans="1:29" s="30" customFormat="1" ht="15.75" customHeight="1">
      <c r="A1694" s="112" t="str">
        <f>"P"&amp;E1671</f>
        <v>P56</v>
      </c>
      <c r="B1694" s="791"/>
      <c r="C1694" s="54">
        <v>3</v>
      </c>
      <c r="D1694" s="100" t="str">
        <f>IF(AND(C1694&lt;=F1690,F1690&lt;&gt;""),VLOOKUP(VALUE(E1671&amp;","&amp;C1694),INTEGRANTES!$D$19:$F$192,2,0),"")</f>
        <v/>
      </c>
      <c r="E1694" s="107" t="str">
        <f>IF(D1694&lt;&gt;"",VLOOKUP(VALUE(E1671&amp;","&amp;C1694),INTEGRANTES!$D$19:$F$192,3,0),"")</f>
        <v/>
      </c>
      <c r="F1694" s="380" t="str">
        <f>IF(D1694="","",IF(OR(SUMIF($J1678:$J1684,D1694,$O1678:$O1684)=0,N1694="NO"),"NO APORTA",SUMIF($J1678:$J1684,D1694,$O1678:$O1684)))</f>
        <v/>
      </c>
      <c r="G1694" s="380" t="str">
        <f>IF($D1694="","",IF($F1690&lt;=1,"",ROUND(POSMMLV*PORPO,2)))</f>
        <v/>
      </c>
      <c r="H1694" s="765" t="str">
        <f t="shared" si="338"/>
        <v/>
      </c>
      <c r="I1694" s="766"/>
      <c r="J1694" s="108" t="str">
        <f>IF(D1694="","",IF(OR(AND(SUMIF($J1675:$J1684,D1694,$O1675:$O1684)&gt;=5%*POSMMLV,N1694="SI"),AND(SUMIF($J1675:$J1684,D1694,$O1675:$O1684)=0,E1694&lt;=5%,N1694="SI")),"CUMPLE","NO CUMPLE"))</f>
        <v/>
      </c>
      <c r="K1694" s="105" t="str">
        <f>IF(OR(D1694="",J1694=""),"",IF(AND(J1694="NO CUMPLE",F1694="NO APORTA",E1694&gt;5%),"EXP = 0 y PART &gt; 5%",IF(F1694&lt;5%*Q1697,"EXP &lt; 5%*PO","")))</f>
        <v/>
      </c>
      <c r="L1694" s="389" t="str">
        <f>IF(OR(D1694="",E1694=""),"",IF(AND(E1694&gt;=0.25,F1694&lt;&gt;"NO APORTA",F1694&gt;=$R1697*0.25),"SI","NO"))</f>
        <v/>
      </c>
      <c r="M1694" s="389"/>
      <c r="N1694" s="468"/>
      <c r="O1694" s="397"/>
      <c r="P1694" s="816"/>
      <c r="Q1694" s="816"/>
      <c r="R1694" s="816"/>
      <c r="S1694" s="820"/>
      <c r="T1694" s="308"/>
      <c r="U1694" s="308"/>
      <c r="V1694" s="309"/>
      <c r="W1694" s="284"/>
      <c r="X1694" s="542" t="str">
        <f>IF($F1690=1,"NO APLICA",$D1694)</f>
        <v/>
      </c>
      <c r="Y1694" s="543" t="str">
        <f>IF(OR($F1694="",$F1694="NO APORTA",$R1697=0,$X1694="NO APLICA"),"",ROUND($F1694/$Q1697,2))</f>
        <v/>
      </c>
      <c r="Z1694" s="544" t="str">
        <f>IF(Y1698=1,"SI APLICA",IF(OR($X1694="",$X1694="NO APLICA",$F1694="",$F1694="NO APORTA"),"",IF(ROUND($F1694/Q1697,7)&gt;=0.4,"SI APLICA","NO APLICA")))</f>
        <v/>
      </c>
      <c r="AA1694" s="543"/>
      <c r="AB1694" s="540" t="str">
        <f>IF(COUNTIF(Z1694:AA1694,"SI APLICA")=2,"SI APLICA","")</f>
        <v/>
      </c>
      <c r="AC1694" s="28"/>
    </row>
    <row r="1695" spans="1:29" s="30" customFormat="1" ht="15.75" customHeight="1">
      <c r="A1695" s="112" t="str">
        <f>"Q"&amp;E1671</f>
        <v>Q56</v>
      </c>
      <c r="B1695" s="791"/>
      <c r="C1695" s="54">
        <v>4</v>
      </c>
      <c r="D1695" s="100" t="str">
        <f>IF(AND(C1695&lt;=F1690,F1690&lt;&gt;""),VLOOKUP(VALUE(E1671&amp;","&amp;C1695),INTEGRANTES!$D$19:$F$192,2,0),"")</f>
        <v/>
      </c>
      <c r="E1695" s="107" t="str">
        <f>IF(D1695&lt;&gt;"",VLOOKUP(VALUE(E1671&amp;","&amp;C1695),INTEGRANTES!$D$19:$F$192,3,0),"")</f>
        <v/>
      </c>
      <c r="F1695" s="380" t="str">
        <f>IF(D1695="","",IF(OR(SUMIF($J1678:$J1684,D1695,$O1678:$O1684)=0,N1695="NO"),"NO APORTA",SUMIF($J1678:$J1684,D1695,$O1678:$O1684)))</f>
        <v/>
      </c>
      <c r="G1695" s="380" t="str">
        <f>IF($D1695="","",IF($F1690&lt;=1,"",ROUND(POSMMLV*PORPO,2)))</f>
        <v/>
      </c>
      <c r="H1695" s="765" t="str">
        <f t="shared" si="338"/>
        <v/>
      </c>
      <c r="I1695" s="766"/>
      <c r="J1695" s="108" t="str">
        <f>IF(D1695="","",IF(OR(AND(SUMIF($J1675:$J1684,D1695,$O1675:$O1684)&gt;=5%*POSMMLV,N1695="SI"),AND(SUMIF($J1675:$J1684,D1695,$O1675:$O1684)=0,E1695&lt;=5%,N1695="SI")),"CUMPLE","NO CUMPLE"))</f>
        <v/>
      </c>
      <c r="K1695" s="105" t="str">
        <f>IF(OR(D1695="",J1695=""),"",IF(AND(J1695="NO CUMPLE",F1695="NO APORTA",E1695&gt;5%),"EXP = 0 y PART &gt; 5%",IF(F1695&lt;5%*Q1697,"EXP &lt; 5%*PO","")))</f>
        <v/>
      </c>
      <c r="L1695" s="389" t="str">
        <f>IF(OR(D1695="",E1695=""),"",IF(AND(E1695&gt;=0.25,F1695&lt;&gt;"NO APORTA",F1695&gt;=$R1697*0.25),"SI","NO"))</f>
        <v/>
      </c>
      <c r="M1695" s="389"/>
      <c r="N1695" s="468"/>
      <c r="O1695" s="788" t="s">
        <v>414</v>
      </c>
      <c r="P1695" s="769" t="s">
        <v>415</v>
      </c>
      <c r="Q1695" s="770"/>
      <c r="R1695" s="770"/>
      <c r="S1695" s="771"/>
      <c r="T1695" s="284"/>
      <c r="U1695" s="284"/>
      <c r="V1695" s="310"/>
      <c r="W1695" s="284"/>
      <c r="X1695" s="542" t="str">
        <f>IF($F1690=1,"NO APLICA",$D1695)</f>
        <v/>
      </c>
      <c r="Y1695" s="543" t="str">
        <f>IF(OR($F1695="",$F1695="NO APORTA",$R1697=0,$X1695="NO APLICA"),"",ROUND($F1695/$Q1697,2))</f>
        <v/>
      </c>
      <c r="Z1695" s="544" t="str">
        <f>IF(Y1698=1,"SI APLICA",IF(OR($X1695="",$X1695="NO APLICA",$F1695="",$F1695="NO APORTA"),"",IF(ROUND($F1695/Q1697,7)&gt;=0.4,"SI APLICA","NO APLICA")))</f>
        <v/>
      </c>
      <c r="AA1695" s="543"/>
      <c r="AB1695" s="540" t="str">
        <f t="shared" ref="AB1695:AB1696" si="340">IF(COUNTIF(Z1695:AA1695,"SI APLICA")=2,"SI APLICA","")</f>
        <v/>
      </c>
      <c r="AC1695" s="28"/>
    </row>
    <row r="1696" spans="1:29" s="30" customFormat="1" ht="27" customHeight="1">
      <c r="A1696" s="112" t="str">
        <f>"R"&amp;E1671</f>
        <v>R56</v>
      </c>
      <c r="B1696" s="791"/>
      <c r="C1696" s="54">
        <v>5</v>
      </c>
      <c r="D1696" s="100" t="str">
        <f>IF(AND(C1696&lt;=F1690,F1690&lt;&gt;""),VLOOKUP(VALUE(E1671&amp;","&amp;C1696),INTEGRANTES!$D$19:$F$192,2,0),"")</f>
        <v/>
      </c>
      <c r="E1696" s="107" t="str">
        <f>IF(D1696&lt;&gt;"",VLOOKUP(VALUE(E1671&amp;","&amp;C1696),INTEGRANTES!$D$19:$F$192,3,0),"")</f>
        <v/>
      </c>
      <c r="F1696" s="380" t="str">
        <f>IF(D1696="","",IF(OR(SUMIF($J1678:$J1684,D1696,$O1678:$O1684)=0,N1696="NO"),"NO APORTA",SUMIF($J1678:$J1684,D1696,$O1678:$O1684)))</f>
        <v/>
      </c>
      <c r="G1696" s="380" t="str">
        <f>IF($D1696="","",IF($F1690&lt;=1,"",ROUND(POSMMLV*PORPO,2)))</f>
        <v/>
      </c>
      <c r="H1696" s="765" t="str">
        <f t="shared" si="338"/>
        <v/>
      </c>
      <c r="I1696" s="766"/>
      <c r="J1696" s="108" t="str">
        <f>IF(D1696="","",IF(OR(AND(SUMIF($J1675:$J1684,D1696,$O1675:$O1684)&gt;=5%*POSMMLV,N1696="SI"),AND(SUMIF($J1675:$J1684,D1696,$O1675:$O1684)=0,E1696&lt;=5%,N1696="SI")),"CUMPLE","NO CUMPLE"))</f>
        <v/>
      </c>
      <c r="K1696" s="105" t="str">
        <f>IF(OR(D1696="",J1696=""),"",IF(AND(J1696="NO CUMPLE",F1696="NO APORTA",E1696&gt;5%),"EXP = 0 y PART &gt; 5%",IF(F1696&lt;5%*Q1697,"EXP &lt; 5%*PO","")))</f>
        <v/>
      </c>
      <c r="L1696" s="389" t="str">
        <f>IF(OR(D1696="",E1696=""),"",IF(AND(E1696&gt;=0.25,F1696&lt;&gt;"NO APORTA",F1696&gt;=$R1697*0.25),"SI","NO"))</f>
        <v/>
      </c>
      <c r="M1696" s="389"/>
      <c r="N1696" s="468"/>
      <c r="O1696" s="789"/>
      <c r="P1696" s="504" t="s">
        <v>416</v>
      </c>
      <c r="Q1696" s="504" t="s">
        <v>417</v>
      </c>
      <c r="R1696" s="793" t="s">
        <v>418</v>
      </c>
      <c r="S1696" s="793"/>
      <c r="T1696" s="284"/>
      <c r="U1696" s="284"/>
      <c r="V1696" s="310"/>
      <c r="W1696" s="284"/>
      <c r="X1696" s="542" t="str">
        <f>IF($F1690=1,"NO APLICA",$D1696)</f>
        <v/>
      </c>
      <c r="Y1696" s="543" t="str">
        <f>IF(OR($F1696="",$F1696="NO APORTA",$R1697=0,$X1696="NO APLICA"),"",ROUND($F1696/$Q1697,2))</f>
        <v/>
      </c>
      <c r="Z1696" s="544" t="str">
        <f>IF(Y1698=1,"SI APLICA",IF(OR($X1696="",$X1696="NO APLICA",$F1696="",$F1696="NO APORTA"),"",IF(ROUND($F1696/Q1697,7)&gt;=0.4,"SI APLICA","NO APLICA")))</f>
        <v/>
      </c>
      <c r="AA1696" s="543"/>
      <c r="AB1696" s="540" t="str">
        <f t="shared" si="340"/>
        <v/>
      </c>
      <c r="AC1696" s="28"/>
    </row>
    <row r="1697" spans="1:29" s="30" customFormat="1" ht="16.5" customHeight="1" thickBot="1">
      <c r="A1697" s="112" t="str">
        <f>"S"&amp;E1671</f>
        <v>S56</v>
      </c>
      <c r="B1697" s="791"/>
      <c r="C1697" s="109">
        <v>6</v>
      </c>
      <c r="D1697" s="110" t="str">
        <f>IF(AND(C1697&lt;=F1690,F1690&lt;&gt;""),VLOOKUP(VALUE(E1671&amp;","&amp;C1697),INTEGRANTES!$D$19:$F$192,2,0),"")</f>
        <v/>
      </c>
      <c r="E1697" s="111" t="str">
        <f>IF(D1697&lt;&gt;"",VLOOKUP(VALUE(E1671&amp;","&amp;C1697),INTEGRANTES!$D$19:$F$192,3,0),"")</f>
        <v/>
      </c>
      <c r="F1697" s="380" t="str">
        <f>IF(D1697="","",IF(OR(SUMIF($J1678:$J1684,D1697,$O1678:$O1684)=0,N1697="NO"),"NO APORTA",SUMIF($J1678:$J1684,D1697,$O1678:$O1684)))</f>
        <v/>
      </c>
      <c r="G1697" s="380" t="str">
        <f>IF($D1697="","",IF($F1690&lt;=1,"",ROUND(POSMMLV*PORPO,2)))</f>
        <v/>
      </c>
      <c r="H1697" s="765" t="str">
        <f>IF($D1697="","",IF(OR(F1697="NO APORTA",G1697&gt;F1697),"NO CUMPLE","CUMPLE"))</f>
        <v/>
      </c>
      <c r="I1697" s="766"/>
      <c r="J1697" s="108" t="str">
        <f>IF(D1697="","",IF(OR(AND(SUMIF($J1675:$J1684,D1697,$O1675:$O1684)&gt;=5%*POSMMLV,N1697="SI"),AND(SUMIF($J1675:$J1684,D1697,$O1675:$O1684)=0,E1697&lt;=5%,N1697="SI")),"CUMPLE","NO CUMPLE"))</f>
        <v/>
      </c>
      <c r="K1697" s="105" t="str">
        <f>IF(OR(D1697="",J1697=""),"",IF(AND(J1697="NO CUMPLE",F1697="NO APORTA",E1697&gt;5%),"EXP = 0 y PART &gt; 5%",IF(F1697&lt;5%*Q1697,"EXP &lt; 5%*PO","")))</f>
        <v/>
      </c>
      <c r="L1697" s="389" t="str">
        <f>IF(OR(D1697="",E1697=""),"",IF(AND(E1697&gt;=0.25,F1697&lt;&gt;"NO APORTA",F1697&gt;=$R1697*0.25),"SI","NO"))</f>
        <v/>
      </c>
      <c r="M1697" s="389"/>
      <c r="N1697" s="468"/>
      <c r="O1697" s="403" t="str">
        <f ca="1">IF(R1697&gt;=Q1697,"CUMPLE","NO CUMPLE")</f>
        <v>CUMPLE</v>
      </c>
      <c r="P1697" s="312">
        <f>NUMMOD</f>
        <v>1</v>
      </c>
      <c r="Q1697" s="313">
        <f ca="1">IF(P1697="","",ROUND(VLOOKUP(P1697,PRESUPUESTOS!$B$16:$L$16,9,FALSE),7))</f>
        <v>300</v>
      </c>
      <c r="R1697" s="834">
        <f>IF(OR(COUNTIF(O1675:O1684,"")&gt;9,S1691&lt;NUMMINCONT),0,SUM(O1675:O1684))</f>
        <v>1600.47</v>
      </c>
      <c r="S1697" s="834"/>
      <c r="T1697" s="284"/>
      <c r="U1697" s="284"/>
      <c r="V1697" s="310"/>
      <c r="W1697" s="284"/>
      <c r="X1697" s="545" t="str">
        <f>IF($F1690=1,"NO APLICA",$D1697)</f>
        <v/>
      </c>
      <c r="Y1697" s="543" t="str">
        <f>IF(OR($F1697="",$F1697="NO APORTA",$R1697=0,$X1697="NO APLICA"),"",ROUND($F1697/$Q1697,2))</f>
        <v/>
      </c>
      <c r="Z1697" s="544" t="str">
        <f>IF(Y1698=1,"SI APLICA",IF(OR($X1697="",$X1697="NO APLICA",$F1697="",$F1697="NO APORTA"),"",IF(ROUND($F1697/Q1697,7)&gt;=0.4,"SI APLICA","NO APLICA")))</f>
        <v/>
      </c>
      <c r="AA1697" s="546"/>
      <c r="AB1697" s="540" t="str">
        <f>IF(COUNTIF(Z1697:AA1697,"SI APLICA")=2,"SI APLICA","")</f>
        <v/>
      </c>
      <c r="AC1697" s="28"/>
    </row>
    <row r="1698" spans="1:29" s="30" customFormat="1" ht="16.5" customHeight="1" thickBot="1">
      <c r="A1698" s="112" t="str">
        <f>"T"&amp;E1671</f>
        <v>T56</v>
      </c>
      <c r="B1698" s="792"/>
      <c r="C1698" s="821" t="s">
        <v>419</v>
      </c>
      <c r="D1698" s="822"/>
      <c r="E1698" s="822"/>
      <c r="F1698" s="518"/>
      <c r="G1698" s="519"/>
      <c r="H1698" s="794" t="str">
        <f ca="1">IF(OR($F1690="",SUM(E1692:E1697)=0),"",IF(COUNTIF(H1692:H1697,"CUMPLE")&gt;=1,"CUMPLE","NO CUMPLE"))</f>
        <v>CUMPLE</v>
      </c>
      <c r="I1698" s="795"/>
      <c r="J1698" s="314" t="str">
        <f ca="1">IF(COUNTIF(J1692:J1697,"")&gt;5,"",IF(COUNTIF(J1692:J1697,"NO CUMPLE")&gt;0,"NO CUMPLE","CUMPLE"))</f>
        <v>CUMPLE</v>
      </c>
      <c r="K1698" s="314" t="str">
        <f ca="1">IF(OR(AND(F1690=1,N1692="SI"),AND(COUNTIF(H1698:J1698,"CUMPLE")=2)),"CUMPLE","NO CUMPLE")</f>
        <v>CUMPLE</v>
      </c>
      <c r="L1698" s="519"/>
      <c r="M1698" s="519"/>
      <c r="N1698" s="519"/>
      <c r="O1698" s="833" t="str">
        <f ca="1">IF(ISNUMBER(F1671),"",IF(AND(O1697="NO CUMPLE",SUM(N1678:N1684)&lt;Q1697),"EL PROPONENTE SE DEBE REQUERIR POR EXPERIENCIA MINIMA EXIGIDA",""))</f>
        <v/>
      </c>
      <c r="P1698" s="833"/>
      <c r="Q1698" s="833"/>
      <c r="R1698" s="833"/>
      <c r="S1698" s="833"/>
      <c r="T1698" s="522"/>
      <c r="U1698" s="523"/>
      <c r="V1698" s="524"/>
      <c r="W1698" s="284"/>
      <c r="X1698" s="364" t="str">
        <f>IF(Y1698=1,"PROPONENTE INDIVIDUAL","PROPONENTE PLURAL")</f>
        <v>PROPONENTE PLURAL</v>
      </c>
      <c r="Y1698" s="276">
        <f>F1690</f>
        <v>2</v>
      </c>
      <c r="Z1698" s="277" t="str">
        <f ca="1">IF(OR(AND(Z1692="SI APLICA",AA1692="SI APLICA"),AND(Z1693="SI APLICA",AA1693="SI APLICA"),AND(Z1694="SI APLICA",AA1694="SI APLICA"),AND(Z1695="SI APLICA",AA1695="SI APLICA"),AND(Z1696="SI APLICA",AA1696="SI APLICA"),AND(Z1697="SI APLICA",AA1697="SI APLICA")),"SI APLICA","NO APLICA")</f>
        <v>SI APLICA</v>
      </c>
      <c r="AA1698" s="278" t="str">
        <f ca="1">IF(OR(AND(AA1692="SI APLICA",AB1692="SI APLICA"),AND(AA1693="SI APLICA",AB1693="SI APLICA"),AND(AA1694="SI APLICA",AB1694="SI APLICA"),AND(AA1695="SI APLICA",AB1695="SI APLICA"),AND(AA1696="SI APLICA",AB1696="SI APLICA"),AND(AA1697="SI APLICA",AB1697="SI APLICA")),"SI APLICA","NO APLICA")</f>
        <v>SI APLICA</v>
      </c>
      <c r="AB1698" s="278" t="str">
        <f ca="1">IF(COUNTIF(AB1692:AB1697,"SI APLICA")&gt;0,"SI APLICA","NO APLICA")</f>
        <v>SI APLICA</v>
      </c>
      <c r="AC1698" s="28"/>
    </row>
    <row r="1699" spans="1:29" ht="24.95" customHeight="1"/>
    <row r="1700" spans="1:29" ht="24.95" customHeight="1"/>
    <row r="1701" spans="1:29" s="41" customFormat="1" ht="24" thickBot="1">
      <c r="A1701" s="34">
        <v>57</v>
      </c>
      <c r="B1701" s="828" t="s">
        <v>355</v>
      </c>
      <c r="C1701" s="828"/>
      <c r="D1701" s="828"/>
      <c r="E1701" s="35">
        <f>VLOOKUP(A1701,PROPONENTES!$B$19:$E$108,2,FALSE)</f>
        <v>57</v>
      </c>
      <c r="F1701" s="36" t="str">
        <f>VLOOKUP(A1701,PROPONENTES!$B$19:$E$108,3,FALSE)</f>
        <v>CONSORCIO ROGER 20</v>
      </c>
      <c r="G1701" s="37"/>
      <c r="H1701" s="37"/>
      <c r="I1701" s="36"/>
      <c r="J1701" s="36"/>
      <c r="K1701" s="36"/>
      <c r="L1701" s="36"/>
      <c r="M1701" s="38"/>
      <c r="N1701" s="38"/>
      <c r="O1701" s="37"/>
      <c r="P1701" s="37"/>
      <c r="Q1701" s="39"/>
      <c r="R1701" s="39"/>
      <c r="S1701" s="39"/>
      <c r="T1701" s="39"/>
      <c r="U1701" s="40"/>
      <c r="Y1701" s="52"/>
      <c r="Z1701" s="52"/>
      <c r="AA1701" s="52"/>
      <c r="AB1701" s="28"/>
      <c r="AC1701" s="28"/>
    </row>
    <row r="1702" spans="1:29" s="27" customFormat="1" ht="24.75" customHeight="1">
      <c r="A1702" s="22"/>
      <c r="B1702" s="829" t="s">
        <v>356</v>
      </c>
      <c r="C1702" s="501" t="s">
        <v>357</v>
      </c>
      <c r="D1702" s="502" t="s">
        <v>358</v>
      </c>
      <c r="E1702" s="502"/>
      <c r="F1702" s="502" t="s">
        <v>359</v>
      </c>
      <c r="G1702" s="503"/>
      <c r="H1702" s="803" t="s">
        <v>360</v>
      </c>
      <c r="I1702" s="831" t="s">
        <v>361</v>
      </c>
      <c r="J1702" s="803" t="s">
        <v>362</v>
      </c>
      <c r="K1702" s="803" t="s">
        <v>363</v>
      </c>
      <c r="L1702" s="803" t="s">
        <v>364</v>
      </c>
      <c r="M1702" s="803" t="s">
        <v>365</v>
      </c>
      <c r="N1702" s="804" t="s">
        <v>366</v>
      </c>
      <c r="O1702" s="805"/>
      <c r="P1702" s="806" t="s">
        <v>367</v>
      </c>
      <c r="Q1702" s="807"/>
      <c r="R1702" s="784" t="s">
        <v>368</v>
      </c>
      <c r="S1702" s="774"/>
      <c r="T1702" s="798" t="s">
        <v>369</v>
      </c>
      <c r="U1702" s="799"/>
      <c r="V1702" s="800"/>
      <c r="X1702" s="520"/>
      <c r="Y1702" s="520"/>
    </row>
    <row r="1703" spans="1:29" s="27" customFormat="1" ht="94.5" customHeight="1">
      <c r="A1703" s="22"/>
      <c r="B1703" s="830"/>
      <c r="C1703" s="504" t="s">
        <v>370</v>
      </c>
      <c r="D1703" s="505" t="s">
        <v>41</v>
      </c>
      <c r="E1703" s="505" t="s">
        <v>371</v>
      </c>
      <c r="F1703" s="505" t="s">
        <v>372</v>
      </c>
      <c r="G1703" s="506" t="s">
        <v>373</v>
      </c>
      <c r="H1703" s="793"/>
      <c r="I1703" s="832"/>
      <c r="J1703" s="793"/>
      <c r="K1703" s="793"/>
      <c r="L1703" s="793"/>
      <c r="M1703" s="793"/>
      <c r="N1703" s="504" t="s">
        <v>374</v>
      </c>
      <c r="O1703" s="505" t="s">
        <v>375</v>
      </c>
      <c r="P1703" s="801"/>
      <c r="Q1703" s="802"/>
      <c r="R1703" s="796"/>
      <c r="S1703" s="797"/>
      <c r="T1703" s="507" t="s">
        <v>376</v>
      </c>
      <c r="U1703" s="508" t="s">
        <v>377</v>
      </c>
      <c r="V1703" s="509" t="s">
        <v>378</v>
      </c>
      <c r="X1703" s="521" t="s">
        <v>379</v>
      </c>
      <c r="Y1703" s="521" t="s">
        <v>380</v>
      </c>
    </row>
    <row r="1704" spans="1:29" s="27" customFormat="1" ht="15" customHeight="1">
      <c r="A1704" s="22"/>
      <c r="B1704" s="594"/>
      <c r="C1704" s="595">
        <v>3</v>
      </c>
      <c r="D1704" s="595">
        <v>4</v>
      </c>
      <c r="E1704" s="595">
        <v>5</v>
      </c>
      <c r="F1704" s="595">
        <v>6</v>
      </c>
      <c r="G1704" s="595">
        <v>7</v>
      </c>
      <c r="H1704" s="595">
        <v>8</v>
      </c>
      <c r="I1704" s="595">
        <v>9</v>
      </c>
      <c r="J1704" s="595">
        <v>10</v>
      </c>
      <c r="K1704" s="595">
        <v>11</v>
      </c>
      <c r="L1704" s="595">
        <v>12</v>
      </c>
      <c r="M1704" s="595">
        <v>13</v>
      </c>
      <c r="N1704" s="595">
        <v>14</v>
      </c>
      <c r="O1704" s="595">
        <v>15</v>
      </c>
      <c r="P1704" s="596">
        <v>16</v>
      </c>
      <c r="Q1704" s="597">
        <v>17</v>
      </c>
      <c r="R1704" s="596">
        <v>18</v>
      </c>
      <c r="S1704" s="597">
        <v>19</v>
      </c>
      <c r="T1704" s="598">
        <v>20</v>
      </c>
      <c r="U1704" s="255">
        <v>21</v>
      </c>
      <c r="V1704" s="599">
        <v>22</v>
      </c>
      <c r="X1704" s="589"/>
      <c r="Y1704" s="590"/>
    </row>
    <row r="1705" spans="1:29" s="44" customFormat="1" ht="35.25" customHeight="1">
      <c r="A1705" s="42" t="str">
        <f>"A"&amp;E1701</f>
        <v>A57</v>
      </c>
      <c r="B1705" s="605">
        <f>IF(C1705&lt;&gt;"",B1704+1,"")</f>
        <v>1</v>
      </c>
      <c r="C1705" s="581" t="s">
        <v>840</v>
      </c>
      <c r="D1705" s="581" t="s">
        <v>841</v>
      </c>
      <c r="E1705" s="581" t="s">
        <v>842</v>
      </c>
      <c r="F1705" s="581" t="s">
        <v>431</v>
      </c>
      <c r="G1705" s="534">
        <v>0.75</v>
      </c>
      <c r="H1705" s="534" t="s">
        <v>385</v>
      </c>
      <c r="I1705" s="579">
        <v>2</v>
      </c>
      <c r="J1705" s="580" t="str">
        <f>IF(I1705="","",IF(I1705="I",$F1701,VLOOKUP(I1705,$C1722:$D1727,2,0)))</f>
        <v>MS INGENIERIA SAS</v>
      </c>
      <c r="K1705" s="535">
        <v>38359</v>
      </c>
      <c r="L1705" s="535">
        <v>39020</v>
      </c>
      <c r="M1705" s="536">
        <v>490.19</v>
      </c>
      <c r="N1705" s="232">
        <f t="shared" ref="N1705:N1714" si="341">IF(OR(G1705="",M1705=""),"",M1705*G1705)</f>
        <v>367.64249999999998</v>
      </c>
      <c r="O1705" s="260">
        <f t="shared" ref="O1705:O1714" si="342">IF(OR(H1705="",H1705="NO",K1705&lt;$Q$17,K1705&gt;$R$17,K1705="",M1705="",N1705=""),"",ROUND(N1705,7))</f>
        <v>367.64249999999998</v>
      </c>
      <c r="P1705" s="781"/>
      <c r="Q1705" s="782"/>
      <c r="R1705" s="767"/>
      <c r="S1705" s="768"/>
      <c r="T1705" s="538" t="s">
        <v>385</v>
      </c>
      <c r="U1705" s="539">
        <v>4</v>
      </c>
      <c r="V1705" s="540" t="s">
        <v>385</v>
      </c>
      <c r="X1705" s="541" t="s">
        <v>386</v>
      </c>
      <c r="Y1705" s="541" t="s">
        <v>387</v>
      </c>
    </row>
    <row r="1706" spans="1:29" s="44" customFormat="1" ht="24.95" customHeight="1">
      <c r="A1706" s="42" t="str">
        <f>"B"&amp;E1701</f>
        <v>B57</v>
      </c>
      <c r="B1706" s="605" t="str">
        <f t="shared" ref="B1706:B1714" si="343">IF(C1706&lt;&gt;"",B1705+1,"")</f>
        <v/>
      </c>
      <c r="C1706" s="581"/>
      <c r="D1706" s="581"/>
      <c r="E1706" s="581"/>
      <c r="F1706" s="581"/>
      <c r="G1706" s="534"/>
      <c r="H1706" s="534"/>
      <c r="I1706" s="579"/>
      <c r="J1706" s="580" t="str">
        <f>IF(I1706="","",IF(I1706="I",$F1701,VLOOKUP(I1706,$C1722:$D1727,2,0)))</f>
        <v/>
      </c>
      <c r="K1706" s="535"/>
      <c r="L1706" s="535"/>
      <c r="M1706" s="536"/>
      <c r="N1706" s="232" t="str">
        <f t="shared" si="341"/>
        <v/>
      </c>
      <c r="O1706" s="260" t="str">
        <f t="shared" si="342"/>
        <v/>
      </c>
      <c r="P1706" s="781"/>
      <c r="Q1706" s="782"/>
      <c r="R1706" s="767"/>
      <c r="S1706" s="768"/>
      <c r="T1706" s="538"/>
      <c r="U1706" s="539"/>
      <c r="V1706" s="540"/>
      <c r="X1706" s="541"/>
      <c r="Y1706" s="541"/>
    </row>
    <row r="1707" spans="1:29" s="44" customFormat="1" ht="24.95" customHeight="1">
      <c r="A1707" s="42" t="str">
        <f>"C"&amp;E1701</f>
        <v>C57</v>
      </c>
      <c r="B1707" s="605" t="str">
        <f t="shared" si="343"/>
        <v/>
      </c>
      <c r="C1707" s="581"/>
      <c r="D1707" s="581"/>
      <c r="E1707" s="581"/>
      <c r="F1707" s="581"/>
      <c r="G1707" s="534"/>
      <c r="H1707" s="534"/>
      <c r="I1707" s="579"/>
      <c r="J1707" s="580" t="str">
        <f>IF(I1707="","",IF(I1707="I",$F1701,VLOOKUP(I1707,$C1722:$D1727,2,0)))</f>
        <v/>
      </c>
      <c r="K1707" s="535"/>
      <c r="L1707" s="535"/>
      <c r="M1707" s="536"/>
      <c r="N1707" s="232" t="str">
        <f t="shared" si="341"/>
        <v/>
      </c>
      <c r="O1707" s="260" t="str">
        <f t="shared" si="342"/>
        <v/>
      </c>
      <c r="P1707" s="781"/>
      <c r="Q1707" s="782"/>
      <c r="R1707" s="767"/>
      <c r="S1707" s="768"/>
      <c r="T1707" s="538"/>
      <c r="U1707" s="539"/>
      <c r="V1707" s="540"/>
      <c r="X1707" s="541"/>
      <c r="Y1707" s="541"/>
    </row>
    <row r="1708" spans="1:29" s="44" customFormat="1" ht="24.95" customHeight="1">
      <c r="A1708" s="42" t="str">
        <f>"D"&amp;E1701</f>
        <v>D57</v>
      </c>
      <c r="B1708" s="605" t="str">
        <f t="shared" si="343"/>
        <v/>
      </c>
      <c r="C1708" s="581"/>
      <c r="D1708" s="581"/>
      <c r="E1708" s="581"/>
      <c r="F1708" s="581"/>
      <c r="G1708" s="534"/>
      <c r="H1708" s="534"/>
      <c r="I1708" s="579"/>
      <c r="J1708" s="580" t="str">
        <f>IF(I1708="","",IF(I1708="I",$F1701,VLOOKUP(I1708,$C1722:$D1727,2,0)))</f>
        <v/>
      </c>
      <c r="K1708" s="535"/>
      <c r="L1708" s="535"/>
      <c r="M1708" s="536"/>
      <c r="N1708" s="232" t="str">
        <f t="shared" si="341"/>
        <v/>
      </c>
      <c r="O1708" s="260" t="str">
        <f t="shared" si="342"/>
        <v/>
      </c>
      <c r="P1708" s="781"/>
      <c r="Q1708" s="782"/>
      <c r="R1708" s="767"/>
      <c r="S1708" s="768"/>
      <c r="T1708" s="538"/>
      <c r="U1708" s="539"/>
      <c r="V1708" s="540"/>
      <c r="X1708" s="541"/>
      <c r="Y1708" s="541"/>
    </row>
    <row r="1709" spans="1:29" s="44" customFormat="1" ht="24.95" customHeight="1">
      <c r="A1709" s="42" t="str">
        <f>"E"&amp;E1701</f>
        <v>E57</v>
      </c>
      <c r="B1709" s="605" t="str">
        <f t="shared" si="343"/>
        <v/>
      </c>
      <c r="C1709" s="581"/>
      <c r="D1709" s="581"/>
      <c r="E1709" s="581"/>
      <c r="F1709" s="581"/>
      <c r="G1709" s="534"/>
      <c r="H1709" s="534"/>
      <c r="I1709" s="579"/>
      <c r="J1709" s="580" t="str">
        <f>IF(I1709="","",IF(I1709="I",$F1701,VLOOKUP(I1709,$C1722:$D1727,2,0)))</f>
        <v/>
      </c>
      <c r="K1709" s="535"/>
      <c r="L1709" s="535"/>
      <c r="M1709" s="536"/>
      <c r="N1709" s="232" t="str">
        <f t="shared" si="341"/>
        <v/>
      </c>
      <c r="O1709" s="260" t="str">
        <f t="shared" si="342"/>
        <v/>
      </c>
      <c r="P1709" s="781"/>
      <c r="Q1709" s="782"/>
      <c r="R1709" s="767"/>
      <c r="S1709" s="768"/>
      <c r="T1709" s="538"/>
      <c r="U1709" s="539"/>
      <c r="V1709" s="540"/>
      <c r="X1709" s="541"/>
      <c r="Y1709" s="541"/>
    </row>
    <row r="1710" spans="1:29" s="44" customFormat="1" ht="24.95" customHeight="1">
      <c r="A1710" s="42" t="str">
        <f>"F"&amp;E1701</f>
        <v>F57</v>
      </c>
      <c r="B1710" s="605" t="str">
        <f t="shared" si="343"/>
        <v/>
      </c>
      <c r="C1710" s="581"/>
      <c r="D1710" s="581"/>
      <c r="E1710" s="581"/>
      <c r="F1710" s="581"/>
      <c r="G1710" s="534"/>
      <c r="H1710" s="534"/>
      <c r="I1710" s="579"/>
      <c r="J1710" s="580" t="str">
        <f>IF(I1710="","",IF(I1710="I",$F1701,VLOOKUP(I1710,$C1722:$D1727,2,0)))</f>
        <v/>
      </c>
      <c r="K1710" s="535"/>
      <c r="L1710" s="535"/>
      <c r="M1710" s="536"/>
      <c r="N1710" s="232" t="str">
        <f t="shared" si="341"/>
        <v/>
      </c>
      <c r="O1710" s="260" t="str">
        <f t="shared" si="342"/>
        <v/>
      </c>
      <c r="P1710" s="781"/>
      <c r="Q1710" s="782"/>
      <c r="R1710" s="767"/>
      <c r="S1710" s="768"/>
      <c r="T1710" s="538"/>
      <c r="U1710" s="539"/>
      <c r="V1710" s="540"/>
      <c r="X1710" s="541"/>
      <c r="Y1710" s="541"/>
    </row>
    <row r="1711" spans="1:29" s="44" customFormat="1" ht="24.95" customHeight="1">
      <c r="A1711" s="42" t="str">
        <f>"G"&amp;E1701</f>
        <v>G57</v>
      </c>
      <c r="B1711" s="605" t="str">
        <f t="shared" si="343"/>
        <v/>
      </c>
      <c r="C1711" s="581"/>
      <c r="D1711" s="581"/>
      <c r="E1711" s="581"/>
      <c r="F1711" s="581"/>
      <c r="G1711" s="534"/>
      <c r="H1711" s="534"/>
      <c r="I1711" s="579"/>
      <c r="J1711" s="580" t="str">
        <f>IF(I1711="","",IF(I1711="I",$F1701,VLOOKUP(I1711,$C1722:$D1727,2,0)))</f>
        <v/>
      </c>
      <c r="K1711" s="535"/>
      <c r="L1711" s="535"/>
      <c r="M1711" s="536"/>
      <c r="N1711" s="43" t="str">
        <f t="shared" si="341"/>
        <v/>
      </c>
      <c r="O1711" s="260" t="str">
        <f t="shared" si="342"/>
        <v/>
      </c>
      <c r="P1711" s="781"/>
      <c r="Q1711" s="782"/>
      <c r="R1711" s="767"/>
      <c r="S1711" s="768"/>
      <c r="T1711" s="538"/>
      <c r="U1711" s="539"/>
      <c r="V1711" s="540"/>
      <c r="X1711" s="541"/>
      <c r="Y1711" s="541"/>
    </row>
    <row r="1712" spans="1:29" s="44" customFormat="1" ht="24.95" customHeight="1">
      <c r="A1712" s="42" t="str">
        <f>"H"&amp;E1701</f>
        <v>H57</v>
      </c>
      <c r="B1712" s="605" t="str">
        <f t="shared" si="343"/>
        <v/>
      </c>
      <c r="C1712" s="581"/>
      <c r="D1712" s="581"/>
      <c r="E1712" s="581"/>
      <c r="F1712" s="581"/>
      <c r="G1712" s="534"/>
      <c r="H1712" s="534"/>
      <c r="I1712" s="579"/>
      <c r="J1712" s="580" t="str">
        <f>IF(I1712="","",IF(I1712="I",$F1701,VLOOKUP(I1712,$C1722:$D1727,2,0)))</f>
        <v/>
      </c>
      <c r="K1712" s="535"/>
      <c r="L1712" s="535"/>
      <c r="M1712" s="537"/>
      <c r="N1712" s="43" t="str">
        <f t="shared" si="341"/>
        <v/>
      </c>
      <c r="O1712" s="260" t="str">
        <f t="shared" si="342"/>
        <v/>
      </c>
      <c r="P1712" s="781"/>
      <c r="Q1712" s="782"/>
      <c r="R1712" s="767"/>
      <c r="S1712" s="768"/>
      <c r="T1712" s="538"/>
      <c r="U1712" s="539"/>
      <c r="V1712" s="540"/>
      <c r="X1712" s="541"/>
      <c r="Y1712" s="541"/>
    </row>
    <row r="1713" spans="1:29" s="44" customFormat="1" ht="24.95" customHeight="1">
      <c r="A1713" s="42" t="str">
        <f>"I"&amp;E1701</f>
        <v>I57</v>
      </c>
      <c r="B1713" s="605" t="str">
        <f t="shared" si="343"/>
        <v/>
      </c>
      <c r="C1713" s="581"/>
      <c r="D1713" s="581"/>
      <c r="E1713" s="581"/>
      <c r="F1713" s="581"/>
      <c r="G1713" s="534"/>
      <c r="H1713" s="534"/>
      <c r="I1713" s="579"/>
      <c r="J1713" s="580" t="str">
        <f>IF(I1713="","",IF(I1713="I",$F1701,VLOOKUP(I1713,$C1722:$D1727,2,0)))</f>
        <v/>
      </c>
      <c r="K1713" s="535"/>
      <c r="L1713" s="535"/>
      <c r="M1713" s="537"/>
      <c r="N1713" s="43" t="str">
        <f t="shared" si="341"/>
        <v/>
      </c>
      <c r="O1713" s="260" t="str">
        <f t="shared" si="342"/>
        <v/>
      </c>
      <c r="P1713" s="781"/>
      <c r="Q1713" s="782"/>
      <c r="R1713" s="767"/>
      <c r="S1713" s="768"/>
      <c r="T1713" s="538"/>
      <c r="U1713" s="539"/>
      <c r="V1713" s="540"/>
      <c r="X1713" s="541"/>
      <c r="Y1713" s="541"/>
    </row>
    <row r="1714" spans="1:29" s="44" customFormat="1" ht="24.95" customHeight="1" thickBot="1">
      <c r="A1714" s="42" t="str">
        <f>"J"&amp;E1701</f>
        <v>J57</v>
      </c>
      <c r="B1714" s="612" t="str">
        <f t="shared" si="343"/>
        <v/>
      </c>
      <c r="C1714" s="582"/>
      <c r="D1714" s="582"/>
      <c r="E1714" s="582"/>
      <c r="F1714" s="582"/>
      <c r="G1714" s="583"/>
      <c r="H1714" s="583"/>
      <c r="I1714" s="584"/>
      <c r="J1714" s="585" t="str">
        <f>IF(I1714="","",IF(I1714="I",$F1701,VLOOKUP(I1714,$C1722:$D1727,2,0)))</f>
        <v/>
      </c>
      <c r="K1714" s="586"/>
      <c r="L1714" s="586"/>
      <c r="M1714" s="587"/>
      <c r="N1714" s="43" t="str">
        <f t="shared" si="341"/>
        <v/>
      </c>
      <c r="O1714" s="260" t="str">
        <f t="shared" si="342"/>
        <v/>
      </c>
      <c r="P1714" s="781"/>
      <c r="Q1714" s="782"/>
      <c r="R1714" s="767"/>
      <c r="S1714" s="768"/>
      <c r="T1714" s="538"/>
      <c r="U1714" s="539"/>
      <c r="V1714" s="540"/>
      <c r="X1714" s="541"/>
      <c r="Y1714" s="541"/>
    </row>
    <row r="1715" spans="1:29" s="27" customFormat="1" ht="12" customHeight="1" thickBot="1">
      <c r="A1715" s="42"/>
      <c r="B1715" s="45"/>
      <c r="C1715" s="46"/>
      <c r="D1715" s="46"/>
      <c r="E1715" s="46"/>
      <c r="F1715" s="46"/>
      <c r="G1715" s="46"/>
      <c r="H1715" s="606"/>
      <c r="I1715" s="46"/>
      <c r="J1715" s="46"/>
      <c r="K1715" s="46"/>
      <c r="L1715" s="46"/>
      <c r="M1715" s="46"/>
      <c r="N1715" s="46"/>
      <c r="O1715" s="259"/>
      <c r="P1715" s="46"/>
      <c r="Q1715" s="46"/>
      <c r="R1715" s="259"/>
      <c r="S1715" s="46"/>
      <c r="T1715" s="46"/>
      <c r="U1715" s="47"/>
      <c r="V1715" s="48"/>
      <c r="X1715" s="592"/>
      <c r="Y1715" s="593"/>
      <c r="AB1715" s="378"/>
    </row>
    <row r="1716" spans="1:29" s="27" customFormat="1" ht="17.25" customHeight="1" thickBot="1">
      <c r="A1716" s="42" t="str">
        <f>"Z"&amp;E1701</f>
        <v>Z57</v>
      </c>
      <c r="B1716" s="510"/>
      <c r="C1716" s="511"/>
      <c r="D1716" s="511"/>
      <c r="E1716" s="511"/>
      <c r="F1716" s="511"/>
      <c r="G1716" s="511"/>
      <c r="H1716" s="511"/>
      <c r="I1716" s="511"/>
      <c r="J1716" s="511"/>
      <c r="K1716" s="511"/>
      <c r="L1716" s="511"/>
      <c r="M1716" s="511"/>
      <c r="N1716" s="437" t="s">
        <v>388</v>
      </c>
      <c r="O1716" s="438">
        <f>IF(COUNTIF(O1705:O1714,"")&gt;9,0,SUM(O1705:O1714)/(COUNTIF(H1705:H1714,"SI")))</f>
        <v>367.64249999999998</v>
      </c>
      <c r="P1716" s="511"/>
      <c r="Q1716" s="511"/>
      <c r="R1716" s="530"/>
      <c r="S1716" s="530"/>
      <c r="T1716" s="531"/>
      <c r="U1716" s="532"/>
      <c r="V1716" s="533"/>
      <c r="W1716" s="285"/>
      <c r="X1716" s="613" t="e">
        <f>COUNTIF(#REF!,"")-COUNTIF(#REF!,"CUMPLE")-1</f>
        <v>#REF!</v>
      </c>
      <c r="Y1716" s="591"/>
      <c r="AB1716" s="28"/>
    </row>
    <row r="1717" spans="1:29" ht="17.25" customHeight="1">
      <c r="B1717" s="50"/>
      <c r="C1717" s="50"/>
      <c r="D1717" s="50"/>
      <c r="E1717" s="50"/>
      <c r="F1717" s="50"/>
      <c r="G1717" s="51"/>
      <c r="H1717" s="51"/>
      <c r="I1717" s="51"/>
      <c r="J1717" s="51"/>
      <c r="K1717" s="51"/>
      <c r="L1717" s="51"/>
      <c r="M1717" s="51"/>
      <c r="N1717" s="51"/>
      <c r="O1717" s="51"/>
      <c r="P1717" s="51"/>
      <c r="Q1717" s="51"/>
      <c r="R1717" s="51"/>
      <c r="S1717" s="51"/>
      <c r="T1717" s="51"/>
      <c r="U1717" s="51"/>
      <c r="V1717" s="51"/>
      <c r="W1717" s="51"/>
      <c r="X1717" s="608"/>
      <c r="Y1717" s="51"/>
      <c r="Z1717" s="51"/>
      <c r="AA1717" s="51"/>
      <c r="AB1717" s="51"/>
      <c r="AC1717" s="50"/>
    </row>
    <row r="1718" spans="1:29" s="27" customFormat="1" ht="16.5" customHeight="1" thickBot="1">
      <c r="A1718" s="22"/>
      <c r="B1718" s="783" t="s">
        <v>389</v>
      </c>
      <c r="C1718" s="783"/>
      <c r="D1718" s="783"/>
      <c r="E1718" s="783"/>
      <c r="F1718" s="783"/>
      <c r="G1718" s="783"/>
      <c r="H1718" s="783"/>
      <c r="I1718" s="783"/>
      <c r="J1718" s="783"/>
      <c r="K1718" s="783"/>
      <c r="L1718" s="783"/>
      <c r="M1718" s="783"/>
      <c r="N1718" s="783"/>
      <c r="O1718" s="783"/>
      <c r="P1718" s="783"/>
      <c r="Q1718" s="783"/>
      <c r="R1718" s="783"/>
      <c r="S1718" s="783"/>
      <c r="T1718" s="783"/>
      <c r="U1718" s="783"/>
      <c r="V1718" s="783"/>
      <c r="W1718" s="286"/>
      <c r="X1718" s="607"/>
      <c r="Y1718" s="52"/>
      <c r="Z1718" s="52"/>
      <c r="AA1718" s="52"/>
      <c r="AB1718" s="28"/>
      <c r="AC1718" s="28"/>
    </row>
    <row r="1719" spans="1:29" s="30" customFormat="1" ht="22.5" customHeight="1">
      <c r="A1719" s="112" t="str">
        <f>"K"&amp;E1701</f>
        <v>K57</v>
      </c>
      <c r="B1719" s="790" t="s">
        <v>390</v>
      </c>
      <c r="C1719" s="772" t="s">
        <v>391</v>
      </c>
      <c r="D1719" s="773"/>
      <c r="E1719" s="773"/>
      <c r="F1719" s="773"/>
      <c r="G1719" s="773"/>
      <c r="H1719" s="773"/>
      <c r="I1719" s="773"/>
      <c r="J1719" s="773"/>
      <c r="K1719" s="773"/>
      <c r="L1719" s="773"/>
      <c r="M1719" s="774"/>
      <c r="N1719" s="525"/>
      <c r="O1719" s="588"/>
      <c r="P1719" s="772" t="s">
        <v>392</v>
      </c>
      <c r="Q1719" s="773"/>
      <c r="R1719" s="773"/>
      <c r="S1719" s="774"/>
      <c r="T1719" s="784" t="s">
        <v>393</v>
      </c>
      <c r="U1719" s="774"/>
      <c r="V1719" s="811"/>
      <c r="W1719" s="284"/>
      <c r="X1719" s="778" t="s">
        <v>394</v>
      </c>
      <c r="Y1719" s="779"/>
      <c r="Z1719" s="779"/>
      <c r="AA1719" s="779" t="s">
        <v>395</v>
      </c>
      <c r="AB1719" s="808" t="s">
        <v>396</v>
      </c>
      <c r="AC1719" s="28"/>
    </row>
    <row r="1720" spans="1:29" s="30" customFormat="1" ht="22.5" customHeight="1">
      <c r="A1720" s="112" t="str">
        <f>"L"&amp;E1701</f>
        <v>L57</v>
      </c>
      <c r="B1720" s="791"/>
      <c r="C1720" s="769" t="s">
        <v>397</v>
      </c>
      <c r="D1720" s="770"/>
      <c r="E1720" s="771"/>
      <c r="F1720" s="512">
        <f>IF(VLOOKUP(E1701,PROPONENTES!$C$19:$E$108,3,0)="","",VLOOKUP(E1701,PROPONENTES!$C$19:$E$108,3,0))</f>
        <v>2</v>
      </c>
      <c r="G1720" s="824" t="s">
        <v>398</v>
      </c>
      <c r="H1720" s="793" t="s">
        <v>399</v>
      </c>
      <c r="I1720" s="793"/>
      <c r="J1720" s="769" t="s">
        <v>400</v>
      </c>
      <c r="K1720" s="823"/>
      <c r="L1720" s="513" t="s">
        <v>401</v>
      </c>
      <c r="M1720" s="513"/>
      <c r="N1720" s="526"/>
      <c r="O1720" s="527"/>
      <c r="P1720" s="775"/>
      <c r="Q1720" s="776"/>
      <c r="R1720" s="776"/>
      <c r="S1720" s="777"/>
      <c r="T1720" s="796"/>
      <c r="U1720" s="797"/>
      <c r="V1720" s="812"/>
      <c r="W1720" s="284"/>
      <c r="X1720" s="780" t="s">
        <v>402</v>
      </c>
      <c r="Y1720" s="810" t="s">
        <v>403</v>
      </c>
      <c r="Z1720" s="810"/>
      <c r="AA1720" s="810"/>
      <c r="AB1720" s="809"/>
      <c r="AC1720" s="28"/>
    </row>
    <row r="1721" spans="1:29" s="30" customFormat="1" ht="51.75" customHeight="1" thickBot="1">
      <c r="A1721" s="112" t="str">
        <f>"M"&amp;E1701</f>
        <v>M57</v>
      </c>
      <c r="B1721" s="791"/>
      <c r="C1721" s="770" t="s">
        <v>404</v>
      </c>
      <c r="D1721" s="771"/>
      <c r="E1721" s="514" t="s">
        <v>405</v>
      </c>
      <c r="F1721" s="515" t="s">
        <v>406</v>
      </c>
      <c r="G1721" s="824"/>
      <c r="H1721" s="793"/>
      <c r="I1721" s="793"/>
      <c r="J1721" s="504" t="s">
        <v>407</v>
      </c>
      <c r="K1721" s="516" t="s">
        <v>408</v>
      </c>
      <c r="L1721" s="517" t="s">
        <v>409</v>
      </c>
      <c r="M1721" s="517"/>
      <c r="N1721" s="528" t="s">
        <v>410</v>
      </c>
      <c r="O1721" s="529"/>
      <c r="P1721" s="386"/>
      <c r="Q1721" s="387" t="s">
        <v>411</v>
      </c>
      <c r="R1721" s="388"/>
      <c r="S1721" s="113">
        <f>COUNTIFS(H1705:H1714,"SI",O1705:O1714,"&gt;0")</f>
        <v>1</v>
      </c>
      <c r="T1721" s="785"/>
      <c r="U1721" s="787"/>
      <c r="V1721" s="813"/>
      <c r="W1721" s="284"/>
      <c r="X1721" s="780"/>
      <c r="Y1721" s="810"/>
      <c r="Z1721" s="810"/>
      <c r="AA1721" s="810"/>
      <c r="AB1721" s="809"/>
      <c r="AC1721" s="28"/>
    </row>
    <row r="1722" spans="1:29" s="30" customFormat="1" ht="15.75" customHeight="1">
      <c r="A1722" s="112" t="str">
        <f>"N"&amp;E1701</f>
        <v>N57</v>
      </c>
      <c r="B1722" s="791"/>
      <c r="C1722" s="54">
        <v>1</v>
      </c>
      <c r="D1722" s="100" t="str">
        <f>IF(AND(C1722&lt;=F1720,F1720&gt;1,F1720&lt;&gt;""),VLOOKUP(VALUE(E1701&amp;","&amp;C1722),INTEGRANTES!$D$19:$F$192,2,0),"")</f>
        <v>METROCUBICO SAS</v>
      </c>
      <c r="E1722" s="107">
        <f>IF(D1722&lt;&gt;"",VLOOKUP(VALUE(E1701&amp;","&amp;C1722),INTEGRANTES!$D$19:$F$192,3,0),"")</f>
        <v>0.05</v>
      </c>
      <c r="F1722" s="380" t="str">
        <f>IF(D1722="","",IF(OR(SUMIF($J1705:$J1714,D1722,$O1705:$O1714)=0,N1722="NO"),"NO APORTA",SUMIF($J1705:$J1714,D1722,$O1705:$O1714)))</f>
        <v>NO APORTA</v>
      </c>
      <c r="G1722" s="380">
        <f ca="1">IF($D1722="","",IF($F1720&lt;=1,"",ROUND(POSMMLV*PORPO,2)))</f>
        <v>150</v>
      </c>
      <c r="H1722" s="765" t="str">
        <f ca="1">IF($D1722="","",IF(OR(F1722="NO APORTA",G1722&gt;F1722),"NO CUMPLE","CUMPLE"))</f>
        <v>NO CUMPLE</v>
      </c>
      <c r="I1722" s="766"/>
      <c r="J1722" s="108" t="str">
        <f ca="1">IF(D1722="","",IF(OR(AND(SUMIF($J1705:$J1714,D1722,$O1705:$O1714)&gt;=5%*POSMMLV,N1722="SI"),AND(SUMIF($J1705:$J1714,D1722,$O1705:$O1714)=0,E1722&lt;=5%,N1722="SI")),"CUMPLE","NO CUMPLE"))</f>
        <v>CUMPLE</v>
      </c>
      <c r="K1722" s="105" t="str">
        <f ca="1">IF(OR(D1722="",J1722=""),"",IF(AND(J1722="NO CUMPLE",F1722="NO APORTA",E1722&gt;5%),"EXP = 0 y PART &gt; 5%",IF(F1722&lt;5%*Q1727,"EXP &lt; 5%*PO","")))</f>
        <v/>
      </c>
      <c r="L1722" s="389" t="str">
        <f>IF(OR(D1722="",E1722=""),"",IF(AND(E1722&gt;=0.25,F1722&lt;&gt;"NO APORTA",F1722&gt;=$R1727*0.25),"SI","NO"))</f>
        <v>NO</v>
      </c>
      <c r="M1722" s="389"/>
      <c r="N1722" s="468" t="s">
        <v>385</v>
      </c>
      <c r="O1722" s="396">
        <f>COUNTIFS(O1705:O1714,"&gt;0",H1705:H1714,"SI")</f>
        <v>1</v>
      </c>
      <c r="P1722" s="814" t="s">
        <v>139</v>
      </c>
      <c r="Q1722" s="814"/>
      <c r="R1722" s="817">
        <f>E1701</f>
        <v>57</v>
      </c>
      <c r="S1722" s="818"/>
      <c r="T1722" s="784" t="s">
        <v>412</v>
      </c>
      <c r="U1722" s="773"/>
      <c r="V1722" s="774"/>
      <c r="W1722" s="283"/>
      <c r="X1722" s="542" t="str">
        <f>IF($F1720=1,"NO APLICA",$D1722)</f>
        <v>METROCUBICO SAS</v>
      </c>
      <c r="Y1722" s="543" t="str">
        <f>IF(OR($F1722="",$F1722="NO APORTA",$R1727=0,$X1722="NO APLICA"),"",ROUND($F1722/$Q1727,2))</f>
        <v/>
      </c>
      <c r="Z1722" s="544" t="str">
        <f>IF(Y1728=1,"SI APLICA",IF(OR($X1722="",$X1722="NO APLICA",$F1722="",$F1722="NO APORTA"),"",IF(ROUND($F1722/Q1727,7)&gt;=0.4,"SI APLICA","NO APLICA")))</f>
        <v/>
      </c>
      <c r="AA1722" s="543"/>
      <c r="AB1722" s="540" t="str">
        <f>IF(COUNTIF(Z1722:AA1722,"SI APLICA")=2,"SI APLICA","")</f>
        <v/>
      </c>
      <c r="AC1722" s="28"/>
    </row>
    <row r="1723" spans="1:29" s="30" customFormat="1" ht="15.75" customHeight="1" thickBot="1">
      <c r="A1723" s="112" t="str">
        <f>"O"&amp;E1701</f>
        <v>O57</v>
      </c>
      <c r="B1723" s="791"/>
      <c r="C1723" s="54">
        <v>2</v>
      </c>
      <c r="D1723" s="100" t="str">
        <f>IF(AND(C1723&lt;=F1720,F1720&lt;&gt;""),VLOOKUP(VALUE(E1701&amp;","&amp;C1723),INTEGRANTES!$D$19:$F$192,2,0),"")</f>
        <v>MS INGENIERIA SAS</v>
      </c>
      <c r="E1723" s="107">
        <f>IF(D1723&lt;&gt;"",VLOOKUP(VALUE(E1701&amp;","&amp;C1723),INTEGRANTES!$D$19:$F$192,3,0),"")</f>
        <v>0.95</v>
      </c>
      <c r="F1723" s="380">
        <f>IF(D1723="","",IF(OR(SUMIF($J1705:$J1714,D1723,$O1705:$O1714)=0,N1723="NO"),"NO APORTA",SUMIF($J1705:$J1714,D1723,$O1705:$O1714)))</f>
        <v>367.64249999999998</v>
      </c>
      <c r="G1723" s="380">
        <f ca="1">IF($D1723="","",IF($F1720&lt;=1,"",ROUND(POSMMLV*PORPO,2)))</f>
        <v>150</v>
      </c>
      <c r="H1723" s="765" t="str">
        <f ca="1">IF($D1723="","",IF(OR(F1723="NO APORTA",G1723&gt;F1723),"NO CUMPLE","CUMPLE"))</f>
        <v>CUMPLE</v>
      </c>
      <c r="I1723" s="766"/>
      <c r="J1723" s="108" t="str">
        <f ca="1">IF(D1723="","",IF(OR(AND(SUMIF($J1705:$J1714,D1723,$O1705:$O1714)&gt;=5%*POSMMLV,N1723="SI"),AND(SUMIF($J1705:$J1714,D1723,$O1705:$O1714)=0,E1723&lt;=5%,N1723="SI")),"CUMPLE","NO CUMPLE"))</f>
        <v>CUMPLE</v>
      </c>
      <c r="K1723" s="105" t="str">
        <f ca="1">IF(OR(D1723="",J1723=""),"",IF(AND(J1723="NO CUMPLE",F1723="NO APORTA",E1723&gt;5%),"EXP = 0 y PART &gt; 5%",IF(F1723&lt;5%*Q1727,"EXP &lt; 5%*PO","")))</f>
        <v/>
      </c>
      <c r="L1723" s="389" t="str">
        <f>IF(OR(D1723="",E1723=""),"",IF(AND(E1723&gt;=0.25,F1723&lt;&gt;"NO APORTA",F1723&gt;=$R1727*0.25),"SI","NO"))</f>
        <v>SI</v>
      </c>
      <c r="M1723" s="389"/>
      <c r="N1723" s="468" t="s">
        <v>385</v>
      </c>
      <c r="O1723" s="396"/>
      <c r="P1723" s="815"/>
      <c r="Q1723" s="815"/>
      <c r="R1723" s="815"/>
      <c r="S1723" s="819"/>
      <c r="T1723" s="785"/>
      <c r="U1723" s="786"/>
      <c r="V1723" s="787"/>
      <c r="W1723" s="283"/>
      <c r="X1723" s="542" t="str">
        <f>IF($F1720=1,"NO APLICA",$D1723)</f>
        <v>MS INGENIERIA SAS</v>
      </c>
      <c r="Y1723" s="543">
        <f ca="1">IF(OR($F1723="",$F1723="NO APORTA",$R1727=0,$X1723="NO APLICA"),"",ROUND($F1723/$Q1727,2))</f>
        <v>1.23</v>
      </c>
      <c r="Z1723" s="544" t="str">
        <f ca="1">IF(Y1728=1,"SI APLICA",IF(OR($X1723="",$X1723="NO APLICA",$F1723="",$F1723="NO APORTA"),"",IF(ROUND($F1723/Q1727,7)&gt;=0.4,"SI APLICA","NO APLICA")))</f>
        <v>SI APLICA</v>
      </c>
      <c r="AA1723" s="543" t="s">
        <v>413</v>
      </c>
      <c r="AB1723" s="540" t="str">
        <f ca="1">IF(COUNTIF(Z1723:AA1723,"SI APLICA")=2,"SI APLICA","")</f>
        <v>SI APLICA</v>
      </c>
      <c r="AC1723" s="28"/>
    </row>
    <row r="1724" spans="1:29" s="30" customFormat="1" ht="15.75" customHeight="1">
      <c r="A1724" s="112" t="str">
        <f>"P"&amp;E1701</f>
        <v>P57</v>
      </c>
      <c r="B1724" s="791"/>
      <c r="C1724" s="54">
        <v>3</v>
      </c>
      <c r="D1724" s="100" t="str">
        <f>IF(AND(C1724&lt;=F1720,F1720&lt;&gt;""),VLOOKUP(VALUE(E1701&amp;","&amp;C1724),INTEGRANTES!$D$19:$F$192,2,0),"")</f>
        <v/>
      </c>
      <c r="E1724" s="107" t="str">
        <f>IF(D1724&lt;&gt;"",VLOOKUP(VALUE(E1701&amp;","&amp;C1724),INTEGRANTES!$D$19:$F$192,3,0),"")</f>
        <v/>
      </c>
      <c r="F1724" s="380" t="str">
        <f>IF(D1724="","",IF(OR(SUMIF($J1708:$J1714,D1724,$O1708:$O1714)=0,N1724="NO"),"NO APORTA",SUMIF($J1708:$J1714,D1724,$O1708:$O1714)))</f>
        <v/>
      </c>
      <c r="G1724" s="380" t="str">
        <f>IF($D1724="","",IF($F1720&lt;=1,"",ROUND(POSMMLV*PORPO,2)))</f>
        <v/>
      </c>
      <c r="H1724" s="765" t="str">
        <f t="shared" ref="H1724:H1726" si="344">IF($D1724="","",IF(OR(F1724="NO APORTA",G1724&gt;F1724),"NO CUMPLE","CUMPLE"))</f>
        <v/>
      </c>
      <c r="I1724" s="766"/>
      <c r="J1724" s="108" t="str">
        <f>IF(D1724="","",IF(OR(AND(SUMIF($J1705:$J1714,D1724,$O1705:$O1714)&gt;=5%*POSMMLV,N1724="SI"),AND(SUMIF($J1705:$J1714,D1724,$O1705:$O1714)=0,E1724&lt;=5%,N1724="SI")),"CUMPLE","NO CUMPLE"))</f>
        <v/>
      </c>
      <c r="K1724" s="105" t="str">
        <f>IF(OR(D1724="",J1724=""),"",IF(AND(J1724="NO CUMPLE",F1724="NO APORTA",E1724&gt;5%),"EXP = 0 y PART &gt; 5%",IF(F1724&lt;5%*Q1727,"EXP &lt; 5%*PO","")))</f>
        <v/>
      </c>
      <c r="L1724" s="389" t="str">
        <f>IF(OR(D1724="",E1724=""),"",IF(AND(E1724&gt;=0.25,F1724&lt;&gt;"NO APORTA",F1724&gt;=$R1727*0.25),"SI","NO"))</f>
        <v/>
      </c>
      <c r="M1724" s="389"/>
      <c r="N1724" s="468"/>
      <c r="O1724" s="397"/>
      <c r="P1724" s="816"/>
      <c r="Q1724" s="816"/>
      <c r="R1724" s="816"/>
      <c r="S1724" s="820"/>
      <c r="T1724" s="308"/>
      <c r="U1724" s="308"/>
      <c r="V1724" s="309"/>
      <c r="W1724" s="284"/>
      <c r="X1724" s="542" t="str">
        <f>IF($F1720=1,"NO APLICA",$D1724)</f>
        <v/>
      </c>
      <c r="Y1724" s="543" t="str">
        <f>IF(OR($F1724="",$F1724="NO APORTA",$R1727=0,$X1724="NO APLICA"),"",ROUND($F1724/$Q1727,2))</f>
        <v/>
      </c>
      <c r="Z1724" s="544" t="str">
        <f>IF(Y1728=1,"SI APLICA",IF(OR($X1724="",$X1724="NO APLICA",$F1724="",$F1724="NO APORTA"),"",IF(ROUND($F1724/Q1727,7)&gt;=0.4,"SI APLICA","NO APLICA")))</f>
        <v/>
      </c>
      <c r="AA1724" s="543"/>
      <c r="AB1724" s="540" t="str">
        <f>IF(COUNTIF(Z1724:AA1724,"SI APLICA")=2,"SI APLICA","")</f>
        <v/>
      </c>
      <c r="AC1724" s="28"/>
    </row>
    <row r="1725" spans="1:29" s="30" customFormat="1" ht="15.75" customHeight="1">
      <c r="A1725" s="112" t="str">
        <f>"Q"&amp;E1701</f>
        <v>Q57</v>
      </c>
      <c r="B1725" s="791"/>
      <c r="C1725" s="54">
        <v>4</v>
      </c>
      <c r="D1725" s="100" t="str">
        <f>IF(AND(C1725&lt;=F1720,F1720&lt;&gt;""),VLOOKUP(VALUE(E1701&amp;","&amp;C1725),INTEGRANTES!$D$19:$F$192,2,0),"")</f>
        <v/>
      </c>
      <c r="E1725" s="107" t="str">
        <f>IF(D1725&lt;&gt;"",VLOOKUP(VALUE(E1701&amp;","&amp;C1725),INTEGRANTES!$D$19:$F$192,3,0),"")</f>
        <v/>
      </c>
      <c r="F1725" s="380" t="str">
        <f>IF(D1725="","",IF(OR(SUMIF($J1708:$J1714,D1725,$O1708:$O1714)=0,N1725="NO"),"NO APORTA",SUMIF($J1708:$J1714,D1725,$O1708:$O1714)))</f>
        <v/>
      </c>
      <c r="G1725" s="380" t="str">
        <f>IF($D1725="","",IF($F1720&lt;=1,"",ROUND(POSMMLV*PORPO,2)))</f>
        <v/>
      </c>
      <c r="H1725" s="765" t="str">
        <f t="shared" si="344"/>
        <v/>
      </c>
      <c r="I1725" s="766"/>
      <c r="J1725" s="108" t="str">
        <f>IF(D1725="","",IF(OR(AND(SUMIF($J1705:$J1714,D1725,$O1705:$O1714)&gt;=5%*POSMMLV,N1725="SI"),AND(SUMIF($J1705:$J1714,D1725,$O1705:$O1714)=0,E1725&lt;=5%,N1725="SI")),"CUMPLE","NO CUMPLE"))</f>
        <v/>
      </c>
      <c r="K1725" s="105" t="str">
        <f>IF(OR(D1725="",J1725=""),"",IF(AND(J1725="NO CUMPLE",F1725="NO APORTA",E1725&gt;5%),"EXP = 0 y PART &gt; 5%",IF(F1725&lt;5%*Q1727,"EXP &lt; 5%*PO","")))</f>
        <v/>
      </c>
      <c r="L1725" s="389" t="str">
        <f>IF(OR(D1725="",E1725=""),"",IF(AND(E1725&gt;=0.25,F1725&lt;&gt;"NO APORTA",F1725&gt;=$R1727*0.25),"SI","NO"))</f>
        <v/>
      </c>
      <c r="M1725" s="389"/>
      <c r="N1725" s="468"/>
      <c r="O1725" s="788" t="s">
        <v>414</v>
      </c>
      <c r="P1725" s="769" t="s">
        <v>415</v>
      </c>
      <c r="Q1725" s="770"/>
      <c r="R1725" s="770"/>
      <c r="S1725" s="771"/>
      <c r="T1725" s="284"/>
      <c r="U1725" s="284"/>
      <c r="V1725" s="310"/>
      <c r="W1725" s="284"/>
      <c r="X1725" s="542" t="str">
        <f>IF($F1720=1,"NO APLICA",$D1725)</f>
        <v/>
      </c>
      <c r="Y1725" s="543" t="str">
        <f>IF(OR($F1725="",$F1725="NO APORTA",$R1727=0,$X1725="NO APLICA"),"",ROUND($F1725/$Q1727,2))</f>
        <v/>
      </c>
      <c r="Z1725" s="544" t="str">
        <f>IF(Y1728=1,"SI APLICA",IF(OR($X1725="",$X1725="NO APLICA",$F1725="",$F1725="NO APORTA"),"",IF(ROUND($F1725/Q1727,7)&gt;=0.4,"SI APLICA","NO APLICA")))</f>
        <v/>
      </c>
      <c r="AA1725" s="543"/>
      <c r="AB1725" s="540" t="str">
        <f t="shared" ref="AB1725:AB1726" si="345">IF(COUNTIF(Z1725:AA1725,"SI APLICA")=2,"SI APLICA","")</f>
        <v/>
      </c>
      <c r="AC1725" s="28"/>
    </row>
    <row r="1726" spans="1:29" s="30" customFormat="1" ht="17.25" customHeight="1">
      <c r="A1726" s="112" t="str">
        <f>"R"&amp;E1701</f>
        <v>R57</v>
      </c>
      <c r="B1726" s="791"/>
      <c r="C1726" s="54">
        <v>5</v>
      </c>
      <c r="D1726" s="100" t="str">
        <f>IF(AND(C1726&lt;=F1720,F1720&lt;&gt;""),VLOOKUP(VALUE(E1701&amp;","&amp;C1726),INTEGRANTES!$D$19:$F$192,2,0),"")</f>
        <v/>
      </c>
      <c r="E1726" s="107" t="str">
        <f>IF(D1726&lt;&gt;"",VLOOKUP(VALUE(E1701&amp;","&amp;C1726),INTEGRANTES!$D$19:$F$192,3,0),"")</f>
        <v/>
      </c>
      <c r="F1726" s="380" t="str">
        <f>IF(D1726="","",IF(OR(SUMIF($J1708:$J1714,D1726,$O1708:$O1714)=0,N1726="NO"),"NO APORTA",SUMIF($J1708:$J1714,D1726,$O1708:$O1714)))</f>
        <v/>
      </c>
      <c r="G1726" s="380" t="str">
        <f>IF($D1726="","",IF($F1720&lt;=1,"",ROUND(POSMMLV*PORPO,2)))</f>
        <v/>
      </c>
      <c r="H1726" s="765" t="str">
        <f t="shared" si="344"/>
        <v/>
      </c>
      <c r="I1726" s="766"/>
      <c r="J1726" s="108" t="str">
        <f>IF(D1726="","",IF(OR(AND(SUMIF($J1705:$J1714,D1726,$O1705:$O1714)&gt;=5%*POSMMLV,N1726="SI"),AND(SUMIF($J1705:$J1714,D1726,$O1705:$O1714)=0,E1726&lt;=5%,N1726="SI")),"CUMPLE","NO CUMPLE"))</f>
        <v/>
      </c>
      <c r="K1726" s="105" t="str">
        <f>IF(OR(D1726="",J1726=""),"",IF(AND(J1726="NO CUMPLE",F1726="NO APORTA",E1726&gt;5%),"EXP = 0 y PART &gt; 5%",IF(F1726&lt;5%*Q1727,"EXP &lt; 5%*PO","")))</f>
        <v/>
      </c>
      <c r="L1726" s="389" t="str">
        <f>IF(OR(D1726="",E1726=""),"",IF(AND(E1726&gt;=0.25,F1726&lt;&gt;"NO APORTA",F1726&gt;=$R1727*0.25),"SI","NO"))</f>
        <v/>
      </c>
      <c r="M1726" s="389"/>
      <c r="N1726" s="468"/>
      <c r="O1726" s="789"/>
      <c r="P1726" s="504" t="s">
        <v>416</v>
      </c>
      <c r="Q1726" s="504" t="s">
        <v>417</v>
      </c>
      <c r="R1726" s="793" t="s">
        <v>418</v>
      </c>
      <c r="S1726" s="793"/>
      <c r="T1726" s="284"/>
      <c r="U1726" s="284"/>
      <c r="V1726" s="310"/>
      <c r="W1726" s="284"/>
      <c r="X1726" s="542" t="str">
        <f>IF($F1720=1,"NO APLICA",$D1726)</f>
        <v/>
      </c>
      <c r="Y1726" s="543" t="str">
        <f>IF(OR($F1726="",$F1726="NO APORTA",$R1727=0,$X1726="NO APLICA"),"",ROUND($F1726/$Q1727,2))</f>
        <v/>
      </c>
      <c r="Z1726" s="544" t="str">
        <f>IF(Y1728=1,"SI APLICA",IF(OR($X1726="",$X1726="NO APLICA",$F1726="",$F1726="NO APORTA"),"",IF(ROUND($F1726/Q1727,7)&gt;=0.4,"SI APLICA","NO APLICA")))</f>
        <v/>
      </c>
      <c r="AA1726" s="543"/>
      <c r="AB1726" s="540" t="str">
        <f t="shared" si="345"/>
        <v/>
      </c>
      <c r="AC1726" s="28"/>
    </row>
    <row r="1727" spans="1:29" s="30" customFormat="1" ht="16.5" customHeight="1" thickBot="1">
      <c r="A1727" s="112" t="str">
        <f>"S"&amp;E1701</f>
        <v>S57</v>
      </c>
      <c r="B1727" s="791"/>
      <c r="C1727" s="109">
        <v>6</v>
      </c>
      <c r="D1727" s="110" t="str">
        <f>IF(AND(C1727&lt;=F1720,F1720&lt;&gt;""),VLOOKUP(VALUE(E1701&amp;","&amp;C1727),INTEGRANTES!$D$19:$F$192,2,0),"")</f>
        <v/>
      </c>
      <c r="E1727" s="111" t="str">
        <f>IF(D1727&lt;&gt;"",VLOOKUP(VALUE(E1701&amp;","&amp;C1727),INTEGRANTES!$D$19:$F$192,3,0),"")</f>
        <v/>
      </c>
      <c r="F1727" s="380" t="str">
        <f>IF(D1727="","",IF(OR(SUMIF($J1708:$J1714,D1727,$O1708:$O1714)=0,N1727="NO"),"NO APORTA",SUMIF($J1708:$J1714,D1727,$O1708:$O1714)))</f>
        <v/>
      </c>
      <c r="G1727" s="380" t="str">
        <f>IF($D1727="","",IF($F1720&lt;=1,"",ROUND(POSMMLV*PORPO,2)))</f>
        <v/>
      </c>
      <c r="H1727" s="765" t="str">
        <f>IF($D1727="","",IF(OR(F1727="NO APORTA",G1727&gt;F1727),"NO CUMPLE","CUMPLE"))</f>
        <v/>
      </c>
      <c r="I1727" s="766"/>
      <c r="J1727" s="108" t="str">
        <f>IF(D1727="","",IF(OR(AND(SUMIF($J1705:$J1714,D1727,$O1705:$O1714)&gt;=5%*POSMMLV,N1727="SI"),AND(SUMIF($J1705:$J1714,D1727,$O1705:$O1714)=0,E1727&lt;=5%,N1727="SI")),"CUMPLE","NO CUMPLE"))</f>
        <v/>
      </c>
      <c r="K1727" s="105" t="str">
        <f>IF(OR(D1727="",J1727=""),"",IF(AND(J1727="NO CUMPLE",F1727="NO APORTA",E1727&gt;5%),"EXP = 0 y PART &gt; 5%",IF(F1727&lt;5%*Q1727,"EXP &lt; 5%*PO","")))</f>
        <v/>
      </c>
      <c r="L1727" s="389" t="str">
        <f>IF(OR(D1727="",E1727=""),"",IF(AND(E1727&gt;=0.25,F1727&lt;&gt;"NO APORTA",F1727&gt;=$R1727*0.25),"SI","NO"))</f>
        <v/>
      </c>
      <c r="M1727" s="389"/>
      <c r="N1727" s="468"/>
      <c r="O1727" s="403" t="str">
        <f ca="1">IF(R1727&gt;=Q1727,"CUMPLE","NO CUMPLE")</f>
        <v>CUMPLE</v>
      </c>
      <c r="P1727" s="312">
        <f>NUMMOD</f>
        <v>1</v>
      </c>
      <c r="Q1727" s="313">
        <f ca="1">IF(P1727="","",ROUND(VLOOKUP(P1727,PRESUPUESTOS!$B$16:$L$16,9,FALSE),7))</f>
        <v>300</v>
      </c>
      <c r="R1727" s="834">
        <f>IF(OR(COUNTIF(O1705:O1714,"")&gt;9,S1721&lt;NUMMINCONT),0,SUM(O1705:O1714))</f>
        <v>367.64249999999998</v>
      </c>
      <c r="S1727" s="834"/>
      <c r="T1727" s="284"/>
      <c r="U1727" s="284"/>
      <c r="V1727" s="310"/>
      <c r="W1727" s="284"/>
      <c r="X1727" s="545" t="str">
        <f>IF($F1720=1,"NO APLICA",$D1727)</f>
        <v/>
      </c>
      <c r="Y1727" s="543" t="str">
        <f>IF(OR($F1727="",$F1727="NO APORTA",$R1727=0,$X1727="NO APLICA"),"",ROUND($F1727/$Q1727,2))</f>
        <v/>
      </c>
      <c r="Z1727" s="544" t="str">
        <f>IF(Y1728=1,"SI APLICA",IF(OR($X1727="",$X1727="NO APLICA",$F1727="",$F1727="NO APORTA"),"",IF(ROUND($F1727/Q1727,7)&gt;=0.4,"SI APLICA","NO APLICA")))</f>
        <v/>
      </c>
      <c r="AA1727" s="546"/>
      <c r="AB1727" s="540" t="str">
        <f>IF(COUNTIF(Z1727:AA1727,"SI APLICA")=2,"SI APLICA","")</f>
        <v/>
      </c>
      <c r="AC1727" s="28"/>
    </row>
    <row r="1728" spans="1:29" s="30" customFormat="1" ht="16.5" customHeight="1" thickBot="1">
      <c r="A1728" s="112" t="str">
        <f>"T"&amp;E1701</f>
        <v>T57</v>
      </c>
      <c r="B1728" s="792"/>
      <c r="C1728" s="821" t="s">
        <v>419</v>
      </c>
      <c r="D1728" s="822"/>
      <c r="E1728" s="822"/>
      <c r="F1728" s="518"/>
      <c r="G1728" s="519"/>
      <c r="H1728" s="794" t="str">
        <f ca="1">IF(OR($F1720="",SUM(E1722:E1727)=0),"",IF(COUNTIF(H1722:H1727,"CUMPLE")&gt;=1,"CUMPLE","NO CUMPLE"))</f>
        <v>CUMPLE</v>
      </c>
      <c r="I1728" s="795"/>
      <c r="J1728" s="314" t="str">
        <f ca="1">IF(COUNTIF(J1722:J1727,"")&gt;5,"",IF(COUNTIF(J1722:J1727,"NO CUMPLE")&gt;0,"NO CUMPLE","CUMPLE"))</f>
        <v>CUMPLE</v>
      </c>
      <c r="K1728" s="314" t="str">
        <f ca="1">IF(OR(AND(F1720=1,N1722="SI"),AND(COUNTIF(H1728:J1728,"CUMPLE")=2)),"CUMPLE","NO CUMPLE")</f>
        <v>CUMPLE</v>
      </c>
      <c r="L1728" s="519"/>
      <c r="M1728" s="519"/>
      <c r="N1728" s="519"/>
      <c r="O1728" s="833" t="str">
        <f ca="1">IF(ISNUMBER(F1701),"",IF(AND(O1727="NO CUMPLE",SUM(N1708:N1714)&lt;Q1727),"EL PROPONENTE SE DEBE REQUERIR POR EXPERIENCIA MINIMA EXIGIDA",""))</f>
        <v/>
      </c>
      <c r="P1728" s="833"/>
      <c r="Q1728" s="833"/>
      <c r="R1728" s="833"/>
      <c r="S1728" s="833"/>
      <c r="T1728" s="522"/>
      <c r="U1728" s="523"/>
      <c r="V1728" s="524"/>
      <c r="W1728" s="284"/>
      <c r="X1728" s="364" t="str">
        <f>IF(Y1728=1,"PROPONENTE INDIVIDUAL","PROPONENTE PLURAL")</f>
        <v>PROPONENTE PLURAL</v>
      </c>
      <c r="Y1728" s="276">
        <f>F1720</f>
        <v>2</v>
      </c>
      <c r="Z1728" s="277" t="str">
        <f ca="1">IF(OR(AND(Z1722="SI APLICA",AA1722="SI APLICA"),AND(Z1723="SI APLICA",AA1723="SI APLICA"),AND(Z1724="SI APLICA",AA1724="SI APLICA"),AND(Z1725="SI APLICA",AA1725="SI APLICA"),AND(Z1726="SI APLICA",AA1726="SI APLICA"),AND(Z1727="SI APLICA",AA1727="SI APLICA")),"SI APLICA","NO APLICA")</f>
        <v>SI APLICA</v>
      </c>
      <c r="AA1728" s="278" t="str">
        <f ca="1">IF(OR(AND(AA1722="SI APLICA",AB1722="SI APLICA"),AND(AA1723="SI APLICA",AB1723="SI APLICA"),AND(AA1724="SI APLICA",AB1724="SI APLICA"),AND(AA1725="SI APLICA",AB1725="SI APLICA"),AND(AA1726="SI APLICA",AB1726="SI APLICA"),AND(AA1727="SI APLICA",AB1727="SI APLICA")),"SI APLICA","NO APLICA")</f>
        <v>SI APLICA</v>
      </c>
      <c r="AB1728" s="278" t="str">
        <f ca="1">IF(COUNTIF(AB1722:AB1727,"SI APLICA")&gt;0,"SI APLICA","NO APLICA")</f>
        <v>SI APLICA</v>
      </c>
      <c r="AC1728" s="28"/>
    </row>
    <row r="1729" spans="1:29" ht="24.95" customHeight="1"/>
    <row r="1730" spans="1:29" ht="24.95" customHeight="1"/>
    <row r="1731" spans="1:29" s="41" customFormat="1" ht="24" thickBot="1">
      <c r="A1731" s="34">
        <v>58</v>
      </c>
      <c r="B1731" s="828" t="s">
        <v>355</v>
      </c>
      <c r="C1731" s="828"/>
      <c r="D1731" s="828"/>
      <c r="E1731" s="35">
        <f>VLOOKUP(A1731,PROPONENTES!$B$19:$E$108,2,FALSE)</f>
        <v>58</v>
      </c>
      <c r="F1731" s="36" t="str">
        <f>VLOOKUP(A1731,PROPONENTES!$B$19:$E$108,3,FALSE)</f>
        <v>VALLEJO H INGENIEROS CONSULTORES CONSTRUCTORES C S.A.S -BIC</v>
      </c>
      <c r="G1731" s="37"/>
      <c r="H1731" s="37"/>
      <c r="I1731" s="36"/>
      <c r="J1731" s="36"/>
      <c r="K1731" s="36"/>
      <c r="L1731" s="36"/>
      <c r="M1731" s="38"/>
      <c r="N1731" s="38"/>
      <c r="O1731" s="37"/>
      <c r="P1731" s="37"/>
      <c r="Q1731" s="39"/>
      <c r="R1731" s="39"/>
      <c r="S1731" s="39"/>
      <c r="T1731" s="39"/>
      <c r="U1731" s="40"/>
      <c r="Y1731" s="52"/>
      <c r="Z1731" s="52"/>
      <c r="AA1731" s="52"/>
      <c r="AB1731" s="28"/>
      <c r="AC1731" s="28"/>
    </row>
    <row r="1732" spans="1:29" s="27" customFormat="1" ht="24.75" customHeight="1">
      <c r="A1732" s="22"/>
      <c r="B1732" s="829" t="s">
        <v>356</v>
      </c>
      <c r="C1732" s="501" t="s">
        <v>357</v>
      </c>
      <c r="D1732" s="502" t="s">
        <v>358</v>
      </c>
      <c r="E1732" s="502"/>
      <c r="F1732" s="502" t="s">
        <v>359</v>
      </c>
      <c r="G1732" s="503"/>
      <c r="H1732" s="803" t="s">
        <v>360</v>
      </c>
      <c r="I1732" s="831" t="s">
        <v>361</v>
      </c>
      <c r="J1732" s="803" t="s">
        <v>362</v>
      </c>
      <c r="K1732" s="803" t="s">
        <v>363</v>
      </c>
      <c r="L1732" s="803" t="s">
        <v>364</v>
      </c>
      <c r="M1732" s="803" t="s">
        <v>365</v>
      </c>
      <c r="N1732" s="804" t="s">
        <v>366</v>
      </c>
      <c r="O1732" s="805"/>
      <c r="P1732" s="806" t="s">
        <v>367</v>
      </c>
      <c r="Q1732" s="807"/>
      <c r="R1732" s="784" t="s">
        <v>368</v>
      </c>
      <c r="S1732" s="774"/>
      <c r="T1732" s="798" t="s">
        <v>369</v>
      </c>
      <c r="U1732" s="799"/>
      <c r="V1732" s="800"/>
      <c r="X1732" s="520"/>
      <c r="Y1732" s="520"/>
    </row>
    <row r="1733" spans="1:29" s="27" customFormat="1" ht="94.5" customHeight="1">
      <c r="A1733" s="22"/>
      <c r="B1733" s="830"/>
      <c r="C1733" s="504" t="s">
        <v>370</v>
      </c>
      <c r="D1733" s="505" t="s">
        <v>41</v>
      </c>
      <c r="E1733" s="505" t="s">
        <v>371</v>
      </c>
      <c r="F1733" s="505" t="s">
        <v>372</v>
      </c>
      <c r="G1733" s="506" t="s">
        <v>373</v>
      </c>
      <c r="H1733" s="793"/>
      <c r="I1733" s="832"/>
      <c r="J1733" s="793"/>
      <c r="K1733" s="793"/>
      <c r="L1733" s="793"/>
      <c r="M1733" s="793"/>
      <c r="N1733" s="504" t="s">
        <v>374</v>
      </c>
      <c r="O1733" s="505" t="s">
        <v>375</v>
      </c>
      <c r="P1733" s="801"/>
      <c r="Q1733" s="802"/>
      <c r="R1733" s="796"/>
      <c r="S1733" s="797"/>
      <c r="T1733" s="507" t="s">
        <v>376</v>
      </c>
      <c r="U1733" s="508" t="s">
        <v>377</v>
      </c>
      <c r="V1733" s="509" t="s">
        <v>378</v>
      </c>
      <c r="X1733" s="521" t="s">
        <v>379</v>
      </c>
      <c r="Y1733" s="521" t="s">
        <v>380</v>
      </c>
    </row>
    <row r="1734" spans="1:29" s="27" customFormat="1" ht="15" customHeight="1">
      <c r="A1734" s="22"/>
      <c r="B1734" s="594"/>
      <c r="C1734" s="595">
        <v>3</v>
      </c>
      <c r="D1734" s="595">
        <v>4</v>
      </c>
      <c r="E1734" s="595">
        <v>5</v>
      </c>
      <c r="F1734" s="595">
        <v>6</v>
      </c>
      <c r="G1734" s="595">
        <v>7</v>
      </c>
      <c r="H1734" s="595">
        <v>8</v>
      </c>
      <c r="I1734" s="595">
        <v>9</v>
      </c>
      <c r="J1734" s="595">
        <v>10</v>
      </c>
      <c r="K1734" s="595">
        <v>11</v>
      </c>
      <c r="L1734" s="595">
        <v>12</v>
      </c>
      <c r="M1734" s="595">
        <v>13</v>
      </c>
      <c r="N1734" s="595">
        <v>14</v>
      </c>
      <c r="O1734" s="595">
        <v>15</v>
      </c>
      <c r="P1734" s="596">
        <v>16</v>
      </c>
      <c r="Q1734" s="597">
        <v>17</v>
      </c>
      <c r="R1734" s="596">
        <v>18</v>
      </c>
      <c r="S1734" s="597">
        <v>19</v>
      </c>
      <c r="T1734" s="598">
        <v>20</v>
      </c>
      <c r="U1734" s="255">
        <v>21</v>
      </c>
      <c r="V1734" s="599">
        <v>22</v>
      </c>
      <c r="X1734" s="589"/>
      <c r="Y1734" s="590"/>
    </row>
    <row r="1735" spans="1:29" s="44" customFormat="1" ht="50.25" customHeight="1">
      <c r="A1735" s="42" t="str">
        <f>"A"&amp;E1731</f>
        <v>A58</v>
      </c>
      <c r="B1735" s="605">
        <f>IF(C1735&lt;&gt;"",B1734+1,"")</f>
        <v>1</v>
      </c>
      <c r="C1735" s="581" t="s">
        <v>443</v>
      </c>
      <c r="D1735" s="581" t="s">
        <v>843</v>
      </c>
      <c r="E1735" s="581" t="s">
        <v>844</v>
      </c>
      <c r="F1735" s="581" t="s">
        <v>431</v>
      </c>
      <c r="G1735" s="534">
        <v>0.3</v>
      </c>
      <c r="H1735" s="534" t="s">
        <v>385</v>
      </c>
      <c r="I1735" s="579" t="s">
        <v>384</v>
      </c>
      <c r="J1735" s="580" t="str">
        <f>IF(I1735="","",IF(I1735="I",$F1731,VLOOKUP(I1735,$C1752:$D1757,2,0)))</f>
        <v>VALLEJO H INGENIEROS CONSULTORES CONSTRUCTORES C S.A.S -BIC</v>
      </c>
      <c r="K1735" s="535">
        <v>42583</v>
      </c>
      <c r="L1735" s="535">
        <v>42916</v>
      </c>
      <c r="M1735" s="536">
        <v>982.14</v>
      </c>
      <c r="N1735" s="232">
        <f t="shared" ref="N1735:N1744" si="346">IF(OR(G1735="",M1735=""),"",M1735*G1735)</f>
        <v>294.642</v>
      </c>
      <c r="O1735" s="260">
        <f t="shared" ref="O1735:O1744" si="347">IF(OR(H1735="",H1735="NO",K1735&lt;$Q$17,K1735&gt;$R$17,K1735="",M1735="",N1735=""),"",ROUND(N1735,7))</f>
        <v>294.642</v>
      </c>
      <c r="P1735" s="781"/>
      <c r="Q1735" s="782"/>
      <c r="R1735" s="767"/>
      <c r="S1735" s="768"/>
      <c r="T1735" s="538" t="s">
        <v>385</v>
      </c>
      <c r="U1735" s="539">
        <v>44</v>
      </c>
      <c r="V1735" s="540" t="s">
        <v>385</v>
      </c>
      <c r="X1735" s="541" t="s">
        <v>449</v>
      </c>
      <c r="Y1735" s="541" t="s">
        <v>387</v>
      </c>
    </row>
    <row r="1736" spans="1:29" s="44" customFormat="1" ht="24.95" customHeight="1">
      <c r="A1736" s="42" t="str">
        <f>"B"&amp;E1731</f>
        <v>B58</v>
      </c>
      <c r="B1736" s="605" t="str">
        <f t="shared" ref="B1736:B1744" si="348">IF(C1736&lt;&gt;"",B1735+1,"")</f>
        <v/>
      </c>
      <c r="C1736" s="581"/>
      <c r="D1736" s="581"/>
      <c r="E1736" s="581"/>
      <c r="F1736" s="581"/>
      <c r="G1736" s="534"/>
      <c r="H1736" s="534"/>
      <c r="I1736" s="579"/>
      <c r="J1736" s="580" t="str">
        <f>IF(I1736="","",IF(I1736="I",$F1731,VLOOKUP(I1736,$C1752:$D1757,2,0)))</f>
        <v/>
      </c>
      <c r="K1736" s="535"/>
      <c r="L1736" s="535"/>
      <c r="M1736" s="536"/>
      <c r="N1736" s="232" t="str">
        <f t="shared" si="346"/>
        <v/>
      </c>
      <c r="O1736" s="260" t="str">
        <f t="shared" si="347"/>
        <v/>
      </c>
      <c r="P1736" s="781"/>
      <c r="Q1736" s="782"/>
      <c r="R1736" s="767"/>
      <c r="S1736" s="768"/>
      <c r="T1736" s="538"/>
      <c r="U1736" s="539"/>
      <c r="V1736" s="540"/>
      <c r="X1736" s="541"/>
      <c r="Y1736" s="541"/>
    </row>
    <row r="1737" spans="1:29" s="44" customFormat="1" ht="24.95" customHeight="1">
      <c r="A1737" s="42" t="str">
        <f>"C"&amp;E1731</f>
        <v>C58</v>
      </c>
      <c r="B1737" s="605" t="str">
        <f t="shared" si="348"/>
        <v/>
      </c>
      <c r="C1737" s="581"/>
      <c r="D1737" s="581"/>
      <c r="E1737" s="581"/>
      <c r="F1737" s="581"/>
      <c r="G1737" s="534"/>
      <c r="H1737" s="534"/>
      <c r="I1737" s="579"/>
      <c r="J1737" s="580" t="str">
        <f>IF(I1737="","",IF(I1737="I",$F1731,VLOOKUP(I1737,$C1752:$D1757,2,0)))</f>
        <v/>
      </c>
      <c r="K1737" s="535"/>
      <c r="L1737" s="535"/>
      <c r="M1737" s="536"/>
      <c r="N1737" s="232" t="str">
        <f t="shared" si="346"/>
        <v/>
      </c>
      <c r="O1737" s="260" t="str">
        <f t="shared" si="347"/>
        <v/>
      </c>
      <c r="P1737" s="781"/>
      <c r="Q1737" s="782"/>
      <c r="R1737" s="767"/>
      <c r="S1737" s="768"/>
      <c r="T1737" s="538"/>
      <c r="U1737" s="539"/>
      <c r="V1737" s="540"/>
      <c r="X1737" s="541"/>
      <c r="Y1737" s="541"/>
    </row>
    <row r="1738" spans="1:29" s="44" customFormat="1" ht="24.95" customHeight="1">
      <c r="A1738" s="42" t="str">
        <f>"D"&amp;E1731</f>
        <v>D58</v>
      </c>
      <c r="B1738" s="605" t="str">
        <f t="shared" si="348"/>
        <v/>
      </c>
      <c r="C1738" s="581"/>
      <c r="D1738" s="581"/>
      <c r="E1738" s="581"/>
      <c r="F1738" s="581"/>
      <c r="G1738" s="534"/>
      <c r="H1738" s="534"/>
      <c r="I1738" s="579"/>
      <c r="J1738" s="580" t="str">
        <f>IF(I1738="","",IF(I1738="I",$F1731,VLOOKUP(I1738,$C1752:$D1757,2,0)))</f>
        <v/>
      </c>
      <c r="K1738" s="535"/>
      <c r="L1738" s="535"/>
      <c r="M1738" s="536"/>
      <c r="N1738" s="232" t="str">
        <f t="shared" si="346"/>
        <v/>
      </c>
      <c r="O1738" s="260" t="str">
        <f t="shared" si="347"/>
        <v/>
      </c>
      <c r="P1738" s="781"/>
      <c r="Q1738" s="782"/>
      <c r="R1738" s="767"/>
      <c r="S1738" s="768"/>
      <c r="T1738" s="538"/>
      <c r="U1738" s="539"/>
      <c r="V1738" s="540"/>
      <c r="X1738" s="541"/>
      <c r="Y1738" s="541"/>
    </row>
    <row r="1739" spans="1:29" s="44" customFormat="1" ht="24.95" customHeight="1">
      <c r="A1739" s="42" t="str">
        <f>"E"&amp;E1731</f>
        <v>E58</v>
      </c>
      <c r="B1739" s="605" t="str">
        <f t="shared" si="348"/>
        <v/>
      </c>
      <c r="C1739" s="581"/>
      <c r="D1739" s="581"/>
      <c r="E1739" s="581"/>
      <c r="F1739" s="581"/>
      <c r="G1739" s="534"/>
      <c r="H1739" s="534"/>
      <c r="I1739" s="579"/>
      <c r="J1739" s="580" t="str">
        <f>IF(I1739="","",IF(I1739="I",$F1731,VLOOKUP(I1739,$C1752:$D1757,2,0)))</f>
        <v/>
      </c>
      <c r="K1739" s="535"/>
      <c r="L1739" s="535"/>
      <c r="M1739" s="536"/>
      <c r="N1739" s="232" t="str">
        <f t="shared" si="346"/>
        <v/>
      </c>
      <c r="O1739" s="260" t="str">
        <f t="shared" si="347"/>
        <v/>
      </c>
      <c r="P1739" s="781"/>
      <c r="Q1739" s="782"/>
      <c r="R1739" s="767"/>
      <c r="S1739" s="768"/>
      <c r="T1739" s="538"/>
      <c r="U1739" s="539"/>
      <c r="V1739" s="540"/>
      <c r="X1739" s="541"/>
      <c r="Y1739" s="541"/>
    </row>
    <row r="1740" spans="1:29" s="44" customFormat="1" ht="24.95" customHeight="1">
      <c r="A1740" s="42" t="str">
        <f>"F"&amp;E1731</f>
        <v>F58</v>
      </c>
      <c r="B1740" s="605" t="str">
        <f t="shared" si="348"/>
        <v/>
      </c>
      <c r="C1740" s="581"/>
      <c r="D1740" s="581"/>
      <c r="E1740" s="581"/>
      <c r="F1740" s="581"/>
      <c r="G1740" s="534"/>
      <c r="H1740" s="534"/>
      <c r="I1740" s="579"/>
      <c r="J1740" s="580" t="str">
        <f>IF(I1740="","",IF(I1740="I",$F1731,VLOOKUP(I1740,$C1752:$D1757,2,0)))</f>
        <v/>
      </c>
      <c r="K1740" s="535"/>
      <c r="L1740" s="535"/>
      <c r="M1740" s="536"/>
      <c r="N1740" s="232" t="str">
        <f t="shared" si="346"/>
        <v/>
      </c>
      <c r="O1740" s="260" t="str">
        <f t="shared" si="347"/>
        <v/>
      </c>
      <c r="P1740" s="781"/>
      <c r="Q1740" s="782"/>
      <c r="R1740" s="767"/>
      <c r="S1740" s="768"/>
      <c r="T1740" s="538"/>
      <c r="U1740" s="539"/>
      <c r="V1740" s="540"/>
      <c r="X1740" s="541"/>
      <c r="Y1740" s="541"/>
    </row>
    <row r="1741" spans="1:29" s="44" customFormat="1" ht="24.95" customHeight="1">
      <c r="A1741" s="42" t="str">
        <f>"G"&amp;E1731</f>
        <v>G58</v>
      </c>
      <c r="B1741" s="605" t="str">
        <f t="shared" si="348"/>
        <v/>
      </c>
      <c r="C1741" s="581"/>
      <c r="D1741" s="581"/>
      <c r="E1741" s="581"/>
      <c r="F1741" s="581"/>
      <c r="G1741" s="534"/>
      <c r="H1741" s="534"/>
      <c r="I1741" s="579"/>
      <c r="J1741" s="580" t="str">
        <f>IF(I1741="","",IF(I1741="I",$F1731,VLOOKUP(I1741,$C1752:$D1757,2,0)))</f>
        <v/>
      </c>
      <c r="K1741" s="535"/>
      <c r="L1741" s="535"/>
      <c r="M1741" s="536"/>
      <c r="N1741" s="43" t="str">
        <f t="shared" si="346"/>
        <v/>
      </c>
      <c r="O1741" s="260" t="str">
        <f t="shared" si="347"/>
        <v/>
      </c>
      <c r="P1741" s="781"/>
      <c r="Q1741" s="782"/>
      <c r="R1741" s="767"/>
      <c r="S1741" s="768"/>
      <c r="T1741" s="538"/>
      <c r="U1741" s="539"/>
      <c r="V1741" s="540"/>
      <c r="X1741" s="541"/>
      <c r="Y1741" s="541"/>
    </row>
    <row r="1742" spans="1:29" s="44" customFormat="1" ht="24.95" customHeight="1">
      <c r="A1742" s="42" t="str">
        <f>"H"&amp;E1731</f>
        <v>H58</v>
      </c>
      <c r="B1742" s="605" t="str">
        <f t="shared" si="348"/>
        <v/>
      </c>
      <c r="C1742" s="581"/>
      <c r="D1742" s="581"/>
      <c r="E1742" s="581"/>
      <c r="F1742" s="581"/>
      <c r="G1742" s="534"/>
      <c r="H1742" s="534"/>
      <c r="I1742" s="579"/>
      <c r="J1742" s="580" t="str">
        <f>IF(I1742="","",IF(I1742="I",$F1731,VLOOKUP(I1742,$C1752:$D1757,2,0)))</f>
        <v/>
      </c>
      <c r="K1742" s="535"/>
      <c r="L1742" s="535"/>
      <c r="M1742" s="537"/>
      <c r="N1742" s="43" t="str">
        <f t="shared" si="346"/>
        <v/>
      </c>
      <c r="O1742" s="260" t="str">
        <f t="shared" si="347"/>
        <v/>
      </c>
      <c r="P1742" s="781"/>
      <c r="Q1742" s="782"/>
      <c r="R1742" s="767"/>
      <c r="S1742" s="768"/>
      <c r="T1742" s="538"/>
      <c r="U1742" s="539"/>
      <c r="V1742" s="540"/>
      <c r="X1742" s="541"/>
      <c r="Y1742" s="541"/>
    </row>
    <row r="1743" spans="1:29" s="44" customFormat="1" ht="24.95" customHeight="1">
      <c r="A1743" s="42" t="str">
        <f>"I"&amp;E1731</f>
        <v>I58</v>
      </c>
      <c r="B1743" s="605" t="str">
        <f t="shared" si="348"/>
        <v/>
      </c>
      <c r="C1743" s="581"/>
      <c r="D1743" s="581"/>
      <c r="E1743" s="581"/>
      <c r="F1743" s="581"/>
      <c r="G1743" s="534"/>
      <c r="H1743" s="534"/>
      <c r="I1743" s="579"/>
      <c r="J1743" s="580" t="str">
        <f>IF(I1743="","",IF(I1743="I",$F1731,VLOOKUP(I1743,$C1752:$D1757,2,0)))</f>
        <v/>
      </c>
      <c r="K1743" s="535"/>
      <c r="L1743" s="535"/>
      <c r="M1743" s="537"/>
      <c r="N1743" s="43" t="str">
        <f t="shared" si="346"/>
        <v/>
      </c>
      <c r="O1743" s="260" t="str">
        <f t="shared" si="347"/>
        <v/>
      </c>
      <c r="P1743" s="781"/>
      <c r="Q1743" s="782"/>
      <c r="R1743" s="767"/>
      <c r="S1743" s="768"/>
      <c r="T1743" s="538"/>
      <c r="U1743" s="539"/>
      <c r="V1743" s="540"/>
      <c r="X1743" s="541"/>
      <c r="Y1743" s="541"/>
    </row>
    <row r="1744" spans="1:29" s="44" customFormat="1" ht="24.95" customHeight="1" thickBot="1">
      <c r="A1744" s="42" t="str">
        <f>"J"&amp;E1731</f>
        <v>J58</v>
      </c>
      <c r="B1744" s="612" t="str">
        <f t="shared" si="348"/>
        <v/>
      </c>
      <c r="C1744" s="582"/>
      <c r="D1744" s="582"/>
      <c r="E1744" s="582"/>
      <c r="F1744" s="582"/>
      <c r="G1744" s="583"/>
      <c r="H1744" s="583"/>
      <c r="I1744" s="584"/>
      <c r="J1744" s="585" t="str">
        <f>IF(I1744="","",IF(I1744="I",$F1731,VLOOKUP(I1744,$C1752:$D1757,2,0)))</f>
        <v/>
      </c>
      <c r="K1744" s="586"/>
      <c r="L1744" s="586"/>
      <c r="M1744" s="587"/>
      <c r="N1744" s="43" t="str">
        <f t="shared" si="346"/>
        <v/>
      </c>
      <c r="O1744" s="260" t="str">
        <f t="shared" si="347"/>
        <v/>
      </c>
      <c r="P1744" s="781"/>
      <c r="Q1744" s="782"/>
      <c r="R1744" s="767"/>
      <c r="S1744" s="768"/>
      <c r="T1744" s="538"/>
      <c r="U1744" s="539"/>
      <c r="V1744" s="540"/>
      <c r="X1744" s="541"/>
      <c r="Y1744" s="541"/>
    </row>
    <row r="1745" spans="1:29" s="27" customFormat="1" ht="12" customHeight="1" thickBot="1">
      <c r="A1745" s="42"/>
      <c r="B1745" s="45"/>
      <c r="C1745" s="46"/>
      <c r="D1745" s="46"/>
      <c r="E1745" s="46"/>
      <c r="F1745" s="46"/>
      <c r="G1745" s="46"/>
      <c r="H1745" s="606"/>
      <c r="I1745" s="46"/>
      <c r="J1745" s="46"/>
      <c r="K1745" s="46"/>
      <c r="L1745" s="46"/>
      <c r="M1745" s="46"/>
      <c r="N1745" s="46"/>
      <c r="O1745" s="259"/>
      <c r="P1745" s="46"/>
      <c r="Q1745" s="46"/>
      <c r="R1745" s="259"/>
      <c r="S1745" s="46"/>
      <c r="T1745" s="46"/>
      <c r="U1745" s="47"/>
      <c r="V1745" s="48"/>
      <c r="X1745" s="592"/>
      <c r="Y1745" s="593"/>
      <c r="AB1745" s="378"/>
    </row>
    <row r="1746" spans="1:29" s="27" customFormat="1" ht="17.25" customHeight="1" thickBot="1">
      <c r="A1746" s="42" t="str">
        <f>"Z"&amp;E1731</f>
        <v>Z58</v>
      </c>
      <c r="B1746" s="510"/>
      <c r="C1746" s="511"/>
      <c r="D1746" s="511"/>
      <c r="E1746" s="511"/>
      <c r="F1746" s="511"/>
      <c r="G1746" s="511"/>
      <c r="H1746" s="511"/>
      <c r="I1746" s="511"/>
      <c r="J1746" s="511"/>
      <c r="K1746" s="511"/>
      <c r="L1746" s="511"/>
      <c r="M1746" s="511"/>
      <c r="N1746" s="437" t="s">
        <v>388</v>
      </c>
      <c r="O1746" s="438">
        <f>IF(COUNTIF(O1735:O1744,"")&gt;9,0,SUM(O1735:O1744)/(COUNTIF(H1735:H1744,"SI")))</f>
        <v>294.642</v>
      </c>
      <c r="P1746" s="511"/>
      <c r="Q1746" s="511"/>
      <c r="R1746" s="530"/>
      <c r="S1746" s="530"/>
      <c r="T1746" s="531"/>
      <c r="U1746" s="532"/>
      <c r="V1746" s="533"/>
      <c r="W1746" s="285"/>
      <c r="X1746" s="613" t="e">
        <f>COUNTIF(#REF!,"")-COUNTIF(#REF!,"CUMPLE")-1</f>
        <v>#REF!</v>
      </c>
      <c r="Y1746" s="591"/>
      <c r="AB1746" s="28"/>
    </row>
    <row r="1747" spans="1:29" ht="17.25" customHeight="1">
      <c r="B1747" s="50"/>
      <c r="C1747" s="50"/>
      <c r="D1747" s="50"/>
      <c r="E1747" s="50"/>
      <c r="F1747" s="50"/>
      <c r="G1747" s="51"/>
      <c r="H1747" s="51"/>
      <c r="I1747" s="51"/>
      <c r="J1747" s="51"/>
      <c r="K1747" s="51"/>
      <c r="L1747" s="51"/>
      <c r="M1747" s="51"/>
      <c r="N1747" s="51"/>
      <c r="O1747" s="51"/>
      <c r="P1747" s="51"/>
      <c r="Q1747" s="51"/>
      <c r="R1747" s="51"/>
      <c r="S1747" s="51"/>
      <c r="T1747" s="51"/>
      <c r="U1747" s="51"/>
      <c r="V1747" s="51"/>
      <c r="W1747" s="51"/>
      <c r="X1747" s="608"/>
      <c r="Y1747" s="51"/>
      <c r="Z1747" s="51"/>
      <c r="AA1747" s="51"/>
      <c r="AB1747" s="51"/>
      <c r="AC1747" s="50"/>
    </row>
    <row r="1748" spans="1:29" s="27" customFormat="1" ht="16.5" customHeight="1" thickBot="1">
      <c r="A1748" s="22"/>
      <c r="B1748" s="783" t="s">
        <v>389</v>
      </c>
      <c r="C1748" s="783"/>
      <c r="D1748" s="783"/>
      <c r="E1748" s="783"/>
      <c r="F1748" s="783"/>
      <c r="G1748" s="783"/>
      <c r="H1748" s="783"/>
      <c r="I1748" s="783"/>
      <c r="J1748" s="783"/>
      <c r="K1748" s="783"/>
      <c r="L1748" s="783"/>
      <c r="M1748" s="783"/>
      <c r="N1748" s="783"/>
      <c r="O1748" s="783"/>
      <c r="P1748" s="783"/>
      <c r="Q1748" s="783"/>
      <c r="R1748" s="783"/>
      <c r="S1748" s="783"/>
      <c r="T1748" s="783"/>
      <c r="U1748" s="783"/>
      <c r="V1748" s="783"/>
      <c r="W1748" s="286"/>
      <c r="X1748" s="607"/>
      <c r="Y1748" s="52"/>
      <c r="Z1748" s="52"/>
      <c r="AA1748" s="52"/>
      <c r="AB1748" s="28"/>
      <c r="AC1748" s="28"/>
    </row>
    <row r="1749" spans="1:29" s="30" customFormat="1" ht="22.5" customHeight="1">
      <c r="A1749" s="112" t="str">
        <f>"K"&amp;E1731</f>
        <v>K58</v>
      </c>
      <c r="B1749" s="790" t="s">
        <v>390</v>
      </c>
      <c r="C1749" s="772" t="s">
        <v>391</v>
      </c>
      <c r="D1749" s="773"/>
      <c r="E1749" s="773"/>
      <c r="F1749" s="773"/>
      <c r="G1749" s="773"/>
      <c r="H1749" s="773"/>
      <c r="I1749" s="773"/>
      <c r="J1749" s="773"/>
      <c r="K1749" s="773"/>
      <c r="L1749" s="773"/>
      <c r="M1749" s="774"/>
      <c r="N1749" s="525"/>
      <c r="O1749" s="588"/>
      <c r="P1749" s="772" t="s">
        <v>392</v>
      </c>
      <c r="Q1749" s="773"/>
      <c r="R1749" s="773"/>
      <c r="S1749" s="774"/>
      <c r="T1749" s="784" t="s">
        <v>393</v>
      </c>
      <c r="U1749" s="774"/>
      <c r="V1749" s="811"/>
      <c r="W1749" s="284"/>
      <c r="X1749" s="778" t="s">
        <v>394</v>
      </c>
      <c r="Y1749" s="779"/>
      <c r="Z1749" s="779"/>
      <c r="AA1749" s="779" t="s">
        <v>395</v>
      </c>
      <c r="AB1749" s="808" t="s">
        <v>396</v>
      </c>
      <c r="AC1749" s="28"/>
    </row>
    <row r="1750" spans="1:29" s="30" customFormat="1" ht="22.5" customHeight="1">
      <c r="A1750" s="112" t="str">
        <f>"L"&amp;E1731</f>
        <v>L58</v>
      </c>
      <c r="B1750" s="791"/>
      <c r="C1750" s="769" t="s">
        <v>397</v>
      </c>
      <c r="D1750" s="770"/>
      <c r="E1750" s="771"/>
      <c r="F1750" s="512">
        <f>IF(VLOOKUP(E1731,PROPONENTES!$C$19:$E$108,3,0)="","",VLOOKUP(E1731,PROPONENTES!$C$19:$E$108,3,0))</f>
        <v>1</v>
      </c>
      <c r="G1750" s="824" t="s">
        <v>398</v>
      </c>
      <c r="H1750" s="793" t="s">
        <v>399</v>
      </c>
      <c r="I1750" s="793"/>
      <c r="J1750" s="769" t="s">
        <v>400</v>
      </c>
      <c r="K1750" s="823"/>
      <c r="L1750" s="513" t="s">
        <v>401</v>
      </c>
      <c r="M1750" s="513"/>
      <c r="N1750" s="526"/>
      <c r="O1750" s="527"/>
      <c r="P1750" s="775"/>
      <c r="Q1750" s="776"/>
      <c r="R1750" s="776"/>
      <c r="S1750" s="777"/>
      <c r="T1750" s="796"/>
      <c r="U1750" s="797"/>
      <c r="V1750" s="812"/>
      <c r="W1750" s="284"/>
      <c r="X1750" s="780" t="s">
        <v>402</v>
      </c>
      <c r="Y1750" s="810" t="s">
        <v>403</v>
      </c>
      <c r="Z1750" s="810"/>
      <c r="AA1750" s="810"/>
      <c r="AB1750" s="809"/>
      <c r="AC1750" s="28"/>
    </row>
    <row r="1751" spans="1:29" s="30" customFormat="1" ht="51.75" customHeight="1" thickBot="1">
      <c r="A1751" s="112" t="str">
        <f>"M"&amp;E1731</f>
        <v>M58</v>
      </c>
      <c r="B1751" s="791"/>
      <c r="C1751" s="770" t="s">
        <v>404</v>
      </c>
      <c r="D1751" s="771"/>
      <c r="E1751" s="514" t="s">
        <v>405</v>
      </c>
      <c r="F1751" s="515" t="s">
        <v>406</v>
      </c>
      <c r="G1751" s="824"/>
      <c r="H1751" s="793"/>
      <c r="I1751" s="793"/>
      <c r="J1751" s="504" t="s">
        <v>407</v>
      </c>
      <c r="K1751" s="516" t="s">
        <v>408</v>
      </c>
      <c r="L1751" s="517" t="s">
        <v>409</v>
      </c>
      <c r="M1751" s="517"/>
      <c r="N1751" s="528" t="s">
        <v>410</v>
      </c>
      <c r="O1751" s="529"/>
      <c r="P1751" s="386"/>
      <c r="Q1751" s="387" t="s">
        <v>411</v>
      </c>
      <c r="R1751" s="388"/>
      <c r="S1751" s="113">
        <f>COUNTIFS(H1735:H1744,"SI",O1735:O1744,"&gt;0")</f>
        <v>1</v>
      </c>
      <c r="T1751" s="785"/>
      <c r="U1751" s="787"/>
      <c r="V1751" s="813"/>
      <c r="W1751" s="284"/>
      <c r="X1751" s="780"/>
      <c r="Y1751" s="810"/>
      <c r="Z1751" s="810"/>
      <c r="AA1751" s="810"/>
      <c r="AB1751" s="809"/>
      <c r="AC1751" s="28"/>
    </row>
    <row r="1752" spans="1:29" s="30" customFormat="1" ht="15.75" customHeight="1">
      <c r="A1752" s="112" t="str">
        <f>"N"&amp;E1731</f>
        <v>N58</v>
      </c>
      <c r="B1752" s="791"/>
      <c r="C1752" s="54">
        <v>1</v>
      </c>
      <c r="D1752" s="100" t="str">
        <f>IF(AND(C1752&lt;=F1750,F1750&gt;1,F1750&lt;&gt;""),VLOOKUP(VALUE(E1731&amp;","&amp;C1752),INTEGRANTES!$D$19:$F$192,2,0),"")</f>
        <v/>
      </c>
      <c r="E1752" s="107" t="str">
        <f>IF(D1752&lt;&gt;"",VLOOKUP(VALUE(E1731&amp;","&amp;C1752),INTEGRANTES!$D$19:$F$192,3,0),"")</f>
        <v/>
      </c>
      <c r="F1752" s="380" t="str">
        <f>IF(D1752="","",IF(OR(SUMIF($J1738:$J1744,D1752,$O1738:$O1744)=0,N1752="NO"),"NO APORTA",SUMIF($J1738:$J1744,D1752,$O1738:$O1744)))</f>
        <v/>
      </c>
      <c r="G1752" s="380" t="str">
        <f>IF($D1752="","",IF($F1750&lt;=1,"",ROUND(POSMMLV*PORPO,2)))</f>
        <v/>
      </c>
      <c r="H1752" s="765" t="str">
        <f>IF($D1752="","",IF(OR(F1752="NO APORTA",G1752&gt;F1752),"NO CUMPLE","CUMPLE"))</f>
        <v/>
      </c>
      <c r="I1752" s="766"/>
      <c r="J1752" s="108" t="str">
        <f>IF(D1752="","",IF(OR(AND(SUMIF($J1735:$J1744,D1752,$O1735:$O1744)&gt;=5%*POSMMLV,N1752="SI"),AND(SUMIF($J1735:$J1744,D1752,$O1735:$O1744)=0,E1752&lt;=5%,N1752="SI")),"CUMPLE","NO CUMPLE"))</f>
        <v/>
      </c>
      <c r="K1752" s="105" t="str">
        <f>IF(OR(D1752="",J1752=""),"",IF(AND(J1752="NO CUMPLE",F1752="NO APORTA",E1752&gt;5%),"EXP = 0 y PART &gt; 5%",IF(F1752&lt;5%*Q1757,"EXP &lt; 5%*PO","")))</f>
        <v/>
      </c>
      <c r="L1752" s="389" t="str">
        <f>IF(OR(D1752="",E1752=""),"",IF(AND(E1752&gt;=0.25,F1752&lt;&gt;"NO APORTA",F1752&gt;=$R1757*0.25),"SI","NO"))</f>
        <v/>
      </c>
      <c r="M1752" s="389"/>
      <c r="N1752" s="468" t="s">
        <v>385</v>
      </c>
      <c r="O1752" s="396">
        <f>COUNTIFS(O1735:O1744,"&gt;0",H1735:H1744,"SI")</f>
        <v>1</v>
      </c>
      <c r="P1752" s="814" t="s">
        <v>139</v>
      </c>
      <c r="Q1752" s="814"/>
      <c r="R1752" s="817">
        <f>E1731</f>
        <v>58</v>
      </c>
      <c r="S1752" s="818"/>
      <c r="T1752" s="784" t="s">
        <v>412</v>
      </c>
      <c r="U1752" s="773"/>
      <c r="V1752" s="774"/>
      <c r="W1752" s="283"/>
      <c r="X1752" s="542" t="str">
        <f>IF($F1750=1,"NO APLICA",$D1752)</f>
        <v>NO APLICA</v>
      </c>
      <c r="Y1752" s="543" t="str">
        <f>IF(OR($F1752="",$F1752="NO APORTA",$R1757=0,$X1752="NO APLICA"),"",ROUND($F1752/$Q1757,2))</f>
        <v/>
      </c>
      <c r="Z1752" s="544" t="str">
        <f>IF(Y1758=1,"SI APLICA",IF(OR($X1752="",$X1752="NO APLICA",$F1752="",$F1752="NO APORTA"),"",IF(ROUND($F1752/Q1757,7)&gt;=0.4,"SI APLICA","NO APLICA")))</f>
        <v>SI APLICA</v>
      </c>
      <c r="AA1752" s="543" t="s">
        <v>413</v>
      </c>
      <c r="AB1752" s="540" t="str">
        <f>IF(COUNTIF(Z1752:AA1752,"SI APLICA")=2,"SI APLICA","")</f>
        <v>SI APLICA</v>
      </c>
      <c r="AC1752" s="28"/>
    </row>
    <row r="1753" spans="1:29" s="30" customFormat="1" ht="15.75" customHeight="1" thickBot="1">
      <c r="A1753" s="112" t="str">
        <f>"O"&amp;E1731</f>
        <v>O58</v>
      </c>
      <c r="B1753" s="791"/>
      <c r="C1753" s="54">
        <v>2</v>
      </c>
      <c r="D1753" s="100" t="str">
        <f>IF(AND(C1753&lt;=F1750,F1750&lt;&gt;""),VLOOKUP(VALUE(E1731&amp;","&amp;C1753),INTEGRANTES!$D$19:$F$192,2,0),"")</f>
        <v/>
      </c>
      <c r="E1753" s="107" t="str">
        <f>IF(D1753&lt;&gt;"",VLOOKUP(VALUE(E1731&amp;","&amp;C1753),INTEGRANTES!$D$19:$F$192,3,0),"")</f>
        <v/>
      </c>
      <c r="F1753" s="380" t="str">
        <f>IF(D1753="","",IF(OR(SUMIF($J1738:$J1744,D1753,$O1738:$O1744)=0,N1753="NO"),"NO APORTA",SUMIF($J1738:$J1744,D1753,$O1738:$O1744)))</f>
        <v/>
      </c>
      <c r="G1753" s="380" t="str">
        <f>IF($D1753="","",IF($F1750&lt;=1,"",ROUND(POSMMLV*PORPO,2)))</f>
        <v/>
      </c>
      <c r="H1753" s="765" t="str">
        <f t="shared" ref="H1753:H1756" si="349">IF($D1753="","",IF(OR(F1753="NO APORTA",G1753&gt;F1753),"NO CUMPLE","CUMPLE"))</f>
        <v/>
      </c>
      <c r="I1753" s="766"/>
      <c r="J1753" s="108" t="str">
        <f>IF(D1753="","",IF(OR(AND(SUMIF($J1735:$J1744,D1753,$O1735:$O1744)&gt;=5%*POSMMLV,N1753="SI"),AND(SUMIF($J1735:$J1744,D1753,$O1735:$O1744)=0,E1753&lt;=5%,N1753="SI")),"CUMPLE","NO CUMPLE"))</f>
        <v/>
      </c>
      <c r="K1753" s="105" t="str">
        <f>IF(OR(D1753="",J1753=""),"",IF(AND(J1753="NO CUMPLE",F1753="NO APORTA",E1753&gt;5%),"EXP = 0 y PART &gt; 5%",IF(F1753&lt;5%*Q1757,"EXP &lt; 5%*PO","")))</f>
        <v/>
      </c>
      <c r="L1753" s="389" t="str">
        <f>IF(OR(D1753="",E1753=""),"",IF(AND(E1753&gt;=0.25,F1753&lt;&gt;"NO APORTA",F1753&gt;=$R1757*0.25),"SI","NO"))</f>
        <v/>
      </c>
      <c r="M1753" s="389"/>
      <c r="N1753" s="468" t="s">
        <v>385</v>
      </c>
      <c r="O1753" s="396"/>
      <c r="P1753" s="815"/>
      <c r="Q1753" s="815"/>
      <c r="R1753" s="815"/>
      <c r="S1753" s="819"/>
      <c r="T1753" s="785"/>
      <c r="U1753" s="786"/>
      <c r="V1753" s="787"/>
      <c r="W1753" s="283"/>
      <c r="X1753" s="542" t="str">
        <f>IF($F1750=1,"NO APLICA",$D1753)</f>
        <v>NO APLICA</v>
      </c>
      <c r="Y1753" s="543" t="str">
        <f>IF(OR($F1753="",$F1753="NO APORTA",$R1757=0,$X1753="NO APLICA"),"",ROUND($F1753/$Q1757,2))</f>
        <v/>
      </c>
      <c r="Z1753" s="544"/>
      <c r="AA1753" s="543"/>
      <c r="AB1753" s="540" t="str">
        <f t="shared" ref="AB1753" si="350">IF(COUNTIF(Z1753:AA1753,"SI APLICA")=2,"SI APLICA","")</f>
        <v/>
      </c>
      <c r="AC1753" s="28"/>
    </row>
    <row r="1754" spans="1:29" s="30" customFormat="1" ht="15.75" customHeight="1">
      <c r="A1754" s="112" t="str">
        <f>"P"&amp;E1731</f>
        <v>P58</v>
      </c>
      <c r="B1754" s="791"/>
      <c r="C1754" s="54">
        <v>3</v>
      </c>
      <c r="D1754" s="100" t="str">
        <f>IF(AND(C1754&lt;=F1750,F1750&lt;&gt;""),VLOOKUP(VALUE(E1731&amp;","&amp;C1754),INTEGRANTES!$D$19:$F$192,2,0),"")</f>
        <v/>
      </c>
      <c r="E1754" s="107" t="str">
        <f>IF(D1754&lt;&gt;"",VLOOKUP(VALUE(E1731&amp;","&amp;C1754),INTEGRANTES!$D$19:$F$192,3,0),"")</f>
        <v/>
      </c>
      <c r="F1754" s="380" t="str">
        <f>IF(D1754="","",IF(OR(SUMIF($J1738:$J1744,D1754,$O1738:$O1744)=0,N1754="NO"),"NO APORTA",SUMIF($J1738:$J1744,D1754,$O1738:$O1744)))</f>
        <v/>
      </c>
      <c r="G1754" s="380" t="str">
        <f>IF($D1754="","",IF($F1750&lt;=1,"",ROUND(POSMMLV*PORPO,2)))</f>
        <v/>
      </c>
      <c r="H1754" s="765" t="str">
        <f t="shared" si="349"/>
        <v/>
      </c>
      <c r="I1754" s="766"/>
      <c r="J1754" s="108" t="str">
        <f>IF(D1754="","",IF(OR(AND(SUMIF($J1735:$J1744,D1754,$O1735:$O1744)&gt;=5%*POSMMLV,N1754="SI"),AND(SUMIF($J1735:$J1744,D1754,$O1735:$O1744)=0,E1754&lt;=5%,N1754="SI")),"CUMPLE","NO CUMPLE"))</f>
        <v/>
      </c>
      <c r="K1754" s="105" t="str">
        <f>IF(OR(D1754="",J1754=""),"",IF(AND(J1754="NO CUMPLE",F1754="NO APORTA",E1754&gt;5%),"EXP = 0 y PART &gt; 5%",IF(F1754&lt;5%*Q1757,"EXP &lt; 5%*PO","")))</f>
        <v/>
      </c>
      <c r="L1754" s="389" t="str">
        <f>IF(OR(D1754="",E1754=""),"",IF(AND(E1754&gt;=0.25,F1754&lt;&gt;"NO APORTA",F1754&gt;=$R1757*0.25),"SI","NO"))</f>
        <v/>
      </c>
      <c r="M1754" s="389"/>
      <c r="N1754" s="468"/>
      <c r="O1754" s="397"/>
      <c r="P1754" s="816"/>
      <c r="Q1754" s="816"/>
      <c r="R1754" s="816"/>
      <c r="S1754" s="820"/>
      <c r="T1754" s="308"/>
      <c r="U1754" s="308"/>
      <c r="V1754" s="309"/>
      <c r="W1754" s="284"/>
      <c r="X1754" s="542" t="str">
        <f>IF($F1750=1,"NO APLICA",$D1754)</f>
        <v>NO APLICA</v>
      </c>
      <c r="Y1754" s="543" t="str">
        <f>IF(OR($F1754="",$F1754="NO APORTA",$R1757=0,$X1754="NO APLICA"),"",ROUND($F1754/$Q1757,2))</f>
        <v/>
      </c>
      <c r="Z1754" s="544"/>
      <c r="AA1754" s="543"/>
      <c r="AB1754" s="540" t="str">
        <f>IF(COUNTIF(Z1754:AA1754,"SI APLICA")=2,"SI APLICA","")</f>
        <v/>
      </c>
      <c r="AC1754" s="28"/>
    </row>
    <row r="1755" spans="1:29" s="30" customFormat="1" ht="15.75" customHeight="1">
      <c r="A1755" s="112" t="str">
        <f>"Q"&amp;E1731</f>
        <v>Q58</v>
      </c>
      <c r="B1755" s="791"/>
      <c r="C1755" s="54">
        <v>4</v>
      </c>
      <c r="D1755" s="100" t="str">
        <f>IF(AND(C1755&lt;=F1750,F1750&lt;&gt;""),VLOOKUP(VALUE(E1731&amp;","&amp;C1755),INTEGRANTES!$D$19:$F$192,2,0),"")</f>
        <v/>
      </c>
      <c r="E1755" s="107" t="str">
        <f>IF(D1755&lt;&gt;"",VLOOKUP(VALUE(E1731&amp;","&amp;C1755),INTEGRANTES!$D$19:$F$192,3,0),"")</f>
        <v/>
      </c>
      <c r="F1755" s="380" t="str">
        <f>IF(D1755="","",IF(OR(SUMIF($J1738:$J1744,D1755,$O1738:$O1744)=0,N1755="NO"),"NO APORTA",SUMIF($J1738:$J1744,D1755,$O1738:$O1744)))</f>
        <v/>
      </c>
      <c r="G1755" s="380" t="str">
        <f>IF($D1755="","",IF($F1750&lt;=1,"",ROUND(POSMMLV*PORPO,2)))</f>
        <v/>
      </c>
      <c r="H1755" s="765" t="str">
        <f t="shared" si="349"/>
        <v/>
      </c>
      <c r="I1755" s="766"/>
      <c r="J1755" s="108" t="str">
        <f>IF(D1755="","",IF(OR(AND(SUMIF($J1735:$J1744,D1755,$O1735:$O1744)&gt;=5%*POSMMLV,N1755="SI"),AND(SUMIF($J1735:$J1744,D1755,$O1735:$O1744)=0,E1755&lt;=5%,N1755="SI")),"CUMPLE","NO CUMPLE"))</f>
        <v/>
      </c>
      <c r="K1755" s="105" t="str">
        <f>IF(OR(D1755="",J1755=""),"",IF(AND(J1755="NO CUMPLE",F1755="NO APORTA",E1755&gt;5%),"EXP = 0 y PART &gt; 5%",IF(F1755&lt;5%*Q1757,"EXP &lt; 5%*PO","")))</f>
        <v/>
      </c>
      <c r="L1755" s="389" t="str">
        <f>IF(OR(D1755="",E1755=""),"",IF(AND(E1755&gt;=0.25,F1755&lt;&gt;"NO APORTA",F1755&gt;=$R1757*0.25),"SI","NO"))</f>
        <v/>
      </c>
      <c r="M1755" s="389"/>
      <c r="N1755" s="468"/>
      <c r="O1755" s="788" t="s">
        <v>414</v>
      </c>
      <c r="P1755" s="769" t="s">
        <v>415</v>
      </c>
      <c r="Q1755" s="770"/>
      <c r="R1755" s="770"/>
      <c r="S1755" s="771"/>
      <c r="T1755" s="284"/>
      <c r="U1755" s="284"/>
      <c r="V1755" s="310"/>
      <c r="W1755" s="284"/>
      <c r="X1755" s="542" t="str">
        <f>IF($F1750=1,"NO APLICA",$D1755)</f>
        <v>NO APLICA</v>
      </c>
      <c r="Y1755" s="543" t="str">
        <f>IF(OR($F1755="",$F1755="NO APORTA",$R1757=0,$X1755="NO APLICA"),"",ROUND($F1755/$Q1757,2))</f>
        <v/>
      </c>
      <c r="Z1755" s="544"/>
      <c r="AA1755" s="543"/>
      <c r="AB1755" s="540" t="str">
        <f t="shared" ref="AB1755:AB1756" si="351">IF(COUNTIF(Z1755:AA1755,"SI APLICA")=2,"SI APLICA","")</f>
        <v/>
      </c>
      <c r="AC1755" s="28"/>
    </row>
    <row r="1756" spans="1:29" s="30" customFormat="1" ht="28.5" customHeight="1">
      <c r="A1756" s="112" t="str">
        <f>"R"&amp;E1731</f>
        <v>R58</v>
      </c>
      <c r="B1756" s="791"/>
      <c r="C1756" s="54">
        <v>5</v>
      </c>
      <c r="D1756" s="100" t="str">
        <f>IF(AND(C1756&lt;=F1750,F1750&lt;&gt;""),VLOOKUP(VALUE(E1731&amp;","&amp;C1756),INTEGRANTES!$D$19:$F$192,2,0),"")</f>
        <v/>
      </c>
      <c r="E1756" s="107" t="str">
        <f>IF(D1756&lt;&gt;"",VLOOKUP(VALUE(E1731&amp;","&amp;C1756),INTEGRANTES!$D$19:$F$192,3,0),"")</f>
        <v/>
      </c>
      <c r="F1756" s="380" t="str">
        <f>IF(D1756="","",IF(OR(SUMIF($J1738:$J1744,D1756,$O1738:$O1744)=0,N1756="NO"),"NO APORTA",SUMIF($J1738:$J1744,D1756,$O1738:$O1744)))</f>
        <v/>
      </c>
      <c r="G1756" s="380" t="str">
        <f>IF($D1756="","",IF($F1750&lt;=1,"",ROUND(POSMMLV*PORPO,2)))</f>
        <v/>
      </c>
      <c r="H1756" s="765" t="str">
        <f t="shared" si="349"/>
        <v/>
      </c>
      <c r="I1756" s="766"/>
      <c r="J1756" s="108" t="str">
        <f>IF(D1756="","",IF(OR(AND(SUMIF($J1735:$J1744,D1756,$O1735:$O1744)&gt;=5%*POSMMLV,N1756="SI"),AND(SUMIF($J1735:$J1744,D1756,$O1735:$O1744)=0,E1756&lt;=5%,N1756="SI")),"CUMPLE","NO CUMPLE"))</f>
        <v/>
      </c>
      <c r="K1756" s="105" t="str">
        <f>IF(OR(D1756="",J1756=""),"",IF(AND(J1756="NO CUMPLE",F1756="NO APORTA",E1756&gt;5%),"EXP = 0 y PART &gt; 5%",IF(F1756&lt;5%*Q1757,"EXP &lt; 5%*PO","")))</f>
        <v/>
      </c>
      <c r="L1756" s="389" t="str">
        <f>IF(OR(D1756="",E1756=""),"",IF(AND(E1756&gt;=0.25,F1756&lt;&gt;"NO APORTA",F1756&gt;=$R1757*0.25),"SI","NO"))</f>
        <v/>
      </c>
      <c r="M1756" s="389"/>
      <c r="N1756" s="468"/>
      <c r="O1756" s="789"/>
      <c r="P1756" s="504" t="s">
        <v>416</v>
      </c>
      <c r="Q1756" s="504" t="s">
        <v>417</v>
      </c>
      <c r="R1756" s="793" t="s">
        <v>418</v>
      </c>
      <c r="S1756" s="793"/>
      <c r="T1756" s="284"/>
      <c r="U1756" s="284"/>
      <c r="V1756" s="310"/>
      <c r="W1756" s="284"/>
      <c r="X1756" s="542" t="str">
        <f>IF($F1750=1,"NO APLICA",$D1756)</f>
        <v>NO APLICA</v>
      </c>
      <c r="Y1756" s="543" t="str">
        <f>IF(OR($F1756="",$F1756="NO APORTA",$R1757=0,$X1756="NO APLICA"),"",ROUND($F1756/$Q1757,2))</f>
        <v/>
      </c>
      <c r="Z1756" s="544"/>
      <c r="AA1756" s="543"/>
      <c r="AB1756" s="540" t="str">
        <f t="shared" si="351"/>
        <v/>
      </c>
      <c r="AC1756" s="28"/>
    </row>
    <row r="1757" spans="1:29" s="30" customFormat="1" ht="16.5" customHeight="1" thickBot="1">
      <c r="A1757" s="112" t="str">
        <f>"S"&amp;E1731</f>
        <v>S58</v>
      </c>
      <c r="B1757" s="791"/>
      <c r="C1757" s="109">
        <v>6</v>
      </c>
      <c r="D1757" s="110" t="str">
        <f>IF(AND(C1757&lt;=F1750,F1750&lt;&gt;""),VLOOKUP(VALUE(E1731&amp;","&amp;C1757),INTEGRANTES!$D$19:$F$192,2,0),"")</f>
        <v/>
      </c>
      <c r="E1757" s="111" t="str">
        <f>IF(D1757&lt;&gt;"",VLOOKUP(VALUE(E1731&amp;","&amp;C1757),INTEGRANTES!$D$19:$F$192,3,0),"")</f>
        <v/>
      </c>
      <c r="F1757" s="380" t="str">
        <f>IF(D1757="","",IF(OR(SUMIF($J1738:$J1744,D1757,$O1738:$O1744)=0,N1757="NO"),"NO APORTA",SUMIF($J1738:$J1744,D1757,$O1738:$O1744)))</f>
        <v/>
      </c>
      <c r="G1757" s="380" t="str">
        <f>IF($D1757="","",IF($F1750&lt;=1,"",ROUND(POSMMLV*PORPO,2)))</f>
        <v/>
      </c>
      <c r="H1757" s="765" t="str">
        <f>IF($D1757="","",IF(OR(F1757="NO APORTA",G1757&gt;F1757),"NO CUMPLE","CUMPLE"))</f>
        <v/>
      </c>
      <c r="I1757" s="766"/>
      <c r="J1757" s="108" t="str">
        <f>IF(D1757="","",IF(OR(AND(SUMIF($J1735:$J1744,D1757,$O1735:$O1744)&gt;=5%*POSMMLV,N1757="SI"),AND(SUMIF($J1735:$J1744,D1757,$O1735:$O1744)=0,E1757&lt;=5%,N1757="SI")),"CUMPLE","NO CUMPLE"))</f>
        <v/>
      </c>
      <c r="K1757" s="105" t="str">
        <f>IF(OR(D1757="",J1757=""),"",IF(AND(J1757="NO CUMPLE",F1757="NO APORTA",E1757&gt;5%),"EXP = 0 y PART &gt; 5%",IF(F1757&lt;5%*Q1757,"EXP &lt; 5%*PO","")))</f>
        <v/>
      </c>
      <c r="L1757" s="389" t="str">
        <f>IF(OR(D1757="",E1757=""),"",IF(AND(E1757&gt;=0.25,F1757&lt;&gt;"NO APORTA",F1757&gt;=$R1757*0.25),"SI","NO"))</f>
        <v/>
      </c>
      <c r="M1757" s="389"/>
      <c r="N1757" s="468"/>
      <c r="O1757" s="403" t="str">
        <f ca="1">IF(R1757&gt;=Q1757,"CUMPLE","NO CUMPLE")</f>
        <v>NO CUMPLE</v>
      </c>
      <c r="P1757" s="312">
        <f>NUMMOD</f>
        <v>1</v>
      </c>
      <c r="Q1757" s="313">
        <f ca="1">IF(P1757="","",ROUND(VLOOKUP(P1757,PRESUPUESTOS!$B$16:$L$16,9,FALSE),7))</f>
        <v>300</v>
      </c>
      <c r="R1757" s="834">
        <f>IF(OR(COUNTIF(O1735:O1744,"")&gt;9,S1751&lt;NUMMINCONT),0,SUM(O1735:O1744))</f>
        <v>294.642</v>
      </c>
      <c r="S1757" s="834"/>
      <c r="T1757" s="284"/>
      <c r="U1757" s="284"/>
      <c r="V1757" s="310"/>
      <c r="W1757" s="284"/>
      <c r="X1757" s="545" t="str">
        <f>IF($F1750=1,"NO APLICA",$D1757)</f>
        <v>NO APLICA</v>
      </c>
      <c r="Y1757" s="543" t="str">
        <f>IF(OR($F1757="",$F1757="NO APORTA",$R1757=0,$X1757="NO APLICA"),"",ROUND($F1757/$Q1757,2))</f>
        <v/>
      </c>
      <c r="Z1757" s="544"/>
      <c r="AA1757" s="546"/>
      <c r="AB1757" s="540" t="str">
        <f>IF(COUNTIF(Z1757:AA1757,"SI APLICA")=2,"SI APLICA","")</f>
        <v/>
      </c>
      <c r="AC1757" s="28"/>
    </row>
    <row r="1758" spans="1:29" s="30" customFormat="1" ht="16.5" customHeight="1" thickBot="1">
      <c r="A1758" s="112" t="str">
        <f>"T"&amp;E1731</f>
        <v>T58</v>
      </c>
      <c r="B1758" s="792"/>
      <c r="C1758" s="821" t="s">
        <v>419</v>
      </c>
      <c r="D1758" s="822"/>
      <c r="E1758" s="822"/>
      <c r="F1758" s="518"/>
      <c r="G1758" s="519"/>
      <c r="H1758" s="794" t="str">
        <f>IF(OR($F1750="",SUM(E1752:E1757)=0),"",IF(COUNTIF(H1752:H1757,"CUMPLE")&gt;=1,"CUMPLE","NO CUMPLE"))</f>
        <v/>
      </c>
      <c r="I1758" s="795"/>
      <c r="J1758" s="314" t="str">
        <f>IF(COUNTIF(J1752:J1757,"")&gt;5,"",IF(COUNTIF(J1752:J1757,"NO CUMPLE")&gt;0,"NO CUMPLE","CUMPLE"))</f>
        <v/>
      </c>
      <c r="K1758" s="314" t="str">
        <f>IF(OR(AND(F1750=1,N1752="SI"),AND(COUNTIF(H1758:J1758,"CUMPLE")=2)),"CUMPLE","NO CUMPLE")</f>
        <v>CUMPLE</v>
      </c>
      <c r="L1758" s="519"/>
      <c r="M1758" s="519"/>
      <c r="N1758" s="519"/>
      <c r="O1758" s="833" t="str">
        <f ca="1">IF(ISNUMBER(F1731),"",IF(AND(O1757="NO CUMPLE",SUM(N1738:N1744)&lt;Q1757),"EL PROPONENTE SE DEBE REQUERIR POR EXPERIENCIA MINIMA EXIGIDA",""))</f>
        <v>EL PROPONENTE SE DEBE REQUERIR POR EXPERIENCIA MINIMA EXIGIDA</v>
      </c>
      <c r="P1758" s="833"/>
      <c r="Q1758" s="833"/>
      <c r="R1758" s="833"/>
      <c r="S1758" s="833"/>
      <c r="T1758" s="522"/>
      <c r="U1758" s="523"/>
      <c r="V1758" s="524"/>
      <c r="W1758" s="284"/>
      <c r="X1758" s="364" t="str">
        <f>IF(Y1758=1,"PROPONENTE INDIVIDUAL","PROPONENTE PLURAL")</f>
        <v>PROPONENTE INDIVIDUAL</v>
      </c>
      <c r="Y1758" s="276">
        <f>F1750</f>
        <v>1</v>
      </c>
      <c r="Z1758" s="277" t="str">
        <f>IF(OR(AND(Z1752="SI APLICA",AA1752="SI APLICA"),AND(Z1753="SI APLICA",AA1753="SI APLICA"),AND(Z1754="SI APLICA",AA1754="SI APLICA"),AND(Z1755="SI APLICA",AA1755="SI APLICA"),AND(Z1756="SI APLICA",AA1756="SI APLICA"),AND(Z1757="SI APLICA",AA1757="SI APLICA")),"SI APLICA","NO APLICA")</f>
        <v>SI APLICA</v>
      </c>
      <c r="AA1758" s="278" t="str">
        <f>IF(OR(AND(AA1752="SI APLICA",AB1752="SI APLICA"),AND(AA1753="SI APLICA",AB1753="SI APLICA"),AND(AA1754="SI APLICA",AB1754="SI APLICA"),AND(AA1755="SI APLICA",AB1755="SI APLICA"),AND(AA1756="SI APLICA",AB1756="SI APLICA"),AND(AA1757="SI APLICA",AB1757="SI APLICA")),"SI APLICA","NO APLICA")</f>
        <v>SI APLICA</v>
      </c>
      <c r="AB1758" s="278" t="str">
        <f>IF(COUNTIF(AB1752:AB1757,"SI APLICA")&gt;0,"SI APLICA","NO APLICA")</f>
        <v>SI APLICA</v>
      </c>
      <c r="AC1758" s="28"/>
    </row>
    <row r="1759" spans="1:29" ht="24.95" customHeight="1"/>
    <row r="1760" spans="1:29" ht="24.95" customHeight="1"/>
    <row r="1761" spans="1:29" s="41" customFormat="1" ht="24" thickBot="1">
      <c r="A1761" s="34">
        <v>59</v>
      </c>
      <c r="B1761" s="828" t="s">
        <v>355</v>
      </c>
      <c r="C1761" s="828"/>
      <c r="D1761" s="828"/>
      <c r="E1761" s="35">
        <f>VLOOKUP(A1761,PROPONENTES!$B$19:$E$108,2,FALSE)</f>
        <v>59</v>
      </c>
      <c r="F1761" s="36" t="str">
        <f>VLOOKUP(A1761,PROPONENTES!$B$19:$E$108,3,FALSE)</f>
        <v>Consorcio JR</v>
      </c>
      <c r="G1761" s="37"/>
      <c r="H1761" s="37"/>
      <c r="I1761" s="36"/>
      <c r="J1761" s="36"/>
      <c r="K1761" s="36"/>
      <c r="L1761" s="36"/>
      <c r="M1761" s="38"/>
      <c r="N1761" s="38"/>
      <c r="O1761" s="37"/>
      <c r="P1761" s="37"/>
      <c r="Q1761" s="39"/>
      <c r="R1761" s="39"/>
      <c r="S1761" s="39"/>
      <c r="T1761" s="39"/>
      <c r="U1761" s="40"/>
      <c r="Y1761" s="52"/>
      <c r="Z1761" s="52"/>
      <c r="AA1761" s="52"/>
      <c r="AB1761" s="28"/>
      <c r="AC1761" s="28"/>
    </row>
    <row r="1762" spans="1:29" s="27" customFormat="1" ht="24.75" customHeight="1">
      <c r="A1762" s="22"/>
      <c r="B1762" s="829" t="s">
        <v>356</v>
      </c>
      <c r="C1762" s="501" t="s">
        <v>357</v>
      </c>
      <c r="D1762" s="502" t="s">
        <v>358</v>
      </c>
      <c r="E1762" s="502"/>
      <c r="F1762" s="502" t="s">
        <v>359</v>
      </c>
      <c r="G1762" s="503"/>
      <c r="H1762" s="803" t="s">
        <v>360</v>
      </c>
      <c r="I1762" s="831" t="s">
        <v>361</v>
      </c>
      <c r="J1762" s="803" t="s">
        <v>362</v>
      </c>
      <c r="K1762" s="803" t="s">
        <v>363</v>
      </c>
      <c r="L1762" s="803" t="s">
        <v>364</v>
      </c>
      <c r="M1762" s="803" t="s">
        <v>365</v>
      </c>
      <c r="N1762" s="804" t="s">
        <v>366</v>
      </c>
      <c r="O1762" s="805"/>
      <c r="P1762" s="806" t="s">
        <v>367</v>
      </c>
      <c r="Q1762" s="807"/>
      <c r="R1762" s="784" t="s">
        <v>368</v>
      </c>
      <c r="S1762" s="774"/>
      <c r="T1762" s="798" t="s">
        <v>369</v>
      </c>
      <c r="U1762" s="799"/>
      <c r="V1762" s="800"/>
      <c r="X1762" s="520"/>
      <c r="Y1762" s="520"/>
    </row>
    <row r="1763" spans="1:29" s="27" customFormat="1" ht="94.5" customHeight="1">
      <c r="A1763" s="22"/>
      <c r="B1763" s="830"/>
      <c r="C1763" s="504" t="s">
        <v>370</v>
      </c>
      <c r="D1763" s="505" t="s">
        <v>41</v>
      </c>
      <c r="E1763" s="505" t="s">
        <v>371</v>
      </c>
      <c r="F1763" s="505" t="s">
        <v>372</v>
      </c>
      <c r="G1763" s="506" t="s">
        <v>373</v>
      </c>
      <c r="H1763" s="793"/>
      <c r="I1763" s="832"/>
      <c r="J1763" s="793"/>
      <c r="K1763" s="793"/>
      <c r="L1763" s="793"/>
      <c r="M1763" s="793"/>
      <c r="N1763" s="504" t="s">
        <v>374</v>
      </c>
      <c r="O1763" s="505" t="s">
        <v>375</v>
      </c>
      <c r="P1763" s="801"/>
      <c r="Q1763" s="802"/>
      <c r="R1763" s="796"/>
      <c r="S1763" s="797"/>
      <c r="T1763" s="507" t="s">
        <v>376</v>
      </c>
      <c r="U1763" s="508" t="s">
        <v>377</v>
      </c>
      <c r="V1763" s="509" t="s">
        <v>378</v>
      </c>
      <c r="X1763" s="521" t="s">
        <v>379</v>
      </c>
      <c r="Y1763" s="521" t="s">
        <v>380</v>
      </c>
    </row>
    <row r="1764" spans="1:29" s="27" customFormat="1" ht="15" customHeight="1">
      <c r="A1764" s="22"/>
      <c r="B1764" s="594"/>
      <c r="C1764" s="595">
        <v>3</v>
      </c>
      <c r="D1764" s="595">
        <v>4</v>
      </c>
      <c r="E1764" s="595">
        <v>5</v>
      </c>
      <c r="F1764" s="595">
        <v>6</v>
      </c>
      <c r="G1764" s="595">
        <v>7</v>
      </c>
      <c r="H1764" s="595">
        <v>8</v>
      </c>
      <c r="I1764" s="595">
        <v>9</v>
      </c>
      <c r="J1764" s="595">
        <v>10</v>
      </c>
      <c r="K1764" s="595">
        <v>11</v>
      </c>
      <c r="L1764" s="595">
        <v>12</v>
      </c>
      <c r="M1764" s="595">
        <v>13</v>
      </c>
      <c r="N1764" s="595">
        <v>14</v>
      </c>
      <c r="O1764" s="595">
        <v>15</v>
      </c>
      <c r="P1764" s="596">
        <v>16</v>
      </c>
      <c r="Q1764" s="597">
        <v>17</v>
      </c>
      <c r="R1764" s="596">
        <v>18</v>
      </c>
      <c r="S1764" s="597">
        <v>19</v>
      </c>
      <c r="T1764" s="598">
        <v>20</v>
      </c>
      <c r="U1764" s="255">
        <v>21</v>
      </c>
      <c r="V1764" s="599">
        <v>22</v>
      </c>
      <c r="X1764" s="589"/>
      <c r="Y1764" s="590"/>
    </row>
    <row r="1765" spans="1:29" s="44" customFormat="1" ht="73.5" customHeight="1">
      <c r="A1765" s="42" t="str">
        <f>"A"&amp;E1761</f>
        <v>A59</v>
      </c>
      <c r="B1765" s="605">
        <f>IF(C1765&lt;&gt;"",B1764+1,"")</f>
        <v>1</v>
      </c>
      <c r="C1765" s="581" t="s">
        <v>845</v>
      </c>
      <c r="D1765" s="581" t="s">
        <v>846</v>
      </c>
      <c r="E1765" s="581" t="s">
        <v>847</v>
      </c>
      <c r="F1765" s="581" t="s">
        <v>431</v>
      </c>
      <c r="G1765" s="534">
        <v>0.5</v>
      </c>
      <c r="H1765" s="534" t="s">
        <v>385</v>
      </c>
      <c r="I1765" s="579">
        <v>1</v>
      </c>
      <c r="J1765" s="580" t="str">
        <f>IF(I1765="","",IF(I1765="I",$F1761,VLOOKUP(I1765,$C1782:$D1787,2,0)))</f>
        <v>HENRY JAIMES MONSALVE</v>
      </c>
      <c r="K1765" s="535">
        <v>40169</v>
      </c>
      <c r="L1765" s="535">
        <v>40641</v>
      </c>
      <c r="M1765" s="536">
        <v>732.62</v>
      </c>
      <c r="N1765" s="232">
        <f t="shared" ref="N1765:N1774" si="352">IF(OR(G1765="",M1765=""),"",M1765*G1765)</f>
        <v>366.31</v>
      </c>
      <c r="O1765" s="260">
        <f t="shared" ref="O1765:O1774" si="353">IF(OR(H1765="",H1765="NO",K1765&lt;$Q$17,K1765&gt;$R$17,K1765="",M1765="",N1765=""),"",ROUND(N1765,7))</f>
        <v>366.31</v>
      </c>
      <c r="P1765" s="781"/>
      <c r="Q1765" s="782"/>
      <c r="R1765" s="767"/>
      <c r="S1765" s="768"/>
      <c r="T1765" s="538" t="s">
        <v>385</v>
      </c>
      <c r="U1765" s="539">
        <v>12</v>
      </c>
      <c r="V1765" s="540" t="s">
        <v>385</v>
      </c>
      <c r="X1765" s="541" t="s">
        <v>386</v>
      </c>
      <c r="Y1765" s="541" t="s">
        <v>387</v>
      </c>
    </row>
    <row r="1766" spans="1:29" s="44" customFormat="1" ht="54" customHeight="1">
      <c r="A1766" s="42" t="str">
        <f>"B"&amp;E1761</f>
        <v>B59</v>
      </c>
      <c r="B1766" s="605">
        <f t="shared" ref="B1766:B1774" si="354">IF(C1766&lt;&gt;"",B1765+1,"")</f>
        <v>2</v>
      </c>
      <c r="C1766" s="581" t="s">
        <v>848</v>
      </c>
      <c r="D1766" s="581" t="s">
        <v>849</v>
      </c>
      <c r="E1766" s="581" t="s">
        <v>850</v>
      </c>
      <c r="F1766" s="581" t="s">
        <v>431</v>
      </c>
      <c r="G1766" s="534">
        <v>0.5</v>
      </c>
      <c r="H1766" s="534" t="s">
        <v>385</v>
      </c>
      <c r="I1766" s="579">
        <v>1</v>
      </c>
      <c r="J1766" s="580" t="str">
        <f>IF(I1766="","",IF(I1766="I",$F1761,VLOOKUP(I1766,$C1782:$D1787,2,0)))</f>
        <v>HENRY JAIMES MONSALVE</v>
      </c>
      <c r="K1766" s="535">
        <v>40337</v>
      </c>
      <c r="L1766" s="535">
        <v>40610</v>
      </c>
      <c r="M1766" s="536">
        <v>461.44</v>
      </c>
      <c r="N1766" s="232">
        <f t="shared" si="352"/>
        <v>230.72</v>
      </c>
      <c r="O1766" s="260">
        <f t="shared" si="353"/>
        <v>230.72</v>
      </c>
      <c r="P1766" s="781"/>
      <c r="Q1766" s="782"/>
      <c r="R1766" s="767"/>
      <c r="S1766" s="768"/>
      <c r="T1766" s="538" t="s">
        <v>385</v>
      </c>
      <c r="U1766" s="539">
        <v>14</v>
      </c>
      <c r="V1766" s="540" t="s">
        <v>385</v>
      </c>
      <c r="X1766" s="541" t="s">
        <v>386</v>
      </c>
      <c r="Y1766" s="541" t="s">
        <v>439</v>
      </c>
    </row>
    <row r="1767" spans="1:29" s="44" customFormat="1" ht="54" customHeight="1">
      <c r="A1767" s="42" t="str">
        <f>"C"&amp;E1761</f>
        <v>C59</v>
      </c>
      <c r="B1767" s="605">
        <f t="shared" si="354"/>
        <v>3</v>
      </c>
      <c r="C1767" s="581" t="s">
        <v>845</v>
      </c>
      <c r="D1767" s="581" t="s">
        <v>851</v>
      </c>
      <c r="E1767" s="581" t="s">
        <v>852</v>
      </c>
      <c r="F1767" s="581" t="s">
        <v>431</v>
      </c>
      <c r="G1767" s="534">
        <v>0.5</v>
      </c>
      <c r="H1767" s="534" t="s">
        <v>385</v>
      </c>
      <c r="I1767" s="579">
        <v>1</v>
      </c>
      <c r="J1767" s="580" t="str">
        <f>IF(I1767="","",IF(I1767="I",$F1761,VLOOKUP(I1767,$C1782:$D1787,2,0)))</f>
        <v>HENRY JAIMES MONSALVE</v>
      </c>
      <c r="K1767" s="535">
        <v>40906</v>
      </c>
      <c r="L1767" s="535">
        <v>41087</v>
      </c>
      <c r="M1767" s="536">
        <v>295.26</v>
      </c>
      <c r="N1767" s="232">
        <f t="shared" si="352"/>
        <v>147.63</v>
      </c>
      <c r="O1767" s="260">
        <f t="shared" si="353"/>
        <v>147.63</v>
      </c>
      <c r="P1767" s="781"/>
      <c r="Q1767" s="782"/>
      <c r="R1767" s="767"/>
      <c r="S1767" s="768"/>
      <c r="T1767" s="538" t="s">
        <v>385</v>
      </c>
      <c r="U1767" s="539">
        <v>17</v>
      </c>
      <c r="V1767" s="540" t="s">
        <v>385</v>
      </c>
      <c r="X1767" s="541" t="s">
        <v>386</v>
      </c>
      <c r="Y1767" s="541" t="s">
        <v>387</v>
      </c>
    </row>
    <row r="1768" spans="1:29" s="44" customFormat="1" ht="66" customHeight="1">
      <c r="A1768" s="42" t="str">
        <f>"D"&amp;E1761</f>
        <v>D59</v>
      </c>
      <c r="B1768" s="605">
        <f t="shared" si="354"/>
        <v>4</v>
      </c>
      <c r="C1768" s="581" t="s">
        <v>845</v>
      </c>
      <c r="D1768" s="581" t="s">
        <v>853</v>
      </c>
      <c r="E1768" s="581" t="s">
        <v>854</v>
      </c>
      <c r="F1768" s="581" t="s">
        <v>384</v>
      </c>
      <c r="G1768" s="534">
        <v>1</v>
      </c>
      <c r="H1768" s="534" t="s">
        <v>385</v>
      </c>
      <c r="I1768" s="579">
        <v>1</v>
      </c>
      <c r="J1768" s="580" t="str">
        <f>IF(I1768="","",IF(I1768="I",$F1761,VLOOKUP(I1768,$C1782:$D1787,2,0)))</f>
        <v>HENRY JAIMES MONSALVE</v>
      </c>
      <c r="K1768" s="535">
        <v>42261</v>
      </c>
      <c r="L1768" s="535">
        <v>42413</v>
      </c>
      <c r="M1768" s="536">
        <v>123.77</v>
      </c>
      <c r="N1768" s="232">
        <f t="shared" si="352"/>
        <v>123.77</v>
      </c>
      <c r="O1768" s="260">
        <f t="shared" si="353"/>
        <v>123.77</v>
      </c>
      <c r="P1768" s="781"/>
      <c r="Q1768" s="782"/>
      <c r="R1768" s="767"/>
      <c r="S1768" s="768"/>
      <c r="T1768" s="538" t="s">
        <v>385</v>
      </c>
      <c r="U1768" s="539">
        <v>28</v>
      </c>
      <c r="V1768" s="540" t="s">
        <v>385</v>
      </c>
      <c r="X1768" s="541" t="s">
        <v>386</v>
      </c>
      <c r="Y1768" s="541" t="s">
        <v>439</v>
      </c>
    </row>
    <row r="1769" spans="1:29" s="44" customFormat="1" ht="24.95" customHeight="1">
      <c r="A1769" s="42" t="str">
        <f>"E"&amp;E1761</f>
        <v>E59</v>
      </c>
      <c r="B1769" s="605" t="str">
        <f t="shared" si="354"/>
        <v/>
      </c>
      <c r="C1769" s="581"/>
      <c r="D1769" s="581"/>
      <c r="E1769" s="581"/>
      <c r="F1769" s="581"/>
      <c r="G1769" s="534"/>
      <c r="H1769" s="534"/>
      <c r="I1769" s="579"/>
      <c r="J1769" s="580" t="str">
        <f>IF(I1769="","",IF(I1769="I",$F1761,VLOOKUP(I1769,$C1782:$D1787,2,0)))</f>
        <v/>
      </c>
      <c r="K1769" s="535"/>
      <c r="L1769" s="535"/>
      <c r="M1769" s="536"/>
      <c r="N1769" s="232" t="str">
        <f t="shared" si="352"/>
        <v/>
      </c>
      <c r="O1769" s="260" t="str">
        <f t="shared" si="353"/>
        <v/>
      </c>
      <c r="P1769" s="781"/>
      <c r="Q1769" s="782"/>
      <c r="R1769" s="767"/>
      <c r="S1769" s="768"/>
      <c r="T1769" s="538"/>
      <c r="U1769" s="539"/>
      <c r="V1769" s="540"/>
      <c r="X1769" s="541"/>
      <c r="Y1769" s="541"/>
    </row>
    <row r="1770" spans="1:29" s="44" customFormat="1" ht="24.95" customHeight="1">
      <c r="A1770" s="42" t="str">
        <f>"F"&amp;E1761</f>
        <v>F59</v>
      </c>
      <c r="B1770" s="605" t="str">
        <f t="shared" si="354"/>
        <v/>
      </c>
      <c r="C1770" s="581"/>
      <c r="D1770" s="581"/>
      <c r="E1770" s="581"/>
      <c r="F1770" s="581"/>
      <c r="G1770" s="534"/>
      <c r="H1770" s="534"/>
      <c r="I1770" s="579"/>
      <c r="J1770" s="580" t="str">
        <f>IF(I1770="","",IF(I1770="I",$F1761,VLOOKUP(I1770,$C1782:$D1787,2,0)))</f>
        <v/>
      </c>
      <c r="K1770" s="535"/>
      <c r="L1770" s="535"/>
      <c r="M1770" s="536"/>
      <c r="N1770" s="232" t="str">
        <f t="shared" si="352"/>
        <v/>
      </c>
      <c r="O1770" s="260" t="str">
        <f t="shared" si="353"/>
        <v/>
      </c>
      <c r="P1770" s="781"/>
      <c r="Q1770" s="782"/>
      <c r="R1770" s="767"/>
      <c r="S1770" s="768"/>
      <c r="T1770" s="538"/>
      <c r="U1770" s="539"/>
      <c r="V1770" s="540"/>
      <c r="X1770" s="541"/>
      <c r="Y1770" s="541"/>
    </row>
    <row r="1771" spans="1:29" s="44" customFormat="1" ht="24.95" customHeight="1">
      <c r="A1771" s="42" t="str">
        <f>"G"&amp;E1761</f>
        <v>G59</v>
      </c>
      <c r="B1771" s="605" t="str">
        <f t="shared" si="354"/>
        <v/>
      </c>
      <c r="C1771" s="581"/>
      <c r="D1771" s="581"/>
      <c r="E1771" s="581"/>
      <c r="F1771" s="581"/>
      <c r="G1771" s="534"/>
      <c r="H1771" s="534"/>
      <c r="I1771" s="579"/>
      <c r="J1771" s="580" t="str">
        <f>IF(I1771="","",IF(I1771="I",$F1761,VLOOKUP(I1771,$C1782:$D1787,2,0)))</f>
        <v/>
      </c>
      <c r="K1771" s="535"/>
      <c r="L1771" s="535"/>
      <c r="M1771" s="536"/>
      <c r="N1771" s="43" t="str">
        <f t="shared" si="352"/>
        <v/>
      </c>
      <c r="O1771" s="260" t="str">
        <f t="shared" si="353"/>
        <v/>
      </c>
      <c r="P1771" s="781"/>
      <c r="Q1771" s="782"/>
      <c r="R1771" s="767"/>
      <c r="S1771" s="768"/>
      <c r="T1771" s="538"/>
      <c r="U1771" s="539"/>
      <c r="V1771" s="540"/>
      <c r="X1771" s="541"/>
      <c r="Y1771" s="541"/>
    </row>
    <row r="1772" spans="1:29" s="44" customFormat="1" ht="24.95" customHeight="1">
      <c r="A1772" s="42" t="str">
        <f>"H"&amp;E1761</f>
        <v>H59</v>
      </c>
      <c r="B1772" s="605" t="str">
        <f t="shared" si="354"/>
        <v/>
      </c>
      <c r="C1772" s="581"/>
      <c r="D1772" s="581"/>
      <c r="E1772" s="581"/>
      <c r="F1772" s="581"/>
      <c r="G1772" s="534"/>
      <c r="H1772" s="534"/>
      <c r="I1772" s="579"/>
      <c r="J1772" s="580" t="str">
        <f>IF(I1772="","",IF(I1772="I",$F1761,VLOOKUP(I1772,$C1782:$D1787,2,0)))</f>
        <v/>
      </c>
      <c r="K1772" s="535"/>
      <c r="L1772" s="535"/>
      <c r="M1772" s="537"/>
      <c r="N1772" s="43" t="str">
        <f t="shared" si="352"/>
        <v/>
      </c>
      <c r="O1772" s="260" t="str">
        <f t="shared" si="353"/>
        <v/>
      </c>
      <c r="P1772" s="781"/>
      <c r="Q1772" s="782"/>
      <c r="R1772" s="767"/>
      <c r="S1772" s="768"/>
      <c r="T1772" s="538"/>
      <c r="U1772" s="539"/>
      <c r="V1772" s="540"/>
      <c r="X1772" s="541"/>
      <c r="Y1772" s="541"/>
    </row>
    <row r="1773" spans="1:29" s="44" customFormat="1" ht="24.95" customHeight="1">
      <c r="A1773" s="42" t="str">
        <f>"I"&amp;E1761</f>
        <v>I59</v>
      </c>
      <c r="B1773" s="605" t="str">
        <f t="shared" si="354"/>
        <v/>
      </c>
      <c r="C1773" s="581"/>
      <c r="D1773" s="581"/>
      <c r="E1773" s="581"/>
      <c r="F1773" s="581"/>
      <c r="G1773" s="534"/>
      <c r="H1773" s="534"/>
      <c r="I1773" s="579"/>
      <c r="J1773" s="580" t="str">
        <f>IF(I1773="","",IF(I1773="I",$F1761,VLOOKUP(I1773,$C1782:$D1787,2,0)))</f>
        <v/>
      </c>
      <c r="K1773" s="535"/>
      <c r="L1773" s="535"/>
      <c r="M1773" s="537"/>
      <c r="N1773" s="43" t="str">
        <f t="shared" si="352"/>
        <v/>
      </c>
      <c r="O1773" s="260" t="str">
        <f t="shared" si="353"/>
        <v/>
      </c>
      <c r="P1773" s="781"/>
      <c r="Q1773" s="782"/>
      <c r="R1773" s="767"/>
      <c r="S1773" s="768"/>
      <c r="T1773" s="538"/>
      <c r="U1773" s="539"/>
      <c r="V1773" s="540"/>
      <c r="X1773" s="541"/>
      <c r="Y1773" s="541"/>
    </row>
    <row r="1774" spans="1:29" s="44" customFormat="1" ht="24.95" customHeight="1" thickBot="1">
      <c r="A1774" s="42" t="str">
        <f>"J"&amp;E1761</f>
        <v>J59</v>
      </c>
      <c r="B1774" s="612" t="str">
        <f t="shared" si="354"/>
        <v/>
      </c>
      <c r="C1774" s="582"/>
      <c r="D1774" s="582"/>
      <c r="E1774" s="582"/>
      <c r="F1774" s="582"/>
      <c r="G1774" s="583"/>
      <c r="H1774" s="583"/>
      <c r="I1774" s="584"/>
      <c r="J1774" s="585" t="str">
        <f>IF(I1774="","",IF(I1774="I",$F1761,VLOOKUP(I1774,$C1782:$D1787,2,0)))</f>
        <v/>
      </c>
      <c r="K1774" s="586"/>
      <c r="L1774" s="586"/>
      <c r="M1774" s="587"/>
      <c r="N1774" s="43" t="str">
        <f t="shared" si="352"/>
        <v/>
      </c>
      <c r="O1774" s="260" t="str">
        <f t="shared" si="353"/>
        <v/>
      </c>
      <c r="P1774" s="781"/>
      <c r="Q1774" s="782"/>
      <c r="R1774" s="767"/>
      <c r="S1774" s="768"/>
      <c r="T1774" s="538"/>
      <c r="U1774" s="539"/>
      <c r="V1774" s="540"/>
      <c r="X1774" s="541"/>
      <c r="Y1774" s="541"/>
    </row>
    <row r="1775" spans="1:29" s="27" customFormat="1" ht="12" customHeight="1" thickBot="1">
      <c r="A1775" s="42"/>
      <c r="B1775" s="45"/>
      <c r="C1775" s="46"/>
      <c r="D1775" s="46"/>
      <c r="E1775" s="46"/>
      <c r="F1775" s="46"/>
      <c r="G1775" s="46"/>
      <c r="H1775" s="606"/>
      <c r="I1775" s="46"/>
      <c r="J1775" s="46"/>
      <c r="K1775" s="46"/>
      <c r="L1775" s="46"/>
      <c r="M1775" s="46"/>
      <c r="N1775" s="46"/>
      <c r="O1775" s="259"/>
      <c r="P1775" s="46"/>
      <c r="Q1775" s="46"/>
      <c r="R1775" s="259"/>
      <c r="S1775" s="46"/>
      <c r="T1775" s="46"/>
      <c r="U1775" s="47"/>
      <c r="V1775" s="48"/>
      <c r="X1775" s="592"/>
      <c r="Y1775" s="593"/>
      <c r="AB1775" s="378"/>
    </row>
    <row r="1776" spans="1:29" s="27" customFormat="1" ht="17.25" customHeight="1" thickBot="1">
      <c r="A1776" s="42" t="str">
        <f>"Z"&amp;E1761</f>
        <v>Z59</v>
      </c>
      <c r="B1776" s="510"/>
      <c r="C1776" s="511"/>
      <c r="D1776" s="511"/>
      <c r="E1776" s="511"/>
      <c r="F1776" s="511"/>
      <c r="G1776" s="511"/>
      <c r="H1776" s="511"/>
      <c r="I1776" s="511"/>
      <c r="J1776" s="511"/>
      <c r="K1776" s="511"/>
      <c r="L1776" s="511"/>
      <c r="M1776" s="511"/>
      <c r="N1776" s="437" t="s">
        <v>388</v>
      </c>
      <c r="O1776" s="438">
        <f>IF(COUNTIF(O1765:O1774,"")&gt;9,0,SUM(O1765:O1774)/(COUNTIF(H1765:H1774,"SI")))</f>
        <v>217.10749999999999</v>
      </c>
      <c r="P1776" s="511"/>
      <c r="Q1776" s="511"/>
      <c r="R1776" s="530"/>
      <c r="S1776" s="530"/>
      <c r="T1776" s="531"/>
      <c r="U1776" s="532"/>
      <c r="V1776" s="533"/>
      <c r="W1776" s="285"/>
      <c r="X1776" s="613" t="e">
        <f>COUNTIF(#REF!,"")-COUNTIF(#REF!,"CUMPLE")-1</f>
        <v>#REF!</v>
      </c>
      <c r="Y1776" s="591"/>
      <c r="AB1776" s="28"/>
    </row>
    <row r="1777" spans="1:29" ht="17.25" customHeight="1">
      <c r="B1777" s="50"/>
      <c r="C1777" s="50"/>
      <c r="D1777" s="50"/>
      <c r="E1777" s="50"/>
      <c r="F1777" s="50"/>
      <c r="G1777" s="51"/>
      <c r="H1777" s="51"/>
      <c r="I1777" s="51"/>
      <c r="J1777" s="51"/>
      <c r="K1777" s="51"/>
      <c r="L1777" s="51"/>
      <c r="M1777" s="51"/>
      <c r="N1777" s="51"/>
      <c r="O1777" s="51"/>
      <c r="P1777" s="51"/>
      <c r="Q1777" s="51"/>
      <c r="R1777" s="51"/>
      <c r="S1777" s="51"/>
      <c r="T1777" s="51"/>
      <c r="U1777" s="51"/>
      <c r="V1777" s="51"/>
      <c r="W1777" s="51"/>
      <c r="X1777" s="608"/>
      <c r="Y1777" s="51"/>
      <c r="Z1777" s="51"/>
      <c r="AA1777" s="51"/>
      <c r="AB1777" s="51"/>
      <c r="AC1777" s="50"/>
    </row>
    <row r="1778" spans="1:29" s="27" customFormat="1" ht="16.5" customHeight="1" thickBot="1">
      <c r="A1778" s="22"/>
      <c r="B1778" s="783" t="s">
        <v>389</v>
      </c>
      <c r="C1778" s="783"/>
      <c r="D1778" s="783"/>
      <c r="E1778" s="783"/>
      <c r="F1778" s="783"/>
      <c r="G1778" s="783"/>
      <c r="H1778" s="783"/>
      <c r="I1778" s="783"/>
      <c r="J1778" s="783"/>
      <c r="K1778" s="783"/>
      <c r="L1778" s="783"/>
      <c r="M1778" s="783"/>
      <c r="N1778" s="783"/>
      <c r="O1778" s="783"/>
      <c r="P1778" s="783"/>
      <c r="Q1778" s="783"/>
      <c r="R1778" s="783"/>
      <c r="S1778" s="783"/>
      <c r="T1778" s="783"/>
      <c r="U1778" s="783"/>
      <c r="V1778" s="783"/>
      <c r="W1778" s="286"/>
      <c r="X1778" s="607"/>
      <c r="Y1778" s="52"/>
      <c r="Z1778" s="52"/>
      <c r="AA1778" s="52"/>
      <c r="AB1778" s="28"/>
      <c r="AC1778" s="28"/>
    </row>
    <row r="1779" spans="1:29" s="30" customFormat="1" ht="22.5" customHeight="1">
      <c r="A1779" s="112" t="str">
        <f>"K"&amp;E1761</f>
        <v>K59</v>
      </c>
      <c r="B1779" s="790" t="s">
        <v>390</v>
      </c>
      <c r="C1779" s="772" t="s">
        <v>391</v>
      </c>
      <c r="D1779" s="773"/>
      <c r="E1779" s="773"/>
      <c r="F1779" s="773"/>
      <c r="G1779" s="773"/>
      <c r="H1779" s="773"/>
      <c r="I1779" s="773"/>
      <c r="J1779" s="773"/>
      <c r="K1779" s="773"/>
      <c r="L1779" s="773"/>
      <c r="M1779" s="774"/>
      <c r="N1779" s="525"/>
      <c r="O1779" s="588"/>
      <c r="P1779" s="772" t="s">
        <v>392</v>
      </c>
      <c r="Q1779" s="773"/>
      <c r="R1779" s="773"/>
      <c r="S1779" s="774"/>
      <c r="T1779" s="784" t="s">
        <v>393</v>
      </c>
      <c r="U1779" s="774"/>
      <c r="V1779" s="811"/>
      <c r="W1779" s="284"/>
      <c r="X1779" s="778" t="s">
        <v>394</v>
      </c>
      <c r="Y1779" s="779"/>
      <c r="Z1779" s="779"/>
      <c r="AA1779" s="779" t="s">
        <v>395</v>
      </c>
      <c r="AB1779" s="808" t="s">
        <v>396</v>
      </c>
      <c r="AC1779" s="28"/>
    </row>
    <row r="1780" spans="1:29" s="30" customFormat="1" ht="22.5" customHeight="1">
      <c r="A1780" s="112" t="str">
        <f>"L"&amp;E1761</f>
        <v>L59</v>
      </c>
      <c r="B1780" s="791"/>
      <c r="C1780" s="769" t="s">
        <v>397</v>
      </c>
      <c r="D1780" s="770"/>
      <c r="E1780" s="771"/>
      <c r="F1780" s="512">
        <f>IF(VLOOKUP(E1761,PROPONENTES!$C$19:$E$108,3,0)="","",VLOOKUP(E1761,PROPONENTES!$C$19:$E$108,3,0))</f>
        <v>2</v>
      </c>
      <c r="G1780" s="824" t="s">
        <v>398</v>
      </c>
      <c r="H1780" s="793" t="s">
        <v>399</v>
      </c>
      <c r="I1780" s="793"/>
      <c r="J1780" s="769" t="s">
        <v>400</v>
      </c>
      <c r="K1780" s="823"/>
      <c r="L1780" s="513" t="s">
        <v>401</v>
      </c>
      <c r="M1780" s="513"/>
      <c r="N1780" s="526"/>
      <c r="O1780" s="527"/>
      <c r="P1780" s="775"/>
      <c r="Q1780" s="776"/>
      <c r="R1780" s="776"/>
      <c r="S1780" s="777"/>
      <c r="T1780" s="796"/>
      <c r="U1780" s="797"/>
      <c r="V1780" s="812"/>
      <c r="W1780" s="284"/>
      <c r="X1780" s="780" t="s">
        <v>402</v>
      </c>
      <c r="Y1780" s="810" t="s">
        <v>403</v>
      </c>
      <c r="Z1780" s="810"/>
      <c r="AA1780" s="810"/>
      <c r="AB1780" s="809"/>
      <c r="AC1780" s="28"/>
    </row>
    <row r="1781" spans="1:29" s="30" customFormat="1" ht="51.75" customHeight="1" thickBot="1">
      <c r="A1781" s="112" t="str">
        <f>"M"&amp;E1761</f>
        <v>M59</v>
      </c>
      <c r="B1781" s="791"/>
      <c r="C1781" s="770" t="s">
        <v>404</v>
      </c>
      <c r="D1781" s="771"/>
      <c r="E1781" s="514" t="s">
        <v>405</v>
      </c>
      <c r="F1781" s="515" t="s">
        <v>406</v>
      </c>
      <c r="G1781" s="824"/>
      <c r="H1781" s="793"/>
      <c r="I1781" s="793"/>
      <c r="J1781" s="504" t="s">
        <v>407</v>
      </c>
      <c r="K1781" s="516" t="s">
        <v>408</v>
      </c>
      <c r="L1781" s="517" t="s">
        <v>409</v>
      </c>
      <c r="M1781" s="517"/>
      <c r="N1781" s="528" t="s">
        <v>410</v>
      </c>
      <c r="O1781" s="529"/>
      <c r="P1781" s="386"/>
      <c r="Q1781" s="387" t="s">
        <v>411</v>
      </c>
      <c r="R1781" s="388"/>
      <c r="S1781" s="113">
        <f>COUNTIFS(H1765:H1774,"SI",O1765:O1774,"&gt;0")</f>
        <v>4</v>
      </c>
      <c r="T1781" s="785"/>
      <c r="U1781" s="787"/>
      <c r="V1781" s="813"/>
      <c r="W1781" s="284"/>
      <c r="X1781" s="780"/>
      <c r="Y1781" s="810"/>
      <c r="Z1781" s="810"/>
      <c r="AA1781" s="810"/>
      <c r="AB1781" s="809"/>
      <c r="AC1781" s="28"/>
    </row>
    <row r="1782" spans="1:29" s="30" customFormat="1" ht="15.75" customHeight="1">
      <c r="A1782" s="112" t="str">
        <f>"N"&amp;E1761</f>
        <v>N59</v>
      </c>
      <c r="B1782" s="791"/>
      <c r="C1782" s="54">
        <v>1</v>
      </c>
      <c r="D1782" s="100" t="str">
        <f>IF(AND(C1782&lt;=F1780,F1780&gt;1,F1780&lt;&gt;""),VLOOKUP(VALUE(E1761&amp;","&amp;C1782),INTEGRANTES!$D$19:$F$192,2,0),"")</f>
        <v>HENRY JAIMES MONSALVE</v>
      </c>
      <c r="E1782" s="107">
        <f>IF(D1782&lt;&gt;"",VLOOKUP(VALUE(E1761&amp;","&amp;C1782),INTEGRANTES!$D$19:$F$192,3,0),"")</f>
        <v>0.95</v>
      </c>
      <c r="F1782" s="380">
        <f>IF(D1782="","",IF(OR(SUMIF($J1765:$J1774,D1782,$O1765:$O1774)=0,N1782="NO"),"NO APORTA",SUMIF($J1765:$J1774,D1782,$O1765:$O1774)))</f>
        <v>868.43</v>
      </c>
      <c r="G1782" s="380">
        <f ca="1">IF($D1782="","",IF($F1780&lt;=1,"",ROUND(POSMMLV*PORPO,2)))</f>
        <v>150</v>
      </c>
      <c r="H1782" s="765" t="str">
        <f ca="1">IF($D1782="","",IF(OR(F1782="NO APORTA",G1782&gt;F1782),"NO CUMPLE","CUMPLE"))</f>
        <v>CUMPLE</v>
      </c>
      <c r="I1782" s="766"/>
      <c r="J1782" s="108" t="str">
        <f ca="1">IF(D1782="","",IF(OR(AND(SUMIF($J1765:$J1774,D1782,$O1765:$O1774)&gt;=5%*POSMMLV,N1782="SI"),AND(SUMIF($J1765:$J1774,D1782,$O1765:$O1774)=0,E1782&lt;=5%,N1782="SI")),"CUMPLE","NO CUMPLE"))</f>
        <v>CUMPLE</v>
      </c>
      <c r="K1782" s="105" t="str">
        <f ca="1">IF(OR(D1782="",J1782=""),"",IF(AND(J1782="NO CUMPLE",F1782="NO APORTA",E1782&gt;5%),"EXP = 0 y PART &gt; 5%",IF(F1782&lt;5%*Q1787,"EXP &lt; 5%*PO","")))</f>
        <v/>
      </c>
      <c r="L1782" s="389" t="str">
        <f>IF(OR(D1782="",E1782=""),"",IF(AND(E1782&gt;=0.25,F1782&lt;&gt;"NO APORTA",F1782&gt;=$R1787*0.25),"SI","NO"))</f>
        <v>SI</v>
      </c>
      <c r="M1782" s="389"/>
      <c r="N1782" s="468" t="s">
        <v>385</v>
      </c>
      <c r="O1782" s="396">
        <f>COUNTIFS(O1765:O1774,"&gt;0",H1765:H1774,"SI")</f>
        <v>4</v>
      </c>
      <c r="P1782" s="814" t="s">
        <v>139</v>
      </c>
      <c r="Q1782" s="814"/>
      <c r="R1782" s="817">
        <f>E1761</f>
        <v>59</v>
      </c>
      <c r="S1782" s="818"/>
      <c r="T1782" s="784" t="s">
        <v>412</v>
      </c>
      <c r="U1782" s="773"/>
      <c r="V1782" s="774"/>
      <c r="W1782" s="283"/>
      <c r="X1782" s="542" t="str">
        <f>IF($F1780=1,"NO APLICA",$D1782)</f>
        <v>HENRY JAIMES MONSALVE</v>
      </c>
      <c r="Y1782" s="543">
        <f ca="1">IF(OR($F1782="",$F1782="NO APORTA",$R1787=0,$X1782="NO APLICA"),"",ROUND($F1782/$Q1787,2))</f>
        <v>2.89</v>
      </c>
      <c r="Z1782" s="544" t="str">
        <f ca="1">IF(Y1788=1,"SI APLICA",IF(OR($X1782="",$X1782="NO APLICA",$F1782="",$F1782="NO APORTA"),"",IF(ROUND($F1782/Q1787,7)&gt;=0.4,"SI APLICA","NO APLICA")))</f>
        <v>SI APLICA</v>
      </c>
      <c r="AA1782" s="543" t="s">
        <v>413</v>
      </c>
      <c r="AB1782" s="540" t="str">
        <f ca="1">IF(COUNTIF(Z1782:AA1782,"SI APLICA")=2,"SI APLICA","")</f>
        <v>SI APLICA</v>
      </c>
      <c r="AC1782" s="28"/>
    </row>
    <row r="1783" spans="1:29" s="30" customFormat="1" ht="30" customHeight="1" thickBot="1">
      <c r="A1783" s="112" t="str">
        <f>"O"&amp;E1761</f>
        <v>O59</v>
      </c>
      <c r="B1783" s="791"/>
      <c r="C1783" s="54">
        <v>2</v>
      </c>
      <c r="D1783" s="100" t="str">
        <f>IF(AND(C1783&lt;=F1780,F1780&lt;&gt;""),VLOOKUP(VALUE(E1761&amp;","&amp;C1783),INTEGRANTES!$D$19:$F$192,2,0),"")</f>
        <v>CARLOS YUBER RIVERA BARAJAS</v>
      </c>
      <c r="E1783" s="107">
        <f>IF(D1783&lt;&gt;"",VLOOKUP(VALUE(E1761&amp;","&amp;C1783),INTEGRANTES!$D$19:$F$192,3,0),"")</f>
        <v>0.05</v>
      </c>
      <c r="F1783" s="380" t="str">
        <f>IF(D1783="","",IF(OR(SUMIF($J1765:$J1774,D1783,$O1765:$O1774)=0,N1783="NO"),"NO APORTA",SUMIF($J1765:$J1774,D1783,$O1765:$O1774)))</f>
        <v>NO APORTA</v>
      </c>
      <c r="G1783" s="380">
        <f ca="1">IF($D1783="","",IF($F1780&lt;=1,"",ROUND(POSMMLV*PORPO,2)))</f>
        <v>150</v>
      </c>
      <c r="H1783" s="765" t="str">
        <f t="shared" ref="H1783:H1786" ca="1" si="355">IF($D1783="","",IF(OR(F1783="NO APORTA",G1783&gt;F1783),"NO CUMPLE","CUMPLE"))</f>
        <v>NO CUMPLE</v>
      </c>
      <c r="I1783" s="766"/>
      <c r="J1783" s="108" t="str">
        <f ca="1">IF(D1783="","",IF(OR(AND(SUMIF($J1765:$J1774,D1783,$O1765:$O1774)&gt;=5%*POSMMLV,N1783="SI"),AND(SUMIF($J1765:$J1774,D1783,$O1765:$O1774)=0,E1783&lt;=5%,N1783="SI")),"CUMPLE","NO CUMPLE"))</f>
        <v>CUMPLE</v>
      </c>
      <c r="K1783" s="105" t="str">
        <f ca="1">IF(OR(D1783="",J1783=""),"",IF(AND(J1783="NO CUMPLE",F1783="NO APORTA",E1783&gt;5%),"EXP = 0 y PART &gt; 5%",IF(F1783&lt;5%*Q1787,"EXP &lt; 5%*PO","")))</f>
        <v/>
      </c>
      <c r="L1783" s="389" t="str">
        <f>IF(OR(D1783="",E1783=""),"",IF(AND(E1783&gt;=0.25,F1783&lt;&gt;"NO APORTA",F1783&gt;=$R1787*0.25),"SI","NO"))</f>
        <v>NO</v>
      </c>
      <c r="M1783" s="389"/>
      <c r="N1783" s="468" t="s">
        <v>385</v>
      </c>
      <c r="O1783" s="396"/>
      <c r="P1783" s="815"/>
      <c r="Q1783" s="815"/>
      <c r="R1783" s="815"/>
      <c r="S1783" s="819"/>
      <c r="T1783" s="785"/>
      <c r="U1783" s="786"/>
      <c r="V1783" s="787"/>
      <c r="W1783" s="283"/>
      <c r="X1783" s="542" t="str">
        <f>IF($F1780=1,"NO APLICA",$D1783)</f>
        <v>CARLOS YUBER RIVERA BARAJAS</v>
      </c>
      <c r="Y1783" s="543" t="str">
        <f>IF(OR($F1783="",$F1783="NO APORTA",$R1787=0,$X1783="NO APLICA"),"",ROUND($F1783/$Q1787,2))</f>
        <v/>
      </c>
      <c r="Z1783" s="544" t="str">
        <f>IF(Y1788=1,"SI APLICA",IF(OR($X1783="",$X1783="NO APLICA",$F1783="",$F1783="NO APORTA"),"",IF(ROUND($F1783/Q1787,7)&gt;=0.4,"SI APLICA","NO APLICA")))</f>
        <v/>
      </c>
      <c r="AA1783" s="543"/>
      <c r="AB1783" s="540" t="str">
        <f t="shared" ref="AB1783" si="356">IF(COUNTIF(Z1783:AA1783,"SI APLICA")=2,"SI APLICA","")</f>
        <v/>
      </c>
      <c r="AC1783" s="28"/>
    </row>
    <row r="1784" spans="1:29" s="30" customFormat="1" ht="15.75" customHeight="1">
      <c r="A1784" s="112" t="str">
        <f>"P"&amp;E1761</f>
        <v>P59</v>
      </c>
      <c r="B1784" s="791"/>
      <c r="C1784" s="54">
        <v>3</v>
      </c>
      <c r="D1784" s="100" t="str">
        <f>IF(AND(C1784&lt;=F1780,F1780&lt;&gt;""),VLOOKUP(VALUE(E1761&amp;","&amp;C1784),INTEGRANTES!$D$19:$F$192,2,0),"")</f>
        <v/>
      </c>
      <c r="E1784" s="107" t="str">
        <f>IF(D1784&lt;&gt;"",VLOOKUP(VALUE(E1761&amp;","&amp;C1784),INTEGRANTES!$D$19:$F$192,3,0),"")</f>
        <v/>
      </c>
      <c r="F1784" s="380" t="str">
        <f>IF(D1784="","",IF(OR(SUMIF($J1768:$J1774,D1784,$O1768:$O1774)=0,N1784="NO"),"NO APORTA",SUMIF($J1768:$J1774,D1784,$O1768:$O1774)))</f>
        <v/>
      </c>
      <c r="G1784" s="380" t="str">
        <f>IF($D1784="","",IF($F1780&lt;=1,"",ROUND(POSMMLV*PORPO,2)))</f>
        <v/>
      </c>
      <c r="H1784" s="765" t="str">
        <f t="shared" si="355"/>
        <v/>
      </c>
      <c r="I1784" s="766"/>
      <c r="J1784" s="108" t="str">
        <f>IF(D1784="","",IF(OR(AND(SUMIF($J1765:$J1774,D1784,$O1765:$O1774)&gt;=5%*POSMMLV,N1784="SI"),AND(SUMIF($J1765:$J1774,D1784,$O1765:$O1774)=0,E1784&lt;=5%,N1784="SI")),"CUMPLE","NO CUMPLE"))</f>
        <v/>
      </c>
      <c r="K1784" s="105" t="str">
        <f>IF(OR(D1784="",J1784=""),"",IF(AND(J1784="NO CUMPLE",F1784="NO APORTA",E1784&gt;5%),"EXP = 0 y PART &gt; 5%",IF(F1784&lt;5%*Q1787,"EXP &lt; 5%*PO","")))</f>
        <v/>
      </c>
      <c r="L1784" s="389" t="str">
        <f>IF(OR(D1784="",E1784=""),"",IF(AND(E1784&gt;=0.25,F1784&lt;&gt;"NO APORTA",F1784&gt;=$R1787*0.25),"SI","NO"))</f>
        <v/>
      </c>
      <c r="M1784" s="389"/>
      <c r="N1784" s="468"/>
      <c r="O1784" s="397"/>
      <c r="P1784" s="816"/>
      <c r="Q1784" s="816"/>
      <c r="R1784" s="816"/>
      <c r="S1784" s="820"/>
      <c r="T1784" s="308"/>
      <c r="U1784" s="308"/>
      <c r="V1784" s="309"/>
      <c r="W1784" s="284"/>
      <c r="X1784" s="542" t="str">
        <f>IF($F1780=1,"NO APLICA",$D1784)</f>
        <v/>
      </c>
      <c r="Y1784" s="543" t="str">
        <f>IF(OR($F1784="",$F1784="NO APORTA",$R1787=0,$X1784="NO APLICA"),"",ROUND($F1784/$Q1787,2))</f>
        <v/>
      </c>
      <c r="Z1784" s="544" t="str">
        <f>IF(Y1788=1,"SI APLICA",IF(OR($X1784="",$X1784="NO APLICA",$F1784="",$F1784="NO APORTA"),"",IF(ROUND($F1784/Q1787,7)&gt;=0.4,"SI APLICA","NO APLICA")))</f>
        <v/>
      </c>
      <c r="AA1784" s="543"/>
      <c r="AB1784" s="540" t="str">
        <f>IF(COUNTIF(Z1784:AA1784,"SI APLICA")=2,"SI APLICA","")</f>
        <v/>
      </c>
      <c r="AC1784" s="28"/>
    </row>
    <row r="1785" spans="1:29" s="30" customFormat="1" ht="15.75" customHeight="1">
      <c r="A1785" s="112" t="str">
        <f>"Q"&amp;E1761</f>
        <v>Q59</v>
      </c>
      <c r="B1785" s="791"/>
      <c r="C1785" s="54">
        <v>4</v>
      </c>
      <c r="D1785" s="100" t="str">
        <f>IF(AND(C1785&lt;=F1780,F1780&lt;&gt;""),VLOOKUP(VALUE(E1761&amp;","&amp;C1785),INTEGRANTES!$D$19:$F$192,2,0),"")</f>
        <v/>
      </c>
      <c r="E1785" s="107" t="str">
        <f>IF(D1785&lt;&gt;"",VLOOKUP(VALUE(E1761&amp;","&amp;C1785),INTEGRANTES!$D$19:$F$192,3,0),"")</f>
        <v/>
      </c>
      <c r="F1785" s="380" t="str">
        <f>IF(D1785="","",IF(OR(SUMIF($J1768:$J1774,D1785,$O1768:$O1774)=0,N1785="NO"),"NO APORTA",SUMIF($J1768:$J1774,D1785,$O1768:$O1774)))</f>
        <v/>
      </c>
      <c r="G1785" s="380" t="str">
        <f>IF($D1785="","",IF($F1780&lt;=1,"",ROUND(POSMMLV*PORPO,2)))</f>
        <v/>
      </c>
      <c r="H1785" s="765" t="str">
        <f t="shared" si="355"/>
        <v/>
      </c>
      <c r="I1785" s="766"/>
      <c r="J1785" s="108" t="str">
        <f>IF(D1785="","",IF(OR(AND(SUMIF($J1765:$J1774,D1785,$O1765:$O1774)&gt;=5%*POSMMLV,N1785="SI"),AND(SUMIF($J1765:$J1774,D1785,$O1765:$O1774)=0,E1785&lt;=5%,N1785="SI")),"CUMPLE","NO CUMPLE"))</f>
        <v/>
      </c>
      <c r="K1785" s="105" t="str">
        <f>IF(OR(D1785="",J1785=""),"",IF(AND(J1785="NO CUMPLE",F1785="NO APORTA",E1785&gt;5%),"EXP = 0 y PART &gt; 5%",IF(F1785&lt;5%*Q1787,"EXP &lt; 5%*PO","")))</f>
        <v/>
      </c>
      <c r="L1785" s="389" t="str">
        <f>IF(OR(D1785="",E1785=""),"",IF(AND(E1785&gt;=0.25,F1785&lt;&gt;"NO APORTA",F1785&gt;=$R1787*0.25),"SI","NO"))</f>
        <v/>
      </c>
      <c r="M1785" s="389"/>
      <c r="N1785" s="468"/>
      <c r="O1785" s="788" t="s">
        <v>414</v>
      </c>
      <c r="P1785" s="769" t="s">
        <v>415</v>
      </c>
      <c r="Q1785" s="770"/>
      <c r="R1785" s="770"/>
      <c r="S1785" s="771"/>
      <c r="T1785" s="284"/>
      <c r="U1785" s="284"/>
      <c r="V1785" s="310"/>
      <c r="W1785" s="284"/>
      <c r="X1785" s="542" t="str">
        <f>IF($F1780=1,"NO APLICA",$D1785)</f>
        <v/>
      </c>
      <c r="Y1785" s="543" t="str">
        <f>IF(OR($F1785="",$F1785="NO APORTA",$R1787=0,$X1785="NO APLICA"),"",ROUND($F1785/$Q1787,2))</f>
        <v/>
      </c>
      <c r="Z1785" s="544" t="str">
        <f>IF(Y1788=1,"SI APLICA",IF(OR($X1785="",$X1785="NO APLICA",$F1785="",$F1785="NO APORTA"),"",IF(ROUND($F1785/Q1787,7)&gt;=0.4,"SI APLICA","NO APLICA")))</f>
        <v/>
      </c>
      <c r="AA1785" s="543"/>
      <c r="AB1785" s="540" t="str">
        <f t="shared" ref="AB1785:AB1786" si="357">IF(COUNTIF(Z1785:AA1785,"SI APLICA")=2,"SI APLICA","")</f>
        <v/>
      </c>
      <c r="AC1785" s="28"/>
    </row>
    <row r="1786" spans="1:29" s="30" customFormat="1" ht="25.5" customHeight="1">
      <c r="A1786" s="112" t="str">
        <f>"R"&amp;E1761</f>
        <v>R59</v>
      </c>
      <c r="B1786" s="791"/>
      <c r="C1786" s="54">
        <v>5</v>
      </c>
      <c r="D1786" s="100" t="str">
        <f>IF(AND(C1786&lt;=F1780,F1780&lt;&gt;""),VLOOKUP(VALUE(E1761&amp;","&amp;C1786),INTEGRANTES!$D$19:$F$192,2,0),"")</f>
        <v/>
      </c>
      <c r="E1786" s="107" t="str">
        <f>IF(D1786&lt;&gt;"",VLOOKUP(VALUE(E1761&amp;","&amp;C1786),INTEGRANTES!$D$19:$F$192,3,0),"")</f>
        <v/>
      </c>
      <c r="F1786" s="380" t="str">
        <f>IF(D1786="","",IF(OR(SUMIF($J1768:$J1774,D1786,$O1768:$O1774)=0,N1786="NO"),"NO APORTA",SUMIF($J1768:$J1774,D1786,$O1768:$O1774)))</f>
        <v/>
      </c>
      <c r="G1786" s="380" t="str">
        <f>IF($D1786="","",IF($F1780&lt;=1,"",ROUND(POSMMLV*PORPO,2)))</f>
        <v/>
      </c>
      <c r="H1786" s="765" t="str">
        <f t="shared" si="355"/>
        <v/>
      </c>
      <c r="I1786" s="766"/>
      <c r="J1786" s="108" t="str">
        <f>IF(D1786="","",IF(OR(AND(SUMIF($J1765:$J1774,D1786,$O1765:$O1774)&gt;=5%*POSMMLV,N1786="SI"),AND(SUMIF($J1765:$J1774,D1786,$O1765:$O1774)=0,E1786&lt;=5%,N1786="SI")),"CUMPLE","NO CUMPLE"))</f>
        <v/>
      </c>
      <c r="K1786" s="105" t="str">
        <f>IF(OR(D1786="",J1786=""),"",IF(AND(J1786="NO CUMPLE",F1786="NO APORTA",E1786&gt;5%),"EXP = 0 y PART &gt; 5%",IF(F1786&lt;5%*Q1787,"EXP &lt; 5%*PO","")))</f>
        <v/>
      </c>
      <c r="L1786" s="389" t="str">
        <f>IF(OR(D1786="",E1786=""),"",IF(AND(E1786&gt;=0.25,F1786&lt;&gt;"NO APORTA",F1786&gt;=$R1787*0.25),"SI","NO"))</f>
        <v/>
      </c>
      <c r="M1786" s="389"/>
      <c r="N1786" s="468"/>
      <c r="O1786" s="789"/>
      <c r="P1786" s="504" t="s">
        <v>416</v>
      </c>
      <c r="Q1786" s="504" t="s">
        <v>417</v>
      </c>
      <c r="R1786" s="793" t="s">
        <v>418</v>
      </c>
      <c r="S1786" s="793"/>
      <c r="T1786" s="284"/>
      <c r="U1786" s="284"/>
      <c r="V1786" s="310"/>
      <c r="W1786" s="284"/>
      <c r="X1786" s="542" t="str">
        <f>IF($F1780=1,"NO APLICA",$D1786)</f>
        <v/>
      </c>
      <c r="Y1786" s="543" t="str">
        <f>IF(OR($F1786="",$F1786="NO APORTA",$R1787=0,$X1786="NO APLICA"),"",ROUND($F1786/$Q1787,2))</f>
        <v/>
      </c>
      <c r="Z1786" s="544" t="str">
        <f>IF(Y1788=1,"SI APLICA",IF(OR($X1786="",$X1786="NO APLICA",$F1786="",$F1786="NO APORTA"),"",IF(ROUND($F1786/Q1787,7)&gt;=0.4,"SI APLICA","NO APLICA")))</f>
        <v/>
      </c>
      <c r="AA1786" s="543"/>
      <c r="AB1786" s="540" t="str">
        <f t="shared" si="357"/>
        <v/>
      </c>
      <c r="AC1786" s="28"/>
    </row>
    <row r="1787" spans="1:29" s="30" customFormat="1" ht="16.5" customHeight="1" thickBot="1">
      <c r="A1787" s="112" t="str">
        <f>"S"&amp;E1761</f>
        <v>S59</v>
      </c>
      <c r="B1787" s="791"/>
      <c r="C1787" s="109">
        <v>6</v>
      </c>
      <c r="D1787" s="110" t="str">
        <f>IF(AND(C1787&lt;=F1780,F1780&lt;&gt;""),VLOOKUP(VALUE(E1761&amp;","&amp;C1787),INTEGRANTES!$D$19:$F$192,2,0),"")</f>
        <v/>
      </c>
      <c r="E1787" s="111" t="str">
        <f>IF(D1787&lt;&gt;"",VLOOKUP(VALUE(E1761&amp;","&amp;C1787),INTEGRANTES!$D$19:$F$192,3,0),"")</f>
        <v/>
      </c>
      <c r="F1787" s="380" t="str">
        <f>IF(D1787="","",IF(OR(SUMIF($J1768:$J1774,D1787,$O1768:$O1774)=0,N1787="NO"),"NO APORTA",SUMIF($J1768:$J1774,D1787,$O1768:$O1774)))</f>
        <v/>
      </c>
      <c r="G1787" s="380" t="str">
        <f>IF($D1787="","",IF($F1780&lt;=1,"",ROUND(POSMMLV*PORPO,2)))</f>
        <v/>
      </c>
      <c r="H1787" s="765" t="str">
        <f>IF($D1787="","",IF(OR(F1787="NO APORTA",G1787&gt;F1787),"NO CUMPLE","CUMPLE"))</f>
        <v/>
      </c>
      <c r="I1787" s="766"/>
      <c r="J1787" s="108" t="str">
        <f>IF(D1787="","",IF(OR(AND(SUMIF($J1765:$J1774,D1787,$O1765:$O1774)&gt;=5%*POSMMLV,N1787="SI"),AND(SUMIF($J1765:$J1774,D1787,$O1765:$O1774)=0,E1787&lt;=5%,N1787="SI")),"CUMPLE","NO CUMPLE"))</f>
        <v/>
      </c>
      <c r="K1787" s="105" t="str">
        <f>IF(OR(D1787="",J1787=""),"",IF(AND(J1787="NO CUMPLE",F1787="NO APORTA",E1787&gt;5%),"EXP = 0 y PART &gt; 5%",IF(F1787&lt;5%*Q1787,"EXP &lt; 5%*PO","")))</f>
        <v/>
      </c>
      <c r="L1787" s="389" t="str">
        <f>IF(OR(D1787="",E1787=""),"",IF(AND(E1787&gt;=0.25,F1787&lt;&gt;"NO APORTA",F1787&gt;=$R1787*0.25),"SI","NO"))</f>
        <v/>
      </c>
      <c r="M1787" s="389"/>
      <c r="N1787" s="468"/>
      <c r="O1787" s="403" t="str">
        <f ca="1">IF(R1787&gt;=Q1787,"CUMPLE","NO CUMPLE")</f>
        <v>CUMPLE</v>
      </c>
      <c r="P1787" s="312">
        <f>NUMMOD</f>
        <v>1</v>
      </c>
      <c r="Q1787" s="313">
        <f ca="1">IF(P1787="","",ROUND(VLOOKUP(P1787,PRESUPUESTOS!$B$16:$L$16,9,FALSE),7))</f>
        <v>300</v>
      </c>
      <c r="R1787" s="834">
        <f>IF(OR(COUNTIF(O1765:O1774,"")&gt;9,S1781&lt;NUMMINCONT),0,SUM(O1765:O1774))</f>
        <v>868.43</v>
      </c>
      <c r="S1787" s="834"/>
      <c r="T1787" s="284"/>
      <c r="U1787" s="284"/>
      <c r="V1787" s="310"/>
      <c r="W1787" s="284"/>
      <c r="X1787" s="545" t="str">
        <f>IF($F1780=1,"NO APLICA",$D1787)</f>
        <v/>
      </c>
      <c r="Y1787" s="543" t="str">
        <f>IF(OR($F1787="",$F1787="NO APORTA",$R1787=0,$X1787="NO APLICA"),"",ROUND($F1787/$Q1787,2))</f>
        <v/>
      </c>
      <c r="Z1787" s="544" t="str">
        <f>IF(Y1788=1,"SI APLICA",IF(OR($X1787="",$X1787="NO APLICA",$F1787="",$F1787="NO APORTA"),"",IF(ROUND($F1787/Q1787,7)&gt;=0.4,"SI APLICA","NO APLICA")))</f>
        <v/>
      </c>
      <c r="AA1787" s="546"/>
      <c r="AB1787" s="540" t="str">
        <f>IF(COUNTIF(Z1787:AA1787,"SI APLICA")=2,"SI APLICA","")</f>
        <v/>
      </c>
      <c r="AC1787" s="28"/>
    </row>
    <row r="1788" spans="1:29" s="30" customFormat="1" ht="16.5" customHeight="1" thickBot="1">
      <c r="A1788" s="112" t="str">
        <f>"T"&amp;E1761</f>
        <v>T59</v>
      </c>
      <c r="B1788" s="792"/>
      <c r="C1788" s="821" t="s">
        <v>419</v>
      </c>
      <c r="D1788" s="822"/>
      <c r="E1788" s="822"/>
      <c r="F1788" s="518"/>
      <c r="G1788" s="519"/>
      <c r="H1788" s="794" t="str">
        <f ca="1">IF(OR($F1780="",SUM(E1782:E1787)=0),"",IF(COUNTIF(H1782:H1787,"CUMPLE")&gt;=1,"CUMPLE","NO CUMPLE"))</f>
        <v>CUMPLE</v>
      </c>
      <c r="I1788" s="795"/>
      <c r="J1788" s="314" t="str">
        <f ca="1">IF(COUNTIF(J1782:J1787,"")&gt;5,"",IF(COUNTIF(J1782:J1787,"NO CUMPLE")&gt;0,"NO CUMPLE","CUMPLE"))</f>
        <v>CUMPLE</v>
      </c>
      <c r="K1788" s="314" t="str">
        <f ca="1">IF(OR(AND(F1780=1,N1782="SI"),AND(COUNTIF(H1788:J1788,"CUMPLE")=2)),"CUMPLE","NO CUMPLE")</f>
        <v>CUMPLE</v>
      </c>
      <c r="L1788" s="519"/>
      <c r="M1788" s="519"/>
      <c r="N1788" s="519"/>
      <c r="O1788" s="833" t="str">
        <f ca="1">IF(ISNUMBER(F1761),"",IF(AND(O1787="NO CUMPLE",SUM(N1768:N1774)&lt;Q1787),"EL PROPONENTE SE DEBE REQUERIR POR EXPERIENCIA MINIMA EXIGIDA",""))</f>
        <v/>
      </c>
      <c r="P1788" s="833"/>
      <c r="Q1788" s="833"/>
      <c r="R1788" s="833"/>
      <c r="S1788" s="833"/>
      <c r="T1788" s="522"/>
      <c r="U1788" s="523"/>
      <c r="V1788" s="524"/>
      <c r="W1788" s="284"/>
      <c r="X1788" s="364" t="str">
        <f>IF(Y1788=1,"PROPONENTE INDIVIDUAL","PROPONENTE PLURAL")</f>
        <v>PROPONENTE PLURAL</v>
      </c>
      <c r="Y1788" s="276">
        <f>F1780</f>
        <v>2</v>
      </c>
      <c r="Z1788" s="277" t="str">
        <f ca="1">IF(OR(AND(Z1782="SI APLICA",AA1782="SI APLICA"),AND(Z1783="SI APLICA",AA1783="SI APLICA"),AND(Z1784="SI APLICA",AA1784="SI APLICA"),AND(Z1785="SI APLICA",AA1785="SI APLICA"),AND(Z1786="SI APLICA",AA1786="SI APLICA"),AND(Z1787="SI APLICA",AA1787="SI APLICA")),"SI APLICA","NO APLICA")</f>
        <v>SI APLICA</v>
      </c>
      <c r="AA1788" s="278" t="str">
        <f ca="1">IF(OR(AND(AA1782="SI APLICA",AB1782="SI APLICA"),AND(AA1783="SI APLICA",AB1783="SI APLICA"),AND(AA1784="SI APLICA",AB1784="SI APLICA"),AND(AA1785="SI APLICA",AB1785="SI APLICA"),AND(AA1786="SI APLICA",AB1786="SI APLICA"),AND(AA1787="SI APLICA",AB1787="SI APLICA")),"SI APLICA","NO APLICA")</f>
        <v>SI APLICA</v>
      </c>
      <c r="AB1788" s="278" t="str">
        <f ca="1">IF(COUNTIF(AB1782:AB1787,"SI APLICA")&gt;0,"SI APLICA","NO APLICA")</f>
        <v>SI APLICA</v>
      </c>
      <c r="AC1788" s="28"/>
    </row>
    <row r="1789" spans="1:29" ht="24.95" customHeight="1"/>
    <row r="1790" spans="1:29" ht="24.95" customHeight="1"/>
    <row r="1791" spans="1:29" s="41" customFormat="1" ht="24" thickBot="1">
      <c r="A1791" s="34">
        <v>60</v>
      </c>
      <c r="B1791" s="828" t="s">
        <v>355</v>
      </c>
      <c r="C1791" s="828"/>
      <c r="D1791" s="828"/>
      <c r="E1791" s="35">
        <f>VLOOKUP(A1791,PROPONENTES!$B$19:$E$108,2,FALSE)</f>
        <v>60</v>
      </c>
      <c r="F1791" s="36" t="str">
        <f>VLOOKUP(A1791,PROPONENTES!$B$19:$E$108,3,FALSE)</f>
        <v>ARA INGENIERIA S.A.S</v>
      </c>
      <c r="G1791" s="37"/>
      <c r="H1791" s="37"/>
      <c r="I1791" s="36"/>
      <c r="J1791" s="36"/>
      <c r="K1791" s="36"/>
      <c r="L1791" s="36"/>
      <c r="M1791" s="38"/>
      <c r="N1791" s="38"/>
      <c r="O1791" s="37"/>
      <c r="P1791" s="37"/>
      <c r="Q1791" s="39"/>
      <c r="R1791" s="39"/>
      <c r="S1791" s="39"/>
      <c r="T1791" s="39"/>
      <c r="U1791" s="40"/>
      <c r="Y1791" s="52"/>
      <c r="Z1791" s="52"/>
      <c r="AA1791" s="52"/>
      <c r="AB1791" s="28"/>
      <c r="AC1791" s="28"/>
    </row>
    <row r="1792" spans="1:29" s="27" customFormat="1" ht="24.75" customHeight="1">
      <c r="A1792" s="22"/>
      <c r="B1792" s="829" t="s">
        <v>356</v>
      </c>
      <c r="C1792" s="501" t="s">
        <v>357</v>
      </c>
      <c r="D1792" s="502" t="s">
        <v>358</v>
      </c>
      <c r="E1792" s="502"/>
      <c r="F1792" s="502" t="s">
        <v>359</v>
      </c>
      <c r="G1792" s="503"/>
      <c r="H1792" s="803" t="s">
        <v>360</v>
      </c>
      <c r="I1792" s="831" t="s">
        <v>361</v>
      </c>
      <c r="J1792" s="803" t="s">
        <v>362</v>
      </c>
      <c r="K1792" s="803" t="s">
        <v>363</v>
      </c>
      <c r="L1792" s="803" t="s">
        <v>364</v>
      </c>
      <c r="M1792" s="803" t="s">
        <v>365</v>
      </c>
      <c r="N1792" s="804" t="s">
        <v>366</v>
      </c>
      <c r="O1792" s="805"/>
      <c r="P1792" s="806" t="s">
        <v>367</v>
      </c>
      <c r="Q1792" s="807"/>
      <c r="R1792" s="784" t="s">
        <v>368</v>
      </c>
      <c r="S1792" s="774"/>
      <c r="T1792" s="798" t="s">
        <v>369</v>
      </c>
      <c r="U1792" s="799"/>
      <c r="V1792" s="800"/>
      <c r="X1792" s="520"/>
      <c r="Y1792" s="520"/>
    </row>
    <row r="1793" spans="1:29" s="27" customFormat="1" ht="94.5" customHeight="1">
      <c r="A1793" s="22"/>
      <c r="B1793" s="830"/>
      <c r="C1793" s="504" t="s">
        <v>370</v>
      </c>
      <c r="D1793" s="505" t="s">
        <v>41</v>
      </c>
      <c r="E1793" s="505" t="s">
        <v>371</v>
      </c>
      <c r="F1793" s="505" t="s">
        <v>372</v>
      </c>
      <c r="G1793" s="506" t="s">
        <v>373</v>
      </c>
      <c r="H1793" s="793"/>
      <c r="I1793" s="832"/>
      <c r="J1793" s="793"/>
      <c r="K1793" s="793"/>
      <c r="L1793" s="793"/>
      <c r="M1793" s="793"/>
      <c r="N1793" s="504" t="s">
        <v>374</v>
      </c>
      <c r="O1793" s="505" t="s">
        <v>375</v>
      </c>
      <c r="P1793" s="801"/>
      <c r="Q1793" s="802"/>
      <c r="R1793" s="796"/>
      <c r="S1793" s="797"/>
      <c r="T1793" s="507" t="s">
        <v>376</v>
      </c>
      <c r="U1793" s="508" t="s">
        <v>377</v>
      </c>
      <c r="V1793" s="509" t="s">
        <v>378</v>
      </c>
      <c r="X1793" s="521" t="s">
        <v>379</v>
      </c>
      <c r="Y1793" s="521" t="s">
        <v>380</v>
      </c>
    </row>
    <row r="1794" spans="1:29" s="27" customFormat="1" ht="15" customHeight="1">
      <c r="A1794" s="22"/>
      <c r="B1794" s="594"/>
      <c r="C1794" s="595">
        <v>3</v>
      </c>
      <c r="D1794" s="595">
        <v>4</v>
      </c>
      <c r="E1794" s="595">
        <v>5</v>
      </c>
      <c r="F1794" s="595">
        <v>6</v>
      </c>
      <c r="G1794" s="595">
        <v>7</v>
      </c>
      <c r="H1794" s="595">
        <v>8</v>
      </c>
      <c r="I1794" s="595">
        <v>9</v>
      </c>
      <c r="J1794" s="595">
        <v>10</v>
      </c>
      <c r="K1794" s="595">
        <v>11</v>
      </c>
      <c r="L1794" s="595">
        <v>12</v>
      </c>
      <c r="M1794" s="595">
        <v>13</v>
      </c>
      <c r="N1794" s="595">
        <v>14</v>
      </c>
      <c r="O1794" s="595">
        <v>15</v>
      </c>
      <c r="P1794" s="596">
        <v>16</v>
      </c>
      <c r="Q1794" s="597">
        <v>17</v>
      </c>
      <c r="R1794" s="596">
        <v>18</v>
      </c>
      <c r="S1794" s="597">
        <v>19</v>
      </c>
      <c r="T1794" s="598">
        <v>20</v>
      </c>
      <c r="U1794" s="255">
        <v>21</v>
      </c>
      <c r="V1794" s="599">
        <v>22</v>
      </c>
      <c r="X1794" s="589"/>
      <c r="Y1794" s="590"/>
    </row>
    <row r="1795" spans="1:29" s="44" customFormat="1" ht="52.5" customHeight="1">
      <c r="A1795" s="42" t="str">
        <f>"A"&amp;E1791</f>
        <v>A60</v>
      </c>
      <c r="B1795" s="605">
        <f>IF(C1795&lt;&gt;"",B1794+1,"")</f>
        <v>1</v>
      </c>
      <c r="C1795" s="581" t="s">
        <v>443</v>
      </c>
      <c r="D1795" s="581" t="s">
        <v>855</v>
      </c>
      <c r="E1795" s="581" t="s">
        <v>856</v>
      </c>
      <c r="F1795" s="581" t="s">
        <v>431</v>
      </c>
      <c r="G1795" s="534">
        <v>0.6</v>
      </c>
      <c r="H1795" s="534" t="s">
        <v>385</v>
      </c>
      <c r="I1795" s="579" t="s">
        <v>384</v>
      </c>
      <c r="J1795" s="580" t="str">
        <f>IF(I1795="","",IF(I1795="I",$F1791,VLOOKUP(I1795,$C1812:$D1817,2,0)))</f>
        <v>ARA INGENIERIA S.A.S</v>
      </c>
      <c r="K1795" s="535">
        <v>43347</v>
      </c>
      <c r="L1795" s="535">
        <v>44189</v>
      </c>
      <c r="M1795" s="536">
        <v>1572.66</v>
      </c>
      <c r="N1795" s="232">
        <f t="shared" ref="N1795:N1804" si="358">IF(OR(G1795="",M1795=""),"",M1795*G1795)</f>
        <v>943.596</v>
      </c>
      <c r="O1795" s="260">
        <f t="shared" ref="O1795:O1804" si="359">IF(OR(H1795="",H1795="NO",K1795&lt;$Q$17,K1795&gt;$R$17,K1795="",M1795="",N1795=""),"",ROUND(N1795,7))</f>
        <v>943.596</v>
      </c>
      <c r="P1795" s="781"/>
      <c r="Q1795" s="782"/>
      <c r="R1795" s="767"/>
      <c r="S1795" s="768"/>
      <c r="T1795" s="538" t="s">
        <v>385</v>
      </c>
      <c r="U1795" s="539">
        <v>154</v>
      </c>
      <c r="V1795" s="540" t="s">
        <v>385</v>
      </c>
      <c r="X1795" s="541" t="s">
        <v>449</v>
      </c>
      <c r="Y1795" s="541" t="s">
        <v>387</v>
      </c>
    </row>
    <row r="1796" spans="1:29" s="44" customFormat="1" ht="35.25" customHeight="1">
      <c r="A1796" s="42" t="str">
        <f>"B"&amp;E1791</f>
        <v>B60</v>
      </c>
      <c r="B1796" s="605">
        <f t="shared" ref="B1796:B1804" si="360">IF(C1796&lt;&gt;"",B1795+1,"")</f>
        <v>2</v>
      </c>
      <c r="C1796" s="581" t="s">
        <v>658</v>
      </c>
      <c r="D1796" s="581" t="s">
        <v>857</v>
      </c>
      <c r="E1796" s="581" t="s">
        <v>858</v>
      </c>
      <c r="F1796" s="581" t="s">
        <v>431</v>
      </c>
      <c r="G1796" s="534">
        <v>0.1</v>
      </c>
      <c r="H1796" s="534" t="s">
        <v>385</v>
      </c>
      <c r="I1796" s="579" t="s">
        <v>384</v>
      </c>
      <c r="J1796" s="580" t="str">
        <f>IF(I1796="","",IF(I1796="I",$F1791,VLOOKUP(I1796,$C1812:$D1817,2,0)))</f>
        <v>ARA INGENIERIA S.A.S</v>
      </c>
      <c r="K1796" s="535">
        <v>41705</v>
      </c>
      <c r="L1796" s="535">
        <v>42461</v>
      </c>
      <c r="M1796" s="536">
        <v>3423.91</v>
      </c>
      <c r="N1796" s="232">
        <f t="shared" si="358"/>
        <v>342.39100000000002</v>
      </c>
      <c r="O1796" s="260">
        <f t="shared" si="359"/>
        <v>342.39100000000002</v>
      </c>
      <c r="P1796" s="781"/>
      <c r="Q1796" s="782"/>
      <c r="R1796" s="767"/>
      <c r="S1796" s="768"/>
      <c r="T1796" s="538"/>
      <c r="U1796" s="539">
        <v>39</v>
      </c>
      <c r="V1796" s="540"/>
      <c r="X1796" s="541" t="s">
        <v>463</v>
      </c>
      <c r="Y1796" s="541" t="s">
        <v>387</v>
      </c>
    </row>
    <row r="1797" spans="1:29" s="44" customFormat="1" ht="33" customHeight="1">
      <c r="A1797" s="42" t="str">
        <f>"C"&amp;E1791</f>
        <v>C60</v>
      </c>
      <c r="B1797" s="605">
        <f t="shared" si="360"/>
        <v>3</v>
      </c>
      <c r="C1797" s="581" t="s">
        <v>443</v>
      </c>
      <c r="D1797" s="581" t="s">
        <v>859</v>
      </c>
      <c r="E1797" s="581" t="s">
        <v>860</v>
      </c>
      <c r="F1797" s="581" t="s">
        <v>384</v>
      </c>
      <c r="G1797" s="534">
        <v>1</v>
      </c>
      <c r="H1797" s="534" t="s">
        <v>385</v>
      </c>
      <c r="I1797" s="579" t="s">
        <v>384</v>
      </c>
      <c r="J1797" s="580" t="str">
        <f>IF(I1797="","",IF(I1797="I",$F1791,VLOOKUP(I1797,$C1812:$D1817,2,0)))</f>
        <v>ARA INGENIERIA S.A.S</v>
      </c>
      <c r="K1797" s="535">
        <v>39028</v>
      </c>
      <c r="L1797" s="535">
        <v>39072</v>
      </c>
      <c r="M1797" s="536">
        <v>37.85</v>
      </c>
      <c r="N1797" s="232">
        <f t="shared" si="358"/>
        <v>37.85</v>
      </c>
      <c r="O1797" s="260">
        <f t="shared" si="359"/>
        <v>37.85</v>
      </c>
      <c r="P1797" s="781"/>
      <c r="Q1797" s="782"/>
      <c r="R1797" s="767"/>
      <c r="S1797" s="768"/>
      <c r="T1797" s="538" t="s">
        <v>385</v>
      </c>
      <c r="U1797" s="539">
        <v>85</v>
      </c>
      <c r="V1797" s="540" t="s">
        <v>385</v>
      </c>
      <c r="X1797" s="541" t="s">
        <v>449</v>
      </c>
      <c r="Y1797" s="541" t="s">
        <v>387</v>
      </c>
    </row>
    <row r="1798" spans="1:29" s="44" customFormat="1" ht="24.95" customHeight="1">
      <c r="A1798" s="42" t="str">
        <f>"D"&amp;E1791</f>
        <v>D60</v>
      </c>
      <c r="B1798" s="605" t="str">
        <f t="shared" si="360"/>
        <v/>
      </c>
      <c r="C1798" s="581"/>
      <c r="D1798" s="581"/>
      <c r="E1798" s="581"/>
      <c r="F1798" s="581"/>
      <c r="G1798" s="534"/>
      <c r="H1798" s="534"/>
      <c r="I1798" s="579"/>
      <c r="J1798" s="580" t="str">
        <f>IF(I1798="","",IF(I1798="I",$F1791,VLOOKUP(I1798,$C1812:$D1817,2,0)))</f>
        <v/>
      </c>
      <c r="K1798" s="535"/>
      <c r="L1798" s="535"/>
      <c r="M1798" s="536"/>
      <c r="N1798" s="232" t="str">
        <f t="shared" si="358"/>
        <v/>
      </c>
      <c r="O1798" s="260" t="str">
        <f t="shared" si="359"/>
        <v/>
      </c>
      <c r="P1798" s="781"/>
      <c r="Q1798" s="782"/>
      <c r="R1798" s="767"/>
      <c r="S1798" s="768"/>
      <c r="T1798" s="538"/>
      <c r="U1798" s="539"/>
      <c r="V1798" s="540"/>
      <c r="X1798" s="541"/>
      <c r="Y1798" s="541"/>
    </row>
    <row r="1799" spans="1:29" s="44" customFormat="1" ht="24.95" customHeight="1">
      <c r="A1799" s="42" t="str">
        <f>"E"&amp;E1791</f>
        <v>E60</v>
      </c>
      <c r="B1799" s="605" t="str">
        <f t="shared" si="360"/>
        <v/>
      </c>
      <c r="C1799" s="581"/>
      <c r="D1799" s="581"/>
      <c r="E1799" s="581"/>
      <c r="F1799" s="581"/>
      <c r="G1799" s="534"/>
      <c r="H1799" s="534"/>
      <c r="I1799" s="579"/>
      <c r="J1799" s="580" t="str">
        <f>IF(I1799="","",IF(I1799="I",$F1791,VLOOKUP(I1799,$C1812:$D1817,2,0)))</f>
        <v/>
      </c>
      <c r="K1799" s="535"/>
      <c r="L1799" s="535"/>
      <c r="M1799" s="536"/>
      <c r="N1799" s="232" t="str">
        <f t="shared" si="358"/>
        <v/>
      </c>
      <c r="O1799" s="260" t="str">
        <f t="shared" si="359"/>
        <v/>
      </c>
      <c r="P1799" s="781"/>
      <c r="Q1799" s="782"/>
      <c r="R1799" s="767"/>
      <c r="S1799" s="768"/>
      <c r="T1799" s="538"/>
      <c r="U1799" s="539"/>
      <c r="V1799" s="540"/>
      <c r="X1799" s="541"/>
      <c r="Y1799" s="541"/>
    </row>
    <row r="1800" spans="1:29" s="44" customFormat="1" ht="24.95" customHeight="1">
      <c r="A1800" s="42" t="str">
        <f>"F"&amp;E1791</f>
        <v>F60</v>
      </c>
      <c r="B1800" s="605" t="str">
        <f t="shared" si="360"/>
        <v/>
      </c>
      <c r="C1800" s="581"/>
      <c r="D1800" s="581"/>
      <c r="E1800" s="581"/>
      <c r="F1800" s="581"/>
      <c r="G1800" s="534"/>
      <c r="H1800" s="534"/>
      <c r="I1800" s="579"/>
      <c r="J1800" s="580" t="str">
        <f>IF(I1800="","",IF(I1800="I",$F1791,VLOOKUP(I1800,$C1812:$D1817,2,0)))</f>
        <v/>
      </c>
      <c r="K1800" s="535"/>
      <c r="L1800" s="535"/>
      <c r="M1800" s="536"/>
      <c r="N1800" s="232" t="str">
        <f t="shared" si="358"/>
        <v/>
      </c>
      <c r="O1800" s="260" t="str">
        <f t="shared" si="359"/>
        <v/>
      </c>
      <c r="P1800" s="781"/>
      <c r="Q1800" s="782"/>
      <c r="R1800" s="767"/>
      <c r="S1800" s="768"/>
      <c r="T1800" s="538"/>
      <c r="U1800" s="539"/>
      <c r="V1800" s="540"/>
      <c r="X1800" s="541"/>
      <c r="Y1800" s="541"/>
    </row>
    <row r="1801" spans="1:29" s="44" customFormat="1" ht="24.95" customHeight="1">
      <c r="A1801" s="42" t="str">
        <f>"G"&amp;E1791</f>
        <v>G60</v>
      </c>
      <c r="B1801" s="605" t="str">
        <f t="shared" si="360"/>
        <v/>
      </c>
      <c r="C1801" s="581"/>
      <c r="D1801" s="581"/>
      <c r="E1801" s="581"/>
      <c r="F1801" s="581"/>
      <c r="G1801" s="534"/>
      <c r="H1801" s="534"/>
      <c r="I1801" s="579"/>
      <c r="J1801" s="580" t="str">
        <f>IF(I1801="","",IF(I1801="I",$F1791,VLOOKUP(I1801,$C1812:$D1817,2,0)))</f>
        <v/>
      </c>
      <c r="K1801" s="535"/>
      <c r="L1801" s="535"/>
      <c r="M1801" s="536"/>
      <c r="N1801" s="43" t="str">
        <f t="shared" si="358"/>
        <v/>
      </c>
      <c r="O1801" s="260" t="str">
        <f t="shared" si="359"/>
        <v/>
      </c>
      <c r="P1801" s="781"/>
      <c r="Q1801" s="782"/>
      <c r="R1801" s="767"/>
      <c r="S1801" s="768"/>
      <c r="T1801" s="538"/>
      <c r="U1801" s="539"/>
      <c r="V1801" s="540"/>
      <c r="X1801" s="541"/>
      <c r="Y1801" s="541"/>
    </row>
    <row r="1802" spans="1:29" s="44" customFormat="1" ht="24.95" customHeight="1">
      <c r="A1802" s="42" t="str">
        <f>"H"&amp;E1791</f>
        <v>H60</v>
      </c>
      <c r="B1802" s="605" t="str">
        <f t="shared" si="360"/>
        <v/>
      </c>
      <c r="C1802" s="581"/>
      <c r="D1802" s="581"/>
      <c r="E1802" s="581"/>
      <c r="F1802" s="581"/>
      <c r="G1802" s="534"/>
      <c r="H1802" s="534"/>
      <c r="I1802" s="579"/>
      <c r="J1802" s="580" t="str">
        <f>IF(I1802="","",IF(I1802="I",$F1791,VLOOKUP(I1802,$C1812:$D1817,2,0)))</f>
        <v/>
      </c>
      <c r="K1802" s="535"/>
      <c r="L1802" s="535"/>
      <c r="M1802" s="537"/>
      <c r="N1802" s="43" t="str">
        <f t="shared" si="358"/>
        <v/>
      </c>
      <c r="O1802" s="260" t="str">
        <f t="shared" si="359"/>
        <v/>
      </c>
      <c r="P1802" s="781"/>
      <c r="Q1802" s="782"/>
      <c r="R1802" s="767"/>
      <c r="S1802" s="768"/>
      <c r="T1802" s="538"/>
      <c r="U1802" s="539"/>
      <c r="V1802" s="540"/>
      <c r="X1802" s="541"/>
      <c r="Y1802" s="541"/>
    </row>
    <row r="1803" spans="1:29" s="44" customFormat="1" ht="24.95" customHeight="1">
      <c r="A1803" s="42" t="str">
        <f>"I"&amp;E1791</f>
        <v>I60</v>
      </c>
      <c r="B1803" s="605" t="str">
        <f t="shared" si="360"/>
        <v/>
      </c>
      <c r="C1803" s="581"/>
      <c r="D1803" s="581"/>
      <c r="E1803" s="581"/>
      <c r="F1803" s="581"/>
      <c r="G1803" s="534"/>
      <c r="H1803" s="534"/>
      <c r="I1803" s="579"/>
      <c r="J1803" s="580" t="str">
        <f>IF(I1803="","",IF(I1803="I",$F1791,VLOOKUP(I1803,$C1812:$D1817,2,0)))</f>
        <v/>
      </c>
      <c r="K1803" s="535"/>
      <c r="L1803" s="535"/>
      <c r="M1803" s="537"/>
      <c r="N1803" s="43" t="str">
        <f t="shared" si="358"/>
        <v/>
      </c>
      <c r="O1803" s="260" t="str">
        <f t="shared" si="359"/>
        <v/>
      </c>
      <c r="P1803" s="781"/>
      <c r="Q1803" s="782"/>
      <c r="R1803" s="767"/>
      <c r="S1803" s="768"/>
      <c r="T1803" s="538"/>
      <c r="U1803" s="539"/>
      <c r="V1803" s="540"/>
      <c r="X1803" s="541"/>
      <c r="Y1803" s="541"/>
    </row>
    <row r="1804" spans="1:29" s="44" customFormat="1" ht="24.95" customHeight="1" thickBot="1">
      <c r="A1804" s="42" t="str">
        <f>"J"&amp;E1791</f>
        <v>J60</v>
      </c>
      <c r="B1804" s="612" t="str">
        <f t="shared" si="360"/>
        <v/>
      </c>
      <c r="C1804" s="582"/>
      <c r="D1804" s="582"/>
      <c r="E1804" s="582"/>
      <c r="F1804" s="582"/>
      <c r="G1804" s="583"/>
      <c r="H1804" s="583"/>
      <c r="I1804" s="584"/>
      <c r="J1804" s="585" t="str">
        <f>IF(I1804="","",IF(I1804="I",$F1791,VLOOKUP(I1804,$C1812:$D1817,2,0)))</f>
        <v/>
      </c>
      <c r="K1804" s="586"/>
      <c r="L1804" s="586"/>
      <c r="M1804" s="587"/>
      <c r="N1804" s="43" t="str">
        <f t="shared" si="358"/>
        <v/>
      </c>
      <c r="O1804" s="260" t="str">
        <f t="shared" si="359"/>
        <v/>
      </c>
      <c r="P1804" s="781"/>
      <c r="Q1804" s="782"/>
      <c r="R1804" s="767"/>
      <c r="S1804" s="768"/>
      <c r="T1804" s="538"/>
      <c r="U1804" s="539"/>
      <c r="V1804" s="540"/>
      <c r="X1804" s="541"/>
      <c r="Y1804" s="541"/>
    </row>
    <row r="1805" spans="1:29" s="27" customFormat="1" ht="12" customHeight="1" thickBot="1">
      <c r="A1805" s="42"/>
      <c r="B1805" s="45"/>
      <c r="C1805" s="46"/>
      <c r="D1805" s="46"/>
      <c r="E1805" s="46"/>
      <c r="F1805" s="46"/>
      <c r="G1805" s="46"/>
      <c r="H1805" s="606"/>
      <c r="I1805" s="46"/>
      <c r="J1805" s="46"/>
      <c r="K1805" s="46"/>
      <c r="L1805" s="46"/>
      <c r="M1805" s="46"/>
      <c r="N1805" s="46"/>
      <c r="O1805" s="259"/>
      <c r="P1805" s="46"/>
      <c r="Q1805" s="46"/>
      <c r="R1805" s="259"/>
      <c r="S1805" s="46"/>
      <c r="T1805" s="46"/>
      <c r="U1805" s="47"/>
      <c r="V1805" s="48"/>
      <c r="X1805" s="592"/>
      <c r="Y1805" s="593"/>
      <c r="AB1805" s="378"/>
    </row>
    <row r="1806" spans="1:29" s="27" customFormat="1" ht="17.25" customHeight="1" thickBot="1">
      <c r="A1806" s="42" t="str">
        <f>"Z"&amp;E1791</f>
        <v>Z60</v>
      </c>
      <c r="B1806" s="510"/>
      <c r="C1806" s="511"/>
      <c r="D1806" s="511"/>
      <c r="E1806" s="511"/>
      <c r="F1806" s="511"/>
      <c r="G1806" s="511"/>
      <c r="H1806" s="511"/>
      <c r="I1806" s="511"/>
      <c r="J1806" s="511"/>
      <c r="K1806" s="511"/>
      <c r="L1806" s="511"/>
      <c r="M1806" s="511"/>
      <c r="N1806" s="437" t="s">
        <v>388</v>
      </c>
      <c r="O1806" s="438">
        <f>IF(COUNTIF(O1795:O1804,"")&gt;9,0,SUM(O1795:O1804)/(COUNTIF(H1795:H1804,"SI")))</f>
        <v>441.279</v>
      </c>
      <c r="P1806" s="511"/>
      <c r="Q1806" s="511"/>
      <c r="R1806" s="530"/>
      <c r="S1806" s="530"/>
      <c r="T1806" s="531"/>
      <c r="U1806" s="532"/>
      <c r="V1806" s="533"/>
      <c r="W1806" s="285"/>
      <c r="X1806" s="613" t="e">
        <f>COUNTIF(#REF!,"")-COUNTIF(#REF!,"CUMPLE")-1</f>
        <v>#REF!</v>
      </c>
      <c r="Y1806" s="591"/>
      <c r="AB1806" s="28"/>
    </row>
    <row r="1807" spans="1:29" ht="17.25" customHeight="1">
      <c r="B1807" s="50"/>
      <c r="C1807" s="50"/>
      <c r="D1807" s="50"/>
      <c r="E1807" s="50"/>
      <c r="F1807" s="50"/>
      <c r="G1807" s="51"/>
      <c r="H1807" s="51"/>
      <c r="I1807" s="51"/>
      <c r="J1807" s="51"/>
      <c r="K1807" s="51"/>
      <c r="L1807" s="51"/>
      <c r="M1807" s="51"/>
      <c r="N1807" s="51"/>
      <c r="O1807" s="51"/>
      <c r="P1807" s="51"/>
      <c r="Q1807" s="51"/>
      <c r="R1807" s="51"/>
      <c r="S1807" s="51"/>
      <c r="T1807" s="51"/>
      <c r="U1807" s="51"/>
      <c r="V1807" s="51"/>
      <c r="W1807" s="51"/>
      <c r="X1807" s="608"/>
      <c r="Y1807" s="51"/>
      <c r="Z1807" s="51"/>
      <c r="AA1807" s="51"/>
      <c r="AB1807" s="51"/>
      <c r="AC1807" s="50"/>
    </row>
    <row r="1808" spans="1:29" s="27" customFormat="1" ht="16.5" customHeight="1" thickBot="1">
      <c r="A1808" s="22"/>
      <c r="B1808" s="783" t="s">
        <v>389</v>
      </c>
      <c r="C1808" s="783"/>
      <c r="D1808" s="783"/>
      <c r="E1808" s="783"/>
      <c r="F1808" s="783"/>
      <c r="G1808" s="783"/>
      <c r="H1808" s="783"/>
      <c r="I1808" s="783"/>
      <c r="J1808" s="783"/>
      <c r="K1808" s="783"/>
      <c r="L1808" s="783"/>
      <c r="M1808" s="783"/>
      <c r="N1808" s="783"/>
      <c r="O1808" s="783"/>
      <c r="P1808" s="783"/>
      <c r="Q1808" s="783"/>
      <c r="R1808" s="783"/>
      <c r="S1808" s="783"/>
      <c r="T1808" s="783"/>
      <c r="U1808" s="783"/>
      <c r="V1808" s="783"/>
      <c r="W1808" s="286"/>
      <c r="X1808" s="607"/>
      <c r="Y1808" s="52"/>
      <c r="Z1808" s="52"/>
      <c r="AA1808" s="52"/>
      <c r="AB1808" s="28"/>
      <c r="AC1808" s="28"/>
    </row>
    <row r="1809" spans="1:29" s="30" customFormat="1" ht="22.5" customHeight="1">
      <c r="A1809" s="112" t="str">
        <f>"K"&amp;E1791</f>
        <v>K60</v>
      </c>
      <c r="B1809" s="790" t="s">
        <v>390</v>
      </c>
      <c r="C1809" s="772" t="s">
        <v>391</v>
      </c>
      <c r="D1809" s="773"/>
      <c r="E1809" s="773"/>
      <c r="F1809" s="773"/>
      <c r="G1809" s="773"/>
      <c r="H1809" s="773"/>
      <c r="I1809" s="773"/>
      <c r="J1809" s="773"/>
      <c r="K1809" s="773"/>
      <c r="L1809" s="773"/>
      <c r="M1809" s="774"/>
      <c r="N1809" s="525"/>
      <c r="O1809" s="588"/>
      <c r="P1809" s="772" t="s">
        <v>392</v>
      </c>
      <c r="Q1809" s="773"/>
      <c r="R1809" s="773"/>
      <c r="S1809" s="774"/>
      <c r="T1809" s="784" t="s">
        <v>393</v>
      </c>
      <c r="U1809" s="774"/>
      <c r="V1809" s="811"/>
      <c r="W1809" s="284"/>
      <c r="X1809" s="778" t="s">
        <v>394</v>
      </c>
      <c r="Y1809" s="779"/>
      <c r="Z1809" s="779"/>
      <c r="AA1809" s="779" t="s">
        <v>395</v>
      </c>
      <c r="AB1809" s="808" t="s">
        <v>396</v>
      </c>
      <c r="AC1809" s="28"/>
    </row>
    <row r="1810" spans="1:29" s="30" customFormat="1" ht="22.5" customHeight="1">
      <c r="A1810" s="112" t="str">
        <f>"L"&amp;E1791</f>
        <v>L60</v>
      </c>
      <c r="B1810" s="791"/>
      <c r="C1810" s="769" t="s">
        <v>397</v>
      </c>
      <c r="D1810" s="770"/>
      <c r="E1810" s="771"/>
      <c r="F1810" s="512">
        <f>IF(VLOOKUP(E1791,PROPONENTES!$C$19:$E$108,3,0)="","",VLOOKUP(E1791,PROPONENTES!$C$19:$E$108,3,0))</f>
        <v>1</v>
      </c>
      <c r="G1810" s="824" t="s">
        <v>398</v>
      </c>
      <c r="H1810" s="793" t="s">
        <v>399</v>
      </c>
      <c r="I1810" s="793"/>
      <c r="J1810" s="769" t="s">
        <v>400</v>
      </c>
      <c r="K1810" s="823"/>
      <c r="L1810" s="513" t="s">
        <v>401</v>
      </c>
      <c r="M1810" s="513"/>
      <c r="N1810" s="526"/>
      <c r="O1810" s="527"/>
      <c r="P1810" s="775"/>
      <c r="Q1810" s="776"/>
      <c r="R1810" s="776"/>
      <c r="S1810" s="777"/>
      <c r="T1810" s="796"/>
      <c r="U1810" s="797"/>
      <c r="V1810" s="812"/>
      <c r="W1810" s="284"/>
      <c r="X1810" s="780" t="s">
        <v>402</v>
      </c>
      <c r="Y1810" s="810" t="s">
        <v>403</v>
      </c>
      <c r="Z1810" s="810"/>
      <c r="AA1810" s="810"/>
      <c r="AB1810" s="809"/>
      <c r="AC1810" s="28"/>
    </row>
    <row r="1811" spans="1:29" s="30" customFormat="1" ht="51.75" customHeight="1" thickBot="1">
      <c r="A1811" s="112" t="str">
        <f>"M"&amp;E1791</f>
        <v>M60</v>
      </c>
      <c r="B1811" s="791"/>
      <c r="C1811" s="770" t="s">
        <v>404</v>
      </c>
      <c r="D1811" s="771"/>
      <c r="E1811" s="514" t="s">
        <v>405</v>
      </c>
      <c r="F1811" s="515" t="s">
        <v>406</v>
      </c>
      <c r="G1811" s="824"/>
      <c r="H1811" s="793"/>
      <c r="I1811" s="793"/>
      <c r="J1811" s="504" t="s">
        <v>407</v>
      </c>
      <c r="K1811" s="516" t="s">
        <v>408</v>
      </c>
      <c r="L1811" s="517" t="s">
        <v>409</v>
      </c>
      <c r="M1811" s="517"/>
      <c r="N1811" s="528" t="s">
        <v>410</v>
      </c>
      <c r="O1811" s="529"/>
      <c r="P1811" s="386"/>
      <c r="Q1811" s="387" t="s">
        <v>411</v>
      </c>
      <c r="R1811" s="388"/>
      <c r="S1811" s="113">
        <f>COUNTIFS(H1795:H1804,"SI",O1795:O1804,"&gt;0")</f>
        <v>3</v>
      </c>
      <c r="T1811" s="785"/>
      <c r="U1811" s="787"/>
      <c r="V1811" s="813"/>
      <c r="W1811" s="284"/>
      <c r="X1811" s="780"/>
      <c r="Y1811" s="810"/>
      <c r="Z1811" s="810"/>
      <c r="AA1811" s="810"/>
      <c r="AB1811" s="809"/>
      <c r="AC1811" s="28"/>
    </row>
    <row r="1812" spans="1:29" s="30" customFormat="1" ht="15.75" customHeight="1">
      <c r="A1812" s="112" t="str">
        <f>"N"&amp;E1791</f>
        <v>N60</v>
      </c>
      <c r="B1812" s="791"/>
      <c r="C1812" s="54">
        <v>1</v>
      </c>
      <c r="D1812" s="100" t="str">
        <f>IF(AND(C1812&lt;=F1810,F1810&gt;1,F1810&lt;&gt;""),VLOOKUP(VALUE(E1791&amp;","&amp;C1812),INTEGRANTES!$D$19:$F$192,2,0),"")</f>
        <v/>
      </c>
      <c r="E1812" s="107" t="str">
        <f>IF(D1812&lt;&gt;"",VLOOKUP(VALUE(E1791&amp;","&amp;C1812),INTEGRANTES!$D$19:$F$192,3,0),"")</f>
        <v/>
      </c>
      <c r="F1812" s="380" t="str">
        <f>IF(D1812="","",IF(OR(SUMIF($J1798:$J1804,D1812,$O1798:$O1804)=0,N1812="NO"),"NO APORTA",SUMIF($J1798:$J1804,D1812,$O1798:$O1804)))</f>
        <v/>
      </c>
      <c r="G1812" s="380" t="str">
        <f>IF($D1812="","",IF($F1810&lt;=1,"",ROUND(POSMMLV*PORPO,2)))</f>
        <v/>
      </c>
      <c r="H1812" s="765" t="str">
        <f>IF($D1812="","",IF(OR(F1812="NO APORTA",G1812&gt;F1812),"NO CUMPLE","CUMPLE"))</f>
        <v/>
      </c>
      <c r="I1812" s="766"/>
      <c r="J1812" s="108" t="str">
        <f>IF(D1812="","",IF(OR(AND(SUMIF($J1795:$J1804,D1812,$O1795:$O1804)&gt;=5%*POSMMLV,N1812="SI"),AND(SUMIF($J1795:$J1804,D1812,$O1795:$O1804)=0,E1812&lt;=5%,N1812="SI")),"CUMPLE","NO CUMPLE"))</f>
        <v/>
      </c>
      <c r="K1812" s="105" t="str">
        <f>IF(OR(D1812="",J1812=""),"",IF(AND(J1812="NO CUMPLE",F1812="NO APORTA",E1812&gt;5%),"EXP = 0 y PART &gt; 5%",IF(F1812&lt;5%*Q1817,"EXP &lt; 5%*PO","")))</f>
        <v/>
      </c>
      <c r="L1812" s="389" t="str">
        <f>IF(OR(D1812="",E1812=""),"",IF(AND(E1812&gt;=0.25,F1812&lt;&gt;"NO APORTA",F1812&gt;=$R1817*0.25),"SI","NO"))</f>
        <v/>
      </c>
      <c r="M1812" s="389"/>
      <c r="N1812" s="468" t="s">
        <v>385</v>
      </c>
      <c r="O1812" s="396">
        <f>COUNTIFS(O1795:O1804,"&gt;0",H1795:H1804,"SI")</f>
        <v>3</v>
      </c>
      <c r="P1812" s="814" t="s">
        <v>139</v>
      </c>
      <c r="Q1812" s="814"/>
      <c r="R1812" s="817">
        <f>E1791</f>
        <v>60</v>
      </c>
      <c r="S1812" s="818"/>
      <c r="T1812" s="784" t="s">
        <v>412</v>
      </c>
      <c r="U1812" s="773"/>
      <c r="V1812" s="774"/>
      <c r="W1812" s="283"/>
      <c r="X1812" s="542" t="str">
        <f>IF($F1810=1,"NO APLICA",$D1812)</f>
        <v>NO APLICA</v>
      </c>
      <c r="Y1812" s="543" t="str">
        <f>IF(OR($F1812="",$F1812="NO APORTA",$R1817=0,$X1812="NO APLICA"),"",ROUND($F1812/$Q1817,2))</f>
        <v/>
      </c>
      <c r="Z1812" s="544" t="str">
        <f>IF(Y1818=1,"SI APLICA",IF(OR($X1812="",$X1812="NO APLICA",$F1812="",$F1812="NO APORTA"),"",IF(ROUND($F1812/Q1817,7)&gt;=0.4,"SI APLICA","NO APLICA")))</f>
        <v>SI APLICA</v>
      </c>
      <c r="AA1812" s="543" t="s">
        <v>413</v>
      </c>
      <c r="AB1812" s="540" t="str">
        <f>IF(COUNTIF(Z1812:AA1812,"SI APLICA")=2,"SI APLICA","")</f>
        <v>SI APLICA</v>
      </c>
      <c r="AC1812" s="28"/>
    </row>
    <row r="1813" spans="1:29" s="30" customFormat="1" ht="15.75" customHeight="1" thickBot="1">
      <c r="A1813" s="112" t="str">
        <f>"O"&amp;E1791</f>
        <v>O60</v>
      </c>
      <c r="B1813" s="791"/>
      <c r="C1813" s="54">
        <v>2</v>
      </c>
      <c r="D1813" s="100" t="str">
        <f>IF(AND(C1813&lt;=F1810,F1810&lt;&gt;""),VLOOKUP(VALUE(E1791&amp;","&amp;C1813),INTEGRANTES!$D$19:$F$192,2,0),"")</f>
        <v/>
      </c>
      <c r="E1813" s="107" t="str">
        <f>IF(D1813&lt;&gt;"",VLOOKUP(VALUE(E1791&amp;","&amp;C1813),INTEGRANTES!$D$19:$F$192,3,0),"")</f>
        <v/>
      </c>
      <c r="F1813" s="380" t="str">
        <f>IF(D1813="","",IF(OR(SUMIF($J1798:$J1804,D1813,$O1798:$O1804)=0,N1813="NO"),"NO APORTA",SUMIF($J1798:$J1804,D1813,$O1798:$O1804)))</f>
        <v/>
      </c>
      <c r="G1813" s="380" t="str">
        <f>IF($D1813="","",IF($F1810&lt;=1,"",ROUND(POSMMLV*PORPO,2)))</f>
        <v/>
      </c>
      <c r="H1813" s="765" t="str">
        <f t="shared" ref="H1813:H1816" si="361">IF($D1813="","",IF(OR(F1813="NO APORTA",G1813&gt;F1813),"NO CUMPLE","CUMPLE"))</f>
        <v/>
      </c>
      <c r="I1813" s="766"/>
      <c r="J1813" s="108" t="str">
        <f>IF(D1813="","",IF(OR(AND(SUMIF($J1795:$J1804,D1813,$O1795:$O1804)&gt;=5%*POSMMLV,N1813="SI"),AND(SUMIF($J1795:$J1804,D1813,$O1795:$O1804)=0,E1813&lt;=5%,N1813="SI")),"CUMPLE","NO CUMPLE"))</f>
        <v/>
      </c>
      <c r="K1813" s="105" t="str">
        <f>IF(OR(D1813="",J1813=""),"",IF(AND(J1813="NO CUMPLE",F1813="NO APORTA",E1813&gt;5%),"EXP = 0 y PART &gt; 5%",IF(F1813&lt;5%*Q1817,"EXP &lt; 5%*PO","")))</f>
        <v/>
      </c>
      <c r="L1813" s="389" t="str">
        <f>IF(OR(D1813="",E1813=""),"",IF(AND(E1813&gt;=0.25,F1813&lt;&gt;"NO APORTA",F1813&gt;=$R1817*0.25),"SI","NO"))</f>
        <v/>
      </c>
      <c r="M1813" s="389"/>
      <c r="N1813" s="468" t="s">
        <v>385</v>
      </c>
      <c r="O1813" s="396"/>
      <c r="P1813" s="815"/>
      <c r="Q1813" s="815"/>
      <c r="R1813" s="815"/>
      <c r="S1813" s="819"/>
      <c r="T1813" s="785"/>
      <c r="U1813" s="786"/>
      <c r="V1813" s="787"/>
      <c r="W1813" s="283"/>
      <c r="X1813" s="542" t="str">
        <f>IF($F1810=1,"NO APLICA",$D1813)</f>
        <v>NO APLICA</v>
      </c>
      <c r="Y1813" s="543" t="str">
        <f>IF(OR($F1813="",$F1813="NO APORTA",$R1817=0,$X1813="NO APLICA"),"",ROUND($F1813/$Q1817,2))</f>
        <v/>
      </c>
      <c r="Z1813" s="544"/>
      <c r="AA1813" s="543"/>
      <c r="AB1813" s="540" t="str">
        <f t="shared" ref="AB1813" si="362">IF(COUNTIF(Z1813:AA1813,"SI APLICA")=2,"SI APLICA","")</f>
        <v/>
      </c>
      <c r="AC1813" s="28"/>
    </row>
    <row r="1814" spans="1:29" s="30" customFormat="1" ht="15.75" customHeight="1">
      <c r="A1814" s="112" t="str">
        <f>"P"&amp;E1791</f>
        <v>P60</v>
      </c>
      <c r="B1814" s="791"/>
      <c r="C1814" s="54">
        <v>3</v>
      </c>
      <c r="D1814" s="100" t="str">
        <f>IF(AND(C1814&lt;=F1810,F1810&lt;&gt;""),VLOOKUP(VALUE(E1791&amp;","&amp;C1814),INTEGRANTES!$D$19:$F$192,2,0),"")</f>
        <v/>
      </c>
      <c r="E1814" s="107" t="str">
        <f>IF(D1814&lt;&gt;"",VLOOKUP(VALUE(E1791&amp;","&amp;C1814),INTEGRANTES!$D$19:$F$192,3,0),"")</f>
        <v/>
      </c>
      <c r="F1814" s="380" t="str">
        <f>IF(D1814="","",IF(OR(SUMIF($J1798:$J1804,D1814,$O1798:$O1804)=0,N1814="NO"),"NO APORTA",SUMIF($J1798:$J1804,D1814,$O1798:$O1804)))</f>
        <v/>
      </c>
      <c r="G1814" s="380" t="str">
        <f>IF($D1814="","",IF($F1810&lt;=1,"",ROUND(POSMMLV*PORPO,2)))</f>
        <v/>
      </c>
      <c r="H1814" s="765" t="str">
        <f t="shared" si="361"/>
        <v/>
      </c>
      <c r="I1814" s="766"/>
      <c r="J1814" s="108" t="str">
        <f>IF(D1814="","",IF(OR(AND(SUMIF($J1795:$J1804,D1814,$O1795:$O1804)&gt;=5%*POSMMLV,N1814="SI"),AND(SUMIF($J1795:$J1804,D1814,$O1795:$O1804)=0,E1814&lt;=5%,N1814="SI")),"CUMPLE","NO CUMPLE"))</f>
        <v/>
      </c>
      <c r="K1814" s="105" t="str">
        <f>IF(OR(D1814="",J1814=""),"",IF(AND(J1814="NO CUMPLE",F1814="NO APORTA",E1814&gt;5%),"EXP = 0 y PART &gt; 5%",IF(F1814&lt;5%*Q1817,"EXP &lt; 5%*PO","")))</f>
        <v/>
      </c>
      <c r="L1814" s="389" t="str">
        <f>IF(OR(D1814="",E1814=""),"",IF(AND(E1814&gt;=0.25,F1814&lt;&gt;"NO APORTA",F1814&gt;=$R1817*0.25),"SI","NO"))</f>
        <v/>
      </c>
      <c r="M1814" s="389"/>
      <c r="N1814" s="468"/>
      <c r="O1814" s="397"/>
      <c r="P1814" s="816"/>
      <c r="Q1814" s="816"/>
      <c r="R1814" s="816"/>
      <c r="S1814" s="820"/>
      <c r="T1814" s="308"/>
      <c r="U1814" s="308"/>
      <c r="V1814" s="309"/>
      <c r="W1814" s="284"/>
      <c r="X1814" s="542" t="str">
        <f>IF($F1810=1,"NO APLICA",$D1814)</f>
        <v>NO APLICA</v>
      </c>
      <c r="Y1814" s="543" t="str">
        <f>IF(OR($F1814="",$F1814="NO APORTA",$R1817=0,$X1814="NO APLICA"),"",ROUND($F1814/$Q1817,2))</f>
        <v/>
      </c>
      <c r="Z1814" s="544"/>
      <c r="AA1814" s="543"/>
      <c r="AB1814" s="540" t="str">
        <f>IF(COUNTIF(Z1814:AA1814,"SI APLICA")=2,"SI APLICA","")</f>
        <v/>
      </c>
      <c r="AC1814" s="28"/>
    </row>
    <row r="1815" spans="1:29" s="30" customFormat="1" ht="15.75" customHeight="1">
      <c r="A1815" s="112" t="str">
        <f>"Q"&amp;E1791</f>
        <v>Q60</v>
      </c>
      <c r="B1815" s="791"/>
      <c r="C1815" s="54">
        <v>4</v>
      </c>
      <c r="D1815" s="100" t="str">
        <f>IF(AND(C1815&lt;=F1810,F1810&lt;&gt;""),VLOOKUP(VALUE(E1791&amp;","&amp;C1815),INTEGRANTES!$D$19:$F$192,2,0),"")</f>
        <v/>
      </c>
      <c r="E1815" s="107" t="str">
        <f>IF(D1815&lt;&gt;"",VLOOKUP(VALUE(E1791&amp;","&amp;C1815),INTEGRANTES!$D$19:$F$192,3,0),"")</f>
        <v/>
      </c>
      <c r="F1815" s="380" t="str">
        <f>IF(D1815="","",IF(OR(SUMIF($J1798:$J1804,D1815,$O1798:$O1804)=0,N1815="NO"),"NO APORTA",SUMIF($J1798:$J1804,D1815,$O1798:$O1804)))</f>
        <v/>
      </c>
      <c r="G1815" s="380" t="str">
        <f>IF($D1815="","",IF($F1810&lt;=1,"",ROUND(POSMMLV*PORPO,2)))</f>
        <v/>
      </c>
      <c r="H1815" s="765" t="str">
        <f t="shared" si="361"/>
        <v/>
      </c>
      <c r="I1815" s="766"/>
      <c r="J1815" s="108" t="str">
        <f>IF(D1815="","",IF(OR(AND(SUMIF($J1795:$J1804,D1815,$O1795:$O1804)&gt;=5%*POSMMLV,N1815="SI"),AND(SUMIF($J1795:$J1804,D1815,$O1795:$O1804)=0,E1815&lt;=5%,N1815="SI")),"CUMPLE","NO CUMPLE"))</f>
        <v/>
      </c>
      <c r="K1815" s="105" t="str">
        <f>IF(OR(D1815="",J1815=""),"",IF(AND(J1815="NO CUMPLE",F1815="NO APORTA",E1815&gt;5%),"EXP = 0 y PART &gt; 5%",IF(F1815&lt;5%*Q1817,"EXP &lt; 5%*PO","")))</f>
        <v/>
      </c>
      <c r="L1815" s="389" t="str">
        <f>IF(OR(D1815="",E1815=""),"",IF(AND(E1815&gt;=0.25,F1815&lt;&gt;"NO APORTA",F1815&gt;=$R1817*0.25),"SI","NO"))</f>
        <v/>
      </c>
      <c r="M1815" s="389"/>
      <c r="N1815" s="468"/>
      <c r="O1815" s="788" t="s">
        <v>414</v>
      </c>
      <c r="P1815" s="769" t="s">
        <v>415</v>
      </c>
      <c r="Q1815" s="770"/>
      <c r="R1815" s="770"/>
      <c r="S1815" s="771"/>
      <c r="T1815" s="284"/>
      <c r="U1815" s="284"/>
      <c r="V1815" s="310"/>
      <c r="W1815" s="284"/>
      <c r="X1815" s="542" t="str">
        <f>IF($F1810=1,"NO APLICA",$D1815)</f>
        <v>NO APLICA</v>
      </c>
      <c r="Y1815" s="543" t="str">
        <f>IF(OR($F1815="",$F1815="NO APORTA",$R1817=0,$X1815="NO APLICA"),"",ROUND($F1815/$Q1817,2))</f>
        <v/>
      </c>
      <c r="Z1815" s="544"/>
      <c r="AA1815" s="543"/>
      <c r="AB1815" s="540" t="str">
        <f t="shared" ref="AB1815:AB1816" si="363">IF(COUNTIF(Z1815:AA1815,"SI APLICA")=2,"SI APLICA","")</f>
        <v/>
      </c>
      <c r="AC1815" s="28"/>
    </row>
    <row r="1816" spans="1:29" s="30" customFormat="1" ht="17.25" customHeight="1">
      <c r="A1816" s="112" t="str">
        <f>"R"&amp;E1791</f>
        <v>R60</v>
      </c>
      <c r="B1816" s="791"/>
      <c r="C1816" s="54">
        <v>5</v>
      </c>
      <c r="D1816" s="100" t="str">
        <f>IF(AND(C1816&lt;=F1810,F1810&lt;&gt;""),VLOOKUP(VALUE(E1791&amp;","&amp;C1816),INTEGRANTES!$D$19:$F$192,2,0),"")</f>
        <v/>
      </c>
      <c r="E1816" s="107" t="str">
        <f>IF(D1816&lt;&gt;"",VLOOKUP(VALUE(E1791&amp;","&amp;C1816),INTEGRANTES!$D$19:$F$192,3,0),"")</f>
        <v/>
      </c>
      <c r="F1816" s="380" t="str">
        <f>IF(D1816="","",IF(OR(SUMIF($J1798:$J1804,D1816,$O1798:$O1804)=0,N1816="NO"),"NO APORTA",SUMIF($J1798:$J1804,D1816,$O1798:$O1804)))</f>
        <v/>
      </c>
      <c r="G1816" s="380" t="str">
        <f>IF($D1816="","",IF($F1810&lt;=1,"",ROUND(POSMMLV*PORPO,2)))</f>
        <v/>
      </c>
      <c r="H1816" s="765" t="str">
        <f t="shared" si="361"/>
        <v/>
      </c>
      <c r="I1816" s="766"/>
      <c r="J1816" s="108" t="str">
        <f>IF(D1816="","",IF(OR(AND(SUMIF($J1795:$J1804,D1816,$O1795:$O1804)&gt;=5%*POSMMLV,N1816="SI"),AND(SUMIF($J1795:$J1804,D1816,$O1795:$O1804)=0,E1816&lt;=5%,N1816="SI")),"CUMPLE","NO CUMPLE"))</f>
        <v/>
      </c>
      <c r="K1816" s="105" t="str">
        <f>IF(OR(D1816="",J1816=""),"",IF(AND(J1816="NO CUMPLE",F1816="NO APORTA",E1816&gt;5%),"EXP = 0 y PART &gt; 5%",IF(F1816&lt;5%*Q1817,"EXP &lt; 5%*PO","")))</f>
        <v/>
      </c>
      <c r="L1816" s="389" t="str">
        <f>IF(OR(D1816="",E1816=""),"",IF(AND(E1816&gt;=0.25,F1816&lt;&gt;"NO APORTA",F1816&gt;=$R1817*0.25),"SI","NO"))</f>
        <v/>
      </c>
      <c r="M1816" s="389"/>
      <c r="N1816" s="468"/>
      <c r="O1816" s="789"/>
      <c r="P1816" s="504" t="s">
        <v>416</v>
      </c>
      <c r="Q1816" s="504" t="s">
        <v>417</v>
      </c>
      <c r="R1816" s="793" t="s">
        <v>418</v>
      </c>
      <c r="S1816" s="793"/>
      <c r="T1816" s="284"/>
      <c r="U1816" s="284"/>
      <c r="V1816" s="310"/>
      <c r="W1816" s="284"/>
      <c r="X1816" s="542" t="str">
        <f>IF($F1810=1,"NO APLICA",$D1816)</f>
        <v>NO APLICA</v>
      </c>
      <c r="Y1816" s="543" t="str">
        <f>IF(OR($F1816="",$F1816="NO APORTA",$R1817=0,$X1816="NO APLICA"),"",ROUND($F1816/$Q1817,2))</f>
        <v/>
      </c>
      <c r="Z1816" s="544"/>
      <c r="AA1816" s="543"/>
      <c r="AB1816" s="540" t="str">
        <f t="shared" si="363"/>
        <v/>
      </c>
      <c r="AC1816" s="28"/>
    </row>
    <row r="1817" spans="1:29" s="30" customFormat="1" ht="16.5" customHeight="1" thickBot="1">
      <c r="A1817" s="112" t="str">
        <f>"S"&amp;E1791</f>
        <v>S60</v>
      </c>
      <c r="B1817" s="791"/>
      <c r="C1817" s="109">
        <v>6</v>
      </c>
      <c r="D1817" s="110" t="str">
        <f>IF(AND(C1817&lt;=F1810,F1810&lt;&gt;""),VLOOKUP(VALUE(E1791&amp;","&amp;C1817),INTEGRANTES!$D$19:$F$192,2,0),"")</f>
        <v/>
      </c>
      <c r="E1817" s="111" t="str">
        <f>IF(D1817&lt;&gt;"",VLOOKUP(VALUE(E1791&amp;","&amp;C1817),INTEGRANTES!$D$19:$F$192,3,0),"")</f>
        <v/>
      </c>
      <c r="F1817" s="380" t="str">
        <f>IF(D1817="","",IF(OR(SUMIF($J1798:$J1804,D1817,$O1798:$O1804)=0,N1817="NO"),"NO APORTA",SUMIF($J1798:$J1804,D1817,$O1798:$O1804)))</f>
        <v/>
      </c>
      <c r="G1817" s="380" t="str">
        <f>IF($D1817="","",IF($F1810&lt;=1,"",ROUND(POSMMLV*PORPO,2)))</f>
        <v/>
      </c>
      <c r="H1817" s="765" t="str">
        <f>IF($D1817="","",IF(OR(F1817="NO APORTA",G1817&gt;F1817),"NO CUMPLE","CUMPLE"))</f>
        <v/>
      </c>
      <c r="I1817" s="766"/>
      <c r="J1817" s="108" t="str">
        <f>IF(D1817="","",IF(OR(AND(SUMIF($J1795:$J1804,D1817,$O1795:$O1804)&gt;=5%*POSMMLV,N1817="SI"),AND(SUMIF($J1795:$J1804,D1817,$O1795:$O1804)=0,E1817&lt;=5%,N1817="SI")),"CUMPLE","NO CUMPLE"))</f>
        <v/>
      </c>
      <c r="K1817" s="105" t="str">
        <f>IF(OR(D1817="",J1817=""),"",IF(AND(J1817="NO CUMPLE",F1817="NO APORTA",E1817&gt;5%),"EXP = 0 y PART &gt; 5%",IF(F1817&lt;5%*Q1817,"EXP &lt; 5%*PO","")))</f>
        <v/>
      </c>
      <c r="L1817" s="389" t="str">
        <f>IF(OR(D1817="",E1817=""),"",IF(AND(E1817&gt;=0.25,F1817&lt;&gt;"NO APORTA",F1817&gt;=$R1817*0.25),"SI","NO"))</f>
        <v/>
      </c>
      <c r="M1817" s="389"/>
      <c r="N1817" s="468"/>
      <c r="O1817" s="403" t="str">
        <f ca="1">IF(R1817&gt;=Q1817,"CUMPLE","NO CUMPLE")</f>
        <v>CUMPLE</v>
      </c>
      <c r="P1817" s="312">
        <f>NUMMOD</f>
        <v>1</v>
      </c>
      <c r="Q1817" s="313">
        <f ca="1">IF(P1817="","",ROUND(VLOOKUP(P1817,PRESUPUESTOS!$B$16:$L$16,9,FALSE),7))</f>
        <v>300</v>
      </c>
      <c r="R1817" s="834">
        <f>IF(OR(COUNTIF(O1795:O1804,"")&gt;9,S1811&lt;NUMMINCONT),0,SUM(O1795:O1804))</f>
        <v>1323.837</v>
      </c>
      <c r="S1817" s="834"/>
      <c r="T1817" s="284"/>
      <c r="U1817" s="284"/>
      <c r="V1817" s="310"/>
      <c r="W1817" s="284"/>
      <c r="X1817" s="545" t="str">
        <f>IF($F1810=1,"NO APLICA",$D1817)</f>
        <v>NO APLICA</v>
      </c>
      <c r="Y1817" s="543" t="str">
        <f>IF(OR($F1817="",$F1817="NO APORTA",$R1817=0,$X1817="NO APLICA"),"",ROUND($F1817/$Q1817,2))</f>
        <v/>
      </c>
      <c r="Z1817" s="544"/>
      <c r="AA1817" s="546"/>
      <c r="AB1817" s="540" t="str">
        <f>IF(COUNTIF(Z1817:AA1817,"SI APLICA")=2,"SI APLICA","")</f>
        <v/>
      </c>
      <c r="AC1817" s="28"/>
    </row>
    <row r="1818" spans="1:29" s="30" customFormat="1" ht="16.5" customHeight="1" thickBot="1">
      <c r="A1818" s="112" t="str">
        <f>"T"&amp;E1791</f>
        <v>T60</v>
      </c>
      <c r="B1818" s="792"/>
      <c r="C1818" s="821" t="s">
        <v>419</v>
      </c>
      <c r="D1818" s="822"/>
      <c r="E1818" s="822"/>
      <c r="F1818" s="518"/>
      <c r="G1818" s="519"/>
      <c r="H1818" s="794" t="str">
        <f>IF(OR($F1810="",SUM(E1812:E1817)=0),"",IF(COUNTIF(H1812:H1817,"CUMPLE")&gt;=1,"CUMPLE","NO CUMPLE"))</f>
        <v/>
      </c>
      <c r="I1818" s="795"/>
      <c r="J1818" s="314" t="str">
        <f>IF(COUNTIF(J1812:J1817,"")&gt;5,"",IF(COUNTIF(J1812:J1817,"NO CUMPLE")&gt;0,"NO CUMPLE","CUMPLE"))</f>
        <v/>
      </c>
      <c r="K1818" s="314" t="str">
        <f>IF(OR(AND(F1810=1,N1812="SI"),AND(COUNTIF(H1818:J1818,"CUMPLE")=2)),"CUMPLE","NO CUMPLE")</f>
        <v>CUMPLE</v>
      </c>
      <c r="L1818" s="519"/>
      <c r="M1818" s="519"/>
      <c r="N1818" s="519"/>
      <c r="O1818" s="833" t="str">
        <f ca="1">IF(ISNUMBER(F1791),"",IF(AND(O1817="NO CUMPLE",SUM(N1798:N1804)&lt;Q1817),"EL PROPONENTE SE DEBE REQUERIR POR EXPERIENCIA MINIMA EXIGIDA",""))</f>
        <v/>
      </c>
      <c r="P1818" s="833"/>
      <c r="Q1818" s="833"/>
      <c r="R1818" s="833"/>
      <c r="S1818" s="833"/>
      <c r="T1818" s="522"/>
      <c r="U1818" s="523"/>
      <c r="V1818" s="524"/>
      <c r="W1818" s="284"/>
      <c r="X1818" s="364" t="str">
        <f>IF(Y1818=1,"PROPONENTE INDIVIDUAL","PROPONENTE PLURAL")</f>
        <v>PROPONENTE INDIVIDUAL</v>
      </c>
      <c r="Y1818" s="276">
        <f>F1810</f>
        <v>1</v>
      </c>
      <c r="Z1818" s="277" t="str">
        <f>IF(OR(AND(Z1812="SI APLICA",AA1812="SI APLICA"),AND(Z1813="SI APLICA",AA1813="SI APLICA"),AND(Z1814="SI APLICA",AA1814="SI APLICA"),AND(Z1815="SI APLICA",AA1815="SI APLICA"),AND(Z1816="SI APLICA",AA1816="SI APLICA"),AND(Z1817="SI APLICA",AA1817="SI APLICA")),"SI APLICA","NO APLICA")</f>
        <v>SI APLICA</v>
      </c>
      <c r="AA1818" s="278" t="str">
        <f>IF(OR(AND(AA1812="SI APLICA",AB1812="SI APLICA"),AND(AA1813="SI APLICA",AB1813="SI APLICA"),AND(AA1814="SI APLICA",AB1814="SI APLICA"),AND(AA1815="SI APLICA",AB1815="SI APLICA"),AND(AA1816="SI APLICA",AB1816="SI APLICA"),AND(AA1817="SI APLICA",AB1817="SI APLICA")),"SI APLICA","NO APLICA")</f>
        <v>SI APLICA</v>
      </c>
      <c r="AB1818" s="278" t="str">
        <f>IF(COUNTIF(AB1812:AB1817,"SI APLICA")&gt;0,"SI APLICA","NO APLICA")</f>
        <v>SI APLICA</v>
      </c>
      <c r="AC1818" s="28"/>
    </row>
    <row r="1819" spans="1:29" ht="24.95" customHeight="1"/>
    <row r="1820" spans="1:29" ht="24.95" customHeight="1"/>
    <row r="1821" spans="1:29" s="41" customFormat="1" ht="24" thickBot="1">
      <c r="A1821" s="34">
        <v>61</v>
      </c>
      <c r="B1821" s="828" t="s">
        <v>355</v>
      </c>
      <c r="C1821" s="828"/>
      <c r="D1821" s="828"/>
      <c r="E1821" s="35">
        <f>VLOOKUP(A1821,PROPONENTES!$B$19:$E$108,2,FALSE)</f>
        <v>61</v>
      </c>
      <c r="F1821" s="36" t="str">
        <f>VLOOKUP(A1821,PROPONENTES!$B$19:$E$108,3,FALSE)</f>
        <v>CONSORCIO INVITOL 2022</v>
      </c>
      <c r="G1821" s="37"/>
      <c r="H1821" s="37"/>
      <c r="I1821" s="36"/>
      <c r="J1821" s="36"/>
      <c r="K1821" s="36"/>
      <c r="L1821" s="36"/>
      <c r="M1821" s="38"/>
      <c r="N1821" s="38"/>
      <c r="O1821" s="37"/>
      <c r="P1821" s="37"/>
      <c r="Q1821" s="39"/>
      <c r="R1821" s="39"/>
      <c r="S1821" s="39"/>
      <c r="T1821" s="39"/>
      <c r="U1821" s="40"/>
      <c r="Y1821" s="52"/>
      <c r="Z1821" s="52"/>
      <c r="AA1821" s="52"/>
      <c r="AB1821" s="28"/>
      <c r="AC1821" s="28"/>
    </row>
    <row r="1822" spans="1:29" s="27" customFormat="1" ht="24.75" customHeight="1">
      <c r="A1822" s="22"/>
      <c r="B1822" s="829" t="s">
        <v>356</v>
      </c>
      <c r="C1822" s="501" t="s">
        <v>357</v>
      </c>
      <c r="D1822" s="502" t="s">
        <v>358</v>
      </c>
      <c r="E1822" s="502"/>
      <c r="F1822" s="502" t="s">
        <v>359</v>
      </c>
      <c r="G1822" s="503"/>
      <c r="H1822" s="803" t="s">
        <v>360</v>
      </c>
      <c r="I1822" s="831" t="s">
        <v>361</v>
      </c>
      <c r="J1822" s="803" t="s">
        <v>362</v>
      </c>
      <c r="K1822" s="803" t="s">
        <v>363</v>
      </c>
      <c r="L1822" s="803" t="s">
        <v>364</v>
      </c>
      <c r="M1822" s="803" t="s">
        <v>365</v>
      </c>
      <c r="N1822" s="804" t="s">
        <v>366</v>
      </c>
      <c r="O1822" s="805"/>
      <c r="P1822" s="806" t="s">
        <v>367</v>
      </c>
      <c r="Q1822" s="807"/>
      <c r="R1822" s="784" t="s">
        <v>368</v>
      </c>
      <c r="S1822" s="774"/>
      <c r="T1822" s="798" t="s">
        <v>369</v>
      </c>
      <c r="U1822" s="799"/>
      <c r="V1822" s="800"/>
      <c r="X1822" s="520"/>
      <c r="Y1822" s="520"/>
    </row>
    <row r="1823" spans="1:29" s="27" customFormat="1" ht="94.5" customHeight="1">
      <c r="A1823" s="22"/>
      <c r="B1823" s="830"/>
      <c r="C1823" s="504" t="s">
        <v>370</v>
      </c>
      <c r="D1823" s="505" t="s">
        <v>41</v>
      </c>
      <c r="E1823" s="505" t="s">
        <v>371</v>
      </c>
      <c r="F1823" s="505" t="s">
        <v>372</v>
      </c>
      <c r="G1823" s="506" t="s">
        <v>373</v>
      </c>
      <c r="H1823" s="793"/>
      <c r="I1823" s="832"/>
      <c r="J1823" s="793"/>
      <c r="K1823" s="793"/>
      <c r="L1823" s="793"/>
      <c r="M1823" s="793"/>
      <c r="N1823" s="504" t="s">
        <v>374</v>
      </c>
      <c r="O1823" s="505" t="s">
        <v>375</v>
      </c>
      <c r="P1823" s="801"/>
      <c r="Q1823" s="802"/>
      <c r="R1823" s="796"/>
      <c r="S1823" s="797"/>
      <c r="T1823" s="507" t="s">
        <v>376</v>
      </c>
      <c r="U1823" s="508" t="s">
        <v>377</v>
      </c>
      <c r="V1823" s="509" t="s">
        <v>378</v>
      </c>
      <c r="X1823" s="521" t="s">
        <v>379</v>
      </c>
      <c r="Y1823" s="521" t="s">
        <v>380</v>
      </c>
    </row>
    <row r="1824" spans="1:29" s="27" customFormat="1" ht="15" customHeight="1">
      <c r="A1824" s="22"/>
      <c r="B1824" s="594"/>
      <c r="C1824" s="595">
        <v>3</v>
      </c>
      <c r="D1824" s="595">
        <v>4</v>
      </c>
      <c r="E1824" s="595">
        <v>5</v>
      </c>
      <c r="F1824" s="595">
        <v>6</v>
      </c>
      <c r="G1824" s="595">
        <v>7</v>
      </c>
      <c r="H1824" s="595">
        <v>8</v>
      </c>
      <c r="I1824" s="595">
        <v>9</v>
      </c>
      <c r="J1824" s="595">
        <v>10</v>
      </c>
      <c r="K1824" s="595">
        <v>11</v>
      </c>
      <c r="L1824" s="595">
        <v>12</v>
      </c>
      <c r="M1824" s="595">
        <v>13</v>
      </c>
      <c r="N1824" s="595">
        <v>14</v>
      </c>
      <c r="O1824" s="595">
        <v>15</v>
      </c>
      <c r="P1824" s="596">
        <v>16</v>
      </c>
      <c r="Q1824" s="597">
        <v>17</v>
      </c>
      <c r="R1824" s="596">
        <v>18</v>
      </c>
      <c r="S1824" s="597">
        <v>19</v>
      </c>
      <c r="T1824" s="598">
        <v>20</v>
      </c>
      <c r="U1824" s="255">
        <v>21</v>
      </c>
      <c r="V1824" s="599">
        <v>22</v>
      </c>
      <c r="X1824" s="589"/>
      <c r="Y1824" s="590"/>
    </row>
    <row r="1825" spans="1:29" s="44" customFormat="1" ht="34.5" customHeight="1">
      <c r="A1825" s="42" t="str">
        <f>"A"&amp;E1821</f>
        <v>A61</v>
      </c>
      <c r="B1825" s="605">
        <f>IF(C1825&lt;&gt;"",B1824+1,"")</f>
        <v>1</v>
      </c>
      <c r="C1825" s="581" t="s">
        <v>861</v>
      </c>
      <c r="D1825" s="581" t="s">
        <v>862</v>
      </c>
      <c r="E1825" s="581" t="s">
        <v>863</v>
      </c>
      <c r="F1825" s="581" t="s">
        <v>384</v>
      </c>
      <c r="G1825" s="534">
        <v>1</v>
      </c>
      <c r="H1825" s="534" t="s">
        <v>385</v>
      </c>
      <c r="I1825" s="579">
        <v>1</v>
      </c>
      <c r="J1825" s="580" t="str">
        <f>IF(I1825="","",IF(I1825="I",$F1821,VLOOKUP(I1825,$C1842:$D1847,2,0)))</f>
        <v>JORGE ALVARO SANCHEZ BLANCO</v>
      </c>
      <c r="K1825" s="535">
        <v>40903</v>
      </c>
      <c r="L1825" s="535">
        <v>41238</v>
      </c>
      <c r="M1825" s="536">
        <v>629.14</v>
      </c>
      <c r="N1825" s="232">
        <f t="shared" ref="N1825:N1834" si="364">IF(OR(G1825="",M1825=""),"",M1825*G1825)</f>
        <v>629.14</v>
      </c>
      <c r="O1825" s="260">
        <f t="shared" ref="O1825:O1834" si="365">IF(OR(H1825="",H1825="NO",K1825&lt;$Q$17,K1825&gt;$R$17,K1825="",M1825="",N1825=""),"",ROUND(N1825,7))</f>
        <v>629.14</v>
      </c>
      <c r="P1825" s="781"/>
      <c r="Q1825" s="782"/>
      <c r="R1825" s="767"/>
      <c r="S1825" s="768"/>
      <c r="T1825" s="538" t="s">
        <v>385</v>
      </c>
      <c r="U1825" s="539">
        <v>24</v>
      </c>
      <c r="V1825" s="540" t="s">
        <v>385</v>
      </c>
      <c r="X1825" s="541" t="s">
        <v>386</v>
      </c>
      <c r="Y1825" s="541" t="s">
        <v>387</v>
      </c>
    </row>
    <row r="1826" spans="1:29" s="44" customFormat="1" ht="78" customHeight="1">
      <c r="A1826" s="42" t="str">
        <f>"B"&amp;E1821</f>
        <v>B61</v>
      </c>
      <c r="B1826" s="605">
        <f t="shared" ref="B1826:B1834" si="366">IF(C1826&lt;&gt;"",B1825+1,"")</f>
        <v>2</v>
      </c>
      <c r="C1826" s="581" t="s">
        <v>864</v>
      </c>
      <c r="D1826" s="581" t="s">
        <v>865</v>
      </c>
      <c r="E1826" s="581" t="s">
        <v>866</v>
      </c>
      <c r="F1826" s="581" t="s">
        <v>431</v>
      </c>
      <c r="G1826" s="534">
        <v>0.5</v>
      </c>
      <c r="H1826" s="534" t="s">
        <v>385</v>
      </c>
      <c r="I1826" s="579">
        <v>1</v>
      </c>
      <c r="J1826" s="580" t="str">
        <f>IF(I1826="","",IF(I1826="I",$F1821,VLOOKUP(I1826,$C1842:$D1847,2,0)))</f>
        <v>JORGE ALVARO SANCHEZ BLANCO</v>
      </c>
      <c r="K1826" s="535">
        <v>41940</v>
      </c>
      <c r="L1826" s="535">
        <v>42328</v>
      </c>
      <c r="M1826" s="536">
        <v>541.74</v>
      </c>
      <c r="N1826" s="232">
        <f t="shared" si="364"/>
        <v>270.87</v>
      </c>
      <c r="O1826" s="260">
        <f t="shared" si="365"/>
        <v>270.87</v>
      </c>
      <c r="P1826" s="781"/>
      <c r="Q1826" s="782"/>
      <c r="R1826" s="767"/>
      <c r="S1826" s="768"/>
      <c r="T1826" s="538" t="s">
        <v>385</v>
      </c>
      <c r="U1826" s="539">
        <v>59</v>
      </c>
      <c r="V1826" s="540" t="s">
        <v>385</v>
      </c>
      <c r="X1826" s="541" t="s">
        <v>446</v>
      </c>
      <c r="Y1826" s="541" t="s">
        <v>387</v>
      </c>
    </row>
    <row r="1827" spans="1:29" s="44" customFormat="1" ht="119.25" customHeight="1">
      <c r="A1827" s="42" t="str">
        <f>"C"&amp;E1821</f>
        <v>C61</v>
      </c>
      <c r="B1827" s="605">
        <f t="shared" si="366"/>
        <v>3</v>
      </c>
      <c r="C1827" s="581" t="s">
        <v>867</v>
      </c>
      <c r="D1827" s="581" t="s">
        <v>868</v>
      </c>
      <c r="E1827" s="581" t="s">
        <v>869</v>
      </c>
      <c r="F1827" s="581" t="s">
        <v>431</v>
      </c>
      <c r="G1827" s="534">
        <v>0.5</v>
      </c>
      <c r="H1827" s="534" t="s">
        <v>385</v>
      </c>
      <c r="I1827" s="579">
        <v>1</v>
      </c>
      <c r="J1827" s="580" t="str">
        <f>IF(I1827="","",IF(I1827="I",$F1821,VLOOKUP(I1827,$C1842:$D1847,2,0)))</f>
        <v>JORGE ALVARO SANCHEZ BLANCO</v>
      </c>
      <c r="K1827" s="535">
        <v>41653</v>
      </c>
      <c r="L1827" s="535">
        <v>42432</v>
      </c>
      <c r="M1827" s="536">
        <v>953.69</v>
      </c>
      <c r="N1827" s="232">
        <f t="shared" si="364"/>
        <v>476.84500000000003</v>
      </c>
      <c r="O1827" s="260">
        <f t="shared" si="365"/>
        <v>476.84500000000003</v>
      </c>
      <c r="P1827" s="781"/>
      <c r="Q1827" s="782"/>
      <c r="R1827" s="767"/>
      <c r="S1827" s="768"/>
      <c r="T1827" s="538" t="s">
        <v>385</v>
      </c>
      <c r="U1827" s="539">
        <v>84</v>
      </c>
      <c r="V1827" s="540" t="s">
        <v>385</v>
      </c>
      <c r="X1827" s="541" t="s">
        <v>386</v>
      </c>
      <c r="Y1827" s="541" t="s">
        <v>870</v>
      </c>
    </row>
    <row r="1828" spans="1:29" s="44" customFormat="1" ht="33" customHeight="1">
      <c r="A1828" s="42" t="str">
        <f>"D"&amp;E1821</f>
        <v>D61</v>
      </c>
      <c r="B1828" s="605">
        <f t="shared" si="366"/>
        <v>4</v>
      </c>
      <c r="C1828" s="581" t="s">
        <v>871</v>
      </c>
      <c r="D1828" s="581" t="s">
        <v>872</v>
      </c>
      <c r="E1828" s="581" t="s">
        <v>873</v>
      </c>
      <c r="F1828" s="581" t="s">
        <v>431</v>
      </c>
      <c r="G1828" s="534">
        <v>0.5</v>
      </c>
      <c r="H1828" s="534" t="s">
        <v>385</v>
      </c>
      <c r="I1828" s="579">
        <v>1</v>
      </c>
      <c r="J1828" s="580" t="str">
        <f>IF(I1828="","",IF(I1828="I",$F1821,VLOOKUP(I1828,$C1842:$D1847,2,0)))</f>
        <v>JORGE ALVARO SANCHEZ BLANCO</v>
      </c>
      <c r="K1828" s="535">
        <v>42033</v>
      </c>
      <c r="L1828" s="535">
        <v>42617</v>
      </c>
      <c r="M1828" s="536">
        <v>594.9</v>
      </c>
      <c r="N1828" s="232">
        <f t="shared" si="364"/>
        <v>297.45</v>
      </c>
      <c r="O1828" s="260">
        <f t="shared" si="365"/>
        <v>297.45</v>
      </c>
      <c r="P1828" s="781"/>
      <c r="Q1828" s="782"/>
      <c r="R1828" s="767"/>
      <c r="S1828" s="768"/>
      <c r="T1828" s="538" t="s">
        <v>385</v>
      </c>
      <c r="U1828" s="539">
        <v>132</v>
      </c>
      <c r="V1828" s="540" t="s">
        <v>385</v>
      </c>
      <c r="X1828" s="541" t="s">
        <v>386</v>
      </c>
      <c r="Y1828" s="541" t="s">
        <v>387</v>
      </c>
    </row>
    <row r="1829" spans="1:29" s="44" customFormat="1" ht="40.5" customHeight="1">
      <c r="A1829" s="42" t="str">
        <f>"E"&amp;E1821</f>
        <v>E61</v>
      </c>
      <c r="B1829" s="605">
        <f t="shared" si="366"/>
        <v>5</v>
      </c>
      <c r="C1829" s="581" t="s">
        <v>874</v>
      </c>
      <c r="D1829" s="581" t="s">
        <v>875</v>
      </c>
      <c r="E1829" s="581" t="s">
        <v>876</v>
      </c>
      <c r="F1829" s="581" t="s">
        <v>431</v>
      </c>
      <c r="G1829" s="534">
        <v>0.05</v>
      </c>
      <c r="H1829" s="534" t="s">
        <v>776</v>
      </c>
      <c r="I1829" s="579">
        <v>1</v>
      </c>
      <c r="J1829" s="580" t="str">
        <f>IF(I1829="","",IF(I1829="I",$F1821,VLOOKUP(I1829,$C1842:$D1847,2,0)))</f>
        <v>JORGE ALVARO SANCHEZ BLANCO</v>
      </c>
      <c r="K1829" s="535">
        <v>42863</v>
      </c>
      <c r="L1829" s="535">
        <v>42992</v>
      </c>
      <c r="M1829" s="536">
        <v>79.61</v>
      </c>
      <c r="N1829" s="232">
        <f t="shared" si="364"/>
        <v>3.9805000000000001</v>
      </c>
      <c r="O1829" s="260" t="str">
        <f t="shared" si="365"/>
        <v/>
      </c>
      <c r="P1829" s="781" t="s">
        <v>877</v>
      </c>
      <c r="Q1829" s="782"/>
      <c r="R1829" s="767" t="s">
        <v>878</v>
      </c>
      <c r="S1829" s="768"/>
      <c r="T1829" s="538" t="s">
        <v>385</v>
      </c>
      <c r="U1829" s="539">
        <v>141</v>
      </c>
      <c r="V1829" s="540" t="s">
        <v>385</v>
      </c>
      <c r="X1829" s="541" t="s">
        <v>386</v>
      </c>
      <c r="Y1829" s="541"/>
    </row>
    <row r="1830" spans="1:29" s="44" customFormat="1" ht="64.5" customHeight="1">
      <c r="A1830" s="42" t="str">
        <f>"F"&amp;E1821</f>
        <v>F61</v>
      </c>
      <c r="B1830" s="605">
        <f t="shared" si="366"/>
        <v>6</v>
      </c>
      <c r="C1830" s="581" t="s">
        <v>879</v>
      </c>
      <c r="D1830" s="581" t="s">
        <v>880</v>
      </c>
      <c r="E1830" s="581" t="s">
        <v>881</v>
      </c>
      <c r="F1830" s="581" t="s">
        <v>384</v>
      </c>
      <c r="G1830" s="534">
        <v>1</v>
      </c>
      <c r="H1830" s="534" t="s">
        <v>385</v>
      </c>
      <c r="I1830" s="579">
        <v>1</v>
      </c>
      <c r="J1830" s="580" t="str">
        <f>IF(I1830="","",IF(I1830="I",$F1821,VLOOKUP(I1830,$C1842:$D1847,2,0)))</f>
        <v>JORGE ALVARO SANCHEZ BLANCO</v>
      </c>
      <c r="K1830" s="535">
        <v>44041</v>
      </c>
      <c r="L1830" s="535">
        <v>44634</v>
      </c>
      <c r="M1830" s="536">
        <v>298.88</v>
      </c>
      <c r="N1830" s="232">
        <f t="shared" si="364"/>
        <v>298.88</v>
      </c>
      <c r="O1830" s="260">
        <f t="shared" si="365"/>
        <v>298.88</v>
      </c>
      <c r="P1830" s="781"/>
      <c r="Q1830" s="782"/>
      <c r="R1830" s="767"/>
      <c r="S1830" s="768"/>
      <c r="T1830" s="538" t="s">
        <v>385</v>
      </c>
      <c r="U1830" s="539">
        <v>218</v>
      </c>
      <c r="V1830" s="540" t="s">
        <v>385</v>
      </c>
      <c r="X1830" s="541" t="s">
        <v>446</v>
      </c>
      <c r="Y1830" s="541" t="s">
        <v>387</v>
      </c>
    </row>
    <row r="1831" spans="1:29" s="44" customFormat="1" ht="24.95" customHeight="1">
      <c r="A1831" s="42" t="str">
        <f>"G"&amp;E1821</f>
        <v>G61</v>
      </c>
      <c r="B1831" s="605" t="str">
        <f t="shared" si="366"/>
        <v/>
      </c>
      <c r="C1831" s="581"/>
      <c r="D1831" s="581"/>
      <c r="E1831" s="581"/>
      <c r="F1831" s="581"/>
      <c r="G1831" s="534"/>
      <c r="H1831" s="534"/>
      <c r="I1831" s="579"/>
      <c r="J1831" s="580" t="str">
        <f>IF(I1831="","",IF(I1831="I",$F1821,VLOOKUP(I1831,$C1842:$D1847,2,0)))</f>
        <v/>
      </c>
      <c r="K1831" s="535"/>
      <c r="L1831" s="535"/>
      <c r="M1831" s="536"/>
      <c r="N1831" s="43" t="str">
        <f t="shared" si="364"/>
        <v/>
      </c>
      <c r="O1831" s="260" t="str">
        <f t="shared" si="365"/>
        <v/>
      </c>
      <c r="P1831" s="781"/>
      <c r="Q1831" s="782"/>
      <c r="R1831" s="767"/>
      <c r="S1831" s="768"/>
      <c r="T1831" s="538"/>
      <c r="U1831" s="539"/>
      <c r="V1831" s="540"/>
      <c r="X1831" s="541"/>
      <c r="Y1831" s="541"/>
    </row>
    <row r="1832" spans="1:29" s="44" customFormat="1" ht="24.95" customHeight="1">
      <c r="A1832" s="42" t="str">
        <f>"H"&amp;E1821</f>
        <v>H61</v>
      </c>
      <c r="B1832" s="605" t="str">
        <f t="shared" si="366"/>
        <v/>
      </c>
      <c r="C1832" s="581"/>
      <c r="D1832" s="581"/>
      <c r="E1832" s="581"/>
      <c r="F1832" s="581"/>
      <c r="G1832" s="534"/>
      <c r="H1832" s="534"/>
      <c r="I1832" s="579"/>
      <c r="J1832" s="580" t="str">
        <f>IF(I1832="","",IF(I1832="I",$F1821,VLOOKUP(I1832,$C1842:$D1847,2,0)))</f>
        <v/>
      </c>
      <c r="K1832" s="535"/>
      <c r="L1832" s="535"/>
      <c r="M1832" s="537"/>
      <c r="N1832" s="43" t="str">
        <f t="shared" si="364"/>
        <v/>
      </c>
      <c r="O1832" s="260" t="str">
        <f t="shared" si="365"/>
        <v/>
      </c>
      <c r="P1832" s="781"/>
      <c r="Q1832" s="782"/>
      <c r="R1832" s="767"/>
      <c r="S1832" s="768"/>
      <c r="T1832" s="538"/>
      <c r="U1832" s="539"/>
      <c r="V1832" s="540"/>
      <c r="X1832" s="541"/>
      <c r="Y1832" s="541"/>
    </row>
    <row r="1833" spans="1:29" s="44" customFormat="1" ht="24.95" customHeight="1">
      <c r="A1833" s="42" t="str">
        <f>"I"&amp;E1821</f>
        <v>I61</v>
      </c>
      <c r="B1833" s="605" t="str">
        <f t="shared" si="366"/>
        <v/>
      </c>
      <c r="C1833" s="581"/>
      <c r="D1833" s="581"/>
      <c r="E1833" s="581"/>
      <c r="F1833" s="581"/>
      <c r="G1833" s="534"/>
      <c r="H1833" s="534"/>
      <c r="I1833" s="579"/>
      <c r="J1833" s="580" t="str">
        <f>IF(I1833="","",IF(I1833="I",$F1821,VLOOKUP(I1833,$C1842:$D1847,2,0)))</f>
        <v/>
      </c>
      <c r="K1833" s="535"/>
      <c r="L1833" s="535"/>
      <c r="M1833" s="537"/>
      <c r="N1833" s="43" t="str">
        <f t="shared" si="364"/>
        <v/>
      </c>
      <c r="O1833" s="260" t="str">
        <f t="shared" si="365"/>
        <v/>
      </c>
      <c r="P1833" s="781"/>
      <c r="Q1833" s="782"/>
      <c r="R1833" s="767"/>
      <c r="S1833" s="768"/>
      <c r="T1833" s="538"/>
      <c r="U1833" s="539"/>
      <c r="V1833" s="540"/>
      <c r="X1833" s="541"/>
      <c r="Y1833" s="541"/>
    </row>
    <row r="1834" spans="1:29" s="44" customFormat="1" ht="24.95" customHeight="1" thickBot="1">
      <c r="A1834" s="42" t="str">
        <f>"J"&amp;E1821</f>
        <v>J61</v>
      </c>
      <c r="B1834" s="612" t="str">
        <f t="shared" si="366"/>
        <v/>
      </c>
      <c r="C1834" s="582"/>
      <c r="D1834" s="582"/>
      <c r="E1834" s="582"/>
      <c r="F1834" s="582"/>
      <c r="G1834" s="583"/>
      <c r="H1834" s="583"/>
      <c r="I1834" s="584"/>
      <c r="J1834" s="585" t="str">
        <f>IF(I1834="","",IF(I1834="I",$F1821,VLOOKUP(I1834,$C1842:$D1847,2,0)))</f>
        <v/>
      </c>
      <c r="K1834" s="586"/>
      <c r="L1834" s="586"/>
      <c r="M1834" s="587"/>
      <c r="N1834" s="43" t="str">
        <f t="shared" si="364"/>
        <v/>
      </c>
      <c r="O1834" s="260" t="str">
        <f t="shared" si="365"/>
        <v/>
      </c>
      <c r="P1834" s="781"/>
      <c r="Q1834" s="782"/>
      <c r="R1834" s="767"/>
      <c r="S1834" s="768"/>
      <c r="T1834" s="538"/>
      <c r="U1834" s="539"/>
      <c r="V1834" s="540"/>
      <c r="X1834" s="541"/>
      <c r="Y1834" s="541"/>
    </row>
    <row r="1835" spans="1:29" s="27" customFormat="1" ht="12" customHeight="1" thickBot="1">
      <c r="A1835" s="42"/>
      <c r="B1835" s="45"/>
      <c r="C1835" s="46"/>
      <c r="D1835" s="46"/>
      <c r="E1835" s="46"/>
      <c r="F1835" s="46"/>
      <c r="G1835" s="46"/>
      <c r="H1835" s="606"/>
      <c r="I1835" s="46"/>
      <c r="J1835" s="46"/>
      <c r="K1835" s="46"/>
      <c r="L1835" s="46"/>
      <c r="M1835" s="46"/>
      <c r="N1835" s="46"/>
      <c r="O1835" s="259"/>
      <c r="P1835" s="46"/>
      <c r="Q1835" s="46"/>
      <c r="R1835" s="259"/>
      <c r="S1835" s="46"/>
      <c r="T1835" s="46"/>
      <c r="U1835" s="47"/>
      <c r="V1835" s="48"/>
      <c r="X1835" s="592"/>
      <c r="Y1835" s="593"/>
      <c r="AB1835" s="378"/>
    </row>
    <row r="1836" spans="1:29" s="27" customFormat="1" ht="17.25" customHeight="1" thickBot="1">
      <c r="A1836" s="42" t="str">
        <f>"Z"&amp;E1821</f>
        <v>Z61</v>
      </c>
      <c r="B1836" s="510"/>
      <c r="C1836" s="511"/>
      <c r="D1836" s="511"/>
      <c r="E1836" s="511"/>
      <c r="F1836" s="511"/>
      <c r="G1836" s="511"/>
      <c r="H1836" s="511"/>
      <c r="I1836" s="511"/>
      <c r="J1836" s="511"/>
      <c r="K1836" s="511"/>
      <c r="L1836" s="511"/>
      <c r="M1836" s="511"/>
      <c r="N1836" s="437" t="s">
        <v>388</v>
      </c>
      <c r="O1836" s="438">
        <f>IF(COUNTIF(O1825:O1834,"")&gt;9,0,SUM(O1825:O1834)/(COUNTIF(H1825:H1834,"SI")))</f>
        <v>394.637</v>
      </c>
      <c r="P1836" s="511"/>
      <c r="Q1836" s="511"/>
      <c r="R1836" s="530"/>
      <c r="S1836" s="530"/>
      <c r="T1836" s="531"/>
      <c r="U1836" s="532"/>
      <c r="V1836" s="533"/>
      <c r="W1836" s="285"/>
      <c r="X1836" s="613" t="e">
        <f>COUNTIF(#REF!,"")-COUNTIF(#REF!,"CUMPLE")-1</f>
        <v>#REF!</v>
      </c>
      <c r="Y1836" s="591"/>
      <c r="AB1836" s="28"/>
    </row>
    <row r="1837" spans="1:29" ht="17.25" customHeight="1">
      <c r="B1837" s="50"/>
      <c r="C1837" s="50"/>
      <c r="D1837" s="50"/>
      <c r="E1837" s="50"/>
      <c r="F1837" s="50"/>
      <c r="G1837" s="51"/>
      <c r="H1837" s="51"/>
      <c r="I1837" s="51"/>
      <c r="J1837" s="51"/>
      <c r="K1837" s="51"/>
      <c r="L1837" s="51"/>
      <c r="M1837" s="51"/>
      <c r="N1837" s="51"/>
      <c r="O1837" s="51"/>
      <c r="P1837" s="51"/>
      <c r="Q1837" s="51"/>
      <c r="R1837" s="51"/>
      <c r="S1837" s="51"/>
      <c r="T1837" s="51"/>
      <c r="U1837" s="51"/>
      <c r="V1837" s="51"/>
      <c r="W1837" s="51"/>
      <c r="X1837" s="608"/>
      <c r="Y1837" s="51"/>
      <c r="Z1837" s="51"/>
      <c r="AA1837" s="51"/>
      <c r="AB1837" s="51"/>
      <c r="AC1837" s="50"/>
    </row>
    <row r="1838" spans="1:29" s="27" customFormat="1" ht="16.5" customHeight="1" thickBot="1">
      <c r="A1838" s="22"/>
      <c r="B1838" s="783" t="s">
        <v>389</v>
      </c>
      <c r="C1838" s="783"/>
      <c r="D1838" s="783"/>
      <c r="E1838" s="783"/>
      <c r="F1838" s="783"/>
      <c r="G1838" s="783"/>
      <c r="H1838" s="783"/>
      <c r="I1838" s="783"/>
      <c r="J1838" s="783"/>
      <c r="K1838" s="783"/>
      <c r="L1838" s="783"/>
      <c r="M1838" s="783"/>
      <c r="N1838" s="783"/>
      <c r="O1838" s="783"/>
      <c r="P1838" s="783"/>
      <c r="Q1838" s="783"/>
      <c r="R1838" s="783"/>
      <c r="S1838" s="783"/>
      <c r="T1838" s="783"/>
      <c r="U1838" s="783"/>
      <c r="V1838" s="783"/>
      <c r="W1838" s="286"/>
      <c r="X1838" s="607"/>
      <c r="Y1838" s="52"/>
      <c r="Z1838" s="52"/>
      <c r="AA1838" s="52"/>
      <c r="AB1838" s="28"/>
      <c r="AC1838" s="28"/>
    </row>
    <row r="1839" spans="1:29" s="30" customFormat="1" ht="22.5" customHeight="1">
      <c r="A1839" s="112" t="str">
        <f>"K"&amp;E1821</f>
        <v>K61</v>
      </c>
      <c r="B1839" s="790" t="s">
        <v>390</v>
      </c>
      <c r="C1839" s="772" t="s">
        <v>391</v>
      </c>
      <c r="D1839" s="773"/>
      <c r="E1839" s="773"/>
      <c r="F1839" s="773"/>
      <c r="G1839" s="773"/>
      <c r="H1839" s="773"/>
      <c r="I1839" s="773"/>
      <c r="J1839" s="773"/>
      <c r="K1839" s="773"/>
      <c r="L1839" s="773"/>
      <c r="M1839" s="774"/>
      <c r="N1839" s="525"/>
      <c r="O1839" s="588"/>
      <c r="P1839" s="772" t="s">
        <v>392</v>
      </c>
      <c r="Q1839" s="773"/>
      <c r="R1839" s="773"/>
      <c r="S1839" s="774"/>
      <c r="T1839" s="784" t="s">
        <v>393</v>
      </c>
      <c r="U1839" s="774"/>
      <c r="V1839" s="811"/>
      <c r="W1839" s="284"/>
      <c r="X1839" s="778" t="s">
        <v>394</v>
      </c>
      <c r="Y1839" s="779"/>
      <c r="Z1839" s="779"/>
      <c r="AA1839" s="779" t="s">
        <v>395</v>
      </c>
      <c r="AB1839" s="808" t="s">
        <v>396</v>
      </c>
      <c r="AC1839" s="28"/>
    </row>
    <row r="1840" spans="1:29" s="30" customFormat="1" ht="22.5" customHeight="1">
      <c r="A1840" s="112" t="str">
        <f>"L"&amp;E1821</f>
        <v>L61</v>
      </c>
      <c r="B1840" s="791"/>
      <c r="C1840" s="769" t="s">
        <v>397</v>
      </c>
      <c r="D1840" s="770"/>
      <c r="E1840" s="771"/>
      <c r="F1840" s="512">
        <f>IF(VLOOKUP(E1821,PROPONENTES!$C$19:$E$108,3,0)="","",VLOOKUP(E1821,PROPONENTES!$C$19:$E$108,3,0))</f>
        <v>2</v>
      </c>
      <c r="G1840" s="824" t="s">
        <v>398</v>
      </c>
      <c r="H1840" s="793" t="s">
        <v>399</v>
      </c>
      <c r="I1840" s="793"/>
      <c r="J1840" s="769" t="s">
        <v>400</v>
      </c>
      <c r="K1840" s="823"/>
      <c r="L1840" s="513" t="s">
        <v>401</v>
      </c>
      <c r="M1840" s="513"/>
      <c r="N1840" s="526"/>
      <c r="O1840" s="527"/>
      <c r="P1840" s="775"/>
      <c r="Q1840" s="776"/>
      <c r="R1840" s="776"/>
      <c r="S1840" s="777"/>
      <c r="T1840" s="796"/>
      <c r="U1840" s="797"/>
      <c r="V1840" s="812"/>
      <c r="W1840" s="284"/>
      <c r="X1840" s="780" t="s">
        <v>402</v>
      </c>
      <c r="Y1840" s="810" t="s">
        <v>403</v>
      </c>
      <c r="Z1840" s="810"/>
      <c r="AA1840" s="810"/>
      <c r="AB1840" s="809"/>
      <c r="AC1840" s="28"/>
    </row>
    <row r="1841" spans="1:29" s="30" customFormat="1" ht="51.75" customHeight="1" thickBot="1">
      <c r="A1841" s="112" t="str">
        <f>"M"&amp;E1821</f>
        <v>M61</v>
      </c>
      <c r="B1841" s="791"/>
      <c r="C1841" s="770" t="s">
        <v>404</v>
      </c>
      <c r="D1841" s="771"/>
      <c r="E1841" s="514" t="s">
        <v>405</v>
      </c>
      <c r="F1841" s="515" t="s">
        <v>406</v>
      </c>
      <c r="G1841" s="824"/>
      <c r="H1841" s="793"/>
      <c r="I1841" s="793"/>
      <c r="J1841" s="504" t="s">
        <v>407</v>
      </c>
      <c r="K1841" s="516" t="s">
        <v>408</v>
      </c>
      <c r="L1841" s="517" t="s">
        <v>409</v>
      </c>
      <c r="M1841" s="517"/>
      <c r="N1841" s="528" t="s">
        <v>410</v>
      </c>
      <c r="O1841" s="529"/>
      <c r="P1841" s="386"/>
      <c r="Q1841" s="387" t="s">
        <v>411</v>
      </c>
      <c r="R1841" s="388"/>
      <c r="S1841" s="113">
        <f>COUNTIFS(H1825:H1834,"SI",O1825:O1834,"&gt;0")</f>
        <v>5</v>
      </c>
      <c r="T1841" s="785"/>
      <c r="U1841" s="787"/>
      <c r="V1841" s="813"/>
      <c r="W1841" s="284"/>
      <c r="X1841" s="780"/>
      <c r="Y1841" s="810"/>
      <c r="Z1841" s="810"/>
      <c r="AA1841" s="810"/>
      <c r="AB1841" s="809"/>
      <c r="AC1841" s="28"/>
    </row>
    <row r="1842" spans="1:29" s="30" customFormat="1" ht="26.25" customHeight="1">
      <c r="A1842" s="112" t="str">
        <f>"N"&amp;E1821</f>
        <v>N61</v>
      </c>
      <c r="B1842" s="791"/>
      <c r="C1842" s="54">
        <v>1</v>
      </c>
      <c r="D1842" s="100" t="str">
        <f>IF(AND(C1842&lt;=F1840,F1840&gt;1,F1840&lt;&gt;""),VLOOKUP(VALUE(E1821&amp;","&amp;C1842),INTEGRANTES!$D$19:$F$192,2,0),"")</f>
        <v>JORGE ALVARO SANCHEZ BLANCO</v>
      </c>
      <c r="E1842" s="107">
        <f>IF(D1842&lt;&gt;"",VLOOKUP(VALUE(E1821&amp;","&amp;C1842),INTEGRANTES!$D$19:$F$192,3,0),"")</f>
        <v>0.95</v>
      </c>
      <c r="F1842" s="380">
        <f>IF(D1842="","",IF(OR(SUMIF($J1828:$J1834,D1842,$O1828:$O1834)=0,N1842="NO"),"NO APORTA",SUMIF($J1828:$J1834,D1842,$O1828:$O1834)))</f>
        <v>596.32999999999993</v>
      </c>
      <c r="G1842" s="380">
        <f ca="1">IF($D1842="","",IF($F1840&lt;=1,"",ROUND(POSMMLV*PORPO,2)))</f>
        <v>150</v>
      </c>
      <c r="H1842" s="765" t="str">
        <f ca="1">IF($D1842="","",IF(OR(F1842="NO APORTA",G1842&gt;F1842),"NO CUMPLE","CUMPLE"))</f>
        <v>CUMPLE</v>
      </c>
      <c r="I1842" s="766"/>
      <c r="J1842" s="108" t="str">
        <f ca="1">IF(D1842="","",IF(OR(AND(SUMIF($J1825:$J1834,D1842,$O1825:$O1834)&gt;=5%*POSMMLV,N1842="SI"),AND(SUMIF($J1825:$J1834,D1842,$O1825:$O1834)=0,E1842&lt;=5%,N1842="SI")),"CUMPLE","NO CUMPLE"))</f>
        <v>CUMPLE</v>
      </c>
      <c r="K1842" s="105" t="str">
        <f ca="1">IF(OR(D1842="",J1842=""),"",IF(AND(J1842="NO CUMPLE",F1842="NO APORTA",E1842&gt;5%),"EXP = 0 y PART &gt; 5%",IF(F1842&lt;5%*Q1847,"EXP &lt; 5%*PO","")))</f>
        <v/>
      </c>
      <c r="L1842" s="389" t="str">
        <f>IF(OR(D1842="",E1842=""),"",IF(AND(E1842&gt;=0.25,F1842&lt;&gt;"NO APORTA",F1842&gt;=$R1847*0.25),"SI","NO"))</f>
        <v>SI</v>
      </c>
      <c r="M1842" s="389"/>
      <c r="N1842" s="468" t="s">
        <v>385</v>
      </c>
      <c r="O1842" s="396">
        <f>COUNTIFS(O1828:O1834,"&gt;0",H1828:H1834,"SI")</f>
        <v>2</v>
      </c>
      <c r="P1842" s="814" t="s">
        <v>139</v>
      </c>
      <c r="Q1842" s="814"/>
      <c r="R1842" s="817">
        <f>E1821</f>
        <v>61</v>
      </c>
      <c r="S1842" s="818"/>
      <c r="T1842" s="784" t="s">
        <v>412</v>
      </c>
      <c r="U1842" s="773"/>
      <c r="V1842" s="774"/>
      <c r="W1842" s="283"/>
      <c r="X1842" s="542" t="str">
        <f>IF($F1840=1,"NO APLICA",$D1842)</f>
        <v>JORGE ALVARO SANCHEZ BLANCO</v>
      </c>
      <c r="Y1842" s="543">
        <f ca="1">IF(OR($F1842="",$F1842="NO APORTA",$R1847=0,$X1842="NO APLICA"),"",ROUND($F1842/$Q1847,2))</f>
        <v>1.99</v>
      </c>
      <c r="Z1842" s="544" t="str">
        <f ca="1">IF(Y1848=1,"SI APLICA",IF(OR($X1842="",$X1842="NO APLICA",$F1842="",$F1842="NO APORTA"),"",IF(ROUND($F1842/Q1847,7)&gt;=0.4,"SI APLICA","NO APLICA")))</f>
        <v>SI APLICA</v>
      </c>
      <c r="AA1842" s="543" t="s">
        <v>413</v>
      </c>
      <c r="AB1842" s="540" t="str">
        <f ca="1">IF(COUNTIF(Z1842:AA1842,"SI APLICA")=2,"SI APLICA","")</f>
        <v>SI APLICA</v>
      </c>
      <c r="AC1842" s="28"/>
    </row>
    <row r="1843" spans="1:29" s="30" customFormat="1" ht="25.5" customHeight="1" thickBot="1">
      <c r="A1843" s="112" t="str">
        <f>"O"&amp;E1821</f>
        <v>O61</v>
      </c>
      <c r="B1843" s="791"/>
      <c r="C1843" s="54">
        <v>2</v>
      </c>
      <c r="D1843" s="100" t="str">
        <f>IF(AND(C1843&lt;=F1840,F1840&lt;&gt;""),VLOOKUP(VALUE(E1821&amp;","&amp;C1843),INTEGRANTES!$D$19:$F$192,2,0),"")</f>
        <v>H&amp;C PROYECTOS DE INGENIERIA SAS</v>
      </c>
      <c r="E1843" s="107">
        <f>IF(D1843&lt;&gt;"",VLOOKUP(VALUE(E1821&amp;","&amp;C1843),INTEGRANTES!$D$19:$F$192,3,0),"")</f>
        <v>0.05</v>
      </c>
      <c r="F1843" s="380" t="str">
        <f>IF(D1843="","",IF(OR(SUMIF($J1828:$J1834,D1843,$O1828:$O1834)=0,N1843="NO"),"NO APORTA",SUMIF($J1828:$J1834,D1843,$O1828:$O1834)))</f>
        <v>NO APORTA</v>
      </c>
      <c r="G1843" s="380">
        <f ca="1">IF($D1843="","",IF($F1840&lt;=1,"",ROUND(POSMMLV*PORPO,2)))</f>
        <v>150</v>
      </c>
      <c r="H1843" s="765" t="str">
        <f t="shared" ref="H1843:H1846" ca="1" si="367">IF($D1843="","",IF(OR(F1843="NO APORTA",G1843&gt;F1843),"NO CUMPLE","CUMPLE"))</f>
        <v>NO CUMPLE</v>
      </c>
      <c r="I1843" s="766"/>
      <c r="J1843" s="108" t="str">
        <f ca="1">IF(D1843="","",IF(OR(AND(SUMIF($J1825:$J1834,D1843,$O1825:$O1834)&gt;=5%*POSMMLV,N1843="SI"),AND(SUMIF($J1825:$J1834,D1843,$O1825:$O1834)=0,E1843&lt;=5%,N1843="SI")),"CUMPLE","NO CUMPLE"))</f>
        <v>CUMPLE</v>
      </c>
      <c r="K1843" s="105" t="str">
        <f ca="1">IF(OR(D1843="",J1843=""),"",IF(AND(J1843="NO CUMPLE",F1843="NO APORTA",E1843&gt;5%),"EXP = 0 y PART &gt; 5%",IF(F1843&lt;5%*Q1847,"EXP &lt; 5%*PO","")))</f>
        <v/>
      </c>
      <c r="L1843" s="389" t="str">
        <f>IF(OR(D1843="",E1843=""),"",IF(AND(E1843&gt;=0.25,F1843&lt;&gt;"NO APORTA",F1843&gt;=$R1847*0.25),"SI","NO"))</f>
        <v>NO</v>
      </c>
      <c r="M1843" s="389"/>
      <c r="N1843" s="468" t="s">
        <v>385</v>
      </c>
      <c r="O1843" s="396"/>
      <c r="P1843" s="815"/>
      <c r="Q1843" s="815"/>
      <c r="R1843" s="815"/>
      <c r="S1843" s="819"/>
      <c r="T1843" s="785"/>
      <c r="U1843" s="786"/>
      <c r="V1843" s="787"/>
      <c r="W1843" s="283"/>
      <c r="X1843" s="542" t="str">
        <f>IF($F1840=1,"NO APLICA",$D1843)</f>
        <v>H&amp;C PROYECTOS DE INGENIERIA SAS</v>
      </c>
      <c r="Y1843" s="543" t="str">
        <f>IF(OR($F1843="",$F1843="NO APORTA",$R1847=0,$X1843="NO APLICA"),"",ROUND($F1843/$Q1847,2))</f>
        <v/>
      </c>
      <c r="Z1843" s="544" t="str">
        <f>IF(Y1848=1,"SI APLICA",IF(OR($X1843="",$X1843="NO APLICA",$F1843="",$F1843="NO APORTA"),"",IF(ROUND($F1843/Q1847,7)&gt;=0.4,"SI APLICA","NO APLICA")))</f>
        <v/>
      </c>
      <c r="AA1843" s="543" t="s">
        <v>516</v>
      </c>
      <c r="AB1843" s="540" t="str">
        <f t="shared" ref="AB1843" si="368">IF(COUNTIF(Z1843:AA1843,"SI APLICA")=2,"SI APLICA","")</f>
        <v/>
      </c>
      <c r="AC1843" s="28"/>
    </row>
    <row r="1844" spans="1:29" s="30" customFormat="1" ht="15.75" customHeight="1">
      <c r="A1844" s="112" t="str">
        <f>"P"&amp;E1821</f>
        <v>P61</v>
      </c>
      <c r="B1844" s="791"/>
      <c r="C1844" s="54">
        <v>3</v>
      </c>
      <c r="D1844" s="100" t="str">
        <f>IF(AND(C1844&lt;=F1840,F1840&lt;&gt;""),VLOOKUP(VALUE(E1821&amp;","&amp;C1844),INTEGRANTES!$D$19:$F$192,2,0),"")</f>
        <v/>
      </c>
      <c r="E1844" s="107" t="str">
        <f>IF(D1844&lt;&gt;"",VLOOKUP(VALUE(E1821&amp;","&amp;C1844),INTEGRANTES!$D$19:$F$192,3,0),"")</f>
        <v/>
      </c>
      <c r="F1844" s="380" t="str">
        <f>IF(D1844="","",IF(OR(SUMIF($J1828:$J1834,D1844,$O1828:$O1834)=0,N1844="NO"),"NO APORTA",SUMIF($J1828:$J1834,D1844,$O1828:$O1834)))</f>
        <v/>
      </c>
      <c r="G1844" s="380" t="str">
        <f>IF($D1844="","",IF($F1840&lt;=1,"",ROUND(POSMMLV*PORPO,2)))</f>
        <v/>
      </c>
      <c r="H1844" s="765" t="str">
        <f t="shared" si="367"/>
        <v/>
      </c>
      <c r="I1844" s="766"/>
      <c r="J1844" s="108" t="str">
        <f>IF(D1844="","",IF(OR(AND(SUMIF($J1825:$J1834,D1844,$O1825:$O1834)&gt;=5%*POSMMLV,N1844="SI"),AND(SUMIF($J1825:$J1834,D1844,$O1825:$O1834)=0,E1844&lt;=5%,N1844="SI")),"CUMPLE","NO CUMPLE"))</f>
        <v/>
      </c>
      <c r="K1844" s="105" t="str">
        <f>IF(OR(D1844="",J1844=""),"",IF(AND(J1844="NO CUMPLE",F1844="NO APORTA",E1844&gt;5%),"EXP = 0 y PART &gt; 5%",IF(F1844&lt;5%*Q1847,"EXP &lt; 5%*PO","")))</f>
        <v/>
      </c>
      <c r="L1844" s="389" t="str">
        <f>IF(OR(D1844="",E1844=""),"",IF(AND(E1844&gt;=0.25,F1844&lt;&gt;"NO APORTA",F1844&gt;=$R1847*0.25),"SI","NO"))</f>
        <v/>
      </c>
      <c r="M1844" s="389"/>
      <c r="N1844" s="468"/>
      <c r="O1844" s="397"/>
      <c r="P1844" s="816"/>
      <c r="Q1844" s="816"/>
      <c r="R1844" s="816"/>
      <c r="S1844" s="820"/>
      <c r="T1844" s="308"/>
      <c r="U1844" s="308"/>
      <c r="V1844" s="309"/>
      <c r="W1844" s="284"/>
      <c r="X1844" s="542" t="str">
        <f>IF($F1840=1,"NO APLICA",$D1844)</f>
        <v/>
      </c>
      <c r="Y1844" s="543" t="str">
        <f>IF(OR($F1844="",$F1844="NO APORTA",$R1847=0,$X1844="NO APLICA"),"",ROUND($F1844/$Q1847,2))</f>
        <v/>
      </c>
      <c r="Z1844" s="544" t="str">
        <f>IF(Y1848=1,"SI APLICA",IF(OR($X1844="",$X1844="NO APLICA",$F1844="",$F1844="NO APORTA"),"",IF(ROUND($F1844/Q1847,7)&gt;=0.4,"SI APLICA","NO APLICA")))</f>
        <v/>
      </c>
      <c r="AA1844" s="543"/>
      <c r="AB1844" s="540" t="str">
        <f>IF(COUNTIF(Z1844:AA1844,"SI APLICA")=2,"SI APLICA","")</f>
        <v/>
      </c>
      <c r="AC1844" s="28"/>
    </row>
    <row r="1845" spans="1:29" s="30" customFormat="1" ht="15.75" customHeight="1">
      <c r="A1845" s="112" t="str">
        <f>"Q"&amp;E1821</f>
        <v>Q61</v>
      </c>
      <c r="B1845" s="791"/>
      <c r="C1845" s="54">
        <v>4</v>
      </c>
      <c r="D1845" s="100" t="str">
        <f>IF(AND(C1845&lt;=F1840,F1840&lt;&gt;""),VLOOKUP(VALUE(E1821&amp;","&amp;C1845),INTEGRANTES!$D$19:$F$192,2,0),"")</f>
        <v/>
      </c>
      <c r="E1845" s="107" t="str">
        <f>IF(D1845&lt;&gt;"",VLOOKUP(VALUE(E1821&amp;","&amp;C1845),INTEGRANTES!$D$19:$F$192,3,0),"")</f>
        <v/>
      </c>
      <c r="F1845" s="380" t="str">
        <f>IF(D1845="","",IF(OR(SUMIF($J1828:$J1834,D1845,$O1828:$O1834)=0,N1845="NO"),"NO APORTA",SUMIF($J1828:$J1834,D1845,$O1828:$O1834)))</f>
        <v/>
      </c>
      <c r="G1845" s="380" t="str">
        <f>IF($D1845="","",IF($F1840&lt;=1,"",ROUND(POSMMLV*PORPO,2)))</f>
        <v/>
      </c>
      <c r="H1845" s="765" t="str">
        <f t="shared" si="367"/>
        <v/>
      </c>
      <c r="I1845" s="766"/>
      <c r="J1845" s="108" t="str">
        <f>IF(D1845="","",IF(OR(AND(SUMIF($J1825:$J1834,D1845,$O1825:$O1834)&gt;=5%*POSMMLV,N1845="SI"),AND(SUMIF($J1825:$J1834,D1845,$O1825:$O1834)=0,E1845&lt;=5%,N1845="SI")),"CUMPLE","NO CUMPLE"))</f>
        <v/>
      </c>
      <c r="K1845" s="105" t="str">
        <f>IF(OR(D1845="",J1845=""),"",IF(AND(J1845="NO CUMPLE",F1845="NO APORTA",E1845&gt;5%),"EXP = 0 y PART &gt; 5%",IF(F1845&lt;5%*Q1847,"EXP &lt; 5%*PO","")))</f>
        <v/>
      </c>
      <c r="L1845" s="389" t="str">
        <f>IF(OR(D1845="",E1845=""),"",IF(AND(E1845&gt;=0.25,F1845&lt;&gt;"NO APORTA",F1845&gt;=$R1847*0.25),"SI","NO"))</f>
        <v/>
      </c>
      <c r="M1845" s="389"/>
      <c r="N1845" s="468"/>
      <c r="O1845" s="788" t="s">
        <v>414</v>
      </c>
      <c r="P1845" s="769" t="s">
        <v>415</v>
      </c>
      <c r="Q1845" s="770"/>
      <c r="R1845" s="770"/>
      <c r="S1845" s="771"/>
      <c r="T1845" s="284"/>
      <c r="U1845" s="284"/>
      <c r="V1845" s="310"/>
      <c r="W1845" s="284"/>
      <c r="X1845" s="542" t="str">
        <f>IF($F1840=1,"NO APLICA",$D1845)</f>
        <v/>
      </c>
      <c r="Y1845" s="543" t="str">
        <f>IF(OR($F1845="",$F1845="NO APORTA",$R1847=0,$X1845="NO APLICA"),"",ROUND($F1845/$Q1847,2))</f>
        <v/>
      </c>
      <c r="Z1845" s="544" t="str">
        <f>IF(Y1848=1,"SI APLICA",IF(OR($X1845="",$X1845="NO APLICA",$F1845="",$F1845="NO APORTA"),"",IF(ROUND($F1845/Q1847,7)&gt;=0.4,"SI APLICA","NO APLICA")))</f>
        <v/>
      </c>
      <c r="AA1845" s="543"/>
      <c r="AB1845" s="540" t="str">
        <f t="shared" ref="AB1845:AB1846" si="369">IF(COUNTIF(Z1845:AA1845,"SI APLICA")=2,"SI APLICA","")</f>
        <v/>
      </c>
      <c r="AC1845" s="28"/>
    </row>
    <row r="1846" spans="1:29" s="30" customFormat="1" ht="17.25" customHeight="1">
      <c r="A1846" s="112" t="str">
        <f>"R"&amp;E1821</f>
        <v>R61</v>
      </c>
      <c r="B1846" s="791"/>
      <c r="C1846" s="54">
        <v>5</v>
      </c>
      <c r="D1846" s="100" t="str">
        <f>IF(AND(C1846&lt;=F1840,F1840&lt;&gt;""),VLOOKUP(VALUE(E1821&amp;","&amp;C1846),INTEGRANTES!$D$19:$F$192,2,0),"")</f>
        <v/>
      </c>
      <c r="E1846" s="107" t="str">
        <f>IF(D1846&lt;&gt;"",VLOOKUP(VALUE(E1821&amp;","&amp;C1846),INTEGRANTES!$D$19:$F$192,3,0),"")</f>
        <v/>
      </c>
      <c r="F1846" s="380" t="str">
        <f>IF(D1846="","",IF(OR(SUMIF($J1828:$J1834,D1846,$O1828:$O1834)=0,N1846="NO"),"NO APORTA",SUMIF($J1828:$J1834,D1846,$O1828:$O1834)))</f>
        <v/>
      </c>
      <c r="G1846" s="380" t="str">
        <f>IF($D1846="","",IF($F1840&lt;=1,"",ROUND(POSMMLV*PORPO,2)))</f>
        <v/>
      </c>
      <c r="H1846" s="765" t="str">
        <f t="shared" si="367"/>
        <v/>
      </c>
      <c r="I1846" s="766"/>
      <c r="J1846" s="108" t="str">
        <f>IF(D1846="","",IF(OR(AND(SUMIF($J1825:$J1834,D1846,$O1825:$O1834)&gt;=5%*POSMMLV,N1846="SI"),AND(SUMIF($J1825:$J1834,D1846,$O1825:$O1834)=0,E1846&lt;=5%,N1846="SI")),"CUMPLE","NO CUMPLE"))</f>
        <v/>
      </c>
      <c r="K1846" s="105" t="str">
        <f>IF(OR(D1846="",J1846=""),"",IF(AND(J1846="NO CUMPLE",F1846="NO APORTA",E1846&gt;5%),"EXP = 0 y PART &gt; 5%",IF(F1846&lt;5%*Q1847,"EXP &lt; 5%*PO","")))</f>
        <v/>
      </c>
      <c r="L1846" s="389" t="str">
        <f>IF(OR(D1846="",E1846=""),"",IF(AND(E1846&gt;=0.25,F1846&lt;&gt;"NO APORTA",F1846&gt;=$R1847*0.25),"SI","NO"))</f>
        <v/>
      </c>
      <c r="M1846" s="389"/>
      <c r="N1846" s="468"/>
      <c r="O1846" s="789"/>
      <c r="P1846" s="504" t="s">
        <v>416</v>
      </c>
      <c r="Q1846" s="504" t="s">
        <v>417</v>
      </c>
      <c r="R1846" s="793" t="s">
        <v>418</v>
      </c>
      <c r="S1846" s="793"/>
      <c r="T1846" s="284"/>
      <c r="U1846" s="284"/>
      <c r="V1846" s="310"/>
      <c r="W1846" s="284"/>
      <c r="X1846" s="542" t="str">
        <f>IF($F1840=1,"NO APLICA",$D1846)</f>
        <v/>
      </c>
      <c r="Y1846" s="543" t="str">
        <f>IF(OR($F1846="",$F1846="NO APORTA",$R1847=0,$X1846="NO APLICA"),"",ROUND($F1846/$Q1847,2))</f>
        <v/>
      </c>
      <c r="Z1846" s="544" t="str">
        <f>IF(Y1848=1,"SI APLICA",IF(OR($X1846="",$X1846="NO APLICA",$F1846="",$F1846="NO APORTA"),"",IF(ROUND($F1846/Q1847,7)&gt;=0.4,"SI APLICA","NO APLICA")))</f>
        <v/>
      </c>
      <c r="AA1846" s="543"/>
      <c r="AB1846" s="540" t="str">
        <f t="shared" si="369"/>
        <v/>
      </c>
      <c r="AC1846" s="28"/>
    </row>
    <row r="1847" spans="1:29" s="30" customFormat="1" ht="16.5" customHeight="1" thickBot="1">
      <c r="A1847" s="112" t="str">
        <f>"S"&amp;E1821</f>
        <v>S61</v>
      </c>
      <c r="B1847" s="791"/>
      <c r="C1847" s="109">
        <v>6</v>
      </c>
      <c r="D1847" s="110" t="str">
        <f>IF(AND(C1847&lt;=F1840,F1840&lt;&gt;""),VLOOKUP(VALUE(E1821&amp;","&amp;C1847),INTEGRANTES!$D$19:$F$192,2,0),"")</f>
        <v/>
      </c>
      <c r="E1847" s="111" t="str">
        <f>IF(D1847&lt;&gt;"",VLOOKUP(VALUE(E1821&amp;","&amp;C1847),INTEGRANTES!$D$19:$F$192,3,0),"")</f>
        <v/>
      </c>
      <c r="F1847" s="380" t="str">
        <f>IF(D1847="","",IF(OR(SUMIF($J1828:$J1834,D1847,$O1828:$O1834)=0,N1847="NO"),"NO APORTA",SUMIF($J1828:$J1834,D1847,$O1828:$O1834)))</f>
        <v/>
      </c>
      <c r="G1847" s="380" t="str">
        <f>IF($D1847="","",IF($F1840&lt;=1,"",ROUND(POSMMLV*PORPO,2)))</f>
        <v/>
      </c>
      <c r="H1847" s="765" t="str">
        <f>IF($D1847="","",IF(OR(F1847="NO APORTA",G1847&gt;F1847),"NO CUMPLE","CUMPLE"))</f>
        <v/>
      </c>
      <c r="I1847" s="766"/>
      <c r="J1847" s="108" t="str">
        <f>IF(D1847="","",IF(OR(AND(SUMIF($J1825:$J1834,D1847,$O1825:$O1834)&gt;=5%*POSMMLV,N1847="SI"),AND(SUMIF($J1825:$J1834,D1847,$O1825:$O1834)=0,E1847&lt;=5%,N1847="SI")),"CUMPLE","NO CUMPLE"))</f>
        <v/>
      </c>
      <c r="K1847" s="105" t="str">
        <f>IF(OR(D1847="",J1847=""),"",IF(AND(J1847="NO CUMPLE",F1847="NO APORTA",E1847&gt;5%),"EXP = 0 y PART &gt; 5%",IF(F1847&lt;5%*Q1847,"EXP &lt; 5%*PO","")))</f>
        <v/>
      </c>
      <c r="L1847" s="389" t="str">
        <f>IF(OR(D1847="",E1847=""),"",IF(AND(E1847&gt;=0.25,F1847&lt;&gt;"NO APORTA",F1847&gt;=$R1847*0.25),"SI","NO"))</f>
        <v/>
      </c>
      <c r="M1847" s="389"/>
      <c r="N1847" s="468"/>
      <c r="O1847" s="403" t="str">
        <f ca="1">IF(R1847&gt;=Q1847,"CUMPLE","NO CUMPLE")</f>
        <v>CUMPLE</v>
      </c>
      <c r="P1847" s="312">
        <f>NUMMOD</f>
        <v>1</v>
      </c>
      <c r="Q1847" s="313">
        <f ca="1">IF(P1847="","",ROUND(VLOOKUP(P1847,PRESUPUESTOS!$B$16:$L$16,9,FALSE),7))</f>
        <v>300</v>
      </c>
      <c r="R1847" s="834">
        <f>IF(OR(COUNTIF(O1825:O1834,"")&gt;9,S1841&lt;NUMMINCONT),0,SUM(O1825:O1834))</f>
        <v>1973.1849999999999</v>
      </c>
      <c r="S1847" s="834"/>
      <c r="T1847" s="284"/>
      <c r="U1847" s="284"/>
      <c r="V1847" s="310"/>
      <c r="W1847" s="284"/>
      <c r="X1847" s="545" t="str">
        <f>IF($F1840=1,"NO APLICA",$D1847)</f>
        <v/>
      </c>
      <c r="Y1847" s="543" t="str">
        <f>IF(OR($F1847="",$F1847="NO APORTA",$R1847=0,$X1847="NO APLICA"),"",ROUND($F1847/$Q1847,2))</f>
        <v/>
      </c>
      <c r="Z1847" s="544" t="str">
        <f>IF(Y1848=1,"SI APLICA",IF(OR($X1847="",$X1847="NO APLICA",$F1847="",$F1847="NO APORTA"),"",IF(ROUND($F1847/Q1847,7)&gt;=0.4,"SI APLICA","NO APLICA")))</f>
        <v/>
      </c>
      <c r="AA1847" s="546"/>
      <c r="AB1847" s="540" t="str">
        <f>IF(COUNTIF(Z1847:AA1847,"SI APLICA")=2,"SI APLICA","")</f>
        <v/>
      </c>
      <c r="AC1847" s="28"/>
    </row>
    <row r="1848" spans="1:29" s="30" customFormat="1" ht="16.5" customHeight="1" thickBot="1">
      <c r="A1848" s="112" t="str">
        <f>"T"&amp;E1821</f>
        <v>T61</v>
      </c>
      <c r="B1848" s="792"/>
      <c r="C1848" s="821" t="s">
        <v>419</v>
      </c>
      <c r="D1848" s="822"/>
      <c r="E1848" s="822"/>
      <c r="F1848" s="518"/>
      <c r="G1848" s="519"/>
      <c r="H1848" s="794" t="str">
        <f ca="1">IF(OR($F1840="",SUM(E1842:E1847)=0),"",IF(COUNTIF(H1842:H1847,"CUMPLE")&gt;=1,"CUMPLE","NO CUMPLE"))</f>
        <v>CUMPLE</v>
      </c>
      <c r="I1848" s="795"/>
      <c r="J1848" s="314" t="str">
        <f ca="1">IF(COUNTIF(J1842:J1847,"")&gt;5,"",IF(COUNTIF(J1842:J1847,"NO CUMPLE")&gt;0,"NO CUMPLE","CUMPLE"))</f>
        <v>CUMPLE</v>
      </c>
      <c r="K1848" s="314" t="str">
        <f ca="1">IF(OR(AND(F1840=1,N1842="SI"),AND(COUNTIF(H1848:J1848,"CUMPLE")=2)),"CUMPLE","NO CUMPLE")</f>
        <v>CUMPLE</v>
      </c>
      <c r="L1848" s="519"/>
      <c r="M1848" s="519"/>
      <c r="N1848" s="519"/>
      <c r="O1848" s="833" t="str">
        <f ca="1">IF(ISNUMBER(F1821),"",IF(AND(O1847="NO CUMPLE",SUM(N1828:N1834)&lt;Q1847),"EL PROPONENTE SE DEBE REQUERIR POR EXPERIENCIA MINIMA EXIGIDA",""))</f>
        <v/>
      </c>
      <c r="P1848" s="833"/>
      <c r="Q1848" s="833"/>
      <c r="R1848" s="833"/>
      <c r="S1848" s="833"/>
      <c r="T1848" s="522"/>
      <c r="U1848" s="523"/>
      <c r="V1848" s="524"/>
      <c r="W1848" s="284"/>
      <c r="X1848" s="364" t="str">
        <f>IF(Y1848=1,"PROPONENTE INDIVIDUAL","PROPONENTE PLURAL")</f>
        <v>PROPONENTE PLURAL</v>
      </c>
      <c r="Y1848" s="276">
        <f>F1840</f>
        <v>2</v>
      </c>
      <c r="Z1848" s="277" t="str">
        <f ca="1">IF(OR(AND(Z1842="SI APLICA",AA1842="SI APLICA"),AND(Z1843="SI APLICA",AA1843="SI APLICA"),AND(Z1844="SI APLICA",AA1844="SI APLICA"),AND(Z1845="SI APLICA",AA1845="SI APLICA"),AND(Z1846="SI APLICA",AA1846="SI APLICA"),AND(Z1847="SI APLICA",AA1847="SI APLICA")),"SI APLICA","NO APLICA")</f>
        <v>SI APLICA</v>
      </c>
      <c r="AA1848" s="278" t="str">
        <f ca="1">IF(OR(AND(AA1842="SI APLICA",AB1842="SI APLICA"),AND(AA1843="SI APLICA",AB1843="SI APLICA"),AND(AA1844="SI APLICA",AB1844="SI APLICA"),AND(AA1845="SI APLICA",AB1845="SI APLICA"),AND(AA1846="SI APLICA",AB1846="SI APLICA"),AND(AA1847="SI APLICA",AB1847="SI APLICA")),"SI APLICA","NO APLICA")</f>
        <v>SI APLICA</v>
      </c>
      <c r="AB1848" s="278" t="str">
        <f ca="1">IF(COUNTIF(AB1842:AB1847,"SI APLICA")&gt;0,"SI APLICA","NO APLICA")</f>
        <v>SI APLICA</v>
      </c>
      <c r="AC1848" s="28"/>
    </row>
    <row r="1849" spans="1:29" ht="24.95" customHeight="1"/>
    <row r="1850" spans="1:29" ht="24.95" customHeight="1"/>
    <row r="1851" spans="1:29" s="41" customFormat="1" ht="24" thickBot="1">
      <c r="A1851" s="34">
        <v>62</v>
      </c>
      <c r="B1851" s="828" t="s">
        <v>355</v>
      </c>
      <c r="C1851" s="828"/>
      <c r="D1851" s="828"/>
      <c r="E1851" s="35">
        <f>VLOOKUP(A1851,PROPONENTES!$B$19:$E$108,2,FALSE)</f>
        <v>62</v>
      </c>
      <c r="F1851" s="36" t="str">
        <f>VLOOKUP(A1851,PROPONENTES!$B$19:$E$108,3,FALSE)</f>
        <v>CONSORCIO INTERVIAL TOL 001</v>
      </c>
      <c r="G1851" s="37"/>
      <c r="H1851" s="37"/>
      <c r="I1851" s="36"/>
      <c r="J1851" s="36"/>
      <c r="K1851" s="36"/>
      <c r="L1851" s="36"/>
      <c r="M1851" s="38"/>
      <c r="N1851" s="38"/>
      <c r="O1851" s="37"/>
      <c r="P1851" s="37"/>
      <c r="Q1851" s="39"/>
      <c r="R1851" s="39"/>
      <c r="S1851" s="39"/>
      <c r="T1851" s="39"/>
      <c r="U1851" s="40"/>
      <c r="Y1851" s="52"/>
      <c r="Z1851" s="52"/>
      <c r="AA1851" s="52"/>
      <c r="AB1851" s="28"/>
      <c r="AC1851" s="28"/>
    </row>
    <row r="1852" spans="1:29" s="27" customFormat="1" ht="24.75" customHeight="1">
      <c r="A1852" s="22"/>
      <c r="B1852" s="829" t="s">
        <v>356</v>
      </c>
      <c r="C1852" s="501" t="s">
        <v>357</v>
      </c>
      <c r="D1852" s="502" t="s">
        <v>358</v>
      </c>
      <c r="E1852" s="502"/>
      <c r="F1852" s="502" t="s">
        <v>359</v>
      </c>
      <c r="G1852" s="503"/>
      <c r="H1852" s="803" t="s">
        <v>360</v>
      </c>
      <c r="I1852" s="831" t="s">
        <v>361</v>
      </c>
      <c r="J1852" s="803" t="s">
        <v>362</v>
      </c>
      <c r="K1852" s="803" t="s">
        <v>363</v>
      </c>
      <c r="L1852" s="803" t="s">
        <v>364</v>
      </c>
      <c r="M1852" s="803" t="s">
        <v>365</v>
      </c>
      <c r="N1852" s="804" t="s">
        <v>366</v>
      </c>
      <c r="O1852" s="805"/>
      <c r="P1852" s="806" t="s">
        <v>367</v>
      </c>
      <c r="Q1852" s="807"/>
      <c r="R1852" s="784" t="s">
        <v>368</v>
      </c>
      <c r="S1852" s="774"/>
      <c r="T1852" s="798" t="s">
        <v>369</v>
      </c>
      <c r="U1852" s="799"/>
      <c r="V1852" s="800"/>
      <c r="X1852" s="520"/>
      <c r="Y1852" s="520"/>
    </row>
    <row r="1853" spans="1:29" s="27" customFormat="1" ht="94.5" customHeight="1">
      <c r="A1853" s="22"/>
      <c r="B1853" s="830"/>
      <c r="C1853" s="504" t="s">
        <v>370</v>
      </c>
      <c r="D1853" s="505" t="s">
        <v>41</v>
      </c>
      <c r="E1853" s="505" t="s">
        <v>371</v>
      </c>
      <c r="F1853" s="505" t="s">
        <v>372</v>
      </c>
      <c r="G1853" s="506" t="s">
        <v>373</v>
      </c>
      <c r="H1853" s="793"/>
      <c r="I1853" s="832"/>
      <c r="J1853" s="793"/>
      <c r="K1853" s="793"/>
      <c r="L1853" s="793"/>
      <c r="M1853" s="793"/>
      <c r="N1853" s="504" t="s">
        <v>374</v>
      </c>
      <c r="O1853" s="505" t="s">
        <v>375</v>
      </c>
      <c r="P1853" s="801"/>
      <c r="Q1853" s="802"/>
      <c r="R1853" s="796"/>
      <c r="S1853" s="797"/>
      <c r="T1853" s="507" t="s">
        <v>376</v>
      </c>
      <c r="U1853" s="508" t="s">
        <v>377</v>
      </c>
      <c r="V1853" s="509" t="s">
        <v>378</v>
      </c>
      <c r="X1853" s="521" t="s">
        <v>379</v>
      </c>
      <c r="Y1853" s="521" t="s">
        <v>380</v>
      </c>
    </row>
    <row r="1854" spans="1:29" s="27" customFormat="1" ht="15" customHeight="1">
      <c r="A1854" s="22"/>
      <c r="B1854" s="594"/>
      <c r="C1854" s="595">
        <v>3</v>
      </c>
      <c r="D1854" s="595">
        <v>4</v>
      </c>
      <c r="E1854" s="595">
        <v>5</v>
      </c>
      <c r="F1854" s="595">
        <v>6</v>
      </c>
      <c r="G1854" s="595">
        <v>7</v>
      </c>
      <c r="H1854" s="595">
        <v>8</v>
      </c>
      <c r="I1854" s="595">
        <v>9</v>
      </c>
      <c r="J1854" s="595">
        <v>10</v>
      </c>
      <c r="K1854" s="595">
        <v>11</v>
      </c>
      <c r="L1854" s="595">
        <v>12</v>
      </c>
      <c r="M1854" s="595">
        <v>13</v>
      </c>
      <c r="N1854" s="595">
        <v>14</v>
      </c>
      <c r="O1854" s="595">
        <v>15</v>
      </c>
      <c r="P1854" s="596">
        <v>16</v>
      </c>
      <c r="Q1854" s="597">
        <v>17</v>
      </c>
      <c r="R1854" s="596">
        <v>18</v>
      </c>
      <c r="S1854" s="597">
        <v>19</v>
      </c>
      <c r="T1854" s="598">
        <v>20</v>
      </c>
      <c r="U1854" s="255">
        <v>21</v>
      </c>
      <c r="V1854" s="599">
        <v>22</v>
      </c>
      <c r="X1854" s="589"/>
      <c r="Y1854" s="590"/>
    </row>
    <row r="1855" spans="1:29" s="44" customFormat="1" ht="43.5" customHeight="1">
      <c r="A1855" s="42" t="str">
        <f>"A"&amp;E1851</f>
        <v>A62</v>
      </c>
      <c r="B1855" s="605">
        <f>IF(C1855&lt;&gt;"",B1854+1,"")</f>
        <v>1</v>
      </c>
      <c r="C1855" s="581" t="s">
        <v>661</v>
      </c>
      <c r="D1855" s="581" t="s">
        <v>882</v>
      </c>
      <c r="E1855" s="581" t="s">
        <v>883</v>
      </c>
      <c r="F1855" s="581" t="s">
        <v>431</v>
      </c>
      <c r="G1855" s="534">
        <v>0.5</v>
      </c>
      <c r="H1855" s="534" t="s">
        <v>385</v>
      </c>
      <c r="I1855" s="579">
        <v>1</v>
      </c>
      <c r="J1855" s="580" t="str">
        <f>IF(I1855="","",IF(I1855="I",$F1851,VLOOKUP(I1855,$C1872:$D1877,2,0)))</f>
        <v>INTERESTUDIOS INGENIERIA S.A.S</v>
      </c>
      <c r="K1855" s="535">
        <v>39092</v>
      </c>
      <c r="L1855" s="535">
        <v>39701</v>
      </c>
      <c r="M1855" s="536">
        <v>1306.33</v>
      </c>
      <c r="N1855" s="232">
        <f t="shared" ref="N1855:N1864" si="370">IF(OR(G1855="",M1855=""),"",M1855*G1855)</f>
        <v>653.16499999999996</v>
      </c>
      <c r="O1855" s="260">
        <f t="shared" ref="O1855:O1864" si="371">IF(OR(H1855="",H1855="NO",K1855&lt;$Q$17,K1855&gt;$R$17,K1855="",M1855="",N1855=""),"",ROUND(N1855,7))</f>
        <v>653.16499999999996</v>
      </c>
      <c r="P1855" s="781"/>
      <c r="Q1855" s="782"/>
      <c r="R1855" s="767"/>
      <c r="S1855" s="768"/>
      <c r="T1855" s="538" t="s">
        <v>385</v>
      </c>
      <c r="U1855" s="539">
        <v>15</v>
      </c>
      <c r="V1855" s="540" t="s">
        <v>385</v>
      </c>
      <c r="X1855" s="541" t="s">
        <v>446</v>
      </c>
      <c r="Y1855" s="541" t="s">
        <v>387</v>
      </c>
    </row>
    <row r="1856" spans="1:29" s="44" customFormat="1" ht="39.75" customHeight="1">
      <c r="A1856" s="42" t="str">
        <f>"B"&amp;E1851</f>
        <v>B62</v>
      </c>
      <c r="B1856" s="605">
        <f t="shared" ref="B1856" si="372">IF(C1856&lt;&gt;"",B1855+1,"")</f>
        <v>2</v>
      </c>
      <c r="C1856" s="581" t="s">
        <v>443</v>
      </c>
      <c r="D1856" s="581" t="s">
        <v>884</v>
      </c>
      <c r="E1856" s="581" t="s">
        <v>885</v>
      </c>
      <c r="F1856" s="581" t="s">
        <v>431</v>
      </c>
      <c r="G1856" s="534">
        <v>0.65</v>
      </c>
      <c r="H1856" s="534" t="s">
        <v>385</v>
      </c>
      <c r="I1856" s="579">
        <v>2</v>
      </c>
      <c r="J1856" s="580" t="str">
        <f>IF(I1856="","",IF(I1856="I",$F1850,VLOOKUP(I1856,$C1871:$D1876,2,0)))</f>
        <v>GUSTAVO PÉREZ MARIÑO</v>
      </c>
      <c r="K1856" s="535">
        <v>42962</v>
      </c>
      <c r="L1856" s="535">
        <v>43131</v>
      </c>
      <c r="M1856" s="536">
        <v>511.99</v>
      </c>
      <c r="N1856" s="232">
        <f t="shared" ref="N1856:N1857" si="373">IF(OR(G1856="",M1856=""),"",M1856*G1856)</f>
        <v>332.79349999999999</v>
      </c>
      <c r="O1856" s="260">
        <f t="shared" ref="O1856" si="374">IF(OR(H1856="",H1856="NO",K1856&lt;$Q$17,K1856&gt;$R$17,K1856="",M1856="",N1856=""),"",ROUND(N1856,7))</f>
        <v>332.79349999999999</v>
      </c>
      <c r="P1856" s="781"/>
      <c r="Q1856" s="782"/>
      <c r="R1856" s="767"/>
      <c r="S1856" s="768"/>
      <c r="T1856" s="538" t="s">
        <v>385</v>
      </c>
      <c r="U1856" s="539">
        <v>42</v>
      </c>
      <c r="V1856" s="540" t="s">
        <v>385</v>
      </c>
      <c r="X1856" s="541" t="s">
        <v>449</v>
      </c>
      <c r="Y1856" s="541" t="s">
        <v>387</v>
      </c>
    </row>
    <row r="1857" spans="1:29" s="44" customFormat="1" ht="33" customHeight="1">
      <c r="A1857" s="42" t="str">
        <f>"C"&amp;E1851</f>
        <v>C62</v>
      </c>
      <c r="B1857" s="605"/>
      <c r="C1857" s="581"/>
      <c r="D1857" s="581"/>
      <c r="E1857" s="581"/>
      <c r="F1857" s="581"/>
      <c r="G1857" s="534"/>
      <c r="H1857" s="534"/>
      <c r="I1857" s="579"/>
      <c r="J1857" s="580" t="str">
        <f>IF(I1857="","",IF(I1857="I",$F1851,VLOOKUP(I1857,$C1872:$D1877,2,0)))</f>
        <v/>
      </c>
      <c r="K1857" s="535"/>
      <c r="L1857" s="535"/>
      <c r="M1857" s="536"/>
      <c r="N1857" s="232" t="str">
        <f t="shared" si="373"/>
        <v/>
      </c>
      <c r="O1857" s="260"/>
      <c r="P1857" s="781"/>
      <c r="Q1857" s="782"/>
      <c r="R1857" s="767"/>
      <c r="S1857" s="768"/>
      <c r="T1857" s="538"/>
      <c r="U1857" s="539"/>
      <c r="V1857" s="540"/>
      <c r="X1857" s="541"/>
      <c r="Y1857" s="541"/>
    </row>
    <row r="1858" spans="1:29" s="44" customFormat="1" ht="24.95" customHeight="1">
      <c r="A1858" s="42" t="str">
        <f>"D"&amp;E1851</f>
        <v>D62</v>
      </c>
      <c r="B1858" s="605" t="str">
        <f t="shared" ref="B1858:B1864" si="375">IF(C1858&lt;&gt;"",B1857+1,"")</f>
        <v/>
      </c>
      <c r="C1858" s="581"/>
      <c r="D1858" s="581"/>
      <c r="E1858" s="581"/>
      <c r="F1858" s="581"/>
      <c r="G1858" s="534"/>
      <c r="H1858" s="534"/>
      <c r="I1858" s="579"/>
      <c r="J1858" s="580" t="str">
        <f>IF(I1858="","",IF(I1858="I",$F1851,VLOOKUP(I1858,$C1872:$D1877,2,0)))</f>
        <v/>
      </c>
      <c r="K1858" s="535"/>
      <c r="L1858" s="535"/>
      <c r="M1858" s="536"/>
      <c r="N1858" s="232" t="str">
        <f t="shared" si="370"/>
        <v/>
      </c>
      <c r="O1858" s="260" t="str">
        <f t="shared" si="371"/>
        <v/>
      </c>
      <c r="P1858" s="781"/>
      <c r="Q1858" s="782"/>
      <c r="R1858" s="767"/>
      <c r="S1858" s="768"/>
      <c r="T1858" s="538"/>
      <c r="U1858" s="539"/>
      <c r="V1858" s="540"/>
      <c r="X1858" s="541"/>
      <c r="Y1858" s="541"/>
    </row>
    <row r="1859" spans="1:29" s="44" customFormat="1" ht="24.95" customHeight="1">
      <c r="A1859" s="42" t="str">
        <f>"E"&amp;E1851</f>
        <v>E62</v>
      </c>
      <c r="B1859" s="605" t="str">
        <f t="shared" si="375"/>
        <v/>
      </c>
      <c r="C1859" s="581"/>
      <c r="D1859" s="581"/>
      <c r="E1859" s="581"/>
      <c r="F1859" s="581"/>
      <c r="G1859" s="534"/>
      <c r="H1859" s="534"/>
      <c r="I1859" s="579"/>
      <c r="J1859" s="580" t="str">
        <f>IF(I1859="","",IF(I1859="I",$F1851,VLOOKUP(I1859,$C1872:$D1877,2,0)))</f>
        <v/>
      </c>
      <c r="K1859" s="535"/>
      <c r="L1859" s="535"/>
      <c r="M1859" s="536"/>
      <c r="N1859" s="232" t="str">
        <f t="shared" si="370"/>
        <v/>
      </c>
      <c r="O1859" s="260" t="str">
        <f t="shared" si="371"/>
        <v/>
      </c>
      <c r="P1859" s="781"/>
      <c r="Q1859" s="782"/>
      <c r="R1859" s="767"/>
      <c r="S1859" s="768"/>
      <c r="T1859" s="538"/>
      <c r="U1859" s="539"/>
      <c r="V1859" s="540"/>
      <c r="X1859" s="541"/>
      <c r="Y1859" s="541"/>
    </row>
    <row r="1860" spans="1:29" s="44" customFormat="1" ht="24.95" customHeight="1">
      <c r="A1860" s="42" t="str">
        <f>"F"&amp;E1851</f>
        <v>F62</v>
      </c>
      <c r="B1860" s="605" t="str">
        <f t="shared" si="375"/>
        <v/>
      </c>
      <c r="C1860" s="581"/>
      <c r="D1860" s="581"/>
      <c r="E1860" s="581"/>
      <c r="F1860" s="581"/>
      <c r="G1860" s="534"/>
      <c r="H1860" s="534"/>
      <c r="I1860" s="579"/>
      <c r="J1860" s="580" t="str">
        <f>IF(I1860="","",IF(I1860="I",$F1851,VLOOKUP(I1860,$C1872:$D1877,2,0)))</f>
        <v/>
      </c>
      <c r="K1860" s="535"/>
      <c r="L1860" s="535"/>
      <c r="M1860" s="536"/>
      <c r="N1860" s="232" t="str">
        <f t="shared" si="370"/>
        <v/>
      </c>
      <c r="O1860" s="260" t="str">
        <f t="shared" si="371"/>
        <v/>
      </c>
      <c r="P1860" s="781"/>
      <c r="Q1860" s="782"/>
      <c r="R1860" s="767"/>
      <c r="S1860" s="768"/>
      <c r="T1860" s="538"/>
      <c r="U1860" s="539"/>
      <c r="V1860" s="540"/>
      <c r="X1860" s="541"/>
      <c r="Y1860" s="541"/>
    </row>
    <row r="1861" spans="1:29" s="44" customFormat="1" ht="24.95" customHeight="1">
      <c r="A1861" s="42" t="str">
        <f>"G"&amp;E1851</f>
        <v>G62</v>
      </c>
      <c r="B1861" s="605" t="str">
        <f t="shared" si="375"/>
        <v/>
      </c>
      <c r="C1861" s="581"/>
      <c r="D1861" s="581"/>
      <c r="E1861" s="581"/>
      <c r="F1861" s="581"/>
      <c r="G1861" s="534"/>
      <c r="H1861" s="534"/>
      <c r="I1861" s="579"/>
      <c r="J1861" s="580" t="str">
        <f>IF(I1861="","",IF(I1861="I",$F1851,VLOOKUP(I1861,$C1872:$D1877,2,0)))</f>
        <v/>
      </c>
      <c r="K1861" s="535"/>
      <c r="L1861" s="535"/>
      <c r="M1861" s="536"/>
      <c r="N1861" s="43" t="str">
        <f t="shared" si="370"/>
        <v/>
      </c>
      <c r="O1861" s="260" t="str">
        <f t="shared" si="371"/>
        <v/>
      </c>
      <c r="P1861" s="781"/>
      <c r="Q1861" s="782"/>
      <c r="R1861" s="767"/>
      <c r="S1861" s="768"/>
      <c r="T1861" s="538"/>
      <c r="U1861" s="539"/>
      <c r="V1861" s="540"/>
      <c r="X1861" s="541"/>
      <c r="Y1861" s="541"/>
    </row>
    <row r="1862" spans="1:29" s="44" customFormat="1" ht="24.95" customHeight="1">
      <c r="A1862" s="42" t="str">
        <f>"H"&amp;E1851</f>
        <v>H62</v>
      </c>
      <c r="B1862" s="605" t="str">
        <f t="shared" si="375"/>
        <v/>
      </c>
      <c r="C1862" s="581"/>
      <c r="D1862" s="581"/>
      <c r="E1862" s="581"/>
      <c r="F1862" s="581"/>
      <c r="G1862" s="534"/>
      <c r="H1862" s="534"/>
      <c r="I1862" s="579"/>
      <c r="J1862" s="580" t="str">
        <f>IF(I1862="","",IF(I1862="I",$F1851,VLOOKUP(I1862,$C1872:$D1877,2,0)))</f>
        <v/>
      </c>
      <c r="K1862" s="535"/>
      <c r="L1862" s="535"/>
      <c r="M1862" s="537"/>
      <c r="N1862" s="43" t="str">
        <f t="shared" si="370"/>
        <v/>
      </c>
      <c r="O1862" s="260" t="str">
        <f t="shared" si="371"/>
        <v/>
      </c>
      <c r="P1862" s="781"/>
      <c r="Q1862" s="782"/>
      <c r="R1862" s="767"/>
      <c r="S1862" s="768"/>
      <c r="T1862" s="538"/>
      <c r="U1862" s="539"/>
      <c r="V1862" s="540"/>
      <c r="X1862" s="541"/>
      <c r="Y1862" s="541"/>
    </row>
    <row r="1863" spans="1:29" s="44" customFormat="1" ht="24.95" customHeight="1">
      <c r="A1863" s="42" t="str">
        <f>"I"&amp;E1851</f>
        <v>I62</v>
      </c>
      <c r="B1863" s="605" t="str">
        <f t="shared" si="375"/>
        <v/>
      </c>
      <c r="C1863" s="581"/>
      <c r="D1863" s="581"/>
      <c r="E1863" s="581"/>
      <c r="F1863" s="581"/>
      <c r="G1863" s="534"/>
      <c r="H1863" s="534"/>
      <c r="I1863" s="579"/>
      <c r="J1863" s="580" t="str">
        <f>IF(I1863="","",IF(I1863="I",$F1851,VLOOKUP(I1863,$C1872:$D1877,2,0)))</f>
        <v/>
      </c>
      <c r="K1863" s="535"/>
      <c r="L1863" s="535"/>
      <c r="M1863" s="537"/>
      <c r="N1863" s="43" t="str">
        <f t="shared" si="370"/>
        <v/>
      </c>
      <c r="O1863" s="260" t="str">
        <f t="shared" si="371"/>
        <v/>
      </c>
      <c r="P1863" s="781"/>
      <c r="Q1863" s="782"/>
      <c r="R1863" s="767"/>
      <c r="S1863" s="768"/>
      <c r="T1863" s="538"/>
      <c r="U1863" s="539"/>
      <c r="V1863" s="540"/>
      <c r="X1863" s="541"/>
      <c r="Y1863" s="541"/>
    </row>
    <row r="1864" spans="1:29" s="44" customFormat="1" ht="24.95" customHeight="1" thickBot="1">
      <c r="A1864" s="42" t="str">
        <f>"J"&amp;E1851</f>
        <v>J62</v>
      </c>
      <c r="B1864" s="612" t="str">
        <f t="shared" si="375"/>
        <v/>
      </c>
      <c r="C1864" s="582"/>
      <c r="D1864" s="582"/>
      <c r="E1864" s="582"/>
      <c r="F1864" s="582"/>
      <c r="G1864" s="583"/>
      <c r="H1864" s="583"/>
      <c r="I1864" s="584"/>
      <c r="J1864" s="585" t="str">
        <f>IF(I1864="","",IF(I1864="I",$F1851,VLOOKUP(I1864,$C1872:$D1877,2,0)))</f>
        <v/>
      </c>
      <c r="K1864" s="586"/>
      <c r="L1864" s="586"/>
      <c r="M1864" s="587"/>
      <c r="N1864" s="43" t="str">
        <f t="shared" si="370"/>
        <v/>
      </c>
      <c r="O1864" s="260" t="str">
        <f t="shared" si="371"/>
        <v/>
      </c>
      <c r="P1864" s="781"/>
      <c r="Q1864" s="782"/>
      <c r="R1864" s="767"/>
      <c r="S1864" s="768"/>
      <c r="T1864" s="538"/>
      <c r="U1864" s="539"/>
      <c r="V1864" s="540"/>
      <c r="X1864" s="541"/>
      <c r="Y1864" s="541"/>
    </row>
    <row r="1865" spans="1:29" s="27" customFormat="1" ht="12" customHeight="1" thickBot="1">
      <c r="A1865" s="42"/>
      <c r="B1865" s="45"/>
      <c r="C1865" s="46"/>
      <c r="D1865" s="46"/>
      <c r="E1865" s="46"/>
      <c r="F1865" s="46"/>
      <c r="G1865" s="46"/>
      <c r="H1865" s="606"/>
      <c r="I1865" s="46"/>
      <c r="J1865" s="46"/>
      <c r="K1865" s="46"/>
      <c r="L1865" s="46"/>
      <c r="M1865" s="46"/>
      <c r="N1865" s="46"/>
      <c r="O1865" s="259"/>
      <c r="P1865" s="46"/>
      <c r="Q1865" s="46"/>
      <c r="R1865" s="259"/>
      <c r="S1865" s="46"/>
      <c r="T1865" s="46"/>
      <c r="U1865" s="47"/>
      <c r="V1865" s="48"/>
      <c r="X1865" s="592"/>
      <c r="Y1865" s="593"/>
      <c r="AB1865" s="378"/>
    </row>
    <row r="1866" spans="1:29" s="27" customFormat="1" ht="17.25" customHeight="1" thickBot="1">
      <c r="A1866" s="42" t="str">
        <f>"Z"&amp;E1851</f>
        <v>Z62</v>
      </c>
      <c r="B1866" s="510"/>
      <c r="C1866" s="511"/>
      <c r="D1866" s="511"/>
      <c r="E1866" s="511"/>
      <c r="F1866" s="511"/>
      <c r="G1866" s="511"/>
      <c r="H1866" s="511"/>
      <c r="I1866" s="511"/>
      <c r="J1866" s="511"/>
      <c r="K1866" s="511"/>
      <c r="L1866" s="511"/>
      <c r="M1866" s="511"/>
      <c r="N1866" s="437" t="s">
        <v>388</v>
      </c>
      <c r="O1866" s="658">
        <f>IF(COUNTIF(O1855:O1864,"")&gt;9,0,SUM(O1855:O1864)/(COUNTIF(H1855:H1864,"SI")))</f>
        <v>492.97924999999998</v>
      </c>
      <c r="P1866" s="511"/>
      <c r="Q1866" s="511"/>
      <c r="R1866" s="530"/>
      <c r="S1866" s="530"/>
      <c r="T1866" s="531"/>
      <c r="U1866" s="532"/>
      <c r="V1866" s="533"/>
      <c r="W1866" s="285"/>
      <c r="X1866" s="613" t="e">
        <f>COUNTIF(#REF!,"")-COUNTIF(#REF!,"CUMPLE")-1</f>
        <v>#REF!</v>
      </c>
      <c r="Y1866" s="591"/>
      <c r="AB1866" s="28"/>
    </row>
    <row r="1867" spans="1:29" ht="17.25" customHeight="1">
      <c r="B1867" s="50"/>
      <c r="C1867" s="50"/>
      <c r="D1867" s="50"/>
      <c r="E1867" s="50"/>
      <c r="F1867" s="50"/>
      <c r="G1867" s="51"/>
      <c r="H1867" s="51"/>
      <c r="I1867" s="51"/>
      <c r="J1867" s="51"/>
      <c r="K1867" s="51"/>
      <c r="L1867" s="51"/>
      <c r="M1867" s="51"/>
      <c r="N1867" s="51"/>
      <c r="O1867" s="51"/>
      <c r="P1867" s="51"/>
      <c r="Q1867" s="51"/>
      <c r="R1867" s="51"/>
      <c r="S1867" s="51"/>
      <c r="T1867" s="51"/>
      <c r="U1867" s="51"/>
      <c r="V1867" s="51"/>
      <c r="W1867" s="51"/>
      <c r="X1867" s="608"/>
      <c r="Y1867" s="51"/>
      <c r="Z1867" s="51"/>
      <c r="AA1867" s="51"/>
      <c r="AB1867" s="51"/>
      <c r="AC1867" s="50"/>
    </row>
    <row r="1868" spans="1:29" s="27" customFormat="1" ht="16.5" customHeight="1" thickBot="1">
      <c r="A1868" s="22"/>
      <c r="B1868" s="783" t="s">
        <v>389</v>
      </c>
      <c r="C1868" s="783"/>
      <c r="D1868" s="783"/>
      <c r="E1868" s="783"/>
      <c r="F1868" s="783"/>
      <c r="G1868" s="783"/>
      <c r="H1868" s="783"/>
      <c r="I1868" s="783"/>
      <c r="J1868" s="783"/>
      <c r="K1868" s="783"/>
      <c r="L1868" s="783"/>
      <c r="M1868" s="783"/>
      <c r="N1868" s="783"/>
      <c r="O1868" s="783"/>
      <c r="P1868" s="783"/>
      <c r="Q1868" s="783"/>
      <c r="R1868" s="783"/>
      <c r="S1868" s="783"/>
      <c r="T1868" s="783"/>
      <c r="U1868" s="783"/>
      <c r="V1868" s="783"/>
      <c r="W1868" s="286"/>
      <c r="X1868" s="607"/>
      <c r="Y1868" s="52"/>
      <c r="Z1868" s="52"/>
      <c r="AA1868" s="52"/>
      <c r="AB1868" s="28"/>
      <c r="AC1868" s="28"/>
    </row>
    <row r="1869" spans="1:29" s="30" customFormat="1" ht="22.5" customHeight="1">
      <c r="A1869" s="112" t="str">
        <f>"K"&amp;E1851</f>
        <v>K62</v>
      </c>
      <c r="B1869" s="790" t="s">
        <v>390</v>
      </c>
      <c r="C1869" s="772" t="s">
        <v>391</v>
      </c>
      <c r="D1869" s="773"/>
      <c r="E1869" s="773"/>
      <c r="F1869" s="773"/>
      <c r="G1869" s="773"/>
      <c r="H1869" s="773"/>
      <c r="I1869" s="773"/>
      <c r="J1869" s="773"/>
      <c r="K1869" s="773"/>
      <c r="L1869" s="773"/>
      <c r="M1869" s="774"/>
      <c r="N1869" s="525"/>
      <c r="O1869" s="588"/>
      <c r="P1869" s="772" t="s">
        <v>392</v>
      </c>
      <c r="Q1869" s="773"/>
      <c r="R1869" s="773"/>
      <c r="S1869" s="774"/>
      <c r="T1869" s="784" t="s">
        <v>393</v>
      </c>
      <c r="U1869" s="774"/>
      <c r="V1869" s="811"/>
      <c r="W1869" s="284"/>
      <c r="X1869" s="778" t="s">
        <v>394</v>
      </c>
      <c r="Y1869" s="779"/>
      <c r="Z1869" s="779"/>
      <c r="AA1869" s="779" t="s">
        <v>395</v>
      </c>
      <c r="AB1869" s="808" t="s">
        <v>396</v>
      </c>
      <c r="AC1869" s="28"/>
    </row>
    <row r="1870" spans="1:29" s="30" customFormat="1" ht="22.5" customHeight="1">
      <c r="A1870" s="112" t="str">
        <f>"L"&amp;E1851</f>
        <v>L62</v>
      </c>
      <c r="B1870" s="791"/>
      <c r="C1870" s="769" t="s">
        <v>397</v>
      </c>
      <c r="D1870" s="770"/>
      <c r="E1870" s="771"/>
      <c r="F1870" s="512">
        <f>IF(VLOOKUP(E1851,PROPONENTES!$C$19:$E$108,3,0)="","",VLOOKUP(E1851,PROPONENTES!$C$19:$E$108,3,0))</f>
        <v>2</v>
      </c>
      <c r="G1870" s="824" t="s">
        <v>398</v>
      </c>
      <c r="H1870" s="793" t="s">
        <v>399</v>
      </c>
      <c r="I1870" s="793"/>
      <c r="J1870" s="769" t="s">
        <v>400</v>
      </c>
      <c r="K1870" s="823"/>
      <c r="L1870" s="513" t="s">
        <v>401</v>
      </c>
      <c r="M1870" s="513"/>
      <c r="N1870" s="526"/>
      <c r="O1870" s="527"/>
      <c r="P1870" s="775"/>
      <c r="Q1870" s="776"/>
      <c r="R1870" s="776"/>
      <c r="S1870" s="777"/>
      <c r="T1870" s="796"/>
      <c r="U1870" s="797"/>
      <c r="V1870" s="812"/>
      <c r="W1870" s="284"/>
      <c r="X1870" s="780" t="s">
        <v>402</v>
      </c>
      <c r="Y1870" s="810" t="s">
        <v>403</v>
      </c>
      <c r="Z1870" s="810"/>
      <c r="AA1870" s="810"/>
      <c r="AB1870" s="809"/>
      <c r="AC1870" s="28"/>
    </row>
    <row r="1871" spans="1:29" s="30" customFormat="1" ht="51.75" customHeight="1" thickBot="1">
      <c r="A1871" s="112" t="str">
        <f>"M"&amp;E1851</f>
        <v>M62</v>
      </c>
      <c r="B1871" s="791"/>
      <c r="C1871" s="770" t="s">
        <v>404</v>
      </c>
      <c r="D1871" s="771"/>
      <c r="E1871" s="514" t="s">
        <v>405</v>
      </c>
      <c r="F1871" s="515" t="s">
        <v>406</v>
      </c>
      <c r="G1871" s="824"/>
      <c r="H1871" s="793"/>
      <c r="I1871" s="793"/>
      <c r="J1871" s="504" t="s">
        <v>407</v>
      </c>
      <c r="K1871" s="516" t="s">
        <v>408</v>
      </c>
      <c r="L1871" s="517" t="s">
        <v>409</v>
      </c>
      <c r="M1871" s="517"/>
      <c r="N1871" s="528" t="s">
        <v>410</v>
      </c>
      <c r="O1871" s="529"/>
      <c r="P1871" s="386"/>
      <c r="Q1871" s="387" t="s">
        <v>411</v>
      </c>
      <c r="R1871" s="388"/>
      <c r="S1871" s="113">
        <f>COUNTIFS(H1855:H1864,"SI",O1855:O1864,"&gt;0")</f>
        <v>2</v>
      </c>
      <c r="T1871" s="785"/>
      <c r="U1871" s="787"/>
      <c r="V1871" s="813"/>
      <c r="W1871" s="284"/>
      <c r="X1871" s="780"/>
      <c r="Y1871" s="810"/>
      <c r="Z1871" s="810"/>
      <c r="AA1871" s="810"/>
      <c r="AB1871" s="809"/>
      <c r="AC1871" s="28"/>
    </row>
    <row r="1872" spans="1:29" s="30" customFormat="1" ht="26.25" customHeight="1">
      <c r="A1872" s="112" t="str">
        <f>"N"&amp;E1851</f>
        <v>N62</v>
      </c>
      <c r="B1872" s="791"/>
      <c r="C1872" s="54">
        <v>1</v>
      </c>
      <c r="D1872" s="100" t="str">
        <f>IF(AND(C1872&lt;=F1870,F1870&gt;1,F1870&lt;&gt;""),VLOOKUP(VALUE(E1851&amp;","&amp;C1872),INTEGRANTES!$D$19:$F$192,2,0),"")</f>
        <v>INTERESTUDIOS INGENIERIA S.A.S</v>
      </c>
      <c r="E1872" s="107">
        <f>IF(D1872&lt;&gt;"",VLOOKUP(VALUE(E1851&amp;","&amp;C1872),INTEGRANTES!$D$19:$F$192,3,0),"")</f>
        <v>0.4</v>
      </c>
      <c r="F1872" s="380">
        <f>IF(D1872="","",IF(OR(SUMIF($J1855:$J1864,D1872,$O1855:$O1864)=0,N1872="NO"),"NO APORTA",SUMIF($J1855:$J1864,D1872,$O1855:$O1864)))</f>
        <v>653.16499999999996</v>
      </c>
      <c r="G1872" s="380">
        <f ca="1">IF($D1872="","",IF($F1870&lt;=1,"",ROUND(POSMMLV*PORPO,2)))</f>
        <v>150</v>
      </c>
      <c r="H1872" s="765" t="str">
        <f ca="1">IF($D1872="","",IF(OR(F1872="NO APORTA",G1872&gt;F1872),"NO CUMPLE","CUMPLE"))</f>
        <v>CUMPLE</v>
      </c>
      <c r="I1872" s="766"/>
      <c r="J1872" s="108" t="str">
        <f ca="1">IF(D1872="","",IF(OR(AND(SUMIF($J1855:$J1864,D1872,$O1855:$O1864)&gt;=5%*POSMMLV,N1872="SI"),AND(SUMIF($J1855:$J1864,D1872,$O1855:$O1864)=0,E1872&lt;=5%,N1872="SI")),"CUMPLE","NO CUMPLE"))</f>
        <v>CUMPLE</v>
      </c>
      <c r="K1872" s="105" t="str">
        <f ca="1">IF(OR(D1872="",J1872=""),"",IF(AND(J1872="NO CUMPLE",F1872="NO APORTA",E1872&gt;5%),"EXP = 0 y PART &gt; 5%",IF(F1872&lt;5%*Q1877,"EXP &lt; 5%*PO","")))</f>
        <v/>
      </c>
      <c r="L1872" s="389" t="str">
        <f>IF(OR(D1872="",E1872=""),"",IF(AND(E1872&gt;=0.25,F1872&lt;&gt;"NO APORTA",F1872&gt;=$R1877*0.25),"SI","NO"))</f>
        <v>SI</v>
      </c>
      <c r="M1872" s="389"/>
      <c r="N1872" s="468" t="s">
        <v>385</v>
      </c>
      <c r="O1872" s="396">
        <f>COUNTIFS(O1855:O1864,"&gt;0",H1855:H1864,"SI")</f>
        <v>2</v>
      </c>
      <c r="P1872" s="814" t="s">
        <v>139</v>
      </c>
      <c r="Q1872" s="814"/>
      <c r="R1872" s="817">
        <f>E1851</f>
        <v>62</v>
      </c>
      <c r="S1872" s="818"/>
      <c r="T1872" s="784" t="s">
        <v>412</v>
      </c>
      <c r="U1872" s="773"/>
      <c r="V1872" s="774"/>
      <c r="W1872" s="283"/>
      <c r="X1872" s="542" t="str">
        <f>IF($F1870=1,"NO APLICA",$D1872)</f>
        <v>INTERESTUDIOS INGENIERIA S.A.S</v>
      </c>
      <c r="Y1872" s="543">
        <f ca="1">IF(OR($F1872="",$F1872="NO APORTA",$R1877=0,$X1872="NO APLICA"),"",ROUND($F1872/$Q1877,2))</f>
        <v>2.1800000000000002</v>
      </c>
      <c r="Z1872" s="544" t="str">
        <f ca="1">IF(Y1878=1,"SI APLICA",IF(OR($X1872="",$X1872="NO APLICA",$F1872="",$F1872="NO APORTA"),"",IF(ROUND($F1872/Q1877,7)&gt;=0.4,"SI APLICA","NO APLICA")))</f>
        <v>SI APLICA</v>
      </c>
      <c r="AA1872" s="543" t="s">
        <v>413</v>
      </c>
      <c r="AB1872" s="540" t="str">
        <f ca="1">IF(COUNTIF(Z1872:AA1872,"SI APLICA")=2,"SI APLICA","")</f>
        <v>SI APLICA</v>
      </c>
      <c r="AC1872" s="28"/>
    </row>
    <row r="1873" spans="1:29" s="30" customFormat="1" ht="18.75" customHeight="1" thickBot="1">
      <c r="A1873" s="112" t="str">
        <f>"O"&amp;E1851</f>
        <v>O62</v>
      </c>
      <c r="B1873" s="791"/>
      <c r="C1873" s="54">
        <v>2</v>
      </c>
      <c r="D1873" s="100" t="str">
        <f>IF(AND(C1873&lt;=F1870,F1870&lt;&gt;""),VLOOKUP(VALUE(E1851&amp;","&amp;C1873),INTEGRANTES!$D$19:$F$192,2,0),"")</f>
        <v>GUSTAVO PÉREZ MARIÑO</v>
      </c>
      <c r="E1873" s="107">
        <f>IF(D1873&lt;&gt;"",VLOOKUP(VALUE(E1851&amp;","&amp;C1873),INTEGRANTES!$D$19:$F$192,3,0),"")</f>
        <v>0.6</v>
      </c>
      <c r="F1873" s="380">
        <f>IF(D1873="","",IF(OR(SUMIF($J1855:$J1864,D1873,$O1855:$O1864)=0,N1873="NO"),"NO APORTA",SUMIF($J1855:$J1864,D1873,$O1855:$O1864)))</f>
        <v>332.79349999999999</v>
      </c>
      <c r="G1873" s="380">
        <f ca="1">IF($D1873="","",IF($F1870&lt;=1,"",ROUND(POSMMLV*PORPO,2)))</f>
        <v>150</v>
      </c>
      <c r="H1873" s="765" t="str">
        <f t="shared" ref="H1873:H1876" ca="1" si="376">IF($D1873="","",IF(OR(F1873="NO APORTA",G1873&gt;F1873),"NO CUMPLE","CUMPLE"))</f>
        <v>CUMPLE</v>
      </c>
      <c r="I1873" s="766"/>
      <c r="J1873" s="108" t="str">
        <f ca="1">IF(D1873="","",IF(OR(AND(SUMIF($J1855:$J1864,D1873,$O1855:$O1864)&gt;=5%*POSMMLV,N1873="SI"),AND(SUMIF($J1855:$J1864,D1873,$O1855:$O1864)=0,E1873&lt;=5%,N1873="SI")),"CUMPLE","NO CUMPLE"))</f>
        <v>CUMPLE</v>
      </c>
      <c r="K1873" s="105" t="str">
        <f ca="1">IF(OR(D1873="",J1873=""),"",IF(AND(J1873="NO CUMPLE",F1873="NO APORTA",E1873&gt;5%),"EXP = 0 y PART &gt; 5%",IF(F1873&lt;5%*Q1877,"EXP &lt; 5%*PO","")))</f>
        <v/>
      </c>
      <c r="L1873" s="389" t="str">
        <f>IF(OR(D1873="",E1873=""),"",IF(AND(E1873&gt;=0.25,F1873&lt;&gt;"NO APORTA",F1873&gt;=$R1877*0.25),"SI","NO"))</f>
        <v>SI</v>
      </c>
      <c r="M1873" s="389"/>
      <c r="N1873" s="468" t="s">
        <v>385</v>
      </c>
      <c r="O1873" s="396"/>
      <c r="P1873" s="815"/>
      <c r="Q1873" s="815"/>
      <c r="R1873" s="815"/>
      <c r="S1873" s="819"/>
      <c r="T1873" s="785"/>
      <c r="U1873" s="786"/>
      <c r="V1873" s="787"/>
      <c r="W1873" s="283"/>
      <c r="X1873" s="542" t="str">
        <f>IF($F1870=1,"NO APLICA",$D1873)</f>
        <v>GUSTAVO PÉREZ MARIÑO</v>
      </c>
      <c r="Y1873" s="543">
        <f ca="1">IF(OR($F1873="",$F1873="NO APORTA",$R1877=0,$X1873="NO APLICA"),"",ROUND($F1873/$Q1877,2))</f>
        <v>1.1100000000000001</v>
      </c>
      <c r="Z1873" s="544" t="str">
        <f ca="1">IF(Y1878=1,"SI APLICA",IF(OR($X1873="",$X1873="NO APLICA",$F1873="",$F1873="NO APORTA"),"",IF(ROUND($F1873/Q1877,7)&gt;=0.4,"SI APLICA","NO APLICA")))</f>
        <v>SI APLICA</v>
      </c>
      <c r="AA1873" s="543" t="s">
        <v>413</v>
      </c>
      <c r="AB1873" s="540" t="str">
        <f ca="1">IF(COUNTIF(Z1873:AA1873,"SI APLICA")=2,"SI APLICA","")</f>
        <v>SI APLICA</v>
      </c>
      <c r="AC1873" s="28"/>
    </row>
    <row r="1874" spans="1:29" s="30" customFormat="1" ht="15.75" customHeight="1">
      <c r="A1874" s="112" t="str">
        <f>"P"&amp;E1851</f>
        <v>P62</v>
      </c>
      <c r="B1874" s="791"/>
      <c r="C1874" s="54">
        <v>3</v>
      </c>
      <c r="D1874" s="100" t="str">
        <f>IF(AND(C1874&lt;=F1870,F1870&lt;&gt;""),VLOOKUP(VALUE(E1851&amp;","&amp;C1874),INTEGRANTES!$D$19:$F$192,2,0),"")</f>
        <v/>
      </c>
      <c r="E1874" s="107" t="str">
        <f>IF(D1874&lt;&gt;"",VLOOKUP(VALUE(E1851&amp;","&amp;C1874),INTEGRANTES!$D$19:$F$192,3,0),"")</f>
        <v/>
      </c>
      <c r="F1874" s="380" t="str">
        <f>IF(D1874="","",IF(OR(SUMIF($J1858:$J1864,D1874,$O1858:$O1864)=0,N1874="NO"),"NO APORTA",SUMIF($J1858:$J1864,D1874,$O1858:$O1864)))</f>
        <v/>
      </c>
      <c r="G1874" s="380" t="str">
        <f>IF($D1874="","",IF($F1870&lt;=1,"",ROUND(POSMMLV*PORPO,2)))</f>
        <v/>
      </c>
      <c r="H1874" s="765" t="str">
        <f t="shared" si="376"/>
        <v/>
      </c>
      <c r="I1874" s="766"/>
      <c r="J1874" s="108" t="str">
        <f>IF(D1874="","",IF(OR(AND(SUMIF($J1855:$J1864,D1874,$O1855:$O1864)&gt;=5%*POSMMLV,N1874="SI"),AND(SUMIF($J1855:$J1864,D1874,$O1855:$O1864)=0,E1874&lt;=5%,N1874="SI")),"CUMPLE","NO CUMPLE"))</f>
        <v/>
      </c>
      <c r="K1874" s="105" t="str">
        <f>IF(OR(D1874="",J1874=""),"",IF(AND(J1874="NO CUMPLE",F1874="NO APORTA",E1874&gt;5%),"EXP = 0 y PART &gt; 5%",IF(F1874&lt;5%*Q1877,"EXP &lt; 5%*PO","")))</f>
        <v/>
      </c>
      <c r="L1874" s="389" t="str">
        <f>IF(OR(D1874="",E1874=""),"",IF(AND(E1874&gt;=0.25,F1874&lt;&gt;"NO APORTA",F1874&gt;=$R1877*0.25),"SI","NO"))</f>
        <v/>
      </c>
      <c r="M1874" s="389"/>
      <c r="N1874" s="468"/>
      <c r="O1874" s="397"/>
      <c r="P1874" s="816"/>
      <c r="Q1874" s="816"/>
      <c r="R1874" s="816"/>
      <c r="S1874" s="820"/>
      <c r="T1874" s="308"/>
      <c r="U1874" s="308"/>
      <c r="V1874" s="309"/>
      <c r="W1874" s="284"/>
      <c r="X1874" s="542" t="str">
        <f>IF($F1870=1,"NO APLICA",$D1874)</f>
        <v/>
      </c>
      <c r="Y1874" s="543" t="str">
        <f>IF(OR($F1874="",$F1874="NO APORTA",$R1877=0,$X1874="NO APLICA"),"",ROUND($F1874/$Q1877,2))</f>
        <v/>
      </c>
      <c r="Z1874" s="544" t="str">
        <f>IF(Y1878=1,"SI APLICA",IF(OR($X1874="",$X1874="NO APLICA",$F1874="",$F1874="NO APORTA"),"",IF(ROUND($F1874/Q1877,7)&gt;=0.4,"SI APLICA","NO APLICA")))</f>
        <v/>
      </c>
      <c r="AA1874" s="543"/>
      <c r="AB1874" s="540" t="str">
        <f>IF(COUNTIF(Z1874:AA1874,"SI APLICA")=2,"SI APLICA","")</f>
        <v/>
      </c>
      <c r="AC1874" s="28"/>
    </row>
    <row r="1875" spans="1:29" s="30" customFormat="1" ht="15.75" customHeight="1">
      <c r="A1875" s="112" t="str">
        <f>"Q"&amp;E1851</f>
        <v>Q62</v>
      </c>
      <c r="B1875" s="791"/>
      <c r="C1875" s="54">
        <v>4</v>
      </c>
      <c r="D1875" s="100" t="str">
        <f>IF(AND(C1875&lt;=F1870,F1870&lt;&gt;""),VLOOKUP(VALUE(E1851&amp;","&amp;C1875),INTEGRANTES!$D$19:$F$192,2,0),"")</f>
        <v/>
      </c>
      <c r="E1875" s="107" t="str">
        <f>IF(D1875&lt;&gt;"",VLOOKUP(VALUE(E1851&amp;","&amp;C1875),INTEGRANTES!$D$19:$F$192,3,0),"")</f>
        <v/>
      </c>
      <c r="F1875" s="380" t="str">
        <f>IF(D1875="","",IF(OR(SUMIF($J1858:$J1864,D1875,$O1858:$O1864)=0,N1875="NO"),"NO APORTA",SUMIF($J1858:$J1864,D1875,$O1858:$O1864)))</f>
        <v/>
      </c>
      <c r="G1875" s="380" t="str">
        <f>IF($D1875="","",IF($F1870&lt;=1,"",ROUND(POSMMLV*PORPO,2)))</f>
        <v/>
      </c>
      <c r="H1875" s="765" t="str">
        <f t="shared" si="376"/>
        <v/>
      </c>
      <c r="I1875" s="766"/>
      <c r="J1875" s="108" t="str">
        <f>IF(D1875="","",IF(OR(AND(SUMIF($J1855:$J1864,D1875,$O1855:$O1864)&gt;=5%*POSMMLV,N1875="SI"),AND(SUMIF($J1855:$J1864,D1875,$O1855:$O1864)=0,E1875&lt;=5%,N1875="SI")),"CUMPLE","NO CUMPLE"))</f>
        <v/>
      </c>
      <c r="K1875" s="105" t="str">
        <f>IF(OR(D1875="",J1875=""),"",IF(AND(J1875="NO CUMPLE",F1875="NO APORTA",E1875&gt;5%),"EXP = 0 y PART &gt; 5%",IF(F1875&lt;5%*Q1877,"EXP &lt; 5%*PO","")))</f>
        <v/>
      </c>
      <c r="L1875" s="389" t="str">
        <f>IF(OR(D1875="",E1875=""),"",IF(AND(E1875&gt;=0.25,F1875&lt;&gt;"NO APORTA",F1875&gt;=$R1877*0.25),"SI","NO"))</f>
        <v/>
      </c>
      <c r="M1875" s="389"/>
      <c r="N1875" s="468"/>
      <c r="O1875" s="788" t="s">
        <v>414</v>
      </c>
      <c r="P1875" s="769" t="s">
        <v>415</v>
      </c>
      <c r="Q1875" s="770"/>
      <c r="R1875" s="770"/>
      <c r="S1875" s="771"/>
      <c r="T1875" s="284"/>
      <c r="U1875" s="284"/>
      <c r="V1875" s="310"/>
      <c r="W1875" s="284"/>
      <c r="X1875" s="542" t="str">
        <f>IF($F1870=1,"NO APLICA",$D1875)</f>
        <v/>
      </c>
      <c r="Y1875" s="543" t="str">
        <f>IF(OR($F1875="",$F1875="NO APORTA",$R1877=0,$X1875="NO APLICA"),"",ROUND($F1875/$Q1877,2))</f>
        <v/>
      </c>
      <c r="Z1875" s="544" t="str">
        <f>IF(Y1878=1,"SI APLICA",IF(OR($X1875="",$X1875="NO APLICA",$F1875="",$F1875="NO APORTA"),"",IF(ROUND($F1875/Q1877,7)&gt;=0.4,"SI APLICA","NO APLICA")))</f>
        <v/>
      </c>
      <c r="AA1875" s="543"/>
      <c r="AB1875" s="540" t="str">
        <f t="shared" ref="AB1875:AB1876" si="377">IF(COUNTIF(Z1875:AA1875,"SI APLICA")=2,"SI APLICA","")</f>
        <v/>
      </c>
      <c r="AC1875" s="28"/>
    </row>
    <row r="1876" spans="1:29" s="30" customFormat="1" ht="17.25" customHeight="1">
      <c r="A1876" s="112" t="str">
        <f>"R"&amp;E1851</f>
        <v>R62</v>
      </c>
      <c r="B1876" s="791"/>
      <c r="C1876" s="54">
        <v>5</v>
      </c>
      <c r="D1876" s="100" t="str">
        <f>IF(AND(C1876&lt;=F1870,F1870&lt;&gt;""),VLOOKUP(VALUE(E1851&amp;","&amp;C1876),INTEGRANTES!$D$19:$F$192,2,0),"")</f>
        <v/>
      </c>
      <c r="E1876" s="107" t="str">
        <f>IF(D1876&lt;&gt;"",VLOOKUP(VALUE(E1851&amp;","&amp;C1876),INTEGRANTES!$D$19:$F$192,3,0),"")</f>
        <v/>
      </c>
      <c r="F1876" s="380" t="str">
        <f>IF(D1876="","",IF(OR(SUMIF($J1858:$J1864,D1876,$O1858:$O1864)=0,N1876="NO"),"NO APORTA",SUMIF($J1858:$J1864,D1876,$O1858:$O1864)))</f>
        <v/>
      </c>
      <c r="G1876" s="380" t="str">
        <f>IF($D1876="","",IF($F1870&lt;=1,"",ROUND(POSMMLV*PORPO,2)))</f>
        <v/>
      </c>
      <c r="H1876" s="765" t="str">
        <f t="shared" si="376"/>
        <v/>
      </c>
      <c r="I1876" s="766"/>
      <c r="J1876" s="108" t="str">
        <f>IF(D1876="","",IF(OR(AND(SUMIF($J1855:$J1864,D1876,$O1855:$O1864)&gt;=5%*POSMMLV,N1876="SI"),AND(SUMIF($J1855:$J1864,D1876,$O1855:$O1864)=0,E1876&lt;=5%,N1876="SI")),"CUMPLE","NO CUMPLE"))</f>
        <v/>
      </c>
      <c r="K1876" s="105" t="str">
        <f>IF(OR(D1876="",J1876=""),"",IF(AND(J1876="NO CUMPLE",F1876="NO APORTA",E1876&gt;5%),"EXP = 0 y PART &gt; 5%",IF(F1876&lt;5%*Q1877,"EXP &lt; 5%*PO","")))</f>
        <v/>
      </c>
      <c r="L1876" s="389" t="str">
        <f>IF(OR(D1876="",E1876=""),"",IF(AND(E1876&gt;=0.25,F1876&lt;&gt;"NO APORTA",F1876&gt;=$R1877*0.25),"SI","NO"))</f>
        <v/>
      </c>
      <c r="M1876" s="389"/>
      <c r="N1876" s="468"/>
      <c r="O1876" s="789"/>
      <c r="P1876" s="504" t="s">
        <v>416</v>
      </c>
      <c r="Q1876" s="504" t="s">
        <v>417</v>
      </c>
      <c r="R1876" s="793" t="s">
        <v>418</v>
      </c>
      <c r="S1876" s="793"/>
      <c r="T1876" s="284"/>
      <c r="U1876" s="284"/>
      <c r="V1876" s="310"/>
      <c r="W1876" s="284"/>
      <c r="X1876" s="542" t="str">
        <f>IF($F1870=1,"NO APLICA",$D1876)</f>
        <v/>
      </c>
      <c r="Y1876" s="543" t="str">
        <f>IF(OR($F1876="",$F1876="NO APORTA",$R1877=0,$X1876="NO APLICA"),"",ROUND($F1876/$Q1877,2))</f>
        <v/>
      </c>
      <c r="Z1876" s="544" t="str">
        <f>IF(Y1878=1,"SI APLICA",IF(OR($X1876="",$X1876="NO APLICA",$F1876="",$F1876="NO APORTA"),"",IF(ROUND($F1876/Q1877,7)&gt;=0.4,"SI APLICA","NO APLICA")))</f>
        <v/>
      </c>
      <c r="AA1876" s="543"/>
      <c r="AB1876" s="540" t="str">
        <f t="shared" si="377"/>
        <v/>
      </c>
      <c r="AC1876" s="28"/>
    </row>
    <row r="1877" spans="1:29" s="30" customFormat="1" ht="16.5" customHeight="1" thickBot="1">
      <c r="A1877" s="112" t="str">
        <f>"S"&amp;E1851</f>
        <v>S62</v>
      </c>
      <c r="B1877" s="791"/>
      <c r="C1877" s="109">
        <v>6</v>
      </c>
      <c r="D1877" s="110" t="str">
        <f>IF(AND(C1877&lt;=F1870,F1870&lt;&gt;""),VLOOKUP(VALUE(E1851&amp;","&amp;C1877),INTEGRANTES!$D$19:$F$192,2,0),"")</f>
        <v/>
      </c>
      <c r="E1877" s="111" t="str">
        <f>IF(D1877&lt;&gt;"",VLOOKUP(VALUE(E1851&amp;","&amp;C1877),INTEGRANTES!$D$19:$F$192,3,0),"")</f>
        <v/>
      </c>
      <c r="F1877" s="380" t="str">
        <f>IF(D1877="","",IF(OR(SUMIF($J1858:$J1864,D1877,$O1858:$O1864)=0,N1877="NO"),"NO APORTA",SUMIF($J1858:$J1864,D1877,$O1858:$O1864)))</f>
        <v/>
      </c>
      <c r="G1877" s="380" t="str">
        <f>IF($D1877="","",IF($F1870&lt;=1,"",ROUND(POSMMLV*PORPO,2)))</f>
        <v/>
      </c>
      <c r="H1877" s="765" t="str">
        <f>IF($D1877="","",IF(OR(F1877="NO APORTA",G1877&gt;F1877),"NO CUMPLE","CUMPLE"))</f>
        <v/>
      </c>
      <c r="I1877" s="766"/>
      <c r="J1877" s="108" t="str">
        <f>IF(D1877="","",IF(OR(AND(SUMIF($J1855:$J1864,D1877,$O1855:$O1864)&gt;=5%*POSMMLV,N1877="SI"),AND(SUMIF($J1855:$J1864,D1877,$O1855:$O1864)=0,E1877&lt;=5%,N1877="SI")),"CUMPLE","NO CUMPLE"))</f>
        <v/>
      </c>
      <c r="K1877" s="105" t="str">
        <f>IF(OR(D1877="",J1877=""),"",IF(AND(J1877="NO CUMPLE",F1877="NO APORTA",E1877&gt;5%),"EXP = 0 y PART &gt; 5%",IF(F1877&lt;5%*Q1877,"EXP &lt; 5%*PO","")))</f>
        <v/>
      </c>
      <c r="L1877" s="389" t="str">
        <f>IF(OR(D1877="",E1877=""),"",IF(AND(E1877&gt;=0.25,F1877&lt;&gt;"NO APORTA",F1877&gt;=$R1877*0.25),"SI","NO"))</f>
        <v/>
      </c>
      <c r="M1877" s="389"/>
      <c r="N1877" s="468"/>
      <c r="O1877" s="403" t="str">
        <f ca="1">IF(R1877&gt;=Q1877,"CUMPLE","NO CUMPLE")</f>
        <v>CUMPLE</v>
      </c>
      <c r="P1877" s="312">
        <f>NUMMOD</f>
        <v>1</v>
      </c>
      <c r="Q1877" s="313">
        <f ca="1">IF(P1877="","",ROUND(VLOOKUP(P1877,PRESUPUESTOS!$B$16:$L$16,9,FALSE),7))</f>
        <v>300</v>
      </c>
      <c r="R1877" s="834">
        <f>IF(OR(COUNTIF(O1855:O1864,"")&gt;9,S1871&lt;NUMMINCONT),0,SUM(O1855:O1864))</f>
        <v>985.95849999999996</v>
      </c>
      <c r="S1877" s="834"/>
      <c r="T1877" s="284"/>
      <c r="U1877" s="284"/>
      <c r="V1877" s="310"/>
      <c r="W1877" s="284"/>
      <c r="X1877" s="545" t="str">
        <f>IF($F1870=1,"NO APLICA",$D1877)</f>
        <v/>
      </c>
      <c r="Y1877" s="543" t="str">
        <f>IF(OR($F1877="",$F1877="NO APORTA",$R1877=0,$X1877="NO APLICA"),"",ROUND($F1877/$Q1877,2))</f>
        <v/>
      </c>
      <c r="Z1877" s="544" t="str">
        <f>IF(Y1878=1,"SI APLICA",IF(OR($X1877="",$X1877="NO APLICA",$F1877="",$F1877="NO APORTA"),"",IF(ROUND($F1877/Q1877,7)&gt;=0.4,"SI APLICA","NO APLICA")))</f>
        <v/>
      </c>
      <c r="AA1877" s="546"/>
      <c r="AB1877" s="540" t="str">
        <f>IF(COUNTIF(Z1877:AA1877,"SI APLICA")=2,"SI APLICA","")</f>
        <v/>
      </c>
      <c r="AC1877" s="28"/>
    </row>
    <row r="1878" spans="1:29" s="30" customFormat="1" ht="16.5" customHeight="1" thickBot="1">
      <c r="A1878" s="112" t="str">
        <f>"T"&amp;E1851</f>
        <v>T62</v>
      </c>
      <c r="B1878" s="792"/>
      <c r="C1878" s="821" t="s">
        <v>419</v>
      </c>
      <c r="D1878" s="822"/>
      <c r="E1878" s="822"/>
      <c r="F1878" s="518"/>
      <c r="G1878" s="519"/>
      <c r="H1878" s="794" t="str">
        <f ca="1">IF(OR($F1870="",SUM(E1872:E1877)=0),"",IF(COUNTIF(H1872:H1877,"CUMPLE")&gt;=1,"CUMPLE","NO CUMPLE"))</f>
        <v>CUMPLE</v>
      </c>
      <c r="I1878" s="795"/>
      <c r="J1878" s="314" t="str">
        <f ca="1">IF(COUNTIF(J1872:J1877,"")&gt;5,"",IF(COUNTIF(J1872:J1877,"NO CUMPLE")&gt;0,"NO CUMPLE","CUMPLE"))</f>
        <v>CUMPLE</v>
      </c>
      <c r="K1878" s="314" t="str">
        <f ca="1">IF(OR(AND(F1870=1,N1872="SI"),AND(COUNTIF(H1878:J1878,"CUMPLE")=2)),"CUMPLE","NO CUMPLE")</f>
        <v>CUMPLE</v>
      </c>
      <c r="L1878" s="519"/>
      <c r="M1878" s="519"/>
      <c r="N1878" s="519"/>
      <c r="O1878" s="833" t="str">
        <f ca="1">IF(ISNUMBER(F1851),"",IF(AND(O1877="NO CUMPLE",SUM(N1858:N1864)&lt;Q1877),"EL PROPONENTE SE DEBE REQUERIR POR EXPERIENCIA MINIMA EXIGIDA",""))</f>
        <v/>
      </c>
      <c r="P1878" s="833"/>
      <c r="Q1878" s="833"/>
      <c r="R1878" s="833"/>
      <c r="S1878" s="833"/>
      <c r="T1878" s="522"/>
      <c r="U1878" s="523"/>
      <c r="V1878" s="524"/>
      <c r="W1878" s="284"/>
      <c r="X1878" s="364" t="str">
        <f>IF(Y1878=1,"PROPONENTE INDIVIDUAL","PROPONENTE PLURAL")</f>
        <v>PROPONENTE PLURAL</v>
      </c>
      <c r="Y1878" s="276">
        <f>F1870</f>
        <v>2</v>
      </c>
      <c r="Z1878" s="277" t="str">
        <f ca="1">IF(OR(AND(Z1872="SI APLICA",AA1872="SI APLICA"),AND(Z1873="SI APLICA",AA1873="SI APLICA"),AND(Z1874="SI APLICA",AA1874="SI APLICA"),AND(Z1875="SI APLICA",AA1875="SI APLICA"),AND(Z1876="SI APLICA",AA1876="SI APLICA"),AND(Z1877="SI APLICA",AA1877="SI APLICA")),"SI APLICA","NO APLICA")</f>
        <v>SI APLICA</v>
      </c>
      <c r="AA1878" s="278" t="str">
        <f ca="1">IF(OR(AND(AA1872="SI APLICA",AB1872="SI APLICA"),AND(AA1873="SI APLICA",AB1873="SI APLICA"),AND(AA1874="SI APLICA",AB1874="SI APLICA"),AND(AA1875="SI APLICA",AB1875="SI APLICA"),AND(AA1876="SI APLICA",AB1876="SI APLICA"),AND(AA1877="SI APLICA",AB1877="SI APLICA")),"SI APLICA","NO APLICA")</f>
        <v>SI APLICA</v>
      </c>
      <c r="AB1878" s="278" t="str">
        <f ca="1">IF(COUNTIF(AB1872:AB1877,"SI APLICA")&gt;0,"SI APLICA","NO APLICA")</f>
        <v>SI APLICA</v>
      </c>
      <c r="AC1878" s="28"/>
    </row>
    <row r="1879" spans="1:29" ht="24.95" customHeight="1"/>
    <row r="1880" spans="1:29" ht="24.95" customHeight="1"/>
    <row r="1881" spans="1:29" s="41" customFormat="1" ht="24" thickBot="1">
      <c r="A1881" s="34">
        <v>63</v>
      </c>
      <c r="B1881" s="828" t="s">
        <v>355</v>
      </c>
      <c r="C1881" s="828"/>
      <c r="D1881" s="828"/>
      <c r="E1881" s="35">
        <f>VLOOKUP(A1881,PROPONENTES!$B$19:$E$108,2,FALSE)</f>
        <v>63</v>
      </c>
      <c r="F1881" s="36" t="str">
        <f>VLOOKUP(A1881,PROPONENTES!$B$19:$E$108,3,FALSE)</f>
        <v>COMPAÑIA CONSULTORA COLOMBIANA TRIPLE C BIC SAS</v>
      </c>
      <c r="G1881" s="37"/>
      <c r="H1881" s="37"/>
      <c r="I1881" s="36"/>
      <c r="J1881" s="36"/>
      <c r="K1881" s="36"/>
      <c r="L1881" s="36"/>
      <c r="M1881" s="38"/>
      <c r="N1881" s="38"/>
      <c r="O1881" s="37"/>
      <c r="P1881" s="37"/>
      <c r="Q1881" s="39"/>
      <c r="R1881" s="39"/>
      <c r="S1881" s="39"/>
      <c r="T1881" s="39"/>
      <c r="U1881" s="40"/>
      <c r="Y1881" s="52"/>
      <c r="Z1881" s="52"/>
      <c r="AA1881" s="52"/>
      <c r="AB1881" s="28"/>
      <c r="AC1881" s="28"/>
    </row>
    <row r="1882" spans="1:29" s="27" customFormat="1" ht="24.75" customHeight="1">
      <c r="A1882" s="22"/>
      <c r="B1882" s="829" t="s">
        <v>356</v>
      </c>
      <c r="C1882" s="501" t="s">
        <v>357</v>
      </c>
      <c r="D1882" s="502" t="s">
        <v>358</v>
      </c>
      <c r="E1882" s="502"/>
      <c r="F1882" s="502" t="s">
        <v>359</v>
      </c>
      <c r="G1882" s="503"/>
      <c r="H1882" s="803" t="s">
        <v>360</v>
      </c>
      <c r="I1882" s="831" t="s">
        <v>361</v>
      </c>
      <c r="J1882" s="803" t="s">
        <v>362</v>
      </c>
      <c r="K1882" s="803" t="s">
        <v>363</v>
      </c>
      <c r="L1882" s="803" t="s">
        <v>364</v>
      </c>
      <c r="M1882" s="803" t="s">
        <v>365</v>
      </c>
      <c r="N1882" s="804" t="s">
        <v>366</v>
      </c>
      <c r="O1882" s="805"/>
      <c r="P1882" s="806" t="s">
        <v>367</v>
      </c>
      <c r="Q1882" s="807"/>
      <c r="R1882" s="784" t="s">
        <v>368</v>
      </c>
      <c r="S1882" s="774"/>
      <c r="T1882" s="798" t="s">
        <v>369</v>
      </c>
      <c r="U1882" s="799"/>
      <c r="V1882" s="800"/>
      <c r="X1882" s="520"/>
      <c r="Y1882" s="520"/>
    </row>
    <row r="1883" spans="1:29" s="27" customFormat="1" ht="94.5" customHeight="1">
      <c r="A1883" s="22"/>
      <c r="B1883" s="830"/>
      <c r="C1883" s="504" t="s">
        <v>370</v>
      </c>
      <c r="D1883" s="505" t="s">
        <v>41</v>
      </c>
      <c r="E1883" s="505" t="s">
        <v>371</v>
      </c>
      <c r="F1883" s="505" t="s">
        <v>372</v>
      </c>
      <c r="G1883" s="506" t="s">
        <v>373</v>
      </c>
      <c r="H1883" s="793"/>
      <c r="I1883" s="832"/>
      <c r="J1883" s="793"/>
      <c r="K1883" s="793"/>
      <c r="L1883" s="793"/>
      <c r="M1883" s="793"/>
      <c r="N1883" s="504" t="s">
        <v>374</v>
      </c>
      <c r="O1883" s="505" t="s">
        <v>375</v>
      </c>
      <c r="P1883" s="801"/>
      <c r="Q1883" s="802"/>
      <c r="R1883" s="796"/>
      <c r="S1883" s="797"/>
      <c r="T1883" s="507" t="s">
        <v>376</v>
      </c>
      <c r="U1883" s="508" t="s">
        <v>377</v>
      </c>
      <c r="V1883" s="509" t="s">
        <v>378</v>
      </c>
      <c r="X1883" s="521" t="s">
        <v>379</v>
      </c>
      <c r="Y1883" s="521" t="s">
        <v>380</v>
      </c>
    </row>
    <row r="1884" spans="1:29" s="27" customFormat="1" ht="15" customHeight="1">
      <c r="A1884" s="22"/>
      <c r="B1884" s="594"/>
      <c r="C1884" s="595">
        <v>3</v>
      </c>
      <c r="D1884" s="595">
        <v>4</v>
      </c>
      <c r="E1884" s="595">
        <v>5</v>
      </c>
      <c r="F1884" s="595">
        <v>6</v>
      </c>
      <c r="G1884" s="595">
        <v>7</v>
      </c>
      <c r="H1884" s="595">
        <v>8</v>
      </c>
      <c r="I1884" s="595">
        <v>9</v>
      </c>
      <c r="J1884" s="595">
        <v>10</v>
      </c>
      <c r="K1884" s="595">
        <v>11</v>
      </c>
      <c r="L1884" s="595">
        <v>12</v>
      </c>
      <c r="M1884" s="595">
        <v>13</v>
      </c>
      <c r="N1884" s="595">
        <v>14</v>
      </c>
      <c r="O1884" s="595">
        <v>15</v>
      </c>
      <c r="P1884" s="596">
        <v>16</v>
      </c>
      <c r="Q1884" s="597">
        <v>17</v>
      </c>
      <c r="R1884" s="596">
        <v>18</v>
      </c>
      <c r="S1884" s="597">
        <v>19</v>
      </c>
      <c r="T1884" s="598">
        <v>20</v>
      </c>
      <c r="U1884" s="255">
        <v>21</v>
      </c>
      <c r="V1884" s="599">
        <v>22</v>
      </c>
      <c r="X1884" s="589"/>
      <c r="Y1884" s="590"/>
    </row>
    <row r="1885" spans="1:29" s="44" customFormat="1" ht="60.75" customHeight="1">
      <c r="A1885" s="42" t="str">
        <f>"A"&amp;E1881</f>
        <v>A63</v>
      </c>
      <c r="B1885" s="605">
        <f>IF(C1885&lt;&gt;"",B1884+1,"")</f>
        <v>1</v>
      </c>
      <c r="C1885" s="581" t="s">
        <v>886</v>
      </c>
      <c r="D1885" s="581" t="s">
        <v>887</v>
      </c>
      <c r="E1885" s="581" t="s">
        <v>888</v>
      </c>
      <c r="F1885" s="581" t="s">
        <v>384</v>
      </c>
      <c r="G1885" s="534">
        <v>1</v>
      </c>
      <c r="H1885" s="534" t="s">
        <v>385</v>
      </c>
      <c r="I1885" s="579" t="s">
        <v>384</v>
      </c>
      <c r="J1885" s="580" t="str">
        <f>IF(I1885="","",IF(I1885="I",$F1881,VLOOKUP(I1885,$C1902:$D1907,2,0)))</f>
        <v>COMPAÑIA CONSULTORA COLOMBIANA TRIPLE C BIC SAS</v>
      </c>
      <c r="K1885" s="535">
        <v>41764</v>
      </c>
      <c r="L1885" s="535">
        <v>42109</v>
      </c>
      <c r="M1885" s="536">
        <v>566.04999999999995</v>
      </c>
      <c r="N1885" s="232">
        <f t="shared" ref="N1885:N1894" si="378">IF(OR(G1885="",M1885=""),"",M1885*G1885)</f>
        <v>566.04999999999995</v>
      </c>
      <c r="O1885" s="260">
        <f t="shared" ref="O1885:O1894" si="379">IF(OR(H1885="",H1885="NO",K1885&lt;$Q$17,K1885&gt;$R$17,K1885="",M1885="",N1885=""),"",ROUND(N1885,7))</f>
        <v>566.04999999999995</v>
      </c>
      <c r="P1885" s="781"/>
      <c r="Q1885" s="782"/>
      <c r="R1885" s="767"/>
      <c r="S1885" s="768"/>
      <c r="T1885" s="538" t="s">
        <v>385</v>
      </c>
      <c r="U1885" s="539">
        <v>106</v>
      </c>
      <c r="V1885" s="540" t="s">
        <v>385</v>
      </c>
      <c r="X1885" s="541" t="s">
        <v>386</v>
      </c>
      <c r="Y1885" s="541" t="s">
        <v>387</v>
      </c>
    </row>
    <row r="1886" spans="1:29" s="44" customFormat="1" ht="43.5" customHeight="1">
      <c r="A1886" s="42" t="str">
        <f>"B"&amp;E1881</f>
        <v>B63</v>
      </c>
      <c r="B1886" s="605">
        <f t="shared" ref="B1886:B1894" si="380">IF(C1886&lt;&gt;"",B1885+1,"")</f>
        <v>2</v>
      </c>
      <c r="C1886" s="581" t="s">
        <v>443</v>
      </c>
      <c r="D1886" s="581" t="s">
        <v>889</v>
      </c>
      <c r="E1886" s="581" t="s">
        <v>890</v>
      </c>
      <c r="F1886" s="581" t="s">
        <v>431</v>
      </c>
      <c r="G1886" s="534">
        <v>0.7</v>
      </c>
      <c r="H1886" s="534" t="s">
        <v>385</v>
      </c>
      <c r="I1886" s="579" t="s">
        <v>384</v>
      </c>
      <c r="J1886" s="580" t="str">
        <f>IF(I1886="","",IF(I1886="I",$F1881,VLOOKUP(I1886,$C1902:$D1907,2,0)))</f>
        <v>COMPAÑIA CONSULTORA COLOMBIANA TRIPLE C BIC SAS</v>
      </c>
      <c r="K1886" s="535">
        <v>42219</v>
      </c>
      <c r="L1886" s="535">
        <v>42340</v>
      </c>
      <c r="M1886" s="536">
        <v>323.18</v>
      </c>
      <c r="N1886" s="232">
        <f t="shared" si="378"/>
        <v>226.226</v>
      </c>
      <c r="O1886" s="260">
        <f t="shared" si="379"/>
        <v>226.226</v>
      </c>
      <c r="P1886" s="781"/>
      <c r="Q1886" s="782"/>
      <c r="R1886" s="767"/>
      <c r="S1886" s="768"/>
      <c r="T1886" s="538" t="s">
        <v>385</v>
      </c>
      <c r="U1886" s="539">
        <v>114</v>
      </c>
      <c r="V1886" s="540" t="s">
        <v>385</v>
      </c>
      <c r="X1886" s="541" t="s">
        <v>449</v>
      </c>
      <c r="Y1886" s="541" t="s">
        <v>387</v>
      </c>
    </row>
    <row r="1887" spans="1:29" s="44" customFormat="1" ht="24.95" customHeight="1">
      <c r="A1887" s="42" t="str">
        <f>"C"&amp;E1881</f>
        <v>C63</v>
      </c>
      <c r="B1887" s="605" t="str">
        <f t="shared" si="380"/>
        <v/>
      </c>
      <c r="C1887" s="581"/>
      <c r="D1887" s="581"/>
      <c r="E1887" s="581"/>
      <c r="F1887" s="581"/>
      <c r="G1887" s="534"/>
      <c r="H1887" s="534"/>
      <c r="I1887" s="579"/>
      <c r="J1887" s="580" t="str">
        <f>IF(I1887="","",IF(I1887="I",$F1881,VLOOKUP(I1887,$C1902:$D1907,2,0)))</f>
        <v/>
      </c>
      <c r="K1887" s="535"/>
      <c r="L1887" s="535"/>
      <c r="M1887" s="536"/>
      <c r="N1887" s="232" t="str">
        <f t="shared" si="378"/>
        <v/>
      </c>
      <c r="O1887" s="260" t="str">
        <f t="shared" si="379"/>
        <v/>
      </c>
      <c r="P1887" s="781"/>
      <c r="Q1887" s="782"/>
      <c r="R1887" s="767"/>
      <c r="S1887" s="768"/>
      <c r="T1887" s="538"/>
      <c r="U1887" s="539"/>
      <c r="V1887" s="540"/>
      <c r="X1887" s="541"/>
      <c r="Y1887" s="541"/>
    </row>
    <row r="1888" spans="1:29" s="44" customFormat="1" ht="24.95" customHeight="1">
      <c r="A1888" s="42" t="str">
        <f>"D"&amp;E1881</f>
        <v>D63</v>
      </c>
      <c r="B1888" s="605" t="str">
        <f t="shared" si="380"/>
        <v/>
      </c>
      <c r="C1888" s="581"/>
      <c r="D1888" s="581"/>
      <c r="E1888" s="581"/>
      <c r="F1888" s="581"/>
      <c r="G1888" s="534"/>
      <c r="H1888" s="534"/>
      <c r="I1888" s="579"/>
      <c r="J1888" s="580" t="str">
        <f>IF(I1888="","",IF(I1888="I",$F1881,VLOOKUP(I1888,$C1902:$D1907,2,0)))</f>
        <v/>
      </c>
      <c r="K1888" s="535"/>
      <c r="L1888" s="535"/>
      <c r="M1888" s="536"/>
      <c r="N1888" s="232" t="str">
        <f t="shared" si="378"/>
        <v/>
      </c>
      <c r="O1888" s="260" t="str">
        <f t="shared" si="379"/>
        <v/>
      </c>
      <c r="P1888" s="781"/>
      <c r="Q1888" s="782"/>
      <c r="R1888" s="767"/>
      <c r="S1888" s="768"/>
      <c r="T1888" s="538"/>
      <c r="U1888" s="539"/>
      <c r="V1888" s="540"/>
      <c r="X1888" s="541"/>
      <c r="Y1888" s="541"/>
    </row>
    <row r="1889" spans="1:29" s="44" customFormat="1" ht="24.95" customHeight="1">
      <c r="A1889" s="42" t="str">
        <f>"E"&amp;E1881</f>
        <v>E63</v>
      </c>
      <c r="B1889" s="605" t="str">
        <f t="shared" si="380"/>
        <v/>
      </c>
      <c r="C1889" s="581"/>
      <c r="D1889" s="581"/>
      <c r="E1889" s="581"/>
      <c r="F1889" s="581"/>
      <c r="G1889" s="534"/>
      <c r="H1889" s="534"/>
      <c r="I1889" s="579"/>
      <c r="J1889" s="580" t="str">
        <f>IF(I1889="","",IF(I1889="I",$F1881,VLOOKUP(I1889,$C1902:$D1907,2,0)))</f>
        <v/>
      </c>
      <c r="K1889" s="535"/>
      <c r="L1889" s="535"/>
      <c r="M1889" s="536"/>
      <c r="N1889" s="232" t="str">
        <f t="shared" si="378"/>
        <v/>
      </c>
      <c r="O1889" s="260" t="str">
        <f t="shared" si="379"/>
        <v/>
      </c>
      <c r="P1889" s="781"/>
      <c r="Q1889" s="782"/>
      <c r="R1889" s="767"/>
      <c r="S1889" s="768"/>
      <c r="T1889" s="538"/>
      <c r="U1889" s="539"/>
      <c r="V1889" s="540"/>
      <c r="X1889" s="541"/>
      <c r="Y1889" s="541"/>
    </row>
    <row r="1890" spans="1:29" s="44" customFormat="1" ht="24.95" customHeight="1">
      <c r="A1890" s="42" t="str">
        <f>"F"&amp;E1881</f>
        <v>F63</v>
      </c>
      <c r="B1890" s="605" t="str">
        <f t="shared" si="380"/>
        <v/>
      </c>
      <c r="C1890" s="581"/>
      <c r="D1890" s="581"/>
      <c r="E1890" s="581"/>
      <c r="F1890" s="581"/>
      <c r="G1890" s="534"/>
      <c r="H1890" s="534"/>
      <c r="I1890" s="579"/>
      <c r="J1890" s="580" t="str">
        <f>IF(I1890="","",IF(I1890="I",$F1881,VLOOKUP(I1890,$C1902:$D1907,2,0)))</f>
        <v/>
      </c>
      <c r="K1890" s="535"/>
      <c r="L1890" s="535"/>
      <c r="M1890" s="536"/>
      <c r="N1890" s="232" t="str">
        <f t="shared" si="378"/>
        <v/>
      </c>
      <c r="O1890" s="260" t="str">
        <f t="shared" si="379"/>
        <v/>
      </c>
      <c r="P1890" s="781"/>
      <c r="Q1890" s="782"/>
      <c r="R1890" s="767"/>
      <c r="S1890" s="768"/>
      <c r="T1890" s="538"/>
      <c r="U1890" s="539"/>
      <c r="V1890" s="540"/>
      <c r="X1890" s="541"/>
      <c r="Y1890" s="541"/>
    </row>
    <row r="1891" spans="1:29" s="44" customFormat="1" ht="24.95" customHeight="1">
      <c r="A1891" s="42" t="str">
        <f>"G"&amp;E1881</f>
        <v>G63</v>
      </c>
      <c r="B1891" s="605" t="str">
        <f t="shared" si="380"/>
        <v/>
      </c>
      <c r="C1891" s="581"/>
      <c r="D1891" s="581"/>
      <c r="E1891" s="581"/>
      <c r="F1891" s="581"/>
      <c r="G1891" s="534"/>
      <c r="H1891" s="534"/>
      <c r="I1891" s="579"/>
      <c r="J1891" s="580" t="str">
        <f>IF(I1891="","",IF(I1891="I",$F1881,VLOOKUP(I1891,$C1902:$D1907,2,0)))</f>
        <v/>
      </c>
      <c r="K1891" s="535"/>
      <c r="L1891" s="535"/>
      <c r="M1891" s="536"/>
      <c r="N1891" s="43" t="str">
        <f t="shared" si="378"/>
        <v/>
      </c>
      <c r="O1891" s="260" t="str">
        <f t="shared" si="379"/>
        <v/>
      </c>
      <c r="P1891" s="781"/>
      <c r="Q1891" s="782"/>
      <c r="R1891" s="767"/>
      <c r="S1891" s="768"/>
      <c r="T1891" s="538"/>
      <c r="U1891" s="539"/>
      <c r="V1891" s="540"/>
      <c r="X1891" s="541"/>
      <c r="Y1891" s="541"/>
    </row>
    <row r="1892" spans="1:29" s="44" customFormat="1" ht="24.95" customHeight="1">
      <c r="A1892" s="42" t="str">
        <f>"H"&amp;E1881</f>
        <v>H63</v>
      </c>
      <c r="B1892" s="605" t="str">
        <f t="shared" si="380"/>
        <v/>
      </c>
      <c r="C1892" s="581"/>
      <c r="D1892" s="581"/>
      <c r="E1892" s="581"/>
      <c r="F1892" s="581"/>
      <c r="G1892" s="534"/>
      <c r="H1892" s="534"/>
      <c r="I1892" s="579"/>
      <c r="J1892" s="580" t="str">
        <f>IF(I1892="","",IF(I1892="I",$F1881,VLOOKUP(I1892,$C1902:$D1907,2,0)))</f>
        <v/>
      </c>
      <c r="K1892" s="535"/>
      <c r="L1892" s="535"/>
      <c r="M1892" s="537"/>
      <c r="N1892" s="43" t="str">
        <f t="shared" si="378"/>
        <v/>
      </c>
      <c r="O1892" s="260" t="str">
        <f t="shared" si="379"/>
        <v/>
      </c>
      <c r="P1892" s="781"/>
      <c r="Q1892" s="782"/>
      <c r="R1892" s="767"/>
      <c r="S1892" s="768"/>
      <c r="T1892" s="538"/>
      <c r="U1892" s="539"/>
      <c r="V1892" s="540"/>
      <c r="X1892" s="541"/>
      <c r="Y1892" s="541"/>
    </row>
    <row r="1893" spans="1:29" s="44" customFormat="1" ht="24.95" customHeight="1">
      <c r="A1893" s="42" t="str">
        <f>"I"&amp;E1881</f>
        <v>I63</v>
      </c>
      <c r="B1893" s="605" t="str">
        <f t="shared" si="380"/>
        <v/>
      </c>
      <c r="C1893" s="581"/>
      <c r="D1893" s="581"/>
      <c r="E1893" s="581"/>
      <c r="F1893" s="581"/>
      <c r="G1893" s="534"/>
      <c r="H1893" s="534"/>
      <c r="I1893" s="579"/>
      <c r="J1893" s="580" t="str">
        <f>IF(I1893="","",IF(I1893="I",$F1881,VLOOKUP(I1893,$C1902:$D1907,2,0)))</f>
        <v/>
      </c>
      <c r="K1893" s="535"/>
      <c r="L1893" s="535"/>
      <c r="M1893" s="537"/>
      <c r="N1893" s="43" t="str">
        <f t="shared" si="378"/>
        <v/>
      </c>
      <c r="O1893" s="260" t="str">
        <f t="shared" si="379"/>
        <v/>
      </c>
      <c r="P1893" s="781"/>
      <c r="Q1893" s="782"/>
      <c r="R1893" s="767"/>
      <c r="S1893" s="768"/>
      <c r="T1893" s="538"/>
      <c r="U1893" s="539"/>
      <c r="V1893" s="540"/>
      <c r="X1893" s="541"/>
      <c r="Y1893" s="541"/>
    </row>
    <row r="1894" spans="1:29" s="44" customFormat="1" ht="24.95" customHeight="1" thickBot="1">
      <c r="A1894" s="42" t="str">
        <f>"J"&amp;E1881</f>
        <v>J63</v>
      </c>
      <c r="B1894" s="612" t="str">
        <f t="shared" si="380"/>
        <v/>
      </c>
      <c r="C1894" s="582"/>
      <c r="D1894" s="582"/>
      <c r="E1894" s="582"/>
      <c r="F1894" s="582"/>
      <c r="G1894" s="583"/>
      <c r="H1894" s="583"/>
      <c r="I1894" s="584"/>
      <c r="J1894" s="585" t="str">
        <f>IF(I1894="","",IF(I1894="I",$F1881,VLOOKUP(I1894,$C1902:$D1907,2,0)))</f>
        <v/>
      </c>
      <c r="K1894" s="586"/>
      <c r="L1894" s="586"/>
      <c r="M1894" s="587"/>
      <c r="N1894" s="43" t="str">
        <f t="shared" si="378"/>
        <v/>
      </c>
      <c r="O1894" s="260" t="str">
        <f t="shared" si="379"/>
        <v/>
      </c>
      <c r="P1894" s="781"/>
      <c r="Q1894" s="782"/>
      <c r="R1894" s="767"/>
      <c r="S1894" s="768"/>
      <c r="T1894" s="538"/>
      <c r="U1894" s="539"/>
      <c r="V1894" s="540"/>
      <c r="X1894" s="541"/>
      <c r="Y1894" s="541"/>
    </row>
    <row r="1895" spans="1:29" s="27" customFormat="1" ht="12" customHeight="1" thickBot="1">
      <c r="A1895" s="42"/>
      <c r="B1895" s="45"/>
      <c r="C1895" s="46"/>
      <c r="D1895" s="46"/>
      <c r="E1895" s="46"/>
      <c r="F1895" s="46"/>
      <c r="G1895" s="46"/>
      <c r="H1895" s="606"/>
      <c r="I1895" s="46"/>
      <c r="J1895" s="46"/>
      <c r="K1895" s="46"/>
      <c r="L1895" s="46"/>
      <c r="M1895" s="46"/>
      <c r="N1895" s="46"/>
      <c r="O1895" s="259"/>
      <c r="P1895" s="46"/>
      <c r="Q1895" s="46"/>
      <c r="R1895" s="259"/>
      <c r="S1895" s="46"/>
      <c r="T1895" s="46"/>
      <c r="U1895" s="47"/>
      <c r="V1895" s="48"/>
      <c r="X1895" s="592"/>
      <c r="Y1895" s="593"/>
      <c r="AB1895" s="378"/>
    </row>
    <row r="1896" spans="1:29" s="27" customFormat="1" ht="17.25" customHeight="1" thickBot="1">
      <c r="A1896" s="42" t="str">
        <f>"Z"&amp;E1881</f>
        <v>Z63</v>
      </c>
      <c r="B1896" s="510"/>
      <c r="C1896" s="511"/>
      <c r="D1896" s="511"/>
      <c r="E1896" s="511"/>
      <c r="F1896" s="511"/>
      <c r="G1896" s="511"/>
      <c r="H1896" s="511"/>
      <c r="I1896" s="511"/>
      <c r="J1896" s="511"/>
      <c r="K1896" s="511"/>
      <c r="L1896" s="511"/>
      <c r="M1896" s="511"/>
      <c r="N1896" s="437" t="s">
        <v>388</v>
      </c>
      <c r="O1896" s="438">
        <f>IF(COUNTIF(O1885:O1894,"")&gt;9,0,SUM(O1885:O1894)/(COUNTIF(H1885:H1894,"SI")))</f>
        <v>396.13799999999998</v>
      </c>
      <c r="P1896" s="511"/>
      <c r="Q1896" s="511"/>
      <c r="R1896" s="530"/>
      <c r="S1896" s="530"/>
      <c r="T1896" s="531"/>
      <c r="U1896" s="532"/>
      <c r="V1896" s="533"/>
      <c r="W1896" s="285"/>
      <c r="X1896" s="613" t="e">
        <f>COUNTIF(#REF!,"")-COUNTIF(#REF!,"CUMPLE")-1</f>
        <v>#REF!</v>
      </c>
      <c r="Y1896" s="591"/>
      <c r="AB1896" s="28"/>
    </row>
    <row r="1897" spans="1:29" ht="17.25" customHeight="1">
      <c r="B1897" s="50"/>
      <c r="C1897" s="50"/>
      <c r="D1897" s="50"/>
      <c r="E1897" s="50"/>
      <c r="F1897" s="50"/>
      <c r="G1897" s="51"/>
      <c r="H1897" s="51"/>
      <c r="I1897" s="51"/>
      <c r="J1897" s="51"/>
      <c r="K1897" s="51"/>
      <c r="L1897" s="51"/>
      <c r="M1897" s="51"/>
      <c r="N1897" s="51"/>
      <c r="O1897" s="51"/>
      <c r="P1897" s="51"/>
      <c r="Q1897" s="51"/>
      <c r="R1897" s="51"/>
      <c r="S1897" s="51"/>
      <c r="T1897" s="51"/>
      <c r="U1897" s="51"/>
      <c r="V1897" s="51"/>
      <c r="W1897" s="51"/>
      <c r="X1897" s="608"/>
      <c r="Y1897" s="51"/>
      <c r="Z1897" s="51"/>
      <c r="AA1897" s="51"/>
      <c r="AB1897" s="51"/>
      <c r="AC1897" s="50"/>
    </row>
    <row r="1898" spans="1:29" s="27" customFormat="1" ht="16.5" customHeight="1" thickBot="1">
      <c r="A1898" s="22"/>
      <c r="B1898" s="783" t="s">
        <v>389</v>
      </c>
      <c r="C1898" s="783"/>
      <c r="D1898" s="783"/>
      <c r="E1898" s="783"/>
      <c r="F1898" s="783"/>
      <c r="G1898" s="783"/>
      <c r="H1898" s="783"/>
      <c r="I1898" s="783"/>
      <c r="J1898" s="783"/>
      <c r="K1898" s="783"/>
      <c r="L1898" s="783"/>
      <c r="M1898" s="783"/>
      <c r="N1898" s="783"/>
      <c r="O1898" s="783"/>
      <c r="P1898" s="783"/>
      <c r="Q1898" s="783"/>
      <c r="R1898" s="783"/>
      <c r="S1898" s="783"/>
      <c r="T1898" s="783"/>
      <c r="U1898" s="783"/>
      <c r="V1898" s="783"/>
      <c r="W1898" s="286"/>
      <c r="X1898" s="607"/>
      <c r="Y1898" s="52"/>
      <c r="Z1898" s="52"/>
      <c r="AA1898" s="52"/>
      <c r="AB1898" s="28"/>
      <c r="AC1898" s="28"/>
    </row>
    <row r="1899" spans="1:29" s="30" customFormat="1" ht="22.5" customHeight="1">
      <c r="A1899" s="112" t="str">
        <f>"K"&amp;E1881</f>
        <v>K63</v>
      </c>
      <c r="B1899" s="790" t="s">
        <v>390</v>
      </c>
      <c r="C1899" s="772" t="s">
        <v>391</v>
      </c>
      <c r="D1899" s="773"/>
      <c r="E1899" s="773"/>
      <c r="F1899" s="773"/>
      <c r="G1899" s="773"/>
      <c r="H1899" s="773"/>
      <c r="I1899" s="773"/>
      <c r="J1899" s="773"/>
      <c r="K1899" s="773"/>
      <c r="L1899" s="773"/>
      <c r="M1899" s="774"/>
      <c r="N1899" s="525"/>
      <c r="O1899" s="588"/>
      <c r="P1899" s="772" t="s">
        <v>392</v>
      </c>
      <c r="Q1899" s="773"/>
      <c r="R1899" s="773"/>
      <c r="S1899" s="774"/>
      <c r="T1899" s="784" t="s">
        <v>393</v>
      </c>
      <c r="U1899" s="774"/>
      <c r="V1899" s="811"/>
      <c r="W1899" s="284"/>
      <c r="X1899" s="778" t="s">
        <v>394</v>
      </c>
      <c r="Y1899" s="779"/>
      <c r="Z1899" s="779"/>
      <c r="AA1899" s="779" t="s">
        <v>395</v>
      </c>
      <c r="AB1899" s="808" t="s">
        <v>396</v>
      </c>
      <c r="AC1899" s="28"/>
    </row>
    <row r="1900" spans="1:29" s="30" customFormat="1" ht="22.5" customHeight="1">
      <c r="A1900" s="112" t="str">
        <f>"L"&amp;E1881</f>
        <v>L63</v>
      </c>
      <c r="B1900" s="791"/>
      <c r="C1900" s="769" t="s">
        <v>397</v>
      </c>
      <c r="D1900" s="770"/>
      <c r="E1900" s="771"/>
      <c r="F1900" s="512">
        <f>IF(VLOOKUP(E1881,PROPONENTES!$C$19:$E$108,3,0)="","",VLOOKUP(E1881,PROPONENTES!$C$19:$E$108,3,0))</f>
        <v>1</v>
      </c>
      <c r="G1900" s="824" t="s">
        <v>398</v>
      </c>
      <c r="H1900" s="793" t="s">
        <v>399</v>
      </c>
      <c r="I1900" s="793"/>
      <c r="J1900" s="769" t="s">
        <v>400</v>
      </c>
      <c r="K1900" s="823"/>
      <c r="L1900" s="513" t="s">
        <v>401</v>
      </c>
      <c r="M1900" s="513"/>
      <c r="N1900" s="526"/>
      <c r="O1900" s="527"/>
      <c r="P1900" s="775"/>
      <c r="Q1900" s="776"/>
      <c r="R1900" s="776"/>
      <c r="S1900" s="777"/>
      <c r="T1900" s="796"/>
      <c r="U1900" s="797"/>
      <c r="V1900" s="812"/>
      <c r="W1900" s="284"/>
      <c r="X1900" s="780" t="s">
        <v>402</v>
      </c>
      <c r="Y1900" s="810" t="s">
        <v>403</v>
      </c>
      <c r="Z1900" s="810"/>
      <c r="AA1900" s="810"/>
      <c r="AB1900" s="809"/>
      <c r="AC1900" s="28"/>
    </row>
    <row r="1901" spans="1:29" s="30" customFormat="1" ht="51.75" customHeight="1" thickBot="1">
      <c r="A1901" s="112" t="str">
        <f>"M"&amp;E1881</f>
        <v>M63</v>
      </c>
      <c r="B1901" s="791"/>
      <c r="C1901" s="770" t="s">
        <v>404</v>
      </c>
      <c r="D1901" s="771"/>
      <c r="E1901" s="514" t="s">
        <v>405</v>
      </c>
      <c r="F1901" s="515" t="s">
        <v>406</v>
      </c>
      <c r="G1901" s="824"/>
      <c r="H1901" s="793"/>
      <c r="I1901" s="793"/>
      <c r="J1901" s="504" t="s">
        <v>407</v>
      </c>
      <c r="K1901" s="516" t="s">
        <v>408</v>
      </c>
      <c r="L1901" s="517" t="s">
        <v>409</v>
      </c>
      <c r="M1901" s="517"/>
      <c r="N1901" s="528" t="s">
        <v>410</v>
      </c>
      <c r="O1901" s="529"/>
      <c r="P1901" s="386"/>
      <c r="Q1901" s="387" t="s">
        <v>411</v>
      </c>
      <c r="R1901" s="388"/>
      <c r="S1901" s="113">
        <f>COUNTIFS(H1885:H1894,"SI",O1885:O1894,"&gt;0")</f>
        <v>2</v>
      </c>
      <c r="T1901" s="785"/>
      <c r="U1901" s="787"/>
      <c r="V1901" s="813"/>
      <c r="W1901" s="284"/>
      <c r="X1901" s="780"/>
      <c r="Y1901" s="810"/>
      <c r="Z1901" s="810"/>
      <c r="AA1901" s="810"/>
      <c r="AB1901" s="809"/>
      <c r="AC1901" s="28"/>
    </row>
    <row r="1902" spans="1:29" s="30" customFormat="1" ht="15.75" customHeight="1">
      <c r="A1902" s="112" t="str">
        <f>"N"&amp;E1881</f>
        <v>N63</v>
      </c>
      <c r="B1902" s="791"/>
      <c r="C1902" s="54">
        <v>1</v>
      </c>
      <c r="D1902" s="100" t="str">
        <f>IF(AND(C1902&lt;=F1900,F1900&gt;1,F1900&lt;&gt;""),VLOOKUP(VALUE(E1881&amp;","&amp;C1902),INTEGRANTES!$D$19:$F$192,2,0),"")</f>
        <v/>
      </c>
      <c r="E1902" s="107" t="str">
        <f>IF(D1902&lt;&gt;"",VLOOKUP(VALUE(E1881&amp;","&amp;C1902),INTEGRANTES!$D$19:$F$192,3,0),"")</f>
        <v/>
      </c>
      <c r="F1902" s="380" t="str">
        <f>IF(D1902="","",IF(OR(SUMIF($J1888:$J1894,D1902,$O1888:$O1894)=0,N1902="NO"),"NO APORTA",SUMIF($J1888:$J1894,D1902,$O1888:$O1894)))</f>
        <v/>
      </c>
      <c r="G1902" s="380" t="str">
        <f>IF($D1902="","",IF($F1900&lt;=1,"",ROUND(POSMMLV*PORPO,2)))</f>
        <v/>
      </c>
      <c r="H1902" s="765" t="str">
        <f>IF($D1902="","",IF(OR(F1902="NO APORTA",G1902&gt;F1902),"NO CUMPLE","CUMPLE"))</f>
        <v/>
      </c>
      <c r="I1902" s="766"/>
      <c r="J1902" s="108" t="str">
        <f>IF(D1902="","",IF(OR(AND(SUMIF($J1885:$J1894,D1902,$O1885:$O1894)&gt;=5%*POSMMLV,N1902="SI"),AND(SUMIF($J1885:$J1894,D1902,$O1885:$O1894)=0,E1902&lt;=5%,N1902="SI")),"CUMPLE","NO CUMPLE"))</f>
        <v/>
      </c>
      <c r="K1902" s="105" t="str">
        <f>IF(OR(D1902="",J1902=""),"",IF(AND(J1902="NO CUMPLE",F1902="NO APORTA",E1902&gt;5%),"EXP = 0 y PART &gt; 5%",IF(F1902&lt;5%*Q1907,"EXP &lt; 5%*PO","")))</f>
        <v/>
      </c>
      <c r="L1902" s="389" t="str">
        <f>IF(OR(D1902="",E1902=""),"",IF(AND(E1902&gt;=0.25,F1902&lt;&gt;"NO APORTA",F1902&gt;=$R1907*0.25),"SI","NO"))</f>
        <v/>
      </c>
      <c r="M1902" s="389"/>
      <c r="N1902" s="468" t="s">
        <v>385</v>
      </c>
      <c r="O1902" s="396">
        <f>COUNTIFS(O1885:O1894,"&gt;0",H1885:H1894,"SI")</f>
        <v>2</v>
      </c>
      <c r="P1902" s="814" t="s">
        <v>139</v>
      </c>
      <c r="Q1902" s="814"/>
      <c r="R1902" s="817">
        <f>E1881</f>
        <v>63</v>
      </c>
      <c r="S1902" s="818"/>
      <c r="T1902" s="784" t="s">
        <v>412</v>
      </c>
      <c r="U1902" s="773"/>
      <c r="V1902" s="774"/>
      <c r="W1902" s="283"/>
      <c r="X1902" s="542" t="str">
        <f>IF($F1900=1,"NO APLICA",$D1902)</f>
        <v>NO APLICA</v>
      </c>
      <c r="Y1902" s="543" t="str">
        <f>IF(OR($F1902="",$F1902="NO APORTA",$R1907=0,$X1902="NO APLICA"),"",ROUND($F1902/$Q1907,2))</f>
        <v/>
      </c>
      <c r="Z1902" s="544" t="str">
        <f>IF(Y1908=1,"SI APLICA",IF(OR($X1902="",$X1902="NO APLICA",$F1902="",$F1902="NO APORTA"),"",IF(ROUND($F1902/Q1907,7)&gt;=0.4,"SI APLICA","NO APLICA")))</f>
        <v>SI APLICA</v>
      </c>
      <c r="AA1902" s="543" t="s">
        <v>413</v>
      </c>
      <c r="AB1902" s="540" t="str">
        <f>IF(COUNTIF(Z1902:AA1902,"SI APLICA")=2,"SI APLICA","")</f>
        <v>SI APLICA</v>
      </c>
      <c r="AC1902" s="28"/>
    </row>
    <row r="1903" spans="1:29" s="30" customFormat="1" ht="15.75" customHeight="1" thickBot="1">
      <c r="A1903" s="112" t="str">
        <f>"O"&amp;E1881</f>
        <v>O63</v>
      </c>
      <c r="B1903" s="791"/>
      <c r="C1903" s="54">
        <v>2</v>
      </c>
      <c r="D1903" s="100" t="str">
        <f>IF(AND(C1903&lt;=F1900,F1900&lt;&gt;""),VLOOKUP(VALUE(E1881&amp;","&amp;C1903),INTEGRANTES!$D$19:$F$192,2,0),"")</f>
        <v/>
      </c>
      <c r="E1903" s="107" t="str">
        <f>IF(D1903&lt;&gt;"",VLOOKUP(VALUE(E1881&amp;","&amp;C1903),INTEGRANTES!$D$19:$F$192,3,0),"")</f>
        <v/>
      </c>
      <c r="F1903" s="380" t="str">
        <f>IF(D1903="","",IF(OR(SUMIF($J1888:$J1894,D1903,$O1888:$O1894)=0,N1903="NO"),"NO APORTA",SUMIF($J1888:$J1894,D1903,$O1888:$O1894)))</f>
        <v/>
      </c>
      <c r="G1903" s="380" t="str">
        <f>IF($D1903="","",IF($F1900&lt;=1,"",ROUND(POSMMLV*PORPO,2)))</f>
        <v/>
      </c>
      <c r="H1903" s="765" t="str">
        <f t="shared" ref="H1903:H1906" si="381">IF($D1903="","",IF(OR(F1903="NO APORTA",G1903&gt;F1903),"NO CUMPLE","CUMPLE"))</f>
        <v/>
      </c>
      <c r="I1903" s="766"/>
      <c r="J1903" s="108" t="str">
        <f>IF(D1903="","",IF(OR(AND(SUMIF($J1885:$J1894,D1903,$O1885:$O1894)&gt;=5%*POSMMLV,N1903="SI"),AND(SUMIF($J1885:$J1894,D1903,$O1885:$O1894)=0,E1903&lt;=5%,N1903="SI")),"CUMPLE","NO CUMPLE"))</f>
        <v/>
      </c>
      <c r="K1903" s="105" t="str">
        <f>IF(OR(D1903="",J1903=""),"",IF(AND(J1903="NO CUMPLE",F1903="NO APORTA",E1903&gt;5%),"EXP = 0 y PART &gt; 5%",IF(F1903&lt;5%*Q1907,"EXP &lt; 5%*PO","")))</f>
        <v/>
      </c>
      <c r="L1903" s="389" t="str">
        <f>IF(OR(D1903="",E1903=""),"",IF(AND(E1903&gt;=0.25,F1903&lt;&gt;"NO APORTA",F1903&gt;=$R1907*0.25),"SI","NO"))</f>
        <v/>
      </c>
      <c r="M1903" s="389"/>
      <c r="N1903" s="468" t="s">
        <v>385</v>
      </c>
      <c r="O1903" s="396"/>
      <c r="P1903" s="815"/>
      <c r="Q1903" s="815"/>
      <c r="R1903" s="815"/>
      <c r="S1903" s="819"/>
      <c r="T1903" s="785"/>
      <c r="U1903" s="786"/>
      <c r="V1903" s="787"/>
      <c r="W1903" s="283"/>
      <c r="X1903" s="542" t="str">
        <f>IF($F1900=1,"NO APLICA",$D1903)</f>
        <v>NO APLICA</v>
      </c>
      <c r="Y1903" s="543" t="str">
        <f>IF(OR($F1903="",$F1903="NO APORTA",$R1907=0,$X1903="NO APLICA"),"",ROUND($F1903/$Q1907,2))</f>
        <v/>
      </c>
      <c r="Z1903" s="544"/>
      <c r="AA1903" s="543"/>
      <c r="AB1903" s="540" t="str">
        <f t="shared" ref="AB1903" si="382">IF(COUNTIF(Z1903:AA1903,"SI APLICA")=2,"SI APLICA","")</f>
        <v/>
      </c>
      <c r="AC1903" s="28"/>
    </row>
    <row r="1904" spans="1:29" s="30" customFormat="1" ht="15.75" customHeight="1">
      <c r="A1904" s="112" t="str">
        <f>"P"&amp;E1881</f>
        <v>P63</v>
      </c>
      <c r="B1904" s="791"/>
      <c r="C1904" s="54">
        <v>3</v>
      </c>
      <c r="D1904" s="100" t="str">
        <f>IF(AND(C1904&lt;=F1900,F1900&lt;&gt;""),VLOOKUP(VALUE(E1881&amp;","&amp;C1904),INTEGRANTES!$D$19:$F$192,2,0),"")</f>
        <v/>
      </c>
      <c r="E1904" s="107" t="str">
        <f>IF(D1904&lt;&gt;"",VLOOKUP(VALUE(E1881&amp;","&amp;C1904),INTEGRANTES!$D$19:$F$192,3,0),"")</f>
        <v/>
      </c>
      <c r="F1904" s="380" t="str">
        <f>IF(D1904="","",IF(OR(SUMIF($J1888:$J1894,D1904,$O1888:$O1894)=0,N1904="NO"),"NO APORTA",SUMIF($J1888:$J1894,D1904,$O1888:$O1894)))</f>
        <v/>
      </c>
      <c r="G1904" s="380" t="str">
        <f>IF($D1904="","",IF($F1900&lt;=1,"",ROUND(POSMMLV*PORPO,2)))</f>
        <v/>
      </c>
      <c r="H1904" s="765" t="str">
        <f t="shared" si="381"/>
        <v/>
      </c>
      <c r="I1904" s="766"/>
      <c r="J1904" s="108" t="str">
        <f>IF(D1904="","",IF(OR(AND(SUMIF($J1885:$J1894,D1904,$O1885:$O1894)&gt;=5%*POSMMLV,N1904="SI"),AND(SUMIF($J1885:$J1894,D1904,$O1885:$O1894)=0,E1904&lt;=5%,N1904="SI")),"CUMPLE","NO CUMPLE"))</f>
        <v/>
      </c>
      <c r="K1904" s="105" t="str">
        <f>IF(OR(D1904="",J1904=""),"",IF(AND(J1904="NO CUMPLE",F1904="NO APORTA",E1904&gt;5%),"EXP = 0 y PART &gt; 5%",IF(F1904&lt;5%*Q1907,"EXP &lt; 5%*PO","")))</f>
        <v/>
      </c>
      <c r="L1904" s="389" t="str">
        <f>IF(OR(D1904="",E1904=""),"",IF(AND(E1904&gt;=0.25,F1904&lt;&gt;"NO APORTA",F1904&gt;=$R1907*0.25),"SI","NO"))</f>
        <v/>
      </c>
      <c r="M1904" s="389"/>
      <c r="N1904" s="468"/>
      <c r="O1904" s="397"/>
      <c r="P1904" s="816"/>
      <c r="Q1904" s="816"/>
      <c r="R1904" s="816"/>
      <c r="S1904" s="820"/>
      <c r="T1904" s="308"/>
      <c r="U1904" s="308"/>
      <c r="V1904" s="309"/>
      <c r="W1904" s="284"/>
      <c r="X1904" s="542" t="str">
        <f>IF($F1900=1,"NO APLICA",$D1904)</f>
        <v>NO APLICA</v>
      </c>
      <c r="Y1904" s="543" t="str">
        <f>IF(OR($F1904="",$F1904="NO APORTA",$R1907=0,$X1904="NO APLICA"),"",ROUND($F1904/$Q1907,2))</f>
        <v/>
      </c>
      <c r="Z1904" s="544"/>
      <c r="AA1904" s="543"/>
      <c r="AB1904" s="540" t="str">
        <f>IF(COUNTIF(Z1904:AA1904,"SI APLICA")=2,"SI APLICA","")</f>
        <v/>
      </c>
      <c r="AC1904" s="28"/>
    </row>
    <row r="1905" spans="1:29" s="30" customFormat="1" ht="15.75" customHeight="1">
      <c r="A1905" s="112" t="str">
        <f>"Q"&amp;E1881</f>
        <v>Q63</v>
      </c>
      <c r="B1905" s="791"/>
      <c r="C1905" s="54">
        <v>4</v>
      </c>
      <c r="D1905" s="100" t="str">
        <f>IF(AND(C1905&lt;=F1900,F1900&lt;&gt;""),VLOOKUP(VALUE(E1881&amp;","&amp;C1905),INTEGRANTES!$D$19:$F$192,2,0),"")</f>
        <v/>
      </c>
      <c r="E1905" s="107" t="str">
        <f>IF(D1905&lt;&gt;"",VLOOKUP(VALUE(E1881&amp;","&amp;C1905),INTEGRANTES!$D$19:$F$192,3,0),"")</f>
        <v/>
      </c>
      <c r="F1905" s="380" t="str">
        <f>IF(D1905="","",IF(OR(SUMIF($J1888:$J1894,D1905,$O1888:$O1894)=0,N1905="NO"),"NO APORTA",SUMIF($J1888:$J1894,D1905,$O1888:$O1894)))</f>
        <v/>
      </c>
      <c r="G1905" s="380" t="str">
        <f>IF($D1905="","",IF($F1900&lt;=1,"",ROUND(POSMMLV*PORPO,2)))</f>
        <v/>
      </c>
      <c r="H1905" s="765" t="str">
        <f t="shared" si="381"/>
        <v/>
      </c>
      <c r="I1905" s="766"/>
      <c r="J1905" s="108" t="str">
        <f>IF(D1905="","",IF(OR(AND(SUMIF($J1885:$J1894,D1905,$O1885:$O1894)&gt;=5%*POSMMLV,N1905="SI"),AND(SUMIF($J1885:$J1894,D1905,$O1885:$O1894)=0,E1905&lt;=5%,N1905="SI")),"CUMPLE","NO CUMPLE"))</f>
        <v/>
      </c>
      <c r="K1905" s="105" t="str">
        <f>IF(OR(D1905="",J1905=""),"",IF(AND(J1905="NO CUMPLE",F1905="NO APORTA",E1905&gt;5%),"EXP = 0 y PART &gt; 5%",IF(F1905&lt;5%*Q1907,"EXP &lt; 5%*PO","")))</f>
        <v/>
      </c>
      <c r="L1905" s="389" t="str">
        <f>IF(OR(D1905="",E1905=""),"",IF(AND(E1905&gt;=0.25,F1905&lt;&gt;"NO APORTA",F1905&gt;=$R1907*0.25),"SI","NO"))</f>
        <v/>
      </c>
      <c r="M1905" s="389"/>
      <c r="N1905" s="468"/>
      <c r="O1905" s="788" t="s">
        <v>414</v>
      </c>
      <c r="P1905" s="769" t="s">
        <v>415</v>
      </c>
      <c r="Q1905" s="770"/>
      <c r="R1905" s="770"/>
      <c r="S1905" s="771"/>
      <c r="T1905" s="284"/>
      <c r="U1905" s="284"/>
      <c r="V1905" s="310"/>
      <c r="W1905" s="284"/>
      <c r="X1905" s="542" t="str">
        <f>IF($F1900=1,"NO APLICA",$D1905)</f>
        <v>NO APLICA</v>
      </c>
      <c r="Y1905" s="543" t="str">
        <f>IF(OR($F1905="",$F1905="NO APORTA",$R1907=0,$X1905="NO APLICA"),"",ROUND($F1905/$Q1907,2))</f>
        <v/>
      </c>
      <c r="Z1905" s="544"/>
      <c r="AA1905" s="543"/>
      <c r="AB1905" s="540" t="str">
        <f t="shared" ref="AB1905:AB1906" si="383">IF(COUNTIF(Z1905:AA1905,"SI APLICA")=2,"SI APLICA","")</f>
        <v/>
      </c>
      <c r="AC1905" s="28"/>
    </row>
    <row r="1906" spans="1:29" s="30" customFormat="1" ht="17.25" customHeight="1">
      <c r="A1906" s="112" t="str">
        <f>"R"&amp;E1881</f>
        <v>R63</v>
      </c>
      <c r="B1906" s="791"/>
      <c r="C1906" s="54">
        <v>5</v>
      </c>
      <c r="D1906" s="100" t="str">
        <f>IF(AND(C1906&lt;=F1900,F1900&lt;&gt;""),VLOOKUP(VALUE(E1881&amp;","&amp;C1906),INTEGRANTES!$D$19:$F$192,2,0),"")</f>
        <v/>
      </c>
      <c r="E1906" s="107" t="str">
        <f>IF(D1906&lt;&gt;"",VLOOKUP(VALUE(E1881&amp;","&amp;C1906),INTEGRANTES!$D$19:$F$192,3,0),"")</f>
        <v/>
      </c>
      <c r="F1906" s="380" t="str">
        <f>IF(D1906="","",IF(OR(SUMIF($J1888:$J1894,D1906,$O1888:$O1894)=0,N1906="NO"),"NO APORTA",SUMIF($J1888:$J1894,D1906,$O1888:$O1894)))</f>
        <v/>
      </c>
      <c r="G1906" s="380" t="str">
        <f>IF($D1906="","",IF($F1900&lt;=1,"",ROUND(POSMMLV*PORPO,2)))</f>
        <v/>
      </c>
      <c r="H1906" s="765" t="str">
        <f t="shared" si="381"/>
        <v/>
      </c>
      <c r="I1906" s="766"/>
      <c r="J1906" s="108" t="str">
        <f>IF(D1906="","",IF(OR(AND(SUMIF($J1885:$J1894,D1906,$O1885:$O1894)&gt;=5%*POSMMLV,N1906="SI"),AND(SUMIF($J1885:$J1894,D1906,$O1885:$O1894)=0,E1906&lt;=5%,N1906="SI")),"CUMPLE","NO CUMPLE"))</f>
        <v/>
      </c>
      <c r="K1906" s="105" t="str">
        <f>IF(OR(D1906="",J1906=""),"",IF(AND(J1906="NO CUMPLE",F1906="NO APORTA",E1906&gt;5%),"EXP = 0 y PART &gt; 5%",IF(F1906&lt;5%*Q1907,"EXP &lt; 5%*PO","")))</f>
        <v/>
      </c>
      <c r="L1906" s="389" t="str">
        <f>IF(OR(D1906="",E1906=""),"",IF(AND(E1906&gt;=0.25,F1906&lt;&gt;"NO APORTA",F1906&gt;=$R1907*0.25),"SI","NO"))</f>
        <v/>
      </c>
      <c r="M1906" s="389"/>
      <c r="N1906" s="468"/>
      <c r="O1906" s="789"/>
      <c r="P1906" s="504" t="s">
        <v>416</v>
      </c>
      <c r="Q1906" s="504" t="s">
        <v>417</v>
      </c>
      <c r="R1906" s="793" t="s">
        <v>418</v>
      </c>
      <c r="S1906" s="793"/>
      <c r="T1906" s="284"/>
      <c r="U1906" s="284"/>
      <c r="V1906" s="310"/>
      <c r="W1906" s="284"/>
      <c r="X1906" s="542" t="str">
        <f>IF($F1900=1,"NO APLICA",$D1906)</f>
        <v>NO APLICA</v>
      </c>
      <c r="Y1906" s="543" t="str">
        <f>IF(OR($F1906="",$F1906="NO APORTA",$R1907=0,$X1906="NO APLICA"),"",ROUND($F1906/$Q1907,2))</f>
        <v/>
      </c>
      <c r="Z1906" s="544"/>
      <c r="AA1906" s="543"/>
      <c r="AB1906" s="540" t="str">
        <f t="shared" si="383"/>
        <v/>
      </c>
      <c r="AC1906" s="28"/>
    </row>
    <row r="1907" spans="1:29" s="30" customFormat="1" ht="16.5" customHeight="1" thickBot="1">
      <c r="A1907" s="112" t="str">
        <f>"S"&amp;E1881</f>
        <v>S63</v>
      </c>
      <c r="B1907" s="791"/>
      <c r="C1907" s="109">
        <v>6</v>
      </c>
      <c r="D1907" s="110" t="str">
        <f>IF(AND(C1907&lt;=F1900,F1900&lt;&gt;""),VLOOKUP(VALUE(E1881&amp;","&amp;C1907),INTEGRANTES!$D$19:$F$192,2,0),"")</f>
        <v/>
      </c>
      <c r="E1907" s="111" t="str">
        <f>IF(D1907&lt;&gt;"",VLOOKUP(VALUE(E1881&amp;","&amp;C1907),INTEGRANTES!$D$19:$F$192,3,0),"")</f>
        <v/>
      </c>
      <c r="F1907" s="380" t="str">
        <f>IF(D1907="","",IF(OR(SUMIF($J1888:$J1894,D1907,$O1888:$O1894)=0,N1907="NO"),"NO APORTA",SUMIF($J1888:$J1894,D1907,$O1888:$O1894)))</f>
        <v/>
      </c>
      <c r="G1907" s="380" t="str">
        <f>IF($D1907="","",IF($F1900&lt;=1,"",ROUND(POSMMLV*PORPO,2)))</f>
        <v/>
      </c>
      <c r="H1907" s="765" t="str">
        <f>IF($D1907="","",IF(OR(F1907="NO APORTA",G1907&gt;F1907),"NO CUMPLE","CUMPLE"))</f>
        <v/>
      </c>
      <c r="I1907" s="766"/>
      <c r="J1907" s="108" t="str">
        <f>IF(D1907="","",IF(OR(AND(SUMIF($J1885:$J1894,D1907,$O1885:$O1894)&gt;=5%*POSMMLV,N1907="SI"),AND(SUMIF($J1885:$J1894,D1907,$O1885:$O1894)=0,E1907&lt;=5%,N1907="SI")),"CUMPLE","NO CUMPLE"))</f>
        <v/>
      </c>
      <c r="K1907" s="105" t="str">
        <f>IF(OR(D1907="",J1907=""),"",IF(AND(J1907="NO CUMPLE",F1907="NO APORTA",E1907&gt;5%),"EXP = 0 y PART &gt; 5%",IF(F1907&lt;5%*Q1907,"EXP &lt; 5%*PO","")))</f>
        <v/>
      </c>
      <c r="L1907" s="389" t="str">
        <f>IF(OR(D1907="",E1907=""),"",IF(AND(E1907&gt;=0.25,F1907&lt;&gt;"NO APORTA",F1907&gt;=$R1907*0.25),"SI","NO"))</f>
        <v/>
      </c>
      <c r="M1907" s="389"/>
      <c r="N1907" s="468"/>
      <c r="O1907" s="403" t="str">
        <f ca="1">IF(R1907&gt;=Q1907,"CUMPLE","NO CUMPLE")</f>
        <v>CUMPLE</v>
      </c>
      <c r="P1907" s="312">
        <f>NUMMOD</f>
        <v>1</v>
      </c>
      <c r="Q1907" s="313">
        <f ca="1">IF(P1907="","",ROUND(VLOOKUP(P1907,PRESUPUESTOS!$B$16:$L$16,9,FALSE),7))</f>
        <v>300</v>
      </c>
      <c r="R1907" s="834">
        <f>IF(OR(COUNTIF(O1885:O1894,"")&gt;9,S1901&lt;NUMMINCONT),0,SUM(O1885:O1894))</f>
        <v>792.27599999999995</v>
      </c>
      <c r="S1907" s="834"/>
      <c r="T1907" s="284"/>
      <c r="U1907" s="284"/>
      <c r="V1907" s="310"/>
      <c r="W1907" s="284"/>
      <c r="X1907" s="545" t="str">
        <f>IF($F1900=1,"NO APLICA",$D1907)</f>
        <v>NO APLICA</v>
      </c>
      <c r="Y1907" s="543" t="str">
        <f>IF(OR($F1907="",$F1907="NO APORTA",$R1907=0,$X1907="NO APLICA"),"",ROUND($F1907/$Q1907,2))</f>
        <v/>
      </c>
      <c r="Z1907" s="544"/>
      <c r="AA1907" s="546"/>
      <c r="AB1907" s="540" t="str">
        <f>IF(COUNTIF(Z1907:AA1907,"SI APLICA")=2,"SI APLICA","")</f>
        <v/>
      </c>
      <c r="AC1907" s="28"/>
    </row>
    <row r="1908" spans="1:29" s="30" customFormat="1" ht="16.5" customHeight="1" thickBot="1">
      <c r="A1908" s="112" t="str">
        <f>"T"&amp;E1881</f>
        <v>T63</v>
      </c>
      <c r="B1908" s="792"/>
      <c r="C1908" s="821" t="s">
        <v>419</v>
      </c>
      <c r="D1908" s="822"/>
      <c r="E1908" s="822"/>
      <c r="F1908" s="518"/>
      <c r="G1908" s="519"/>
      <c r="H1908" s="794" t="str">
        <f>IF(OR($F1900="",SUM(E1902:E1907)=0),"",IF(COUNTIF(H1902:H1907,"CUMPLE")&gt;=1,"CUMPLE","NO CUMPLE"))</f>
        <v/>
      </c>
      <c r="I1908" s="795"/>
      <c r="J1908" s="314" t="str">
        <f>IF(COUNTIF(J1902:J1907,"")&gt;5,"",IF(COUNTIF(J1902:J1907,"NO CUMPLE")&gt;0,"NO CUMPLE","CUMPLE"))</f>
        <v/>
      </c>
      <c r="K1908" s="314" t="str">
        <f>IF(OR(AND(F1900=1,N1902="SI"),AND(COUNTIF(H1908:J1908,"CUMPLE")=2)),"CUMPLE","NO CUMPLE")</f>
        <v>CUMPLE</v>
      </c>
      <c r="L1908" s="519"/>
      <c r="M1908" s="519"/>
      <c r="N1908" s="519"/>
      <c r="O1908" s="833" t="str">
        <f ca="1">IF(ISNUMBER(F1881),"",IF(AND(O1907="NO CUMPLE",SUM(N1888:N1894)&lt;Q1907),"EL PROPONENTE SE DEBE REQUERIR POR EXPERIENCIA MINIMA EXIGIDA",""))</f>
        <v/>
      </c>
      <c r="P1908" s="833"/>
      <c r="Q1908" s="833"/>
      <c r="R1908" s="833"/>
      <c r="S1908" s="833"/>
      <c r="T1908" s="522"/>
      <c r="U1908" s="523"/>
      <c r="V1908" s="524"/>
      <c r="W1908" s="284"/>
      <c r="X1908" s="364" t="str">
        <f>IF(Y1908=1,"PROPONENTE INDIVIDUAL","PROPONENTE PLURAL")</f>
        <v>PROPONENTE INDIVIDUAL</v>
      </c>
      <c r="Y1908" s="276">
        <f>F1900</f>
        <v>1</v>
      </c>
      <c r="Z1908" s="277" t="str">
        <f>IF(OR(AND(Z1902="SI APLICA",AA1902="SI APLICA"),AND(Z1903="SI APLICA",AA1903="SI APLICA"),AND(Z1904="SI APLICA",AA1904="SI APLICA"),AND(Z1905="SI APLICA",AA1905="SI APLICA"),AND(Z1906="SI APLICA",AA1906="SI APLICA"),AND(Z1907="SI APLICA",AA1907="SI APLICA")),"SI APLICA","NO APLICA")</f>
        <v>SI APLICA</v>
      </c>
      <c r="AA1908" s="278" t="str">
        <f>IF(OR(AND(AA1902="SI APLICA",AB1902="SI APLICA"),AND(AA1903="SI APLICA",AB1903="SI APLICA"),AND(AA1904="SI APLICA",AB1904="SI APLICA"),AND(AA1905="SI APLICA",AB1905="SI APLICA"),AND(AA1906="SI APLICA",AB1906="SI APLICA"),AND(AA1907="SI APLICA",AB1907="SI APLICA")),"SI APLICA","NO APLICA")</f>
        <v>SI APLICA</v>
      </c>
      <c r="AB1908" s="278" t="str">
        <f>IF(COUNTIF(AB1902:AB1907,"SI APLICA")&gt;0,"SI APLICA","NO APLICA")</f>
        <v>SI APLICA</v>
      </c>
      <c r="AC1908" s="28"/>
    </row>
    <row r="1909" spans="1:29" ht="24.95" customHeight="1"/>
    <row r="1910" spans="1:29" ht="24.95" customHeight="1"/>
    <row r="1911" spans="1:29" s="41" customFormat="1" ht="24" thickBot="1">
      <c r="A1911" s="34">
        <v>64</v>
      </c>
      <c r="B1911" s="828" t="s">
        <v>355</v>
      </c>
      <c r="C1911" s="828"/>
      <c r="D1911" s="828"/>
      <c r="E1911" s="35">
        <f>VLOOKUP(A1911,PROPONENTES!$B$19:$E$108,2,FALSE)</f>
        <v>64</v>
      </c>
      <c r="F1911" s="36" t="str">
        <f>VLOOKUP(A1911,PROPONENTES!$B$19:$E$108,3,FALSE)</f>
        <v>UNION TEMPORAL INTERTOL 001 2022</v>
      </c>
      <c r="G1911" s="37"/>
      <c r="H1911" s="37"/>
      <c r="I1911" s="36"/>
      <c r="J1911" s="36"/>
      <c r="K1911" s="36"/>
      <c r="L1911" s="36"/>
      <c r="M1911" s="38"/>
      <c r="N1911" s="38"/>
      <c r="O1911" s="37"/>
      <c r="P1911" s="37"/>
      <c r="Q1911" s="39"/>
      <c r="R1911" s="39"/>
      <c r="S1911" s="39"/>
      <c r="T1911" s="39"/>
      <c r="U1911" s="40"/>
      <c r="Y1911" s="52"/>
      <c r="Z1911" s="52"/>
      <c r="AA1911" s="52"/>
      <c r="AB1911" s="28"/>
      <c r="AC1911" s="28"/>
    </row>
    <row r="1912" spans="1:29" s="27" customFormat="1" ht="24.75" customHeight="1">
      <c r="A1912" s="22"/>
      <c r="B1912" s="829" t="s">
        <v>356</v>
      </c>
      <c r="C1912" s="501" t="s">
        <v>357</v>
      </c>
      <c r="D1912" s="502" t="s">
        <v>358</v>
      </c>
      <c r="E1912" s="502"/>
      <c r="F1912" s="502" t="s">
        <v>359</v>
      </c>
      <c r="G1912" s="503"/>
      <c r="H1912" s="803" t="s">
        <v>360</v>
      </c>
      <c r="I1912" s="831" t="s">
        <v>361</v>
      </c>
      <c r="J1912" s="803" t="s">
        <v>362</v>
      </c>
      <c r="K1912" s="803" t="s">
        <v>363</v>
      </c>
      <c r="L1912" s="803" t="s">
        <v>364</v>
      </c>
      <c r="M1912" s="803" t="s">
        <v>365</v>
      </c>
      <c r="N1912" s="804" t="s">
        <v>366</v>
      </c>
      <c r="O1912" s="805"/>
      <c r="P1912" s="806" t="s">
        <v>367</v>
      </c>
      <c r="Q1912" s="807"/>
      <c r="R1912" s="784" t="s">
        <v>368</v>
      </c>
      <c r="S1912" s="774"/>
      <c r="T1912" s="798" t="s">
        <v>369</v>
      </c>
      <c r="U1912" s="799"/>
      <c r="V1912" s="800"/>
      <c r="X1912" s="520"/>
      <c r="Y1912" s="520"/>
    </row>
    <row r="1913" spans="1:29" s="27" customFormat="1" ht="94.5" customHeight="1">
      <c r="A1913" s="22"/>
      <c r="B1913" s="830"/>
      <c r="C1913" s="504" t="s">
        <v>370</v>
      </c>
      <c r="D1913" s="505" t="s">
        <v>41</v>
      </c>
      <c r="E1913" s="505" t="s">
        <v>371</v>
      </c>
      <c r="F1913" s="505" t="s">
        <v>372</v>
      </c>
      <c r="G1913" s="506" t="s">
        <v>373</v>
      </c>
      <c r="H1913" s="793"/>
      <c r="I1913" s="832"/>
      <c r="J1913" s="793"/>
      <c r="K1913" s="793"/>
      <c r="L1913" s="793"/>
      <c r="M1913" s="793"/>
      <c r="N1913" s="504" t="s">
        <v>374</v>
      </c>
      <c r="O1913" s="505" t="s">
        <v>375</v>
      </c>
      <c r="P1913" s="801"/>
      <c r="Q1913" s="802"/>
      <c r="R1913" s="796"/>
      <c r="S1913" s="797"/>
      <c r="T1913" s="507" t="s">
        <v>376</v>
      </c>
      <c r="U1913" s="508" t="s">
        <v>377</v>
      </c>
      <c r="V1913" s="509" t="s">
        <v>378</v>
      </c>
      <c r="X1913" s="521" t="s">
        <v>379</v>
      </c>
      <c r="Y1913" s="521" t="s">
        <v>380</v>
      </c>
    </row>
    <row r="1914" spans="1:29" s="27" customFormat="1" ht="15" customHeight="1">
      <c r="A1914" s="22"/>
      <c r="B1914" s="594"/>
      <c r="C1914" s="595">
        <v>3</v>
      </c>
      <c r="D1914" s="595">
        <v>4</v>
      </c>
      <c r="E1914" s="595">
        <v>5</v>
      </c>
      <c r="F1914" s="595">
        <v>6</v>
      </c>
      <c r="G1914" s="595">
        <v>7</v>
      </c>
      <c r="H1914" s="595">
        <v>8</v>
      </c>
      <c r="I1914" s="595">
        <v>9</v>
      </c>
      <c r="J1914" s="595">
        <v>10</v>
      </c>
      <c r="K1914" s="595">
        <v>11</v>
      </c>
      <c r="L1914" s="595">
        <v>12</v>
      </c>
      <c r="M1914" s="595">
        <v>13</v>
      </c>
      <c r="N1914" s="595">
        <v>14</v>
      </c>
      <c r="O1914" s="595">
        <v>15</v>
      </c>
      <c r="P1914" s="596">
        <v>16</v>
      </c>
      <c r="Q1914" s="597">
        <v>17</v>
      </c>
      <c r="R1914" s="596">
        <v>18</v>
      </c>
      <c r="S1914" s="597">
        <v>19</v>
      </c>
      <c r="T1914" s="598">
        <v>20</v>
      </c>
      <c r="U1914" s="255">
        <v>21</v>
      </c>
      <c r="V1914" s="599">
        <v>22</v>
      </c>
      <c r="X1914" s="589"/>
      <c r="Y1914" s="590"/>
    </row>
    <row r="1915" spans="1:29" s="44" customFormat="1" ht="76.5" customHeight="1">
      <c r="A1915" s="42" t="str">
        <f>"A"&amp;E1911</f>
        <v>A64</v>
      </c>
      <c r="B1915" s="605">
        <f>IF(C1915&lt;&gt;"",B1914+1,"")</f>
        <v>1</v>
      </c>
      <c r="C1915" s="581" t="s">
        <v>891</v>
      </c>
      <c r="D1915" s="581" t="s">
        <v>892</v>
      </c>
      <c r="E1915" s="581" t="s">
        <v>893</v>
      </c>
      <c r="F1915" s="581" t="s">
        <v>431</v>
      </c>
      <c r="G1915" s="534">
        <v>0.95</v>
      </c>
      <c r="H1915" s="534" t="s">
        <v>776</v>
      </c>
      <c r="I1915" s="579">
        <v>1</v>
      </c>
      <c r="J1915" s="580" t="str">
        <f>IF(I1915="","",IF(I1915="I",$F1911,VLOOKUP(I1915,$C1932:$D1937,2,0)))</f>
        <v>CARLOS HUMBERTO RUA BELTRAN</v>
      </c>
      <c r="K1915" s="535">
        <v>41470</v>
      </c>
      <c r="L1915" s="535">
        <v>41814</v>
      </c>
      <c r="M1915" s="536">
        <v>817.77</v>
      </c>
      <c r="N1915" s="232">
        <f t="shared" ref="N1915:N1924" si="384">IF(OR(G1915="",M1915=""),"",M1915*G1915)</f>
        <v>776.88149999999996</v>
      </c>
      <c r="O1915" s="260" t="str">
        <f t="shared" ref="O1915:O1924" si="385">IF(OR(H1915="",H1915="NO",K1915&lt;$Q$17,K1915&gt;$R$17,K1915="",M1915="",N1915=""),"",ROUND(N1915,7))</f>
        <v/>
      </c>
      <c r="P1915" s="781" t="s">
        <v>894</v>
      </c>
      <c r="Q1915" s="782"/>
      <c r="R1915" s="767" t="s">
        <v>895</v>
      </c>
      <c r="S1915" s="768"/>
      <c r="T1915" s="538" t="s">
        <v>385</v>
      </c>
      <c r="U1915" s="539">
        <v>64</v>
      </c>
      <c r="V1915" s="540" t="s">
        <v>385</v>
      </c>
      <c r="X1915" s="541" t="s">
        <v>386</v>
      </c>
      <c r="Y1915" s="541" t="s">
        <v>439</v>
      </c>
    </row>
    <row r="1916" spans="1:29" s="44" customFormat="1" ht="42.75" customHeight="1">
      <c r="A1916" s="42" t="str">
        <f>"B"&amp;E1911</f>
        <v>B64</v>
      </c>
      <c r="B1916" s="605">
        <f t="shared" ref="B1916:B1924" si="386">IF(C1916&lt;&gt;"",B1915+1,"")</f>
        <v>2</v>
      </c>
      <c r="C1916" s="581" t="s">
        <v>896</v>
      </c>
      <c r="D1916" s="581" t="s">
        <v>897</v>
      </c>
      <c r="E1916" s="581" t="s">
        <v>898</v>
      </c>
      <c r="F1916" s="581" t="s">
        <v>431</v>
      </c>
      <c r="G1916" s="534">
        <v>0.5</v>
      </c>
      <c r="H1916" s="534" t="s">
        <v>385</v>
      </c>
      <c r="I1916" s="579">
        <v>1</v>
      </c>
      <c r="J1916" s="580" t="str">
        <f>IF(I1916="","",IF(I1916="I",$F1911,VLOOKUP(I1916,$C1932:$D1937,2,0)))</f>
        <v>CARLOS HUMBERTO RUA BELTRAN</v>
      </c>
      <c r="K1916" s="535">
        <v>43341</v>
      </c>
      <c r="L1916" s="535">
        <v>43818</v>
      </c>
      <c r="M1916" s="536">
        <v>821.27</v>
      </c>
      <c r="N1916" s="232">
        <f t="shared" si="384"/>
        <v>410.63499999999999</v>
      </c>
      <c r="O1916" s="260">
        <f t="shared" si="385"/>
        <v>410.63499999999999</v>
      </c>
      <c r="P1916" s="781"/>
      <c r="Q1916" s="782"/>
      <c r="R1916" s="767"/>
      <c r="S1916" s="768"/>
      <c r="T1916" s="538" t="s">
        <v>385</v>
      </c>
      <c r="U1916" s="539">
        <v>146</v>
      </c>
      <c r="V1916" s="540" t="s">
        <v>385</v>
      </c>
      <c r="X1916" s="541" t="s">
        <v>386</v>
      </c>
      <c r="Y1916" s="541" t="s">
        <v>387</v>
      </c>
    </row>
    <row r="1917" spans="1:29" s="44" customFormat="1" ht="35.25" customHeight="1">
      <c r="A1917" s="42" t="str">
        <f>"C"&amp;E1911</f>
        <v>C64</v>
      </c>
      <c r="B1917" s="605">
        <f t="shared" si="386"/>
        <v>3</v>
      </c>
      <c r="C1917" s="581" t="s">
        <v>443</v>
      </c>
      <c r="D1917" s="581" t="s">
        <v>899</v>
      </c>
      <c r="E1917" s="581" t="s">
        <v>900</v>
      </c>
      <c r="F1917" s="581" t="s">
        <v>431</v>
      </c>
      <c r="G1917" s="534">
        <v>0.5</v>
      </c>
      <c r="H1917" s="534" t="s">
        <v>385</v>
      </c>
      <c r="I1917" s="579">
        <v>1</v>
      </c>
      <c r="J1917" s="580" t="str">
        <f>IF(I1917="","",IF(I1917="I",$F1911,VLOOKUP(I1917,$C1932:$D1937,2,0)))</f>
        <v>CARLOS HUMBERTO RUA BELTRAN</v>
      </c>
      <c r="K1917" s="535">
        <v>44189</v>
      </c>
      <c r="L1917" s="535">
        <v>44524</v>
      </c>
      <c r="M1917" s="536">
        <v>238.73</v>
      </c>
      <c r="N1917" s="232">
        <f t="shared" si="384"/>
        <v>119.36499999999999</v>
      </c>
      <c r="O1917" s="260">
        <f t="shared" si="385"/>
        <v>119.36499999999999</v>
      </c>
      <c r="P1917" s="781"/>
      <c r="Q1917" s="782"/>
      <c r="R1917" s="767"/>
      <c r="S1917" s="768"/>
      <c r="T1917" s="538" t="s">
        <v>385</v>
      </c>
      <c r="U1917" s="539">
        <v>180</v>
      </c>
      <c r="V1917" s="540" t="s">
        <v>385</v>
      </c>
      <c r="X1917" s="541" t="s">
        <v>423</v>
      </c>
      <c r="Y1917" s="541" t="s">
        <v>439</v>
      </c>
    </row>
    <row r="1918" spans="1:29" s="44" customFormat="1" ht="46.5" customHeight="1">
      <c r="A1918" s="42" t="str">
        <f>"D"&amp;E1911</f>
        <v>D64</v>
      </c>
      <c r="B1918" s="605">
        <f t="shared" si="386"/>
        <v>4</v>
      </c>
      <c r="C1918" s="581" t="s">
        <v>443</v>
      </c>
      <c r="D1918" s="581" t="s">
        <v>899</v>
      </c>
      <c r="E1918" s="581" t="s">
        <v>900</v>
      </c>
      <c r="F1918" s="581" t="s">
        <v>431</v>
      </c>
      <c r="G1918" s="534">
        <v>0.5</v>
      </c>
      <c r="H1918" s="534" t="s">
        <v>385</v>
      </c>
      <c r="I1918" s="579">
        <v>2</v>
      </c>
      <c r="J1918" s="580" t="str">
        <f>IF(I1918="","",IF(I1918="I",$F1911,VLOOKUP(I1918,$C1932:$D1937,2,0)))</f>
        <v>JUAN CARLOS FLOREZ DUARTE</v>
      </c>
      <c r="K1918" s="535">
        <v>44189</v>
      </c>
      <c r="L1918" s="535">
        <v>44524</v>
      </c>
      <c r="M1918" s="536">
        <v>238.73</v>
      </c>
      <c r="N1918" s="232">
        <f t="shared" si="384"/>
        <v>119.36499999999999</v>
      </c>
      <c r="O1918" s="260">
        <f t="shared" si="385"/>
        <v>119.36499999999999</v>
      </c>
      <c r="P1918" s="781"/>
      <c r="Q1918" s="782"/>
      <c r="R1918" s="767"/>
      <c r="S1918" s="768"/>
      <c r="T1918" s="538" t="s">
        <v>385</v>
      </c>
      <c r="U1918" s="539">
        <v>64</v>
      </c>
      <c r="V1918" s="540" t="s">
        <v>385</v>
      </c>
      <c r="X1918" s="541" t="s">
        <v>423</v>
      </c>
      <c r="Y1918" s="541" t="s">
        <v>439</v>
      </c>
    </row>
    <row r="1919" spans="1:29" s="44" customFormat="1" ht="51" customHeight="1">
      <c r="A1919" s="42" t="str">
        <f>"E"&amp;E1911</f>
        <v>E64</v>
      </c>
      <c r="B1919" s="605">
        <f t="shared" si="386"/>
        <v>5</v>
      </c>
      <c r="C1919" s="581" t="s">
        <v>901</v>
      </c>
      <c r="D1919" s="581" t="s">
        <v>902</v>
      </c>
      <c r="E1919" s="581" t="s">
        <v>903</v>
      </c>
      <c r="F1919" s="581" t="s">
        <v>431</v>
      </c>
      <c r="G1919" s="534">
        <v>0.9</v>
      </c>
      <c r="H1919" s="534" t="s">
        <v>385</v>
      </c>
      <c r="I1919" s="579">
        <v>3</v>
      </c>
      <c r="J1919" s="580" t="str">
        <f>IF(I1919="","",IF(I1919="I",$F1911,VLOOKUP(I1919,$C1932:$D1937,2,0)))</f>
        <v>SERVICIOS Y CONSULTORIAS EN INGENIERIA S.A.S</v>
      </c>
      <c r="K1919" s="535">
        <v>41442</v>
      </c>
      <c r="L1919" s="535">
        <v>41624</v>
      </c>
      <c r="M1919" s="536">
        <v>304.04000000000002</v>
      </c>
      <c r="N1919" s="232">
        <f>IF(OR(G1919="",M1919=""),"",M1919*G1919)</f>
        <v>273.63600000000002</v>
      </c>
      <c r="O1919" s="260">
        <f t="shared" si="385"/>
        <v>273.63600000000002</v>
      </c>
      <c r="P1919" s="781"/>
      <c r="Q1919" s="782"/>
      <c r="R1919" s="767"/>
      <c r="S1919" s="768"/>
      <c r="T1919" s="538" t="s">
        <v>385</v>
      </c>
      <c r="U1919" s="539">
        <v>12</v>
      </c>
      <c r="V1919" s="540" t="s">
        <v>385</v>
      </c>
      <c r="X1919" s="541" t="s">
        <v>423</v>
      </c>
      <c r="Y1919" s="541" t="s">
        <v>387</v>
      </c>
    </row>
    <row r="1920" spans="1:29" s="44" customFormat="1" ht="42" customHeight="1">
      <c r="A1920" s="42" t="str">
        <f>"F"&amp;E1911</f>
        <v>F64</v>
      </c>
      <c r="B1920" s="605">
        <f t="shared" si="386"/>
        <v>6</v>
      </c>
      <c r="C1920" s="581" t="s">
        <v>904</v>
      </c>
      <c r="D1920" s="581" t="s">
        <v>905</v>
      </c>
      <c r="E1920" s="581" t="s">
        <v>906</v>
      </c>
      <c r="F1920" s="581" t="s">
        <v>384</v>
      </c>
      <c r="G1920" s="534">
        <v>1</v>
      </c>
      <c r="H1920" s="534" t="s">
        <v>385</v>
      </c>
      <c r="I1920" s="579">
        <v>3</v>
      </c>
      <c r="J1920" s="580" t="str">
        <f>IF(I1920="","",IF(I1920="I",$F1911,VLOOKUP(I1920,$C1932:$D1937,2,0)))</f>
        <v>SERVICIOS Y CONSULTORIAS EN INGENIERIA S.A.S</v>
      </c>
      <c r="K1920" s="535">
        <v>40205</v>
      </c>
      <c r="L1920" s="535">
        <v>40662</v>
      </c>
      <c r="M1920" s="536">
        <v>633.54999999999995</v>
      </c>
      <c r="N1920" s="232">
        <f>IF(OR(G1920="",M1920=""),"",M1920*G1920)</f>
        <v>633.54999999999995</v>
      </c>
      <c r="O1920" s="260">
        <f t="shared" si="385"/>
        <v>633.54999999999995</v>
      </c>
      <c r="P1920" s="781"/>
      <c r="Q1920" s="782"/>
      <c r="R1920" s="767"/>
      <c r="S1920" s="768"/>
      <c r="T1920" s="538" t="s">
        <v>385</v>
      </c>
      <c r="U1920" s="539">
        <v>14</v>
      </c>
      <c r="V1920" s="540" t="s">
        <v>385</v>
      </c>
      <c r="X1920" s="541" t="s">
        <v>386</v>
      </c>
      <c r="Y1920" s="541" t="s">
        <v>387</v>
      </c>
    </row>
    <row r="1921" spans="1:29" s="44" customFormat="1" ht="24.95" customHeight="1">
      <c r="A1921" s="42" t="str">
        <f>"G"&amp;E1911</f>
        <v>G64</v>
      </c>
      <c r="B1921" s="605" t="str">
        <f t="shared" si="386"/>
        <v/>
      </c>
      <c r="C1921" s="581"/>
      <c r="D1921" s="581"/>
      <c r="E1921" s="581"/>
      <c r="F1921" s="581"/>
      <c r="G1921" s="534"/>
      <c r="H1921" s="534"/>
      <c r="I1921" s="579"/>
      <c r="J1921" s="580" t="str">
        <f>IF(I1921="","",IF(I1921="I",$F1911,VLOOKUP(I1921,$C1932:$D1937,2,0)))</f>
        <v/>
      </c>
      <c r="K1921" s="535"/>
      <c r="L1921" s="535"/>
      <c r="M1921" s="536"/>
      <c r="N1921" s="43" t="str">
        <f t="shared" si="384"/>
        <v/>
      </c>
      <c r="O1921" s="260" t="str">
        <f t="shared" si="385"/>
        <v/>
      </c>
      <c r="P1921" s="781"/>
      <c r="Q1921" s="782"/>
      <c r="R1921" s="767"/>
      <c r="S1921" s="768"/>
      <c r="T1921" s="538"/>
      <c r="U1921" s="539"/>
      <c r="V1921" s="540"/>
      <c r="X1921" s="541"/>
      <c r="Y1921" s="541"/>
    </row>
    <row r="1922" spans="1:29" s="44" customFormat="1" ht="24.95" customHeight="1">
      <c r="A1922" s="42" t="str">
        <f>"H"&amp;E1911</f>
        <v>H64</v>
      </c>
      <c r="B1922" s="605" t="str">
        <f t="shared" si="386"/>
        <v/>
      </c>
      <c r="C1922" s="581"/>
      <c r="D1922" s="581"/>
      <c r="E1922" s="581"/>
      <c r="F1922" s="581"/>
      <c r="G1922" s="534"/>
      <c r="H1922" s="534"/>
      <c r="I1922" s="579"/>
      <c r="J1922" s="580" t="str">
        <f>IF(I1922="","",IF(I1922="I",$F1911,VLOOKUP(I1922,$C1932:$D1937,2,0)))</f>
        <v/>
      </c>
      <c r="K1922" s="535"/>
      <c r="L1922" s="535"/>
      <c r="M1922" s="537"/>
      <c r="N1922" s="43" t="str">
        <f t="shared" si="384"/>
        <v/>
      </c>
      <c r="O1922" s="260" t="str">
        <f t="shared" si="385"/>
        <v/>
      </c>
      <c r="P1922" s="781"/>
      <c r="Q1922" s="782"/>
      <c r="R1922" s="767"/>
      <c r="S1922" s="768"/>
      <c r="T1922" s="538"/>
      <c r="U1922" s="539"/>
      <c r="V1922" s="540"/>
      <c r="X1922" s="541"/>
      <c r="Y1922" s="541"/>
    </row>
    <row r="1923" spans="1:29" s="44" customFormat="1" ht="24.95" customHeight="1">
      <c r="A1923" s="42" t="str">
        <f>"I"&amp;E1911</f>
        <v>I64</v>
      </c>
      <c r="B1923" s="605" t="str">
        <f t="shared" si="386"/>
        <v/>
      </c>
      <c r="C1923" s="581"/>
      <c r="D1923" s="581"/>
      <c r="E1923" s="581"/>
      <c r="F1923" s="581"/>
      <c r="G1923" s="534"/>
      <c r="H1923" s="534"/>
      <c r="I1923" s="579"/>
      <c r="J1923" s="580" t="str">
        <f>IF(I1923="","",IF(I1923="I",$F1911,VLOOKUP(I1923,$C1932:$D1937,2,0)))</f>
        <v/>
      </c>
      <c r="K1923" s="535"/>
      <c r="L1923" s="535"/>
      <c r="M1923" s="537"/>
      <c r="N1923" s="43" t="str">
        <f t="shared" si="384"/>
        <v/>
      </c>
      <c r="O1923" s="260" t="str">
        <f t="shared" si="385"/>
        <v/>
      </c>
      <c r="P1923" s="781"/>
      <c r="Q1923" s="782"/>
      <c r="R1923" s="767"/>
      <c r="S1923" s="768"/>
      <c r="T1923" s="538"/>
      <c r="U1923" s="539"/>
      <c r="V1923" s="540"/>
      <c r="X1923" s="541"/>
      <c r="Y1923" s="541"/>
    </row>
    <row r="1924" spans="1:29" s="44" customFormat="1" ht="24.95" customHeight="1" thickBot="1">
      <c r="A1924" s="42" t="str">
        <f>"J"&amp;E1911</f>
        <v>J64</v>
      </c>
      <c r="B1924" s="612" t="str">
        <f t="shared" si="386"/>
        <v/>
      </c>
      <c r="C1924" s="582"/>
      <c r="D1924" s="582"/>
      <c r="E1924" s="582"/>
      <c r="F1924" s="582"/>
      <c r="G1924" s="583"/>
      <c r="H1924" s="583"/>
      <c r="I1924" s="584"/>
      <c r="J1924" s="585" t="str">
        <f>IF(I1924="","",IF(I1924="I",$F1911,VLOOKUP(I1924,$C1932:$D1937,2,0)))</f>
        <v/>
      </c>
      <c r="K1924" s="586"/>
      <c r="L1924" s="586"/>
      <c r="M1924" s="587"/>
      <c r="N1924" s="43" t="str">
        <f t="shared" si="384"/>
        <v/>
      </c>
      <c r="O1924" s="260" t="str">
        <f t="shared" si="385"/>
        <v/>
      </c>
      <c r="P1924" s="781"/>
      <c r="Q1924" s="782"/>
      <c r="R1924" s="767"/>
      <c r="S1924" s="768"/>
      <c r="T1924" s="538"/>
      <c r="U1924" s="539"/>
      <c r="V1924" s="540"/>
      <c r="X1924" s="541"/>
      <c r="Y1924" s="541"/>
    </row>
    <row r="1925" spans="1:29" s="27" customFormat="1" ht="12" customHeight="1" thickBot="1">
      <c r="A1925" s="42"/>
      <c r="B1925" s="45"/>
      <c r="C1925" s="46"/>
      <c r="D1925" s="46"/>
      <c r="E1925" s="46"/>
      <c r="F1925" s="46"/>
      <c r="G1925" s="46"/>
      <c r="H1925" s="606"/>
      <c r="I1925" s="46"/>
      <c r="J1925" s="46"/>
      <c r="K1925" s="46"/>
      <c r="L1925" s="46"/>
      <c r="M1925" s="46"/>
      <c r="N1925" s="46"/>
      <c r="O1925" s="259"/>
      <c r="P1925" s="46"/>
      <c r="Q1925" s="46"/>
      <c r="R1925" s="259"/>
      <c r="S1925" s="46"/>
      <c r="T1925" s="46"/>
      <c r="U1925" s="47"/>
      <c r="V1925" s="48"/>
      <c r="X1925" s="592"/>
      <c r="Y1925" s="593"/>
      <c r="AB1925" s="378"/>
    </row>
    <row r="1926" spans="1:29" s="27" customFormat="1" ht="17.25" customHeight="1" thickBot="1">
      <c r="A1926" s="42" t="str">
        <f>"Z"&amp;E1911</f>
        <v>Z64</v>
      </c>
      <c r="B1926" s="510"/>
      <c r="C1926" s="511"/>
      <c r="D1926" s="511"/>
      <c r="E1926" s="511"/>
      <c r="F1926" s="511"/>
      <c r="G1926" s="511"/>
      <c r="H1926" s="511"/>
      <c r="I1926" s="511"/>
      <c r="J1926" s="511"/>
      <c r="K1926" s="511"/>
      <c r="L1926" s="511"/>
      <c r="M1926" s="511"/>
      <c r="N1926" s="437" t="s">
        <v>388</v>
      </c>
      <c r="O1926" s="438">
        <f>IF(COUNTIF(O1915:O1924,"")&gt;9,0,SUM(O1915:O1924)/(COUNTIF(H1915:H1924,"SI")))</f>
        <v>311.31020000000001</v>
      </c>
      <c r="P1926" s="511"/>
      <c r="Q1926" s="511"/>
      <c r="R1926" s="530"/>
      <c r="S1926" s="530"/>
      <c r="T1926" s="531"/>
      <c r="U1926" s="532"/>
      <c r="V1926" s="533"/>
      <c r="W1926" s="285"/>
      <c r="X1926" s="613" t="e">
        <f>COUNTIF(#REF!,"")-COUNTIF(#REF!,"CUMPLE")-1</f>
        <v>#REF!</v>
      </c>
      <c r="Y1926" s="591"/>
      <c r="AB1926" s="28"/>
    </row>
    <row r="1927" spans="1:29" ht="17.25" customHeight="1">
      <c r="B1927" s="50"/>
      <c r="C1927" s="50"/>
      <c r="D1927" s="50"/>
      <c r="E1927" s="50"/>
      <c r="F1927" s="50"/>
      <c r="G1927" s="51"/>
      <c r="H1927" s="51"/>
      <c r="I1927" s="51"/>
      <c r="J1927" s="51"/>
      <c r="K1927" s="51"/>
      <c r="L1927" s="51"/>
      <c r="M1927" s="51"/>
      <c r="N1927" s="51"/>
      <c r="O1927" s="51"/>
      <c r="P1927" s="51"/>
      <c r="Q1927" s="51"/>
      <c r="R1927" s="51"/>
      <c r="S1927" s="51"/>
      <c r="T1927" s="51"/>
      <c r="U1927" s="51"/>
      <c r="V1927" s="51"/>
      <c r="W1927" s="51"/>
      <c r="X1927" s="608"/>
      <c r="Y1927" s="51"/>
      <c r="Z1927" s="51"/>
      <c r="AA1927" s="51"/>
      <c r="AB1927" s="51"/>
      <c r="AC1927" s="50"/>
    </row>
    <row r="1928" spans="1:29" s="27" customFormat="1" ht="16.5" customHeight="1" thickBot="1">
      <c r="A1928" s="22"/>
      <c r="B1928" s="783" t="s">
        <v>389</v>
      </c>
      <c r="C1928" s="783"/>
      <c r="D1928" s="783"/>
      <c r="E1928" s="783"/>
      <c r="F1928" s="783"/>
      <c r="G1928" s="783"/>
      <c r="H1928" s="783"/>
      <c r="I1928" s="783"/>
      <c r="J1928" s="783"/>
      <c r="K1928" s="783"/>
      <c r="L1928" s="783"/>
      <c r="M1928" s="783"/>
      <c r="N1928" s="783"/>
      <c r="O1928" s="783"/>
      <c r="P1928" s="783"/>
      <c r="Q1928" s="783"/>
      <c r="R1928" s="783"/>
      <c r="S1928" s="783"/>
      <c r="T1928" s="783"/>
      <c r="U1928" s="783"/>
      <c r="V1928" s="783"/>
      <c r="W1928" s="286"/>
      <c r="X1928" s="607"/>
      <c r="Y1928" s="52"/>
      <c r="Z1928" s="52"/>
      <c r="AA1928" s="52"/>
      <c r="AB1928" s="28"/>
      <c r="AC1928" s="28"/>
    </row>
    <row r="1929" spans="1:29" s="30" customFormat="1" ht="22.5" customHeight="1">
      <c r="A1929" s="112" t="str">
        <f>"K"&amp;E1911</f>
        <v>K64</v>
      </c>
      <c r="B1929" s="790" t="s">
        <v>390</v>
      </c>
      <c r="C1929" s="772" t="s">
        <v>391</v>
      </c>
      <c r="D1929" s="773"/>
      <c r="E1929" s="773"/>
      <c r="F1929" s="773"/>
      <c r="G1929" s="773"/>
      <c r="H1929" s="773"/>
      <c r="I1929" s="773"/>
      <c r="J1929" s="773"/>
      <c r="K1929" s="773"/>
      <c r="L1929" s="773"/>
      <c r="M1929" s="774"/>
      <c r="N1929" s="525"/>
      <c r="O1929" s="588"/>
      <c r="P1929" s="772" t="s">
        <v>392</v>
      </c>
      <c r="Q1929" s="773"/>
      <c r="R1929" s="773"/>
      <c r="S1929" s="774"/>
      <c r="T1929" s="784" t="s">
        <v>393</v>
      </c>
      <c r="U1929" s="774"/>
      <c r="V1929" s="811"/>
      <c r="W1929" s="284"/>
      <c r="X1929" s="778" t="s">
        <v>394</v>
      </c>
      <c r="Y1929" s="779"/>
      <c r="Z1929" s="779"/>
      <c r="AA1929" s="779" t="s">
        <v>395</v>
      </c>
      <c r="AB1929" s="808" t="s">
        <v>396</v>
      </c>
      <c r="AC1929" s="28"/>
    </row>
    <row r="1930" spans="1:29" s="30" customFormat="1" ht="22.5" customHeight="1">
      <c r="A1930" s="112" t="str">
        <f>"L"&amp;E1911</f>
        <v>L64</v>
      </c>
      <c r="B1930" s="791"/>
      <c r="C1930" s="769" t="s">
        <v>397</v>
      </c>
      <c r="D1930" s="770"/>
      <c r="E1930" s="771"/>
      <c r="F1930" s="512">
        <f>IF(VLOOKUP(E1911,PROPONENTES!$C$19:$E$108,3,0)="","",VLOOKUP(E1911,PROPONENTES!$C$19:$E$108,3,0))</f>
        <v>3</v>
      </c>
      <c r="G1930" s="824" t="s">
        <v>398</v>
      </c>
      <c r="H1930" s="793" t="s">
        <v>399</v>
      </c>
      <c r="I1930" s="793"/>
      <c r="J1930" s="769" t="s">
        <v>400</v>
      </c>
      <c r="K1930" s="823"/>
      <c r="L1930" s="513" t="s">
        <v>401</v>
      </c>
      <c r="M1930" s="513"/>
      <c r="N1930" s="526"/>
      <c r="O1930" s="527"/>
      <c r="P1930" s="775"/>
      <c r="Q1930" s="776"/>
      <c r="R1930" s="776"/>
      <c r="S1930" s="777"/>
      <c r="T1930" s="796"/>
      <c r="U1930" s="797"/>
      <c r="V1930" s="812"/>
      <c r="W1930" s="284"/>
      <c r="X1930" s="780" t="s">
        <v>402</v>
      </c>
      <c r="Y1930" s="810" t="s">
        <v>403</v>
      </c>
      <c r="Z1930" s="810"/>
      <c r="AA1930" s="810"/>
      <c r="AB1930" s="809"/>
      <c r="AC1930" s="28"/>
    </row>
    <row r="1931" spans="1:29" s="30" customFormat="1" ht="51.75" customHeight="1" thickBot="1">
      <c r="A1931" s="112" t="str">
        <f>"M"&amp;E1911</f>
        <v>M64</v>
      </c>
      <c r="B1931" s="791"/>
      <c r="C1931" s="770" t="s">
        <v>404</v>
      </c>
      <c r="D1931" s="771"/>
      <c r="E1931" s="514" t="s">
        <v>405</v>
      </c>
      <c r="F1931" s="515" t="s">
        <v>406</v>
      </c>
      <c r="G1931" s="824"/>
      <c r="H1931" s="793"/>
      <c r="I1931" s="793"/>
      <c r="J1931" s="504" t="s">
        <v>407</v>
      </c>
      <c r="K1931" s="516" t="s">
        <v>408</v>
      </c>
      <c r="L1931" s="517" t="s">
        <v>409</v>
      </c>
      <c r="M1931" s="517"/>
      <c r="N1931" s="528" t="s">
        <v>410</v>
      </c>
      <c r="O1931" s="529"/>
      <c r="P1931" s="386"/>
      <c r="Q1931" s="387" t="s">
        <v>411</v>
      </c>
      <c r="R1931" s="388"/>
      <c r="S1931" s="113">
        <f>COUNTIFS(H1915:H1924,"SI",O1915:O1924,"&gt;0")</f>
        <v>5</v>
      </c>
      <c r="T1931" s="785"/>
      <c r="U1931" s="787"/>
      <c r="V1931" s="813"/>
      <c r="W1931" s="284"/>
      <c r="X1931" s="780"/>
      <c r="Y1931" s="810"/>
      <c r="Z1931" s="810"/>
      <c r="AA1931" s="810"/>
      <c r="AB1931" s="809"/>
      <c r="AC1931" s="28"/>
    </row>
    <row r="1932" spans="1:29" s="30" customFormat="1" ht="30" customHeight="1">
      <c r="A1932" s="112" t="str">
        <f>"N"&amp;E1911</f>
        <v>N64</v>
      </c>
      <c r="B1932" s="791"/>
      <c r="C1932" s="54">
        <v>1</v>
      </c>
      <c r="D1932" s="100" t="str">
        <f>IF(AND(C1932&lt;=F1930,F1930&gt;1,F1930&lt;&gt;""),VLOOKUP(VALUE(E1911&amp;","&amp;C1932),INTEGRANTES!$D$19:$F$192,2,0),"")</f>
        <v>CARLOS HUMBERTO RUA BELTRAN</v>
      </c>
      <c r="E1932" s="107">
        <f>IF(D1932&lt;&gt;"",VLOOKUP(VALUE(E1911&amp;","&amp;C1932),INTEGRANTES!$D$19:$F$192,3,0),"")</f>
        <v>0.33</v>
      </c>
      <c r="F1932" s="380">
        <f>IF(D1932="","",IF(OR(SUMIF($J1915:$J1924,D1932,$O1915:$O1924)=0,N1932="NO"),"NO APORTA",SUMIF($J1915:$J1924,D1932,$O1915:$O1924)))</f>
        <v>530</v>
      </c>
      <c r="G1932" s="380">
        <f ca="1">IF($D1932="","",IF($F1930&lt;=1,"",ROUND(POSMMLV*PORPO,2)))</f>
        <v>150</v>
      </c>
      <c r="H1932" s="765" t="str">
        <f ca="1">IF($D1932="","",IF(OR(F1932="NO APORTA",G1932&gt;F1932),"NO CUMPLE","CUMPLE"))</f>
        <v>CUMPLE</v>
      </c>
      <c r="I1932" s="766"/>
      <c r="J1932" s="108" t="str">
        <f ca="1">IF(D1932="","",IF(OR(AND(SUMIF($J1915:$J1924,D1932,$O1915:$O1924)&gt;=5%*POSMMLV,N1932="SI"),AND(SUMIF($J1915:$J1924,D1932,$O1915:$O1924)=0,E1932&lt;=5%,N1932="SI")),"CUMPLE","NO CUMPLE"))</f>
        <v>CUMPLE</v>
      </c>
      <c r="K1932" s="105" t="str">
        <f ca="1">IF(OR(D1932="",J1932=""),"",IF(AND(J1932="NO CUMPLE",F1932="NO APORTA",E1932&gt;5%),"EXP = 0 y PART &gt; 5%",IF(F1932&lt;5%*Q1937,"EXP &lt; 5%*PO","")))</f>
        <v/>
      </c>
      <c r="L1932" s="389" t="str">
        <f>IF(OR(D1932="",E1932=""),"",IF(AND(E1932&gt;=0.25,F1932&lt;&gt;"NO APORTA",F1932&gt;=$R1937*0.25),"SI","NO"))</f>
        <v>SI</v>
      </c>
      <c r="M1932" s="389"/>
      <c r="N1932" s="468" t="s">
        <v>385</v>
      </c>
      <c r="O1932" s="396">
        <f>COUNTIFS(O1915:O1924,"&gt;0",H1915:H1924,"SI")</f>
        <v>5</v>
      </c>
      <c r="P1932" s="814" t="s">
        <v>139</v>
      </c>
      <c r="Q1932" s="814"/>
      <c r="R1932" s="817">
        <f>E1911</f>
        <v>64</v>
      </c>
      <c r="S1932" s="818"/>
      <c r="T1932" s="784" t="s">
        <v>412</v>
      </c>
      <c r="U1932" s="773"/>
      <c r="V1932" s="774"/>
      <c r="W1932" s="283"/>
      <c r="X1932" s="542" t="str">
        <f>IF($F1930=1,"NO APLICA",$D1932)</f>
        <v>CARLOS HUMBERTO RUA BELTRAN</v>
      </c>
      <c r="Y1932" s="543">
        <f ca="1">IF(OR($F1932="",$F1932="NO APORTA",$R1937=0,$X1932="NO APLICA"),"",ROUND($F1932/$Q1937,2))</f>
        <v>1.77</v>
      </c>
      <c r="Z1932" s="544" t="str">
        <f ca="1">IF(Y1938=1,"SI APLICA",IF(OR($X1932="",$X1932="NO APLICA",$F1932="",$F1932="NO APORTA"),"",IF(ROUND($F1932/Q1937,7)&gt;=0.4,"SI APLICA","NO APLICA")))</f>
        <v>SI APLICA</v>
      </c>
      <c r="AA1932" s="543" t="s">
        <v>413</v>
      </c>
      <c r="AB1932" s="540" t="str">
        <f ca="1">IF(COUNTIF(Z1932:AA1932,"SI APLICA")=2,"SI APLICA","")</f>
        <v>SI APLICA</v>
      </c>
      <c r="AC1932" s="28"/>
    </row>
    <row r="1933" spans="1:29" s="30" customFormat="1" ht="24" customHeight="1">
      <c r="A1933" s="112" t="str">
        <f>"O"&amp;E1911</f>
        <v>O64</v>
      </c>
      <c r="B1933" s="791"/>
      <c r="C1933" s="54">
        <v>2</v>
      </c>
      <c r="D1933" s="100" t="str">
        <f>IF(AND(C1932&lt;=F1930,F1930&gt;1,F1930&lt;&gt;""),VLOOKUP(VALUE(E1911&amp;","&amp;C1933),INTEGRANTES!$D$19:$F$192,2,0),"")</f>
        <v>JUAN CARLOS FLOREZ DUARTE</v>
      </c>
      <c r="E1933" s="107">
        <f>IF(D1933&lt;&gt;"",VLOOKUP(VALUE(E1911&amp;","&amp;C1933),INTEGRANTES!$D$19:$F$192,3,0),"")</f>
        <v>0.33</v>
      </c>
      <c r="F1933" s="380">
        <f>IF(D1933="","",IF(OR(SUMIF($J1915:$J1924,D1933,$O1915:$O1925)=0,N1933="NO"),"NO APORTA",SUMIF($J1915:$J1924,D1933,$O1915:$O1925)))</f>
        <v>119.36499999999999</v>
      </c>
      <c r="G1933" s="380">
        <f ca="1">IF($D1933="","",IF($F1930&lt;=1,"",ROUND(POSMMLV*PORPO,2)))</f>
        <v>150</v>
      </c>
      <c r="H1933" s="765" t="str">
        <f ca="1">IF($D1933="","",IF(OR(F1933="NO APORTA",G1933&gt;F1933),"NO CUMPLE","CUMPLE"))</f>
        <v>NO CUMPLE</v>
      </c>
      <c r="I1933" s="766"/>
      <c r="J1933" s="108" t="str">
        <f ca="1">IF(D1933="","",IF(OR(AND(SUMIF($J1916:$J1925,D1933,$O1916:$O1925)&gt;=5%*POSMMLV,N1933="SI"),AND(SUMIF($J1916:$J1925,D1933,$O1916:$O1925)=0,E1933&lt;=5%,N1933="SI")),"CUMPLE","NO CUMPLE"))</f>
        <v>CUMPLE</v>
      </c>
      <c r="K1933" s="105" t="str">
        <f ca="1">IF(OR(D1933="",J1933=""),"",IF(AND(J1933="NO CUMPLE",F1933="NO APORTA",E1933&gt;5%),"EXP = 0 y PART &gt; 5%",IF(F1933&lt;5%*Q1937,"EXP &lt; 5%*PO","")))</f>
        <v/>
      </c>
      <c r="L1933" s="389" t="str">
        <f>IF(OR(D1933="",E1933=""),"",IF(AND(E1933&gt;=0.25,F1933&lt;&gt;"NO APORTA",F1933&gt;=$R1937*0.25),"SI","NO"))</f>
        <v>NO</v>
      </c>
      <c r="M1933" s="389"/>
      <c r="N1933" s="468" t="s">
        <v>385</v>
      </c>
      <c r="O1933" s="396"/>
      <c r="P1933" s="815"/>
      <c r="Q1933" s="815"/>
      <c r="R1933" s="815"/>
      <c r="S1933" s="819"/>
      <c r="T1933" s="785"/>
      <c r="U1933" s="786"/>
      <c r="V1933" s="787"/>
      <c r="W1933" s="283"/>
      <c r="X1933" s="542" t="str">
        <f>IF($F1930=1,"NO APLICA",$D1933)</f>
        <v>JUAN CARLOS FLOREZ DUARTE</v>
      </c>
      <c r="Y1933" s="543">
        <f ca="1">IF(OR($F1933="",$F1933="NO APORTA",$R1937=0,$X1933="NO APLICA"),"",ROUND($F1933/$Q1937,2))</f>
        <v>0.4</v>
      </c>
      <c r="Z1933" s="544" t="str">
        <f ca="1">IF(Y1938=1,"SI APLICA",IF(OR($X1933="",$X1933="NO APLICA",$F1933="",$F1933="NO APORTA"),"",IF(ROUND($F1933/Q1937,7)&gt;=0.4,"SI APLICA","NO APLICA")))</f>
        <v>NO APLICA</v>
      </c>
      <c r="AA1933" s="543" t="s">
        <v>516</v>
      </c>
      <c r="AB1933" s="540" t="str">
        <f ca="1">IF(COUNTIF(Z1933:AA1933,"SI APLICA")=2,"SI APLICA","")</f>
        <v/>
      </c>
      <c r="AC1933" s="28"/>
    </row>
    <row r="1934" spans="1:29" s="30" customFormat="1" ht="30.75" customHeight="1">
      <c r="A1934" s="112" t="str">
        <f>"P"&amp;E1911</f>
        <v>P64</v>
      </c>
      <c r="B1934" s="791"/>
      <c r="C1934" s="54">
        <v>3</v>
      </c>
      <c r="D1934" s="100" t="str">
        <f>IF(AND(C1932&lt;=F1930,F1930&gt;1,F1930&lt;&gt;""),VLOOKUP(VALUE(E1911&amp;","&amp;C1934),INTEGRANTES!$D$19:$F$192,2,0),"")</f>
        <v>SERVICIOS Y CONSULTORIAS EN INGENIERIA S.A.S</v>
      </c>
      <c r="E1934" s="107">
        <f>IF(D1934&lt;&gt;"",VLOOKUP(VALUE(E1911&amp;","&amp;C1934),INTEGRANTES!$D$19:$F$192,3,0),"")</f>
        <v>0.34</v>
      </c>
      <c r="F1934" s="380">
        <f ca="1">IF(D1934="","",IF(OR(SUMIF($J1915:$J1926,D1934,$O1915:$O1925)=0,N1934="NO"),"NO APORTA",SUMIF($J1915:$J1926,D1934,$O1915:$O1925)))</f>
        <v>907.18599999999992</v>
      </c>
      <c r="G1934" s="380">
        <f ca="1">IF($D1934="","",IF($F1930&lt;=1,"",ROUND(POSMMLV*PORPO,2)))</f>
        <v>150</v>
      </c>
      <c r="H1934" s="765" t="str">
        <f ca="1">IF($D1934="","",IF(OR(F1934="NO APORTA",G1934&gt;F1934),"NO CUMPLE","CUMPLE"))</f>
        <v>CUMPLE</v>
      </c>
      <c r="I1934" s="766"/>
      <c r="J1934" s="108" t="str">
        <f ca="1">IF(D1934="","",IF(OR(AND(SUMIF($J1915:$J1924,D1934,$O1915:$O1924)&gt;=5%*POSMMLV,N1934="SI"),AND(SUMIF($J1915:$J1924,D1934,$O1915:$O1924)=0,E1934&lt;=5%,N1934="SI")),"CUMPLE","NO CUMPLE"))</f>
        <v>CUMPLE</v>
      </c>
      <c r="K1934" s="105" t="str">
        <f ca="1">IF(OR(D1934="",J1934=""),"",IF(AND(J1934="NO CUMPLE",F1934="NO APORTA",E1934&gt;5%),"EXP = 0 y PART &gt; 5%",IF(F1934&lt;5%*Q1937,"EXP &lt; 5%*PO","")))</f>
        <v/>
      </c>
      <c r="L1934" s="389" t="str">
        <f ca="1">IF(OR(D1934="",E1934=""),"",IF(AND(E1934&gt;=0.25,F1934&lt;&gt;"NO APORTA",F1934&gt;=$R1937*0.25),"SI","NO"))</f>
        <v>SI</v>
      </c>
      <c r="M1934" s="389"/>
      <c r="N1934" s="468" t="s">
        <v>385</v>
      </c>
      <c r="O1934" s="397"/>
      <c r="P1934" s="816"/>
      <c r="Q1934" s="816"/>
      <c r="R1934" s="816"/>
      <c r="S1934" s="820"/>
      <c r="T1934" s="308"/>
      <c r="U1934" s="308"/>
      <c r="V1934" s="309"/>
      <c r="W1934" s="284"/>
      <c r="X1934" s="542" t="str">
        <f>IF($F1930=1,"NO APLICA",$D1934)</f>
        <v>SERVICIOS Y CONSULTORIAS EN INGENIERIA S.A.S</v>
      </c>
      <c r="Y1934" s="543">
        <f ca="1">IF(OR($F1934="",$F1934="NO APORTA",$R1937=0,$X1934="NO APLICA"),"",ROUND($F1934/$Q1937,2))</f>
        <v>3.02</v>
      </c>
      <c r="Z1934" s="544" t="str">
        <f ca="1">IF(Y1938=1,"SI APLICA",IF(OR($X1934="",$X1934="NO APLICA",$F1934="",$F1934="NO APORTA"),"",IF(ROUND($F1934/Q1937,7)&gt;=0.4,"SI APLICA","NO APLICA")))</f>
        <v>SI APLICA</v>
      </c>
      <c r="AA1934" s="543" t="s">
        <v>413</v>
      </c>
      <c r="AB1934" s="540" t="str">
        <f ca="1">IF(COUNTIF(Z1934:AA1934,"SI APLICA")=2,"SI APLICA","")</f>
        <v>SI APLICA</v>
      </c>
      <c r="AC1934" s="28"/>
    </row>
    <row r="1935" spans="1:29" s="30" customFormat="1" ht="15.75" customHeight="1">
      <c r="A1935" s="112" t="str">
        <f>"Q"&amp;E1911</f>
        <v>Q64</v>
      </c>
      <c r="B1935" s="791"/>
      <c r="C1935" s="54">
        <v>4</v>
      </c>
      <c r="D1935" s="100" t="str">
        <f>IF(AND(C1935&lt;=F1930,F1930&lt;&gt;""),VLOOKUP(VALUE(E1911&amp;","&amp;C1935),INTEGRANTES!$D$19:$F$192,2,0),"")</f>
        <v/>
      </c>
      <c r="E1935" s="107" t="str">
        <f>IF(D1935&lt;&gt;"",VLOOKUP(VALUE(E1911&amp;","&amp;C1935),INTEGRANTES!$D$19:$F$192,3,0),"")</f>
        <v/>
      </c>
      <c r="F1935" s="380" t="str">
        <f>IF(D1935="","",IF(OR(SUMIF($J1918:$J1924,D1935,$O1918:$O1924)=0,N1935="NO"),"NO APORTA",SUMIF($J1918:$J1924,D1935,$O1918:$O1924)))</f>
        <v/>
      </c>
      <c r="G1935" s="380" t="str">
        <f>IF($D1935="","",IF($F1930&lt;=1,"",ROUND(POSMMLV*PORPO,2)))</f>
        <v/>
      </c>
      <c r="H1935" s="765" t="str">
        <f t="shared" ref="H1935:H1936" si="387">IF($D1935="","",IF(OR(F1935="NO APORTA",G1935&gt;F1935),"NO CUMPLE","CUMPLE"))</f>
        <v/>
      </c>
      <c r="I1935" s="766"/>
      <c r="J1935" s="108" t="str">
        <f>IF(D1935="","",IF(OR(AND(SUMIF($J1915:$J1924,D1935,$O1915:$O1924)&gt;=5%*POSMMLV,N1935="SI"),AND(SUMIF($J1915:$J1924,D1935,$O1915:$O1924)=0,E1935&lt;=5%,N1935="SI")),"CUMPLE","NO CUMPLE"))</f>
        <v/>
      </c>
      <c r="K1935" s="105" t="str">
        <f>IF(OR(D1935="",J1935=""),"",IF(AND(J1935="NO CUMPLE",F1935="NO APORTA",E1935&gt;5%),"EXP = 0 y PART &gt; 5%",IF(F1935&lt;5%*Q1937,"EXP &lt; 5%*PO","")))</f>
        <v/>
      </c>
      <c r="L1935" s="389" t="str">
        <f>IF(OR(D1935="",E1935=""),"",IF(AND(E1935&gt;=0.25,F1935&lt;&gt;"NO APORTA",F1935&gt;=$R1937*0.25),"SI","NO"))</f>
        <v/>
      </c>
      <c r="M1935" s="389"/>
      <c r="N1935" s="468"/>
      <c r="O1935" s="788" t="s">
        <v>414</v>
      </c>
      <c r="P1935" s="769" t="s">
        <v>415</v>
      </c>
      <c r="Q1935" s="770"/>
      <c r="R1935" s="770"/>
      <c r="S1935" s="771"/>
      <c r="T1935" s="284"/>
      <c r="U1935" s="284"/>
      <c r="V1935" s="310"/>
      <c r="W1935" s="284"/>
      <c r="X1935" s="542" t="str">
        <f>IF($F1930=1,"NO APLICA",$D1935)</f>
        <v/>
      </c>
      <c r="Y1935" s="543" t="str">
        <f>IF(OR($F1935="",$F1935="NO APORTA",$R1937=0,$X1935="NO APLICA"),"",ROUND($F1935/$Q1937,2))</f>
        <v/>
      </c>
      <c r="Z1935" s="544" t="str">
        <f>IF(Y1938=1,"SI APLICA",IF(OR($X1935="",$X1935="NO APLICA",$F1935="",$F1935="NO APORTA"),"",IF(ROUND($F1935/Q1937,7)&gt;=0.4,"SI APLICA","NO APLICA")))</f>
        <v/>
      </c>
      <c r="AA1935" s="543"/>
      <c r="AB1935" s="540" t="str">
        <f t="shared" ref="AB1935:AB1936" si="388">IF(COUNTIF(Z1935:AA1935,"SI APLICA")=2,"SI APLICA","")</f>
        <v/>
      </c>
      <c r="AC1935" s="28"/>
    </row>
    <row r="1936" spans="1:29" s="30" customFormat="1" ht="17.25" customHeight="1">
      <c r="A1936" s="112" t="str">
        <f>"R"&amp;E1911</f>
        <v>R64</v>
      </c>
      <c r="B1936" s="791"/>
      <c r="C1936" s="54">
        <v>5</v>
      </c>
      <c r="D1936" s="100" t="str">
        <f>IF(AND(C1936&lt;=F1930,F1930&lt;&gt;""),VLOOKUP(VALUE(E1911&amp;","&amp;C1936),INTEGRANTES!$D$19:$F$192,2,0),"")</f>
        <v/>
      </c>
      <c r="E1936" s="107" t="str">
        <f>IF(D1936&lt;&gt;"",VLOOKUP(VALUE(E1911&amp;","&amp;C1936),INTEGRANTES!$D$19:$F$192,3,0),"")</f>
        <v/>
      </c>
      <c r="F1936" s="380" t="str">
        <f>IF(D1936="","",IF(OR(SUMIF($J1918:$J1924,D1936,$O1918:$O1924)=0,N1936="NO"),"NO APORTA",SUMIF($J1918:$J1924,D1936,$O1918:$O1924)))</f>
        <v/>
      </c>
      <c r="G1936" s="380" t="str">
        <f>IF($D1936="","",IF($F1930&lt;=1,"",ROUND(POSMMLV*PORPO,2)))</f>
        <v/>
      </c>
      <c r="H1936" s="765" t="str">
        <f t="shared" si="387"/>
        <v/>
      </c>
      <c r="I1936" s="766"/>
      <c r="J1936" s="108" t="str">
        <f>IF(D1936="","",IF(OR(AND(SUMIF($J1915:$J1924,D1936,$O1915:$O1924)&gt;=5%*POSMMLV,N1936="SI"),AND(SUMIF($J1915:$J1924,D1936,$O1915:$O1924)=0,E1936&lt;=5%,N1936="SI")),"CUMPLE","NO CUMPLE"))</f>
        <v/>
      </c>
      <c r="K1936" s="105" t="str">
        <f>IF(OR(D1936="",J1936=""),"",IF(AND(J1936="NO CUMPLE",F1936="NO APORTA",E1936&gt;5%),"EXP = 0 y PART &gt; 5%",IF(F1936&lt;5%*Q1937,"EXP &lt; 5%*PO","")))</f>
        <v/>
      </c>
      <c r="L1936" s="389" t="str">
        <f>IF(OR(D1936="",E1936=""),"",IF(AND(E1936&gt;=0.25,F1936&lt;&gt;"NO APORTA",F1936&gt;=$R1937*0.25),"SI","NO"))</f>
        <v/>
      </c>
      <c r="M1936" s="389"/>
      <c r="N1936" s="468"/>
      <c r="O1936" s="789"/>
      <c r="P1936" s="504" t="s">
        <v>416</v>
      </c>
      <c r="Q1936" s="504" t="s">
        <v>417</v>
      </c>
      <c r="R1936" s="793" t="s">
        <v>418</v>
      </c>
      <c r="S1936" s="793"/>
      <c r="T1936" s="284"/>
      <c r="U1936" s="284"/>
      <c r="V1936" s="310"/>
      <c r="W1936" s="284"/>
      <c r="X1936" s="542" t="str">
        <f>IF($F1930=1,"NO APLICA",$D1936)</f>
        <v/>
      </c>
      <c r="Y1936" s="543" t="str">
        <f>IF(OR($F1936="",$F1936="NO APORTA",$R1937=0,$X1936="NO APLICA"),"",ROUND($F1936/$Q1937,2))</f>
        <v/>
      </c>
      <c r="Z1936" s="544" t="str">
        <f>IF(Y1938=1,"SI APLICA",IF(OR($X1936="",$X1936="NO APLICA",$F1936="",$F1936="NO APORTA"),"",IF(ROUND($F1936/Q1937,7)&gt;=0.4,"SI APLICA","NO APLICA")))</f>
        <v/>
      </c>
      <c r="AA1936" s="543"/>
      <c r="AB1936" s="540" t="str">
        <f t="shared" si="388"/>
        <v/>
      </c>
      <c r="AC1936" s="28"/>
    </row>
    <row r="1937" spans="1:29" s="30" customFormat="1" ht="16.5" customHeight="1">
      <c r="A1937" s="112" t="str">
        <f>"S"&amp;E1911</f>
        <v>S64</v>
      </c>
      <c r="B1937" s="791"/>
      <c r="C1937" s="109">
        <v>6</v>
      </c>
      <c r="D1937" s="110" t="str">
        <f>IF(AND(C1937&lt;=F1930,F1930&lt;&gt;""),VLOOKUP(VALUE(E1911&amp;","&amp;C1937),INTEGRANTES!$D$19:$F$192,2,0),"")</f>
        <v/>
      </c>
      <c r="E1937" s="111" t="str">
        <f>IF(D1937&lt;&gt;"",VLOOKUP(VALUE(E1911&amp;","&amp;C1937),INTEGRANTES!$D$19:$F$192,3,0),"")</f>
        <v/>
      </c>
      <c r="F1937" s="380" t="str">
        <f>IF(D1937="","",IF(OR(SUMIF($J1918:$J1924,D1937,$O1918:$O1924)=0,N1937="NO"),"NO APORTA",SUMIF($J1918:$J1924,D1937,$O1918:$O1924)))</f>
        <v/>
      </c>
      <c r="G1937" s="380" t="str">
        <f>IF($D1937="","",IF($F1930&lt;=1,"",ROUND(POSMMLV*PORPO,2)))</f>
        <v/>
      </c>
      <c r="H1937" s="765" t="str">
        <f>IF($D1937="","",IF(OR(F1937="NO APORTA",G1937&gt;F1937),"NO CUMPLE","CUMPLE"))</f>
        <v/>
      </c>
      <c r="I1937" s="766"/>
      <c r="J1937" s="108" t="str">
        <f>IF(D1937="","",IF(OR(AND(SUMIF($J1915:$J1924,D1937,$O1915:$O1924)&gt;=5%*POSMMLV,N1937="SI"),AND(SUMIF($J1915:$J1924,D1937,$O1915:$O1924)=0,E1937&lt;=5%,N1937="SI")),"CUMPLE","NO CUMPLE"))</f>
        <v/>
      </c>
      <c r="K1937" s="105" t="str">
        <f>IF(OR(D1937="",J1937=""),"",IF(AND(J1937="NO CUMPLE",F1937="NO APORTA",E1937&gt;5%),"EXP = 0 y PART &gt; 5%",IF(F1937&lt;5%*Q1937,"EXP &lt; 5%*PO","")))</f>
        <v/>
      </c>
      <c r="L1937" s="389" t="str">
        <f>IF(OR(D1937="",E1937=""),"",IF(AND(E1937&gt;=0.25,F1937&lt;&gt;"NO APORTA",F1937&gt;=$R1937*0.25),"SI","NO"))</f>
        <v/>
      </c>
      <c r="M1937" s="389"/>
      <c r="N1937" s="468"/>
      <c r="O1937" s="403" t="str">
        <f ca="1">IF(R1937&gt;=Q1937,"CUMPLE","NO CUMPLE")</f>
        <v>CUMPLE</v>
      </c>
      <c r="P1937" s="312">
        <f>NUMMOD</f>
        <v>1</v>
      </c>
      <c r="Q1937" s="313">
        <f ca="1">IF(P1937="","",ROUND(VLOOKUP(P1937,PRESUPUESTOS!$B$16:$L$16,9,FALSE),7))</f>
        <v>300</v>
      </c>
      <c r="R1937" s="834">
        <f>IF(OR(COUNTIF(O1915:O1924,"")&gt;9,S1931&lt;NUMMINCONT),0,SUM(O1915:O1924))</f>
        <v>1556.5509999999999</v>
      </c>
      <c r="S1937" s="834"/>
      <c r="T1937" s="284"/>
      <c r="U1937" s="284"/>
      <c r="V1937" s="310"/>
      <c r="W1937" s="284"/>
      <c r="X1937" s="545" t="str">
        <f>IF($F1930=1,"NO APLICA",$D1937)</f>
        <v/>
      </c>
      <c r="Y1937" s="543" t="str">
        <f>IF(OR($F1937="",$F1937="NO APORTA",$R1937=0,$X1937="NO APLICA"),"",ROUND($F1937/$Q1937,2))</f>
        <v/>
      </c>
      <c r="Z1937" s="544" t="str">
        <f>IF(Y1938=1,"SI APLICA",IF(OR($X1937="",$X1937="NO APLICA",$F1937="",$F1937="NO APORTA"),"",IF(ROUND($F1937/Q1937,7)&gt;=0.4,"SI APLICA","NO APLICA")))</f>
        <v/>
      </c>
      <c r="AA1937" s="546"/>
      <c r="AB1937" s="540" t="str">
        <f>IF(COUNTIF(Z1937:AA1937,"SI APLICA")=2,"SI APLICA","")</f>
        <v/>
      </c>
      <c r="AC1937" s="28"/>
    </row>
    <row r="1938" spans="1:29" s="30" customFormat="1" ht="16.5" customHeight="1">
      <c r="A1938" s="112" t="str">
        <f>"T"&amp;E1911</f>
        <v>T64</v>
      </c>
      <c r="B1938" s="792"/>
      <c r="C1938" s="821" t="s">
        <v>419</v>
      </c>
      <c r="D1938" s="822"/>
      <c r="E1938" s="822"/>
      <c r="F1938" s="518"/>
      <c r="G1938" s="519"/>
      <c r="H1938" s="794" t="str">
        <f ca="1">IF(OR($F1930="",SUM(E1932:E1937)=0),"",IF(COUNTIF(H1932:H1937,"CUMPLE")&gt;=1,"CUMPLE","NO CUMPLE"))</f>
        <v>CUMPLE</v>
      </c>
      <c r="I1938" s="795"/>
      <c r="J1938" s="314" t="str">
        <f ca="1">IF(COUNTIF(J1932:J1937,"")&gt;5,"",IF(COUNTIF(J1932:J1937,"NO CUMPLE")&gt;0,"NO CUMPLE","CUMPLE"))</f>
        <v>CUMPLE</v>
      </c>
      <c r="K1938" s="314" t="str">
        <f ca="1">IF(OR(AND(F1930=1,N1932="SI"),AND(COUNTIF(H1938:J1938,"CUMPLE")=2)),"CUMPLE","NO CUMPLE")</f>
        <v>CUMPLE</v>
      </c>
      <c r="L1938" s="519"/>
      <c r="M1938" s="519"/>
      <c r="N1938" s="519"/>
      <c r="O1938" s="833" t="str">
        <f ca="1">IF(ISNUMBER(F1911),"",IF(AND(O1937="NO CUMPLE",SUM(N1918:N1924)&lt;Q1937),"EL PROPONENTE SE DEBE REQUERIR POR EXPERIENCIA MINIMA EXIGIDA",""))</f>
        <v/>
      </c>
      <c r="P1938" s="833"/>
      <c r="Q1938" s="833"/>
      <c r="R1938" s="833"/>
      <c r="S1938" s="833"/>
      <c r="T1938" s="522"/>
      <c r="U1938" s="523"/>
      <c r="V1938" s="524"/>
      <c r="W1938" s="284"/>
      <c r="X1938" s="364" t="str">
        <f>IF(Y1938=1,"PROPONENTE INDIVIDUAL","PROPONENTE PLURAL")</f>
        <v>PROPONENTE PLURAL</v>
      </c>
      <c r="Y1938" s="276">
        <f>F1930</f>
        <v>3</v>
      </c>
      <c r="Z1938" s="277" t="str">
        <f ca="1">IF(OR(AND(Z1932="SI APLICA",AA1932="SI APLICA"),AND(Z1933="SI APLICA",AA1933="SI APLICA"),AND(Z1934="SI APLICA",AA1934="SI APLICA"),AND(Z1935="SI APLICA",AA1935="SI APLICA"),AND(Z1936="SI APLICA",AA1936="SI APLICA"),AND(Z1937="SI APLICA",AA1937="SI APLICA")),"SI APLICA","NO APLICA")</f>
        <v>SI APLICA</v>
      </c>
      <c r="AA1938" s="278" t="str">
        <f ca="1">IF(OR(AND(AA1932="SI APLICA",AB1932="SI APLICA"),AND(AA1933="SI APLICA",AB1933="SI APLICA"),AND(AA1934="SI APLICA",AB1934="SI APLICA"),AND(AA1935="SI APLICA",AB1935="SI APLICA"),AND(AA1936="SI APLICA",AB1936="SI APLICA"),AND(AA1937="SI APLICA",AB1937="SI APLICA")),"SI APLICA","NO APLICA")</f>
        <v>SI APLICA</v>
      </c>
      <c r="AB1938" s="278" t="str">
        <f ca="1">IF(COUNTIF(AB1932:AB1937,"SI APLICA")&gt;0,"SI APLICA","NO APLICA")</f>
        <v>SI APLICA</v>
      </c>
      <c r="AC1938" s="28"/>
    </row>
    <row r="1939" spans="1:29" ht="24.95" customHeight="1"/>
    <row r="1940" spans="1:29" ht="24.95" customHeight="1"/>
    <row r="1941" spans="1:29" s="41" customFormat="1" ht="24" thickBot="1">
      <c r="A1941" s="34">
        <v>65</v>
      </c>
      <c r="B1941" s="828" t="s">
        <v>355</v>
      </c>
      <c r="C1941" s="828"/>
      <c r="D1941" s="828"/>
      <c r="E1941" s="35">
        <f>VLOOKUP(A1941,PROPONENTES!$B$19:$E$108,2,FALSE)</f>
        <v>65</v>
      </c>
      <c r="F1941" s="36" t="str">
        <f>VLOOKUP(A1941,PROPONENTES!$B$19:$E$108,3,FALSE)</f>
        <v>PROYECTISTAS DE COLOMBIA &amp; CIA SAS</v>
      </c>
      <c r="G1941" s="37"/>
      <c r="H1941" s="37"/>
      <c r="I1941" s="36"/>
      <c r="J1941" s="36"/>
      <c r="K1941" s="36"/>
      <c r="L1941" s="36"/>
      <c r="M1941" s="38"/>
      <c r="N1941" s="38"/>
      <c r="O1941" s="37"/>
      <c r="P1941" s="37"/>
      <c r="Q1941" s="39"/>
      <c r="R1941" s="39"/>
      <c r="S1941" s="39"/>
      <c r="T1941" s="39"/>
      <c r="U1941" s="40"/>
      <c r="Y1941" s="52"/>
      <c r="Z1941" s="52"/>
      <c r="AA1941" s="52"/>
      <c r="AB1941" s="28"/>
      <c r="AC1941" s="28"/>
    </row>
    <row r="1942" spans="1:29" s="27" customFormat="1" ht="24.75" customHeight="1">
      <c r="A1942" s="22"/>
      <c r="B1942" s="829" t="s">
        <v>356</v>
      </c>
      <c r="C1942" s="501" t="s">
        <v>357</v>
      </c>
      <c r="D1942" s="502" t="s">
        <v>358</v>
      </c>
      <c r="E1942" s="502"/>
      <c r="F1942" s="502" t="s">
        <v>359</v>
      </c>
      <c r="G1942" s="503"/>
      <c r="H1942" s="803" t="s">
        <v>360</v>
      </c>
      <c r="I1942" s="831" t="s">
        <v>361</v>
      </c>
      <c r="J1942" s="803" t="s">
        <v>362</v>
      </c>
      <c r="K1942" s="803" t="s">
        <v>363</v>
      </c>
      <c r="L1942" s="803" t="s">
        <v>364</v>
      </c>
      <c r="M1942" s="803" t="s">
        <v>365</v>
      </c>
      <c r="N1942" s="804" t="s">
        <v>366</v>
      </c>
      <c r="O1942" s="805"/>
      <c r="P1942" s="806" t="s">
        <v>367</v>
      </c>
      <c r="Q1942" s="807"/>
      <c r="R1942" s="784" t="s">
        <v>368</v>
      </c>
      <c r="S1942" s="774"/>
      <c r="T1942" s="798" t="s">
        <v>369</v>
      </c>
      <c r="U1942" s="799"/>
      <c r="V1942" s="800"/>
      <c r="X1942" s="520"/>
      <c r="Y1942" s="520"/>
    </row>
    <row r="1943" spans="1:29" s="27" customFormat="1" ht="94.5" customHeight="1">
      <c r="A1943" s="22"/>
      <c r="B1943" s="830"/>
      <c r="C1943" s="504" t="s">
        <v>370</v>
      </c>
      <c r="D1943" s="505" t="s">
        <v>41</v>
      </c>
      <c r="E1943" s="505" t="s">
        <v>371</v>
      </c>
      <c r="F1943" s="505" t="s">
        <v>372</v>
      </c>
      <c r="G1943" s="506" t="s">
        <v>373</v>
      </c>
      <c r="H1943" s="793"/>
      <c r="I1943" s="832"/>
      <c r="J1943" s="793"/>
      <c r="K1943" s="793"/>
      <c r="L1943" s="793"/>
      <c r="M1943" s="793"/>
      <c r="N1943" s="504" t="s">
        <v>374</v>
      </c>
      <c r="O1943" s="505" t="s">
        <v>375</v>
      </c>
      <c r="P1943" s="801"/>
      <c r="Q1943" s="802"/>
      <c r="R1943" s="796"/>
      <c r="S1943" s="797"/>
      <c r="T1943" s="507" t="s">
        <v>376</v>
      </c>
      <c r="U1943" s="508" t="s">
        <v>377</v>
      </c>
      <c r="V1943" s="509" t="s">
        <v>378</v>
      </c>
      <c r="X1943" s="521" t="s">
        <v>379</v>
      </c>
      <c r="Y1943" s="521" t="s">
        <v>380</v>
      </c>
    </row>
    <row r="1944" spans="1:29" s="27" customFormat="1" ht="15" customHeight="1">
      <c r="A1944" s="22"/>
      <c r="B1944" s="594"/>
      <c r="C1944" s="595">
        <v>3</v>
      </c>
      <c r="D1944" s="595">
        <v>4</v>
      </c>
      <c r="E1944" s="595">
        <v>5</v>
      </c>
      <c r="F1944" s="595">
        <v>6</v>
      </c>
      <c r="G1944" s="595">
        <v>7</v>
      </c>
      <c r="H1944" s="595">
        <v>8</v>
      </c>
      <c r="I1944" s="595">
        <v>9</v>
      </c>
      <c r="J1944" s="595">
        <v>10</v>
      </c>
      <c r="K1944" s="595">
        <v>11</v>
      </c>
      <c r="L1944" s="595">
        <v>12</v>
      </c>
      <c r="M1944" s="595">
        <v>13</v>
      </c>
      <c r="N1944" s="595">
        <v>14</v>
      </c>
      <c r="O1944" s="595">
        <v>15</v>
      </c>
      <c r="P1944" s="596">
        <v>16</v>
      </c>
      <c r="Q1944" s="597">
        <v>17</v>
      </c>
      <c r="R1944" s="596">
        <v>18</v>
      </c>
      <c r="S1944" s="597">
        <v>19</v>
      </c>
      <c r="T1944" s="598">
        <v>20</v>
      </c>
      <c r="U1944" s="255">
        <v>21</v>
      </c>
      <c r="V1944" s="599">
        <v>22</v>
      </c>
      <c r="X1944" s="589"/>
      <c r="Y1944" s="590"/>
    </row>
    <row r="1945" spans="1:29" s="44" customFormat="1" ht="48" customHeight="1">
      <c r="A1945" s="42" t="str">
        <f>"A"&amp;E1941</f>
        <v>A65</v>
      </c>
      <c r="B1945" s="605">
        <f>IF(C1945&lt;&gt;"",B1944+1,"")</f>
        <v>1</v>
      </c>
      <c r="C1945" s="581" t="s">
        <v>907</v>
      </c>
      <c r="D1945" s="581" t="s">
        <v>908</v>
      </c>
      <c r="E1945" s="581" t="s">
        <v>909</v>
      </c>
      <c r="F1945" s="581" t="s">
        <v>431</v>
      </c>
      <c r="G1945" s="534">
        <v>0.55000000000000004</v>
      </c>
      <c r="H1945" s="534" t="s">
        <v>385</v>
      </c>
      <c r="I1945" s="579" t="s">
        <v>384</v>
      </c>
      <c r="J1945" s="580" t="str">
        <f>IF(I1945="","",IF(I1945="I",$F1941,VLOOKUP(I1945,$C1962:$D1967,2,0)))</f>
        <v>PROYECTISTAS DE COLOMBIA &amp; CIA SAS</v>
      </c>
      <c r="K1945" s="535">
        <v>40763</v>
      </c>
      <c r="L1945" s="535">
        <v>41417</v>
      </c>
      <c r="M1945" s="536">
        <v>834.7</v>
      </c>
      <c r="N1945" s="232">
        <f t="shared" ref="N1945:N1954" si="389">IF(OR(G1945="",M1945=""),"",M1945*G1945)</f>
        <v>459.08500000000004</v>
      </c>
      <c r="O1945" s="260">
        <f t="shared" ref="O1945:O1954" si="390">IF(OR(H1945="",H1945="NO",K1945&lt;$Q$17,K1945&gt;$R$17,K1945="",M1945="",N1945=""),"",ROUND(N1945,7))</f>
        <v>459.08499999999998</v>
      </c>
      <c r="P1945" s="781"/>
      <c r="Q1945" s="782"/>
      <c r="R1945" s="767"/>
      <c r="S1945" s="768"/>
      <c r="T1945" s="538" t="s">
        <v>385</v>
      </c>
      <c r="U1945" s="539">
        <v>6</v>
      </c>
      <c r="V1945" s="540" t="s">
        <v>385</v>
      </c>
      <c r="X1945" s="541" t="s">
        <v>386</v>
      </c>
      <c r="Y1945" s="541" t="s">
        <v>387</v>
      </c>
    </row>
    <row r="1946" spans="1:29" s="44" customFormat="1" ht="79.5" customHeight="1">
      <c r="A1946" s="42" t="str">
        <f>"B"&amp;E1941</f>
        <v>B65</v>
      </c>
      <c r="B1946" s="605">
        <f t="shared" ref="B1946:B1954" si="391">IF(C1946&lt;&gt;"",B1945+1,"")</f>
        <v>2</v>
      </c>
      <c r="C1946" s="581" t="s">
        <v>443</v>
      </c>
      <c r="D1946" s="581" t="s">
        <v>910</v>
      </c>
      <c r="E1946" s="581" t="s">
        <v>911</v>
      </c>
      <c r="F1946" s="581" t="s">
        <v>431</v>
      </c>
      <c r="G1946" s="534">
        <v>0.4</v>
      </c>
      <c r="H1946" s="534" t="s">
        <v>385</v>
      </c>
      <c r="I1946" s="579" t="s">
        <v>384</v>
      </c>
      <c r="J1946" s="580" t="str">
        <f>IF(I1946="","",IF(I1946="I",$F1941,VLOOKUP(I1946,$C1962:$D1967,2,0)))</f>
        <v>PROYECTISTAS DE COLOMBIA &amp; CIA SAS</v>
      </c>
      <c r="K1946" s="535">
        <v>40466</v>
      </c>
      <c r="L1946" s="535">
        <v>41005</v>
      </c>
      <c r="M1946" s="536">
        <v>1154.9000000000001</v>
      </c>
      <c r="N1946" s="232">
        <f t="shared" si="389"/>
        <v>461.96000000000004</v>
      </c>
      <c r="O1946" s="260">
        <f t="shared" si="390"/>
        <v>461.96</v>
      </c>
      <c r="P1946" s="781"/>
      <c r="Q1946" s="782"/>
      <c r="R1946" s="767"/>
      <c r="S1946" s="768"/>
      <c r="T1946" s="538" t="s">
        <v>385</v>
      </c>
      <c r="U1946" s="539">
        <v>5</v>
      </c>
      <c r="V1946" s="540" t="s">
        <v>385</v>
      </c>
      <c r="X1946" s="541" t="s">
        <v>449</v>
      </c>
      <c r="Y1946" s="541" t="s">
        <v>387</v>
      </c>
    </row>
    <row r="1947" spans="1:29" s="44" customFormat="1" ht="24.95" customHeight="1">
      <c r="A1947" s="42" t="str">
        <f>"C"&amp;E1941</f>
        <v>C65</v>
      </c>
      <c r="B1947" s="605" t="str">
        <f t="shared" si="391"/>
        <v/>
      </c>
      <c r="C1947" s="581"/>
      <c r="D1947" s="581"/>
      <c r="E1947" s="581"/>
      <c r="F1947" s="581"/>
      <c r="G1947" s="534"/>
      <c r="H1947" s="534"/>
      <c r="I1947" s="579"/>
      <c r="J1947" s="580" t="str">
        <f>IF(I1947="","",IF(I1947="I",$F1941,VLOOKUP(I1947,$C1962:$D1967,2,0)))</f>
        <v/>
      </c>
      <c r="K1947" s="535"/>
      <c r="L1947" s="535"/>
      <c r="M1947" s="536"/>
      <c r="N1947" s="232" t="str">
        <f t="shared" si="389"/>
        <v/>
      </c>
      <c r="O1947" s="260" t="str">
        <f t="shared" si="390"/>
        <v/>
      </c>
      <c r="P1947" s="781"/>
      <c r="Q1947" s="782"/>
      <c r="R1947" s="767"/>
      <c r="S1947" s="768"/>
      <c r="T1947" s="538"/>
      <c r="U1947" s="539"/>
      <c r="V1947" s="540"/>
      <c r="X1947" s="541"/>
      <c r="Y1947" s="541"/>
    </row>
    <row r="1948" spans="1:29" s="44" customFormat="1" ht="24.95" customHeight="1">
      <c r="A1948" s="42" t="str">
        <f>"D"&amp;E1941</f>
        <v>D65</v>
      </c>
      <c r="B1948" s="605" t="str">
        <f t="shared" si="391"/>
        <v/>
      </c>
      <c r="C1948" s="581"/>
      <c r="D1948" s="581"/>
      <c r="E1948" s="581"/>
      <c r="F1948" s="581"/>
      <c r="G1948" s="534"/>
      <c r="H1948" s="534"/>
      <c r="I1948" s="579"/>
      <c r="J1948" s="580" t="str">
        <f>IF(I1948="","",IF(I1948="I",$F1941,VLOOKUP(I1948,$C1962:$D1967,2,0)))</f>
        <v/>
      </c>
      <c r="K1948" s="535"/>
      <c r="L1948" s="535"/>
      <c r="M1948" s="536"/>
      <c r="N1948" s="232" t="str">
        <f t="shared" si="389"/>
        <v/>
      </c>
      <c r="O1948" s="260" t="str">
        <f t="shared" si="390"/>
        <v/>
      </c>
      <c r="P1948" s="781"/>
      <c r="Q1948" s="782"/>
      <c r="R1948" s="767"/>
      <c r="S1948" s="768"/>
      <c r="T1948" s="538"/>
      <c r="U1948" s="539"/>
      <c r="V1948" s="540"/>
      <c r="X1948" s="541"/>
      <c r="Y1948" s="541"/>
    </row>
    <row r="1949" spans="1:29" s="44" customFormat="1" ht="24.95" customHeight="1">
      <c r="A1949" s="42" t="str">
        <f>"E"&amp;E1941</f>
        <v>E65</v>
      </c>
      <c r="B1949" s="605" t="str">
        <f t="shared" si="391"/>
        <v/>
      </c>
      <c r="C1949" s="581"/>
      <c r="D1949" s="581"/>
      <c r="E1949" s="581"/>
      <c r="F1949" s="581"/>
      <c r="G1949" s="534"/>
      <c r="H1949" s="534"/>
      <c r="I1949" s="579"/>
      <c r="J1949" s="580" t="str">
        <f>IF(I1949="","",IF(I1949="I",$F1941,VLOOKUP(I1949,$C1962:$D1967,2,0)))</f>
        <v/>
      </c>
      <c r="K1949" s="535"/>
      <c r="L1949" s="535"/>
      <c r="M1949" s="536"/>
      <c r="N1949" s="232" t="str">
        <f t="shared" si="389"/>
        <v/>
      </c>
      <c r="O1949" s="260" t="str">
        <f t="shared" si="390"/>
        <v/>
      </c>
      <c r="P1949" s="781"/>
      <c r="Q1949" s="782"/>
      <c r="R1949" s="767"/>
      <c r="S1949" s="768"/>
      <c r="T1949" s="538"/>
      <c r="U1949" s="539"/>
      <c r="V1949" s="540"/>
      <c r="X1949" s="541"/>
      <c r="Y1949" s="541"/>
    </row>
    <row r="1950" spans="1:29" s="44" customFormat="1" ht="24.95" customHeight="1">
      <c r="A1950" s="42" t="str">
        <f>"F"&amp;E1941</f>
        <v>F65</v>
      </c>
      <c r="B1950" s="605" t="str">
        <f t="shared" si="391"/>
        <v/>
      </c>
      <c r="C1950" s="581"/>
      <c r="D1950" s="581"/>
      <c r="E1950" s="581"/>
      <c r="F1950" s="581"/>
      <c r="G1950" s="534"/>
      <c r="H1950" s="534"/>
      <c r="I1950" s="579"/>
      <c r="J1950" s="580" t="str">
        <f>IF(I1950="","",IF(I1950="I",$F1941,VLOOKUP(I1950,$C1962:$D1967,2,0)))</f>
        <v/>
      </c>
      <c r="K1950" s="535"/>
      <c r="L1950" s="535"/>
      <c r="M1950" s="536"/>
      <c r="N1950" s="232" t="str">
        <f t="shared" si="389"/>
        <v/>
      </c>
      <c r="O1950" s="260" t="str">
        <f t="shared" si="390"/>
        <v/>
      </c>
      <c r="P1950" s="781"/>
      <c r="Q1950" s="782"/>
      <c r="R1950" s="767"/>
      <c r="S1950" s="768"/>
      <c r="T1950" s="538"/>
      <c r="U1950" s="539"/>
      <c r="V1950" s="540"/>
      <c r="X1950" s="541"/>
      <c r="Y1950" s="541"/>
    </row>
    <row r="1951" spans="1:29" s="44" customFormat="1" ht="24.95" customHeight="1">
      <c r="A1951" s="42" t="str">
        <f>"G"&amp;E1941</f>
        <v>G65</v>
      </c>
      <c r="B1951" s="605" t="str">
        <f t="shared" si="391"/>
        <v/>
      </c>
      <c r="C1951" s="581"/>
      <c r="D1951" s="581"/>
      <c r="E1951" s="581"/>
      <c r="F1951" s="581"/>
      <c r="G1951" s="534"/>
      <c r="H1951" s="534"/>
      <c r="I1951" s="579"/>
      <c r="J1951" s="580" t="str">
        <f>IF(I1951="","",IF(I1951="I",$F1941,VLOOKUP(I1951,$C1962:$D1967,2,0)))</f>
        <v/>
      </c>
      <c r="K1951" s="535"/>
      <c r="L1951" s="535"/>
      <c r="M1951" s="536"/>
      <c r="N1951" s="43" t="str">
        <f t="shared" si="389"/>
        <v/>
      </c>
      <c r="O1951" s="260" t="str">
        <f t="shared" si="390"/>
        <v/>
      </c>
      <c r="P1951" s="781"/>
      <c r="Q1951" s="782"/>
      <c r="R1951" s="767"/>
      <c r="S1951" s="768"/>
      <c r="T1951" s="538"/>
      <c r="U1951" s="539"/>
      <c r="V1951" s="540"/>
      <c r="X1951" s="541"/>
      <c r="Y1951" s="541"/>
    </row>
    <row r="1952" spans="1:29" s="44" customFormat="1" ht="24.95" customHeight="1">
      <c r="A1952" s="42" t="str">
        <f>"H"&amp;E1941</f>
        <v>H65</v>
      </c>
      <c r="B1952" s="605" t="str">
        <f t="shared" si="391"/>
        <v/>
      </c>
      <c r="C1952" s="581"/>
      <c r="D1952" s="581"/>
      <c r="E1952" s="581"/>
      <c r="F1952" s="581"/>
      <c r="G1952" s="534"/>
      <c r="H1952" s="534"/>
      <c r="I1952" s="579"/>
      <c r="J1952" s="580" t="str">
        <f>IF(I1952="","",IF(I1952="I",$F1941,VLOOKUP(I1952,$C1962:$D1967,2,0)))</f>
        <v/>
      </c>
      <c r="K1952" s="535"/>
      <c r="L1952" s="535"/>
      <c r="M1952" s="537"/>
      <c r="N1952" s="43" t="str">
        <f t="shared" si="389"/>
        <v/>
      </c>
      <c r="O1952" s="260" t="str">
        <f t="shared" si="390"/>
        <v/>
      </c>
      <c r="P1952" s="781"/>
      <c r="Q1952" s="782"/>
      <c r="R1952" s="767"/>
      <c r="S1952" s="768"/>
      <c r="T1952" s="538"/>
      <c r="U1952" s="539"/>
      <c r="V1952" s="540"/>
      <c r="X1952" s="541"/>
      <c r="Y1952" s="541"/>
    </row>
    <row r="1953" spans="1:29" s="44" customFormat="1" ht="24.95" customHeight="1">
      <c r="A1953" s="42" t="str">
        <f>"I"&amp;E1941</f>
        <v>I65</v>
      </c>
      <c r="B1953" s="605" t="str">
        <f t="shared" si="391"/>
        <v/>
      </c>
      <c r="C1953" s="581"/>
      <c r="D1953" s="581"/>
      <c r="E1953" s="581"/>
      <c r="F1953" s="581"/>
      <c r="G1953" s="534"/>
      <c r="H1953" s="534"/>
      <c r="I1953" s="579"/>
      <c r="J1953" s="580" t="str">
        <f>IF(I1953="","",IF(I1953="I",$F1941,VLOOKUP(I1953,$C1962:$D1967,2,0)))</f>
        <v/>
      </c>
      <c r="K1953" s="535"/>
      <c r="L1953" s="535"/>
      <c r="M1953" s="537"/>
      <c r="N1953" s="43" t="str">
        <f t="shared" si="389"/>
        <v/>
      </c>
      <c r="O1953" s="260" t="str">
        <f t="shared" si="390"/>
        <v/>
      </c>
      <c r="P1953" s="781"/>
      <c r="Q1953" s="782"/>
      <c r="R1953" s="767"/>
      <c r="S1953" s="768"/>
      <c r="T1953" s="538"/>
      <c r="U1953" s="539"/>
      <c r="V1953" s="540"/>
      <c r="X1953" s="541"/>
      <c r="Y1953" s="541"/>
    </row>
    <row r="1954" spans="1:29" s="44" customFormat="1" ht="24.95" customHeight="1" thickBot="1">
      <c r="A1954" s="42" t="str">
        <f>"J"&amp;E1941</f>
        <v>J65</v>
      </c>
      <c r="B1954" s="612" t="str">
        <f t="shared" si="391"/>
        <v/>
      </c>
      <c r="C1954" s="582"/>
      <c r="D1954" s="582"/>
      <c r="E1954" s="582"/>
      <c r="F1954" s="582"/>
      <c r="G1954" s="583"/>
      <c r="H1954" s="583"/>
      <c r="I1954" s="584"/>
      <c r="J1954" s="585" t="str">
        <f>IF(I1954="","",IF(I1954="I",$F1941,VLOOKUP(I1954,$C1962:$D1967,2,0)))</f>
        <v/>
      </c>
      <c r="K1954" s="586"/>
      <c r="L1954" s="586"/>
      <c r="M1954" s="587"/>
      <c r="N1954" s="43" t="str">
        <f t="shared" si="389"/>
        <v/>
      </c>
      <c r="O1954" s="260" t="str">
        <f t="shared" si="390"/>
        <v/>
      </c>
      <c r="P1954" s="781"/>
      <c r="Q1954" s="782"/>
      <c r="R1954" s="767"/>
      <c r="S1954" s="768"/>
      <c r="T1954" s="538"/>
      <c r="U1954" s="539"/>
      <c r="V1954" s="540"/>
      <c r="X1954" s="541"/>
      <c r="Y1954" s="541"/>
    </row>
    <row r="1955" spans="1:29" s="27" customFormat="1" ht="12" customHeight="1" thickBot="1">
      <c r="A1955" s="42"/>
      <c r="B1955" s="45"/>
      <c r="C1955" s="46"/>
      <c r="D1955" s="46"/>
      <c r="E1955" s="46"/>
      <c r="F1955" s="46"/>
      <c r="G1955" s="46"/>
      <c r="H1955" s="606"/>
      <c r="I1955" s="46"/>
      <c r="J1955" s="46"/>
      <c r="K1955" s="46"/>
      <c r="L1955" s="46"/>
      <c r="M1955" s="46"/>
      <c r="N1955" s="46"/>
      <c r="O1955" s="259"/>
      <c r="P1955" s="46"/>
      <c r="Q1955" s="46"/>
      <c r="R1955" s="259"/>
      <c r="S1955" s="46"/>
      <c r="T1955" s="46"/>
      <c r="U1955" s="47"/>
      <c r="V1955" s="48"/>
      <c r="X1955" s="592"/>
      <c r="Y1955" s="593"/>
      <c r="AB1955" s="378"/>
    </row>
    <row r="1956" spans="1:29" s="27" customFormat="1" ht="17.25" customHeight="1" thickBot="1">
      <c r="A1956" s="42" t="str">
        <f>"Z"&amp;E1941</f>
        <v>Z65</v>
      </c>
      <c r="B1956" s="510"/>
      <c r="C1956" s="511"/>
      <c r="D1956" s="511"/>
      <c r="E1956" s="511"/>
      <c r="F1956" s="511"/>
      <c r="G1956" s="511"/>
      <c r="H1956" s="511"/>
      <c r="I1956" s="511"/>
      <c r="J1956" s="511"/>
      <c r="K1956" s="511"/>
      <c r="L1956" s="511"/>
      <c r="M1956" s="511"/>
      <c r="N1956" s="437" t="s">
        <v>388</v>
      </c>
      <c r="O1956" s="438">
        <f>IF(COUNTIF(O1945:O1954,"")&gt;9,0,SUM(O1945:O1954)/(COUNTIF(H1945:H1954,"SI")))</f>
        <v>460.52249999999998</v>
      </c>
      <c r="P1956" s="511"/>
      <c r="Q1956" s="511"/>
      <c r="R1956" s="530"/>
      <c r="S1956" s="530"/>
      <c r="T1956" s="531"/>
      <c r="U1956" s="532"/>
      <c r="V1956" s="533"/>
      <c r="W1956" s="285"/>
      <c r="X1956" s="613" t="e">
        <f>COUNTIF(#REF!,"")-COUNTIF(#REF!,"CUMPLE")-1</f>
        <v>#REF!</v>
      </c>
      <c r="Y1956" s="591"/>
      <c r="AB1956" s="28"/>
    </row>
    <row r="1957" spans="1:29" ht="17.25" customHeight="1">
      <c r="B1957" s="50"/>
      <c r="C1957" s="50"/>
      <c r="D1957" s="50"/>
      <c r="E1957" s="50"/>
      <c r="F1957" s="50"/>
      <c r="G1957" s="51"/>
      <c r="H1957" s="51"/>
      <c r="I1957" s="51"/>
      <c r="J1957" s="51"/>
      <c r="K1957" s="51"/>
      <c r="L1957" s="51"/>
      <c r="M1957" s="51"/>
      <c r="N1957" s="51"/>
      <c r="O1957" s="51"/>
      <c r="P1957" s="51"/>
      <c r="Q1957" s="51"/>
      <c r="R1957" s="51"/>
      <c r="S1957" s="51"/>
      <c r="T1957" s="51"/>
      <c r="U1957" s="51"/>
      <c r="V1957" s="51"/>
      <c r="W1957" s="51"/>
      <c r="X1957" s="608"/>
      <c r="Y1957" s="51"/>
      <c r="Z1957" s="51"/>
      <c r="AA1957" s="51"/>
      <c r="AB1957" s="51"/>
      <c r="AC1957" s="50"/>
    </row>
    <row r="1958" spans="1:29" s="27" customFormat="1" ht="16.5" customHeight="1" thickBot="1">
      <c r="A1958" s="22"/>
      <c r="B1958" s="783" t="s">
        <v>389</v>
      </c>
      <c r="C1958" s="783"/>
      <c r="D1958" s="783"/>
      <c r="E1958" s="783"/>
      <c r="F1958" s="783"/>
      <c r="G1958" s="783"/>
      <c r="H1958" s="783"/>
      <c r="I1958" s="783"/>
      <c r="J1958" s="783"/>
      <c r="K1958" s="783"/>
      <c r="L1958" s="783"/>
      <c r="M1958" s="783"/>
      <c r="N1958" s="783"/>
      <c r="O1958" s="783"/>
      <c r="P1958" s="783"/>
      <c r="Q1958" s="783"/>
      <c r="R1958" s="783"/>
      <c r="S1958" s="783"/>
      <c r="T1958" s="783"/>
      <c r="U1958" s="783"/>
      <c r="V1958" s="783"/>
      <c r="W1958" s="286"/>
      <c r="X1958" s="607"/>
      <c r="Y1958" s="52"/>
      <c r="Z1958" s="52"/>
      <c r="AA1958" s="52"/>
      <c r="AB1958" s="28"/>
      <c r="AC1958" s="28"/>
    </row>
    <row r="1959" spans="1:29" s="30" customFormat="1" ht="22.5" customHeight="1">
      <c r="A1959" s="112" t="str">
        <f>"K"&amp;E1941</f>
        <v>K65</v>
      </c>
      <c r="B1959" s="790" t="s">
        <v>390</v>
      </c>
      <c r="C1959" s="772" t="s">
        <v>391</v>
      </c>
      <c r="D1959" s="773"/>
      <c r="E1959" s="773"/>
      <c r="F1959" s="773"/>
      <c r="G1959" s="773"/>
      <c r="H1959" s="773"/>
      <c r="I1959" s="773"/>
      <c r="J1959" s="773"/>
      <c r="K1959" s="773"/>
      <c r="L1959" s="773"/>
      <c r="M1959" s="774"/>
      <c r="N1959" s="525"/>
      <c r="O1959" s="588"/>
      <c r="P1959" s="772" t="s">
        <v>392</v>
      </c>
      <c r="Q1959" s="773"/>
      <c r="R1959" s="773"/>
      <c r="S1959" s="774"/>
      <c r="T1959" s="784" t="s">
        <v>393</v>
      </c>
      <c r="U1959" s="774"/>
      <c r="V1959" s="811"/>
      <c r="W1959" s="284"/>
      <c r="X1959" s="778" t="s">
        <v>394</v>
      </c>
      <c r="Y1959" s="779"/>
      <c r="Z1959" s="779"/>
      <c r="AA1959" s="779" t="s">
        <v>395</v>
      </c>
      <c r="AB1959" s="808" t="s">
        <v>396</v>
      </c>
      <c r="AC1959" s="28"/>
    </row>
    <row r="1960" spans="1:29" s="30" customFormat="1" ht="22.5" customHeight="1">
      <c r="A1960" s="112" t="str">
        <f>"L"&amp;E1941</f>
        <v>L65</v>
      </c>
      <c r="B1960" s="791"/>
      <c r="C1960" s="769" t="s">
        <v>397</v>
      </c>
      <c r="D1960" s="770"/>
      <c r="E1960" s="771"/>
      <c r="F1960" s="512">
        <f>IF(VLOOKUP(E1941,PROPONENTES!$C$19:$E$108,3,0)="","",VLOOKUP(E1941,PROPONENTES!$C$19:$E$108,3,0))</f>
        <v>1</v>
      </c>
      <c r="G1960" s="824" t="s">
        <v>398</v>
      </c>
      <c r="H1960" s="793" t="s">
        <v>399</v>
      </c>
      <c r="I1960" s="793"/>
      <c r="J1960" s="769" t="s">
        <v>400</v>
      </c>
      <c r="K1960" s="823"/>
      <c r="L1960" s="513" t="s">
        <v>401</v>
      </c>
      <c r="M1960" s="513"/>
      <c r="N1960" s="526"/>
      <c r="O1960" s="527"/>
      <c r="P1960" s="775"/>
      <c r="Q1960" s="776"/>
      <c r="R1960" s="776"/>
      <c r="S1960" s="777"/>
      <c r="T1960" s="796"/>
      <c r="U1960" s="797"/>
      <c r="V1960" s="812"/>
      <c r="W1960" s="284"/>
      <c r="X1960" s="780" t="s">
        <v>402</v>
      </c>
      <c r="Y1960" s="810" t="s">
        <v>403</v>
      </c>
      <c r="Z1960" s="810"/>
      <c r="AA1960" s="810"/>
      <c r="AB1960" s="809"/>
      <c r="AC1960" s="28"/>
    </row>
    <row r="1961" spans="1:29" s="30" customFormat="1" ht="51.75" customHeight="1" thickBot="1">
      <c r="A1961" s="112" t="str">
        <f>"M"&amp;E1941</f>
        <v>M65</v>
      </c>
      <c r="B1961" s="791"/>
      <c r="C1961" s="770" t="s">
        <v>404</v>
      </c>
      <c r="D1961" s="771"/>
      <c r="E1961" s="514" t="s">
        <v>405</v>
      </c>
      <c r="F1961" s="515" t="s">
        <v>406</v>
      </c>
      <c r="G1961" s="824"/>
      <c r="H1961" s="793"/>
      <c r="I1961" s="793"/>
      <c r="J1961" s="504" t="s">
        <v>407</v>
      </c>
      <c r="K1961" s="516" t="s">
        <v>408</v>
      </c>
      <c r="L1961" s="517" t="s">
        <v>409</v>
      </c>
      <c r="M1961" s="517"/>
      <c r="N1961" s="528" t="s">
        <v>410</v>
      </c>
      <c r="O1961" s="529"/>
      <c r="P1961" s="386"/>
      <c r="Q1961" s="387" t="s">
        <v>411</v>
      </c>
      <c r="R1961" s="388"/>
      <c r="S1961" s="113">
        <f>COUNTIFS(H1945:H1954,"SI",O1945:O1954,"&gt;0")</f>
        <v>2</v>
      </c>
      <c r="T1961" s="785"/>
      <c r="U1961" s="787"/>
      <c r="V1961" s="813"/>
      <c r="W1961" s="284"/>
      <c r="X1961" s="780"/>
      <c r="Y1961" s="810"/>
      <c r="Z1961" s="810"/>
      <c r="AA1961" s="810"/>
      <c r="AB1961" s="809"/>
      <c r="AC1961" s="28"/>
    </row>
    <row r="1962" spans="1:29" s="30" customFormat="1" ht="15.75" customHeight="1">
      <c r="A1962" s="112" t="str">
        <f>"N"&amp;E1941</f>
        <v>N65</v>
      </c>
      <c r="B1962" s="791"/>
      <c r="C1962" s="54">
        <v>1</v>
      </c>
      <c r="D1962" s="100" t="str">
        <f>IF(AND(C1962&lt;=F1960,F1960&gt;1,F1960&lt;&gt;""),VLOOKUP(VALUE(E1941&amp;","&amp;C1962),INTEGRANTES!$D$19:$F$192,2,0),"")</f>
        <v/>
      </c>
      <c r="E1962" s="107" t="str">
        <f>IF(D1962&lt;&gt;"",VLOOKUP(VALUE(E1941&amp;","&amp;C1962),INTEGRANTES!$D$19:$F$192,3,0),"")</f>
        <v/>
      </c>
      <c r="F1962" s="380" t="str">
        <f>IF(D1962="","",IF(OR(SUMIF($J1948:$J1954,D1962,$O1948:$O1954)=0,N1962="NO"),"NO APORTA",SUMIF($J1948:$J1954,D1962,$O1948:$O1954)))</f>
        <v/>
      </c>
      <c r="G1962" s="380" t="str">
        <f>IF($D1962="","",IF($F1960&lt;=1,"",ROUND(POSMMLV*PORPO,2)))</f>
        <v/>
      </c>
      <c r="H1962" s="765" t="str">
        <f>IF($D1962="","",IF(OR(F1962="NO APORTA",G1962&gt;F1962),"NO CUMPLE","CUMPLE"))</f>
        <v/>
      </c>
      <c r="I1962" s="766"/>
      <c r="J1962" s="108" t="str">
        <f>IF(D1962="","",IF(OR(AND(SUMIF($J1945:$J1954,D1962,$O1945:$O1954)&gt;=5%*POSMMLV,N1962="SI"),AND(SUMIF($J1945:$J1954,D1962,$O1945:$O1954)=0,E1962&lt;=5%,N1962="SI")),"CUMPLE","NO CUMPLE"))</f>
        <v/>
      </c>
      <c r="K1962" s="105" t="str">
        <f>IF(OR(D1962="",J1962=""),"",IF(AND(J1962="NO CUMPLE",F1962="NO APORTA",E1962&gt;5%),"EXP = 0 y PART &gt; 5%",IF(F1962&lt;5%*Q1967,"EXP &lt; 5%*PO","")))</f>
        <v/>
      </c>
      <c r="L1962" s="389" t="str">
        <f>IF(OR(D1962="",E1962=""),"",IF(AND(E1962&gt;=0.25,F1962&lt;&gt;"NO APORTA",F1962&gt;=$R1967*0.25),"SI","NO"))</f>
        <v/>
      </c>
      <c r="M1962" s="389"/>
      <c r="N1962" s="468" t="s">
        <v>385</v>
      </c>
      <c r="O1962" s="396">
        <f>COUNTIFS(O1945:O1954,"&gt;0",H1945:H1954,"SI")</f>
        <v>2</v>
      </c>
      <c r="P1962" s="814" t="s">
        <v>139</v>
      </c>
      <c r="Q1962" s="814"/>
      <c r="R1962" s="817">
        <f>E1941</f>
        <v>65</v>
      </c>
      <c r="S1962" s="818"/>
      <c r="T1962" s="784" t="s">
        <v>412</v>
      </c>
      <c r="U1962" s="773"/>
      <c r="V1962" s="774"/>
      <c r="W1962" s="283"/>
      <c r="X1962" s="542" t="str">
        <f>IF($F1960=1,"NO APLICA",$D1962)</f>
        <v>NO APLICA</v>
      </c>
      <c r="Y1962" s="543" t="str">
        <f>IF(OR($F1962="",$F1962="NO APORTA",$R1967=0,$X1962="NO APLICA"),"",ROUND($F1962/$Q1967,2))</f>
        <v/>
      </c>
      <c r="Z1962" s="544" t="str">
        <f>IF(Y1968=1,"SI APLICA",IF(OR($X1962="",$X1962="NO APLICA",$F1962="",$F1962="NO APORTA"),"",IF(ROUND($F1962/Q1967,7)&gt;=0.4,"SI APLICA","NO APLICA")))</f>
        <v>SI APLICA</v>
      </c>
      <c r="AA1962" s="543" t="s">
        <v>413</v>
      </c>
      <c r="AB1962" s="540" t="str">
        <f>IF(COUNTIF(Z1962:AA1962,"SI APLICA")=2,"SI APLICA","")</f>
        <v>SI APLICA</v>
      </c>
      <c r="AC1962" s="28"/>
    </row>
    <row r="1963" spans="1:29" s="30" customFormat="1" ht="15.75" customHeight="1" thickBot="1">
      <c r="A1963" s="112" t="str">
        <f>"O"&amp;E1941</f>
        <v>O65</v>
      </c>
      <c r="B1963" s="791"/>
      <c r="C1963" s="54">
        <v>2</v>
      </c>
      <c r="D1963" s="100" t="str">
        <f>IF(AND(C1963&lt;=F1960,F1960&lt;&gt;""),VLOOKUP(VALUE(E1941&amp;","&amp;C1963),INTEGRANTES!$D$19:$F$192,2,0),"")</f>
        <v/>
      </c>
      <c r="E1963" s="107" t="str">
        <f>IF(D1963&lt;&gt;"",VLOOKUP(VALUE(E1941&amp;","&amp;C1963),INTEGRANTES!$D$19:$F$192,3,0),"")</f>
        <v/>
      </c>
      <c r="F1963" s="380" t="str">
        <f>IF(D1963="","",IF(OR(SUMIF($J1948:$J1954,D1963,$O1948:$O1954)=0,N1963="NO"),"NO APORTA",SUMIF($J1948:$J1954,D1963,$O1948:$O1954)))</f>
        <v/>
      </c>
      <c r="G1963" s="380" t="str">
        <f>IF($D1963="","",IF($F1960&lt;=1,"",ROUND(POSMMLV*PORPO,2)))</f>
        <v/>
      </c>
      <c r="H1963" s="765" t="str">
        <f t="shared" ref="H1963:H1966" si="392">IF($D1963="","",IF(OR(F1963="NO APORTA",G1963&gt;F1963),"NO CUMPLE","CUMPLE"))</f>
        <v/>
      </c>
      <c r="I1963" s="766"/>
      <c r="J1963" s="108" t="str">
        <f>IF(D1963="","",IF(OR(AND(SUMIF($J1945:$J1954,D1963,$O1945:$O1954)&gt;=5%*POSMMLV,N1963="SI"),AND(SUMIF($J1945:$J1954,D1963,$O1945:$O1954)=0,E1963&lt;=5%,N1963="SI")),"CUMPLE","NO CUMPLE"))</f>
        <v/>
      </c>
      <c r="K1963" s="105" t="str">
        <f>IF(OR(D1963="",J1963=""),"",IF(AND(J1963="NO CUMPLE",F1963="NO APORTA",E1963&gt;5%),"EXP = 0 y PART &gt; 5%",IF(F1963&lt;5%*Q1967,"EXP &lt; 5%*PO","")))</f>
        <v/>
      </c>
      <c r="L1963" s="389" t="str">
        <f>IF(OR(D1963="",E1963=""),"",IF(AND(E1963&gt;=0.25,F1963&lt;&gt;"NO APORTA",F1963&gt;=$R1967*0.25),"SI","NO"))</f>
        <v/>
      </c>
      <c r="M1963" s="389"/>
      <c r="N1963" s="468" t="s">
        <v>385</v>
      </c>
      <c r="O1963" s="396"/>
      <c r="P1963" s="815"/>
      <c r="Q1963" s="815"/>
      <c r="R1963" s="815"/>
      <c r="S1963" s="819"/>
      <c r="T1963" s="785"/>
      <c r="U1963" s="786"/>
      <c r="V1963" s="787"/>
      <c r="W1963" s="283"/>
      <c r="X1963" s="542" t="str">
        <f>IF($F1960=1,"NO APLICA",$D1963)</f>
        <v>NO APLICA</v>
      </c>
      <c r="Y1963" s="543" t="str">
        <f>IF(OR($F1963="",$F1963="NO APORTA",$R1967=0,$X1963="NO APLICA"),"",ROUND($F1963/$Q1967,2))</f>
        <v/>
      </c>
      <c r="Z1963" s="544"/>
      <c r="AA1963" s="543"/>
      <c r="AB1963" s="540" t="str">
        <f t="shared" ref="AB1963" si="393">IF(COUNTIF(Z1963:AA1963,"SI APLICA")=2,"SI APLICA","")</f>
        <v/>
      </c>
      <c r="AC1963" s="28"/>
    </row>
    <row r="1964" spans="1:29" s="30" customFormat="1" ht="15.75" customHeight="1">
      <c r="A1964" s="112" t="str">
        <f>"P"&amp;E1941</f>
        <v>P65</v>
      </c>
      <c r="B1964" s="791"/>
      <c r="C1964" s="54">
        <v>3</v>
      </c>
      <c r="D1964" s="100" t="str">
        <f>IF(AND(C1964&lt;=F1960,F1960&lt;&gt;""),VLOOKUP(VALUE(E1941&amp;","&amp;C1964),INTEGRANTES!$D$19:$F$192,2,0),"")</f>
        <v/>
      </c>
      <c r="E1964" s="107" t="str">
        <f>IF(D1964&lt;&gt;"",VLOOKUP(VALUE(E1941&amp;","&amp;C1964),INTEGRANTES!$D$19:$F$192,3,0),"")</f>
        <v/>
      </c>
      <c r="F1964" s="380" t="str">
        <f>IF(D1964="","",IF(OR(SUMIF($J1948:$J1954,D1964,$O1948:$O1954)=0,N1964="NO"),"NO APORTA",SUMIF($J1948:$J1954,D1964,$O1948:$O1954)))</f>
        <v/>
      </c>
      <c r="G1964" s="380" t="str">
        <f>IF($D1964="","",IF($F1960&lt;=1,"",ROUND(POSMMLV*PORPO,2)))</f>
        <v/>
      </c>
      <c r="H1964" s="765" t="str">
        <f t="shared" si="392"/>
        <v/>
      </c>
      <c r="I1964" s="766"/>
      <c r="J1964" s="108" t="str">
        <f>IF(D1964="","",IF(OR(AND(SUMIF($J1945:$J1954,D1964,$O1945:$O1954)&gt;=5%*POSMMLV,N1964="SI"),AND(SUMIF($J1945:$J1954,D1964,$O1945:$O1954)=0,E1964&lt;=5%,N1964="SI")),"CUMPLE","NO CUMPLE"))</f>
        <v/>
      </c>
      <c r="K1964" s="105" t="str">
        <f>IF(OR(D1964="",J1964=""),"",IF(AND(J1964="NO CUMPLE",F1964="NO APORTA",E1964&gt;5%),"EXP = 0 y PART &gt; 5%",IF(F1964&lt;5%*Q1967,"EXP &lt; 5%*PO","")))</f>
        <v/>
      </c>
      <c r="L1964" s="389" t="str">
        <f>IF(OR(D1964="",E1964=""),"",IF(AND(E1964&gt;=0.25,F1964&lt;&gt;"NO APORTA",F1964&gt;=$R1967*0.25),"SI","NO"))</f>
        <v/>
      </c>
      <c r="M1964" s="389"/>
      <c r="N1964" s="468"/>
      <c r="O1964" s="397"/>
      <c r="P1964" s="816"/>
      <c r="Q1964" s="816"/>
      <c r="R1964" s="816"/>
      <c r="S1964" s="820"/>
      <c r="T1964" s="308"/>
      <c r="U1964" s="308"/>
      <c r="V1964" s="309"/>
      <c r="W1964" s="284"/>
      <c r="X1964" s="542" t="str">
        <f>IF($F1960=1,"NO APLICA",$D1964)</f>
        <v>NO APLICA</v>
      </c>
      <c r="Y1964" s="543" t="str">
        <f>IF(OR($F1964="",$F1964="NO APORTA",$R1967=0,$X1964="NO APLICA"),"",ROUND($F1964/$Q1967,2))</f>
        <v/>
      </c>
      <c r="Z1964" s="544"/>
      <c r="AA1964" s="543"/>
      <c r="AB1964" s="540" t="str">
        <f>IF(COUNTIF(Z1964:AA1964,"SI APLICA")=2,"SI APLICA","")</f>
        <v/>
      </c>
      <c r="AC1964" s="28"/>
    </row>
    <row r="1965" spans="1:29" s="30" customFormat="1" ht="15.75" customHeight="1">
      <c r="A1965" s="112" t="str">
        <f>"Q"&amp;E1941</f>
        <v>Q65</v>
      </c>
      <c r="B1965" s="791"/>
      <c r="C1965" s="54">
        <v>4</v>
      </c>
      <c r="D1965" s="100" t="str">
        <f>IF(AND(C1965&lt;=F1960,F1960&lt;&gt;""),VLOOKUP(VALUE(E1941&amp;","&amp;C1965),INTEGRANTES!$D$19:$F$192,2,0),"")</f>
        <v/>
      </c>
      <c r="E1965" s="107" t="str">
        <f>IF(D1965&lt;&gt;"",VLOOKUP(VALUE(E1941&amp;","&amp;C1965),INTEGRANTES!$D$19:$F$192,3,0),"")</f>
        <v/>
      </c>
      <c r="F1965" s="380" t="str">
        <f>IF(D1965="","",IF(OR(SUMIF($J1948:$J1954,D1965,$O1948:$O1954)=0,N1965="NO"),"NO APORTA",SUMIF($J1948:$J1954,D1965,$O1948:$O1954)))</f>
        <v/>
      </c>
      <c r="G1965" s="380" t="str">
        <f>IF($D1965="","",IF($F1960&lt;=1,"",ROUND(POSMMLV*PORPO,2)))</f>
        <v/>
      </c>
      <c r="H1965" s="765" t="str">
        <f t="shared" si="392"/>
        <v/>
      </c>
      <c r="I1965" s="766"/>
      <c r="J1965" s="108" t="str">
        <f>IF(D1965="","",IF(OR(AND(SUMIF($J1945:$J1954,D1965,$O1945:$O1954)&gt;=5%*POSMMLV,N1965="SI"),AND(SUMIF($J1945:$J1954,D1965,$O1945:$O1954)=0,E1965&lt;=5%,N1965="SI")),"CUMPLE","NO CUMPLE"))</f>
        <v/>
      </c>
      <c r="K1965" s="105" t="str">
        <f>IF(OR(D1965="",J1965=""),"",IF(AND(J1965="NO CUMPLE",F1965="NO APORTA",E1965&gt;5%),"EXP = 0 y PART &gt; 5%",IF(F1965&lt;5%*Q1967,"EXP &lt; 5%*PO","")))</f>
        <v/>
      </c>
      <c r="L1965" s="389" t="str">
        <f>IF(OR(D1965="",E1965=""),"",IF(AND(E1965&gt;=0.25,F1965&lt;&gt;"NO APORTA",F1965&gt;=$R1967*0.25),"SI","NO"))</f>
        <v/>
      </c>
      <c r="M1965" s="389"/>
      <c r="N1965" s="468"/>
      <c r="O1965" s="788" t="s">
        <v>414</v>
      </c>
      <c r="P1965" s="769" t="s">
        <v>415</v>
      </c>
      <c r="Q1965" s="770"/>
      <c r="R1965" s="770"/>
      <c r="S1965" s="771"/>
      <c r="T1965" s="284"/>
      <c r="U1965" s="284"/>
      <c r="V1965" s="310"/>
      <c r="W1965" s="284"/>
      <c r="X1965" s="542" t="str">
        <f>IF($F1960=1,"NO APLICA",$D1965)</f>
        <v>NO APLICA</v>
      </c>
      <c r="Y1965" s="543" t="str">
        <f>IF(OR($F1965="",$F1965="NO APORTA",$R1967=0,$X1965="NO APLICA"),"",ROUND($F1965/$Q1967,2))</f>
        <v/>
      </c>
      <c r="Z1965" s="544"/>
      <c r="AA1965" s="543"/>
      <c r="AB1965" s="540" t="str">
        <f t="shared" ref="AB1965:AB1966" si="394">IF(COUNTIF(Z1965:AA1965,"SI APLICA")=2,"SI APLICA","")</f>
        <v/>
      </c>
      <c r="AC1965" s="28"/>
    </row>
    <row r="1966" spans="1:29" s="30" customFormat="1" ht="17.25" customHeight="1">
      <c r="A1966" s="112" t="str">
        <f>"R"&amp;E1941</f>
        <v>R65</v>
      </c>
      <c r="B1966" s="791"/>
      <c r="C1966" s="54">
        <v>5</v>
      </c>
      <c r="D1966" s="100" t="str">
        <f>IF(AND(C1966&lt;=F1960,F1960&lt;&gt;""),VLOOKUP(VALUE(E1941&amp;","&amp;C1966),INTEGRANTES!$D$19:$F$192,2,0),"")</f>
        <v/>
      </c>
      <c r="E1966" s="107" t="str">
        <f>IF(D1966&lt;&gt;"",VLOOKUP(VALUE(E1941&amp;","&amp;C1966),INTEGRANTES!$D$19:$F$192,3,0),"")</f>
        <v/>
      </c>
      <c r="F1966" s="380" t="str">
        <f>IF(D1966="","",IF(OR(SUMIF($J1948:$J1954,D1966,$O1948:$O1954)=0,N1966="NO"),"NO APORTA",SUMIF($J1948:$J1954,D1966,$O1948:$O1954)))</f>
        <v/>
      </c>
      <c r="G1966" s="380" t="str">
        <f>IF($D1966="","",IF($F1960&lt;=1,"",ROUND(POSMMLV*PORPO,2)))</f>
        <v/>
      </c>
      <c r="H1966" s="765" t="str">
        <f t="shared" si="392"/>
        <v/>
      </c>
      <c r="I1966" s="766"/>
      <c r="J1966" s="108" t="str">
        <f>IF(D1966="","",IF(OR(AND(SUMIF($J1945:$J1954,D1966,$O1945:$O1954)&gt;=5%*POSMMLV,N1966="SI"),AND(SUMIF($J1945:$J1954,D1966,$O1945:$O1954)=0,E1966&lt;=5%,N1966="SI")),"CUMPLE","NO CUMPLE"))</f>
        <v/>
      </c>
      <c r="K1966" s="105" t="str">
        <f>IF(OR(D1966="",J1966=""),"",IF(AND(J1966="NO CUMPLE",F1966="NO APORTA",E1966&gt;5%),"EXP = 0 y PART &gt; 5%",IF(F1966&lt;5%*Q1967,"EXP &lt; 5%*PO","")))</f>
        <v/>
      </c>
      <c r="L1966" s="389" t="str">
        <f>IF(OR(D1966="",E1966=""),"",IF(AND(E1966&gt;=0.25,F1966&lt;&gt;"NO APORTA",F1966&gt;=$R1967*0.25),"SI","NO"))</f>
        <v/>
      </c>
      <c r="M1966" s="389"/>
      <c r="N1966" s="468"/>
      <c r="O1966" s="789"/>
      <c r="P1966" s="504" t="s">
        <v>416</v>
      </c>
      <c r="Q1966" s="504" t="s">
        <v>417</v>
      </c>
      <c r="R1966" s="793" t="s">
        <v>418</v>
      </c>
      <c r="S1966" s="793"/>
      <c r="T1966" s="284"/>
      <c r="U1966" s="284"/>
      <c r="V1966" s="310"/>
      <c r="W1966" s="284"/>
      <c r="X1966" s="542" t="str">
        <f>IF($F1960=1,"NO APLICA",$D1966)</f>
        <v>NO APLICA</v>
      </c>
      <c r="Y1966" s="543" t="str">
        <f>IF(OR($F1966="",$F1966="NO APORTA",$R1967=0,$X1966="NO APLICA"),"",ROUND($F1966/$Q1967,2))</f>
        <v/>
      </c>
      <c r="Z1966" s="544"/>
      <c r="AA1966" s="543"/>
      <c r="AB1966" s="540" t="str">
        <f t="shared" si="394"/>
        <v/>
      </c>
      <c r="AC1966" s="28"/>
    </row>
    <row r="1967" spans="1:29" s="30" customFormat="1" ht="16.5" customHeight="1" thickBot="1">
      <c r="A1967" s="112" t="str">
        <f>"S"&amp;E1941</f>
        <v>S65</v>
      </c>
      <c r="B1967" s="791"/>
      <c r="C1967" s="109">
        <v>6</v>
      </c>
      <c r="D1967" s="110" t="str">
        <f>IF(AND(C1967&lt;=F1960,F1960&lt;&gt;""),VLOOKUP(VALUE(E1941&amp;","&amp;C1967),INTEGRANTES!$D$19:$F$192,2,0),"")</f>
        <v/>
      </c>
      <c r="E1967" s="111" t="str">
        <f>IF(D1967&lt;&gt;"",VLOOKUP(VALUE(E1941&amp;","&amp;C1967),INTEGRANTES!$D$19:$F$192,3,0),"")</f>
        <v/>
      </c>
      <c r="F1967" s="380" t="str">
        <f>IF(D1967="","",IF(OR(SUMIF($J1948:$J1954,D1967,$O1948:$O1954)=0,N1967="NO"),"NO APORTA",SUMIF($J1948:$J1954,D1967,$O1948:$O1954)))</f>
        <v/>
      </c>
      <c r="G1967" s="380" t="str">
        <f>IF($D1967="","",IF($F1960&lt;=1,"",ROUND(POSMMLV*PORPO,2)))</f>
        <v/>
      </c>
      <c r="H1967" s="765" t="str">
        <f>IF($D1967="","",IF(OR(F1967="NO APORTA",G1967&gt;F1967),"NO CUMPLE","CUMPLE"))</f>
        <v/>
      </c>
      <c r="I1967" s="766"/>
      <c r="J1967" s="108" t="str">
        <f>IF(D1967="","",IF(OR(AND(SUMIF($J1945:$J1954,D1967,$O1945:$O1954)&gt;=5%*POSMMLV,N1967="SI"),AND(SUMIF($J1945:$J1954,D1967,$O1945:$O1954)=0,E1967&lt;=5%,N1967="SI")),"CUMPLE","NO CUMPLE"))</f>
        <v/>
      </c>
      <c r="K1967" s="105" t="str">
        <f>IF(OR(D1967="",J1967=""),"",IF(AND(J1967="NO CUMPLE",F1967="NO APORTA",E1967&gt;5%),"EXP = 0 y PART &gt; 5%",IF(F1967&lt;5%*Q1967,"EXP &lt; 5%*PO","")))</f>
        <v/>
      </c>
      <c r="L1967" s="389" t="str">
        <f>IF(OR(D1967="",E1967=""),"",IF(AND(E1967&gt;=0.25,F1967&lt;&gt;"NO APORTA",F1967&gt;=$R1967*0.25),"SI","NO"))</f>
        <v/>
      </c>
      <c r="M1967" s="389"/>
      <c r="N1967" s="468"/>
      <c r="O1967" s="403" t="str">
        <f ca="1">IF(R1967&gt;=Q1967,"CUMPLE","NO CUMPLE")</f>
        <v>CUMPLE</v>
      </c>
      <c r="P1967" s="312">
        <f>NUMMOD</f>
        <v>1</v>
      </c>
      <c r="Q1967" s="313">
        <f ca="1">IF(P1967="","",ROUND(VLOOKUP(P1967,PRESUPUESTOS!$B$16:$L$16,9,FALSE),7))</f>
        <v>300</v>
      </c>
      <c r="R1967" s="834">
        <f>IF(OR(COUNTIF(O1945:O1954,"")&gt;9,S1961&lt;NUMMINCONT),0,SUM(O1945:O1954))</f>
        <v>921.04499999999996</v>
      </c>
      <c r="S1967" s="834"/>
      <c r="T1967" s="284"/>
      <c r="U1967" s="284"/>
      <c r="V1967" s="310"/>
      <c r="W1967" s="284"/>
      <c r="X1967" s="545" t="str">
        <f>IF($F1960=1,"NO APLICA",$D1967)</f>
        <v>NO APLICA</v>
      </c>
      <c r="Y1967" s="543" t="str">
        <f>IF(OR($F1967="",$F1967="NO APORTA",$R1967=0,$X1967="NO APLICA"),"",ROUND($F1967/$Q1967,2))</f>
        <v/>
      </c>
      <c r="Z1967" s="544"/>
      <c r="AA1967" s="546"/>
      <c r="AB1967" s="540" t="str">
        <f>IF(COUNTIF(Z1967:AA1967,"SI APLICA")=2,"SI APLICA","")</f>
        <v/>
      </c>
      <c r="AC1967" s="28"/>
    </row>
    <row r="1968" spans="1:29" s="30" customFormat="1" ht="16.5" customHeight="1" thickBot="1">
      <c r="A1968" s="112" t="str">
        <f>"T"&amp;E1941</f>
        <v>T65</v>
      </c>
      <c r="B1968" s="792"/>
      <c r="C1968" s="821" t="s">
        <v>419</v>
      </c>
      <c r="D1968" s="822"/>
      <c r="E1968" s="822"/>
      <c r="F1968" s="518"/>
      <c r="G1968" s="519"/>
      <c r="H1968" s="794" t="str">
        <f>IF(OR($F1960="",SUM(E1962:E1967)=0),"",IF(COUNTIF(H1962:H1967,"CUMPLE")&gt;=1,"CUMPLE","NO CUMPLE"))</f>
        <v/>
      </c>
      <c r="I1968" s="795"/>
      <c r="J1968" s="314" t="str">
        <f>IF(COUNTIF(J1962:J1967,"")&gt;5,"",IF(COUNTIF(J1962:J1967,"NO CUMPLE")&gt;0,"NO CUMPLE","CUMPLE"))</f>
        <v/>
      </c>
      <c r="K1968" s="314" t="str">
        <f>IF(OR(AND(F1960=1,N1962="SI"),AND(COUNTIF(H1968:J1968,"CUMPLE")=2)),"CUMPLE","NO CUMPLE")</f>
        <v>CUMPLE</v>
      </c>
      <c r="L1968" s="519"/>
      <c r="M1968" s="519"/>
      <c r="N1968" s="519"/>
      <c r="O1968" s="833" t="str">
        <f ca="1">IF(ISNUMBER(F1941),"",IF(AND(O1967="NO CUMPLE",SUM(N1948:N1954)&lt;Q1967),"EL PROPONENTE SE DEBE REQUERIR POR EXPERIENCIA MINIMA EXIGIDA",""))</f>
        <v/>
      </c>
      <c r="P1968" s="833"/>
      <c r="Q1968" s="833"/>
      <c r="R1968" s="833"/>
      <c r="S1968" s="833"/>
      <c r="T1968" s="522"/>
      <c r="U1968" s="523"/>
      <c r="V1968" s="524"/>
      <c r="W1968" s="284"/>
      <c r="X1968" s="364" t="str">
        <f>IF(Y1968=1,"PROPONENTE INDIVIDUAL","PROPONENTE PLURAL")</f>
        <v>PROPONENTE INDIVIDUAL</v>
      </c>
      <c r="Y1968" s="276">
        <f>F1960</f>
        <v>1</v>
      </c>
      <c r="Z1968" s="277" t="str">
        <f>IF(OR(AND(Z1962="SI APLICA",AA1962="SI APLICA"),AND(Z1963="SI APLICA",AA1963="SI APLICA"),AND(Z1964="SI APLICA",AA1964="SI APLICA"),AND(Z1965="SI APLICA",AA1965="SI APLICA"),AND(Z1966="SI APLICA",AA1966="SI APLICA"),AND(Z1967="SI APLICA",AA1967="SI APLICA")),"SI APLICA","NO APLICA")</f>
        <v>SI APLICA</v>
      </c>
      <c r="AA1968" s="278" t="str">
        <f>IF(OR(AND(AA1962="SI APLICA",AB1962="SI APLICA"),AND(AA1963="SI APLICA",AB1963="SI APLICA"),AND(AA1964="SI APLICA",AB1964="SI APLICA"),AND(AA1965="SI APLICA",AB1965="SI APLICA"),AND(AA1966="SI APLICA",AB1966="SI APLICA"),AND(AA1967="SI APLICA",AB1967="SI APLICA")),"SI APLICA","NO APLICA")</f>
        <v>SI APLICA</v>
      </c>
      <c r="AB1968" s="278" t="str">
        <f>IF(COUNTIF(AB1962:AB1967,"SI APLICA")&gt;0,"SI APLICA","NO APLICA")</f>
        <v>SI APLICA</v>
      </c>
      <c r="AC1968" s="28"/>
    </row>
    <row r="1969" spans="1:29" ht="24.95" customHeight="1"/>
    <row r="1970" spans="1:29" ht="24.95" customHeight="1"/>
    <row r="1971" spans="1:29" s="41" customFormat="1" ht="24" thickBot="1">
      <c r="A1971" s="34">
        <v>66</v>
      </c>
      <c r="B1971" s="828" t="s">
        <v>355</v>
      </c>
      <c r="C1971" s="828"/>
      <c r="D1971" s="828"/>
      <c r="E1971" s="35">
        <f>VLOOKUP(A1971,PROPONENTES!$B$19:$E$108,2,FALSE)</f>
        <v>66</v>
      </c>
      <c r="F1971" s="36" t="str">
        <f>VLOOKUP(A1971,PROPONENTES!$B$19:$E$108,3,FALSE)</f>
        <v>CONSORCIO VIAL INGENIERIA 2022</v>
      </c>
      <c r="G1971" s="37"/>
      <c r="H1971" s="37"/>
      <c r="I1971" s="36"/>
      <c r="J1971" s="36"/>
      <c r="K1971" s="36"/>
      <c r="L1971" s="36"/>
      <c r="M1971" s="38"/>
      <c r="N1971" s="38"/>
      <c r="O1971" s="37"/>
      <c r="P1971" s="37"/>
      <c r="Q1971" s="39"/>
      <c r="R1971" s="39"/>
      <c r="S1971" s="39"/>
      <c r="T1971" s="39"/>
      <c r="U1971" s="40"/>
      <c r="Y1971" s="52"/>
      <c r="Z1971" s="52"/>
      <c r="AA1971" s="52"/>
      <c r="AB1971" s="28"/>
      <c r="AC1971" s="28"/>
    </row>
    <row r="1972" spans="1:29" s="27" customFormat="1" ht="24.75" customHeight="1">
      <c r="A1972" s="22"/>
      <c r="B1972" s="829" t="s">
        <v>356</v>
      </c>
      <c r="C1972" s="501" t="s">
        <v>357</v>
      </c>
      <c r="D1972" s="502" t="s">
        <v>358</v>
      </c>
      <c r="E1972" s="502"/>
      <c r="F1972" s="502" t="s">
        <v>359</v>
      </c>
      <c r="G1972" s="503"/>
      <c r="H1972" s="803" t="s">
        <v>360</v>
      </c>
      <c r="I1972" s="831" t="s">
        <v>361</v>
      </c>
      <c r="J1972" s="803" t="s">
        <v>362</v>
      </c>
      <c r="K1972" s="803" t="s">
        <v>363</v>
      </c>
      <c r="L1972" s="803" t="s">
        <v>364</v>
      </c>
      <c r="M1972" s="803" t="s">
        <v>365</v>
      </c>
      <c r="N1972" s="804" t="s">
        <v>366</v>
      </c>
      <c r="O1972" s="805"/>
      <c r="P1972" s="806" t="s">
        <v>367</v>
      </c>
      <c r="Q1972" s="807"/>
      <c r="R1972" s="784" t="s">
        <v>368</v>
      </c>
      <c r="S1972" s="774"/>
      <c r="T1972" s="798" t="s">
        <v>369</v>
      </c>
      <c r="U1972" s="799"/>
      <c r="V1972" s="800"/>
      <c r="X1972" s="520"/>
      <c r="Y1972" s="520"/>
    </row>
    <row r="1973" spans="1:29" s="27" customFormat="1" ht="94.5" customHeight="1">
      <c r="A1973" s="22"/>
      <c r="B1973" s="830"/>
      <c r="C1973" s="504" t="s">
        <v>370</v>
      </c>
      <c r="D1973" s="505" t="s">
        <v>41</v>
      </c>
      <c r="E1973" s="505" t="s">
        <v>371</v>
      </c>
      <c r="F1973" s="505" t="s">
        <v>372</v>
      </c>
      <c r="G1973" s="506" t="s">
        <v>373</v>
      </c>
      <c r="H1973" s="793"/>
      <c r="I1973" s="832"/>
      <c r="J1973" s="793"/>
      <c r="K1973" s="793"/>
      <c r="L1973" s="793"/>
      <c r="M1973" s="793"/>
      <c r="N1973" s="504" t="s">
        <v>374</v>
      </c>
      <c r="O1973" s="505" t="s">
        <v>375</v>
      </c>
      <c r="P1973" s="801"/>
      <c r="Q1973" s="802"/>
      <c r="R1973" s="796"/>
      <c r="S1973" s="797"/>
      <c r="T1973" s="507" t="s">
        <v>376</v>
      </c>
      <c r="U1973" s="508" t="s">
        <v>377</v>
      </c>
      <c r="V1973" s="509" t="s">
        <v>378</v>
      </c>
      <c r="X1973" s="521" t="s">
        <v>379</v>
      </c>
      <c r="Y1973" s="521" t="s">
        <v>380</v>
      </c>
    </row>
    <row r="1974" spans="1:29" s="27" customFormat="1" ht="15" customHeight="1">
      <c r="A1974" s="22"/>
      <c r="B1974" s="594"/>
      <c r="C1974" s="595">
        <v>3</v>
      </c>
      <c r="D1974" s="595">
        <v>4</v>
      </c>
      <c r="E1974" s="595">
        <v>5</v>
      </c>
      <c r="F1974" s="595">
        <v>6</v>
      </c>
      <c r="G1974" s="595">
        <v>7</v>
      </c>
      <c r="H1974" s="595">
        <v>8</v>
      </c>
      <c r="I1974" s="595">
        <v>9</v>
      </c>
      <c r="J1974" s="595">
        <v>10</v>
      </c>
      <c r="K1974" s="595">
        <v>11</v>
      </c>
      <c r="L1974" s="595">
        <v>12</v>
      </c>
      <c r="M1974" s="595">
        <v>13</v>
      </c>
      <c r="N1974" s="595">
        <v>14</v>
      </c>
      <c r="O1974" s="595">
        <v>15</v>
      </c>
      <c r="P1974" s="596">
        <v>16</v>
      </c>
      <c r="Q1974" s="597">
        <v>17</v>
      </c>
      <c r="R1974" s="596">
        <v>18</v>
      </c>
      <c r="S1974" s="597">
        <v>19</v>
      </c>
      <c r="T1974" s="598">
        <v>20</v>
      </c>
      <c r="U1974" s="255">
        <v>21</v>
      </c>
      <c r="V1974" s="599">
        <v>22</v>
      </c>
      <c r="X1974" s="589"/>
      <c r="Y1974" s="590"/>
    </row>
    <row r="1975" spans="1:29" s="44" customFormat="1" ht="45.75" customHeight="1">
      <c r="A1975" s="42" t="str">
        <f>"A"&amp;E1971</f>
        <v>A66</v>
      </c>
      <c r="B1975" s="605">
        <f>IF(C1975&lt;&gt;"",B1974+1,"")</f>
        <v>1</v>
      </c>
      <c r="C1975" s="581" t="s">
        <v>443</v>
      </c>
      <c r="D1975" s="581" t="s">
        <v>912</v>
      </c>
      <c r="E1975" s="581" t="s">
        <v>913</v>
      </c>
      <c r="F1975" s="581" t="s">
        <v>431</v>
      </c>
      <c r="G1975" s="534">
        <v>0.8</v>
      </c>
      <c r="H1975" s="534" t="s">
        <v>385</v>
      </c>
      <c r="I1975" s="579">
        <v>1</v>
      </c>
      <c r="J1975" s="580" t="str">
        <f>IF(I1975="","",IF(I1975="I",$F1971,VLOOKUP(I1975,$C1992:$D1997,2,0)))</f>
        <v>INCODIM SAS</v>
      </c>
      <c r="K1975" s="535">
        <v>39797</v>
      </c>
      <c r="L1975" s="535">
        <v>39887</v>
      </c>
      <c r="M1975" s="536">
        <v>92.87</v>
      </c>
      <c r="N1975" s="232">
        <f t="shared" ref="N1975:N1984" si="395">IF(OR(G1975="",M1975=""),"",M1975*G1975)</f>
        <v>74.296000000000006</v>
      </c>
      <c r="O1975" s="260">
        <f t="shared" ref="O1975:O1984" si="396">IF(OR(H1975="",H1975="NO",K1975&lt;$Q$17,K1975&gt;$R$17,K1975="",M1975="",N1975=""),"",ROUND(N1975,7))</f>
        <v>74.296000000000006</v>
      </c>
      <c r="P1975" s="781"/>
      <c r="Q1975" s="782"/>
      <c r="R1975" s="767"/>
      <c r="S1975" s="768"/>
      <c r="T1975" s="538" t="s">
        <v>385</v>
      </c>
      <c r="U1975" s="539">
        <v>9</v>
      </c>
      <c r="V1975" s="540" t="s">
        <v>385</v>
      </c>
      <c r="X1975" s="541" t="s">
        <v>423</v>
      </c>
      <c r="Y1975" s="541" t="s">
        <v>439</v>
      </c>
    </row>
    <row r="1976" spans="1:29" s="44" customFormat="1" ht="24.95" customHeight="1">
      <c r="A1976" s="42" t="str">
        <f>"B"&amp;E1971</f>
        <v>B66</v>
      </c>
      <c r="B1976" s="605">
        <f t="shared" ref="B1976:B1984" si="397">IF(C1976&lt;&gt;"",B1975+1,"")</f>
        <v>2</v>
      </c>
      <c r="C1976" s="581" t="s">
        <v>914</v>
      </c>
      <c r="D1976" s="581" t="s">
        <v>915</v>
      </c>
      <c r="E1976" s="581" t="s">
        <v>916</v>
      </c>
      <c r="F1976" s="581" t="s">
        <v>431</v>
      </c>
      <c r="G1976" s="534">
        <v>0.85</v>
      </c>
      <c r="H1976" s="534" t="s">
        <v>385</v>
      </c>
      <c r="I1976" s="579">
        <v>2</v>
      </c>
      <c r="J1976" s="580" t="str">
        <f>IF(I1976="","",IF(I1976="I",$F1971,VLOOKUP(I1976,$C1992:$D1997,2,0)))</f>
        <v>JOSE MAURICIO LOPEZ GAMBOA</v>
      </c>
      <c r="K1976" s="535">
        <v>40606</v>
      </c>
      <c r="L1976" s="535">
        <v>41263</v>
      </c>
      <c r="M1976" s="536">
        <v>1485.74</v>
      </c>
      <c r="N1976" s="232">
        <f t="shared" si="395"/>
        <v>1262.8789999999999</v>
      </c>
      <c r="O1976" s="260">
        <f t="shared" si="396"/>
        <v>1262.8789999999999</v>
      </c>
      <c r="P1976" s="781"/>
      <c r="Q1976" s="782"/>
      <c r="R1976" s="767"/>
      <c r="S1976" s="768"/>
      <c r="T1976" s="538" t="s">
        <v>385</v>
      </c>
      <c r="U1976" s="539">
        <v>10</v>
      </c>
      <c r="V1976" s="540" t="s">
        <v>385</v>
      </c>
      <c r="X1976" s="541" t="s">
        <v>446</v>
      </c>
      <c r="Y1976" s="541" t="s">
        <v>387</v>
      </c>
    </row>
    <row r="1977" spans="1:29" s="44" customFormat="1" ht="42" customHeight="1">
      <c r="A1977" s="42" t="str">
        <f>"C"&amp;E1971</f>
        <v>C66</v>
      </c>
      <c r="B1977" s="605">
        <f t="shared" si="397"/>
        <v>3</v>
      </c>
      <c r="C1977" s="581" t="s">
        <v>443</v>
      </c>
      <c r="D1977" s="581" t="s">
        <v>917</v>
      </c>
      <c r="E1977" s="581" t="s">
        <v>918</v>
      </c>
      <c r="F1977" s="581" t="s">
        <v>431</v>
      </c>
      <c r="G1977" s="534">
        <v>0.8</v>
      </c>
      <c r="H1977" s="534" t="s">
        <v>385</v>
      </c>
      <c r="I1977" s="579">
        <v>2</v>
      </c>
      <c r="J1977" s="580" t="str">
        <f>IF(I1977="","",IF(I1977="I",$F1971,VLOOKUP(I1977,$C1992:$D1997,2,0)))</f>
        <v>JOSE MAURICIO LOPEZ GAMBOA</v>
      </c>
      <c r="K1977" s="535">
        <v>40471</v>
      </c>
      <c r="L1977" s="535">
        <v>40617</v>
      </c>
      <c r="M1977" s="536">
        <v>250.16</v>
      </c>
      <c r="N1977" s="232">
        <f t="shared" si="395"/>
        <v>200.12800000000001</v>
      </c>
      <c r="O1977" s="260">
        <f t="shared" si="396"/>
        <v>200.12799999999999</v>
      </c>
      <c r="P1977" s="781"/>
      <c r="Q1977" s="782"/>
      <c r="R1977" s="767"/>
      <c r="S1977" s="768"/>
      <c r="T1977" s="538" t="s">
        <v>385</v>
      </c>
      <c r="U1977" s="539">
        <v>36</v>
      </c>
      <c r="V1977" s="540" t="s">
        <v>385</v>
      </c>
      <c r="X1977" s="541" t="s">
        <v>449</v>
      </c>
      <c r="Y1977" s="541" t="s">
        <v>387</v>
      </c>
    </row>
    <row r="1978" spans="1:29" s="44" customFormat="1" ht="42" customHeight="1">
      <c r="A1978" s="42" t="str">
        <f>"D"&amp;E1971</f>
        <v>D66</v>
      </c>
      <c r="B1978" s="605">
        <f t="shared" si="397"/>
        <v>4</v>
      </c>
      <c r="C1978" s="581" t="s">
        <v>443</v>
      </c>
      <c r="D1978" s="581" t="s">
        <v>917</v>
      </c>
      <c r="E1978" s="581" t="s">
        <v>919</v>
      </c>
      <c r="F1978" s="581" t="s">
        <v>431</v>
      </c>
      <c r="G1978" s="534">
        <v>0.2</v>
      </c>
      <c r="H1978" s="534" t="s">
        <v>385</v>
      </c>
      <c r="I1978" s="579">
        <v>1</v>
      </c>
      <c r="J1978" s="580" t="str">
        <f>IF(I1978="","",IF(I1978="I",$F1971,VLOOKUP(I1978,$C1992:$D1997,2,0)))</f>
        <v>INCODIM SAS</v>
      </c>
      <c r="K1978" s="535">
        <v>40471</v>
      </c>
      <c r="L1978" s="535">
        <v>40617</v>
      </c>
      <c r="M1978" s="536">
        <v>250.16</v>
      </c>
      <c r="N1978" s="232">
        <f t="shared" si="395"/>
        <v>50.032000000000004</v>
      </c>
      <c r="O1978" s="260">
        <f t="shared" si="396"/>
        <v>50.031999999999996</v>
      </c>
      <c r="P1978" s="781"/>
      <c r="Q1978" s="782"/>
      <c r="R1978" s="767"/>
      <c r="S1978" s="768"/>
      <c r="T1978" s="538" t="s">
        <v>385</v>
      </c>
      <c r="U1978" s="539">
        <v>25</v>
      </c>
      <c r="V1978" s="540" t="s">
        <v>385</v>
      </c>
      <c r="X1978" s="541" t="s">
        <v>449</v>
      </c>
      <c r="Y1978" s="541" t="s">
        <v>387</v>
      </c>
    </row>
    <row r="1979" spans="1:29" s="44" customFormat="1" ht="24.95" customHeight="1">
      <c r="A1979" s="42" t="str">
        <f>"E"&amp;E1971</f>
        <v>E66</v>
      </c>
      <c r="B1979" s="605" t="str">
        <f t="shared" si="397"/>
        <v/>
      </c>
      <c r="C1979" s="581"/>
      <c r="D1979" s="581"/>
      <c r="E1979" s="581"/>
      <c r="F1979" s="581"/>
      <c r="G1979" s="534"/>
      <c r="H1979" s="534"/>
      <c r="I1979" s="579"/>
      <c r="J1979" s="580" t="str">
        <f>IF(I1979="","",IF(I1979="I",$F1971,VLOOKUP(I1979,$C1992:$D1997,2,0)))</f>
        <v/>
      </c>
      <c r="K1979" s="535"/>
      <c r="L1979" s="535"/>
      <c r="M1979" s="536"/>
      <c r="N1979" s="232" t="str">
        <f t="shared" si="395"/>
        <v/>
      </c>
      <c r="O1979" s="260" t="str">
        <f t="shared" si="396"/>
        <v/>
      </c>
      <c r="P1979" s="781"/>
      <c r="Q1979" s="782"/>
      <c r="R1979" s="767"/>
      <c r="S1979" s="768"/>
      <c r="T1979" s="538"/>
      <c r="U1979" s="539"/>
      <c r="V1979" s="540"/>
      <c r="X1979" s="541"/>
      <c r="Y1979" s="541"/>
    </row>
    <row r="1980" spans="1:29" s="44" customFormat="1" ht="24.95" customHeight="1">
      <c r="A1980" s="42" t="str">
        <f>"F"&amp;E1971</f>
        <v>F66</v>
      </c>
      <c r="B1980" s="605" t="str">
        <f t="shared" si="397"/>
        <v/>
      </c>
      <c r="C1980" s="581"/>
      <c r="D1980" s="581"/>
      <c r="E1980" s="581"/>
      <c r="F1980" s="581"/>
      <c r="G1980" s="534"/>
      <c r="H1980" s="534"/>
      <c r="I1980" s="579"/>
      <c r="J1980" s="580" t="str">
        <f>IF(I1980="","",IF(I1980="I",$F1971,VLOOKUP(I1980,$C1992:$D1997,2,0)))</f>
        <v/>
      </c>
      <c r="K1980" s="535"/>
      <c r="L1980" s="535"/>
      <c r="M1980" s="536"/>
      <c r="N1980" s="232" t="str">
        <f t="shared" si="395"/>
        <v/>
      </c>
      <c r="O1980" s="260" t="str">
        <f t="shared" si="396"/>
        <v/>
      </c>
      <c r="P1980" s="781"/>
      <c r="Q1980" s="782"/>
      <c r="R1980" s="767"/>
      <c r="S1980" s="768"/>
      <c r="T1980" s="538"/>
      <c r="U1980" s="539"/>
      <c r="V1980" s="540"/>
      <c r="X1980" s="541"/>
      <c r="Y1980" s="541"/>
    </row>
    <row r="1981" spans="1:29" s="44" customFormat="1" ht="24.95" customHeight="1">
      <c r="A1981" s="42" t="str">
        <f>"G"&amp;E1971</f>
        <v>G66</v>
      </c>
      <c r="B1981" s="605" t="str">
        <f t="shared" si="397"/>
        <v/>
      </c>
      <c r="C1981" s="581"/>
      <c r="D1981" s="581"/>
      <c r="E1981" s="581"/>
      <c r="F1981" s="581"/>
      <c r="G1981" s="534"/>
      <c r="H1981" s="534"/>
      <c r="I1981" s="579"/>
      <c r="J1981" s="580" t="str">
        <f>IF(I1981="","",IF(I1981="I",$F1971,VLOOKUP(I1981,$C1992:$D1997,2,0)))</f>
        <v/>
      </c>
      <c r="K1981" s="535"/>
      <c r="L1981" s="535"/>
      <c r="M1981" s="536"/>
      <c r="N1981" s="43" t="str">
        <f t="shared" si="395"/>
        <v/>
      </c>
      <c r="O1981" s="260" t="str">
        <f t="shared" si="396"/>
        <v/>
      </c>
      <c r="P1981" s="781"/>
      <c r="Q1981" s="782"/>
      <c r="R1981" s="767"/>
      <c r="S1981" s="768"/>
      <c r="T1981" s="538"/>
      <c r="U1981" s="539"/>
      <c r="V1981" s="540"/>
      <c r="X1981" s="541"/>
      <c r="Y1981" s="541"/>
    </row>
    <row r="1982" spans="1:29" s="44" customFormat="1" ht="24.95" customHeight="1">
      <c r="A1982" s="42" t="str">
        <f>"H"&amp;E1971</f>
        <v>H66</v>
      </c>
      <c r="B1982" s="605" t="str">
        <f t="shared" si="397"/>
        <v/>
      </c>
      <c r="C1982" s="581"/>
      <c r="D1982" s="581"/>
      <c r="E1982" s="581"/>
      <c r="F1982" s="581"/>
      <c r="G1982" s="534"/>
      <c r="H1982" s="534"/>
      <c r="I1982" s="579"/>
      <c r="J1982" s="580" t="str">
        <f>IF(I1982="","",IF(I1982="I",$F1971,VLOOKUP(I1982,$C1992:$D1997,2,0)))</f>
        <v/>
      </c>
      <c r="K1982" s="535"/>
      <c r="L1982" s="535"/>
      <c r="M1982" s="537"/>
      <c r="N1982" s="43" t="str">
        <f t="shared" si="395"/>
        <v/>
      </c>
      <c r="O1982" s="260" t="str">
        <f t="shared" si="396"/>
        <v/>
      </c>
      <c r="P1982" s="781"/>
      <c r="Q1982" s="782"/>
      <c r="R1982" s="767"/>
      <c r="S1982" s="768"/>
      <c r="T1982" s="538"/>
      <c r="U1982" s="539"/>
      <c r="V1982" s="540"/>
      <c r="X1982" s="541"/>
      <c r="Y1982" s="541"/>
    </row>
    <row r="1983" spans="1:29" s="44" customFormat="1" ht="24.95" customHeight="1">
      <c r="A1983" s="42" t="str">
        <f>"I"&amp;E1971</f>
        <v>I66</v>
      </c>
      <c r="B1983" s="605" t="str">
        <f t="shared" si="397"/>
        <v/>
      </c>
      <c r="C1983" s="581"/>
      <c r="D1983" s="581"/>
      <c r="E1983" s="581"/>
      <c r="F1983" s="581"/>
      <c r="G1983" s="534"/>
      <c r="H1983" s="534"/>
      <c r="I1983" s="579"/>
      <c r="J1983" s="580" t="str">
        <f>IF(I1983="","",IF(I1983="I",$F1971,VLOOKUP(I1983,$C1992:$D1997,2,0)))</f>
        <v/>
      </c>
      <c r="K1983" s="535"/>
      <c r="L1983" s="535"/>
      <c r="M1983" s="537"/>
      <c r="N1983" s="43" t="str">
        <f t="shared" si="395"/>
        <v/>
      </c>
      <c r="O1983" s="260" t="str">
        <f t="shared" si="396"/>
        <v/>
      </c>
      <c r="P1983" s="781"/>
      <c r="Q1983" s="782"/>
      <c r="R1983" s="767"/>
      <c r="S1983" s="768"/>
      <c r="T1983" s="538"/>
      <c r="U1983" s="539"/>
      <c r="V1983" s="540"/>
      <c r="X1983" s="541"/>
      <c r="Y1983" s="541"/>
    </row>
    <row r="1984" spans="1:29" s="44" customFormat="1" ht="24.95" customHeight="1" thickBot="1">
      <c r="A1984" s="42" t="str">
        <f>"J"&amp;E1971</f>
        <v>J66</v>
      </c>
      <c r="B1984" s="612" t="str">
        <f t="shared" si="397"/>
        <v/>
      </c>
      <c r="C1984" s="582"/>
      <c r="D1984" s="582"/>
      <c r="E1984" s="582"/>
      <c r="F1984" s="582"/>
      <c r="G1984" s="583"/>
      <c r="H1984" s="583"/>
      <c r="I1984" s="584"/>
      <c r="J1984" s="585" t="str">
        <f>IF(I1984="","",IF(I1984="I",$F1971,VLOOKUP(I1984,$C1992:$D1997,2,0)))</f>
        <v/>
      </c>
      <c r="K1984" s="586"/>
      <c r="L1984" s="586"/>
      <c r="M1984" s="587"/>
      <c r="N1984" s="43" t="str">
        <f t="shared" si="395"/>
        <v/>
      </c>
      <c r="O1984" s="260" t="str">
        <f t="shared" si="396"/>
        <v/>
      </c>
      <c r="P1984" s="781"/>
      <c r="Q1984" s="782"/>
      <c r="R1984" s="767"/>
      <c r="S1984" s="768"/>
      <c r="T1984" s="538"/>
      <c r="U1984" s="539"/>
      <c r="V1984" s="540"/>
      <c r="X1984" s="541"/>
      <c r="Y1984" s="541"/>
    </row>
    <row r="1985" spans="1:29" s="27" customFormat="1" ht="12" customHeight="1" thickBot="1">
      <c r="A1985" s="42"/>
      <c r="B1985" s="45"/>
      <c r="C1985" s="46"/>
      <c r="D1985" s="46"/>
      <c r="E1985" s="46"/>
      <c r="F1985" s="46"/>
      <c r="G1985" s="46"/>
      <c r="H1985" s="606"/>
      <c r="I1985" s="46"/>
      <c r="J1985" s="46"/>
      <c r="K1985" s="46"/>
      <c r="L1985" s="46"/>
      <c r="M1985" s="46"/>
      <c r="N1985" s="46"/>
      <c r="O1985" s="259"/>
      <c r="P1985" s="46"/>
      <c r="Q1985" s="46"/>
      <c r="R1985" s="259"/>
      <c r="S1985" s="46"/>
      <c r="T1985" s="46"/>
      <c r="U1985" s="47"/>
      <c r="V1985" s="48"/>
      <c r="X1985" s="592"/>
      <c r="Y1985" s="593"/>
      <c r="AB1985" s="378"/>
    </row>
    <row r="1986" spans="1:29" s="27" customFormat="1" ht="17.25" customHeight="1" thickBot="1">
      <c r="A1986" s="42" t="str">
        <f>"Z"&amp;E1971</f>
        <v>Z66</v>
      </c>
      <c r="B1986" s="510"/>
      <c r="C1986" s="511"/>
      <c r="D1986" s="511"/>
      <c r="E1986" s="511"/>
      <c r="F1986" s="511"/>
      <c r="G1986" s="511"/>
      <c r="H1986" s="511"/>
      <c r="I1986" s="511"/>
      <c r="J1986" s="511"/>
      <c r="K1986" s="511"/>
      <c r="L1986" s="511"/>
      <c r="M1986" s="511"/>
      <c r="N1986" s="437" t="s">
        <v>388</v>
      </c>
      <c r="O1986" s="438">
        <f>IF(COUNTIF(O1975:O1984,"")&gt;9,0,SUM(O1975:O1984)/(COUNTIF(H1975:H1984,"SI")))</f>
        <v>396.83374999999995</v>
      </c>
      <c r="P1986" s="511"/>
      <c r="Q1986" s="511"/>
      <c r="R1986" s="530"/>
      <c r="S1986" s="530"/>
      <c r="T1986" s="531"/>
      <c r="U1986" s="532"/>
      <c r="V1986" s="533"/>
      <c r="W1986" s="285"/>
      <c r="X1986" s="613" t="e">
        <f>COUNTIF(#REF!,"")-COUNTIF(#REF!,"CUMPLE")-1</f>
        <v>#REF!</v>
      </c>
      <c r="Y1986" s="591"/>
      <c r="AB1986" s="28"/>
    </row>
    <row r="1987" spans="1:29" ht="17.25" customHeight="1">
      <c r="B1987" s="50"/>
      <c r="C1987" s="50"/>
      <c r="D1987" s="50"/>
      <c r="E1987" s="50"/>
      <c r="F1987" s="50"/>
      <c r="G1987" s="51"/>
      <c r="H1987" s="51"/>
      <c r="I1987" s="51"/>
      <c r="J1987" s="51"/>
      <c r="K1987" s="51"/>
      <c r="L1987" s="51"/>
      <c r="M1987" s="51"/>
      <c r="N1987" s="51"/>
      <c r="O1987" s="51"/>
      <c r="P1987" s="51"/>
      <c r="Q1987" s="51"/>
      <c r="R1987" s="51"/>
      <c r="S1987" s="51"/>
      <c r="T1987" s="51"/>
      <c r="U1987" s="51"/>
      <c r="V1987" s="51"/>
      <c r="W1987" s="51"/>
      <c r="X1987" s="608"/>
      <c r="Y1987" s="51"/>
      <c r="Z1987" s="51"/>
      <c r="AA1987" s="51"/>
      <c r="AB1987" s="51"/>
      <c r="AC1987" s="50"/>
    </row>
    <row r="1988" spans="1:29" s="27" customFormat="1" ht="16.5" customHeight="1" thickBot="1">
      <c r="A1988" s="22"/>
      <c r="B1988" s="783" t="s">
        <v>389</v>
      </c>
      <c r="C1988" s="783"/>
      <c r="D1988" s="783"/>
      <c r="E1988" s="783"/>
      <c r="F1988" s="783"/>
      <c r="G1988" s="783"/>
      <c r="H1988" s="783"/>
      <c r="I1988" s="783"/>
      <c r="J1988" s="783"/>
      <c r="K1988" s="783"/>
      <c r="L1988" s="783"/>
      <c r="M1988" s="783"/>
      <c r="N1988" s="783"/>
      <c r="O1988" s="783"/>
      <c r="P1988" s="783"/>
      <c r="Q1988" s="783"/>
      <c r="R1988" s="783"/>
      <c r="S1988" s="783"/>
      <c r="T1988" s="783"/>
      <c r="U1988" s="783"/>
      <c r="V1988" s="783"/>
      <c r="W1988" s="286"/>
      <c r="X1988" s="607"/>
      <c r="Y1988" s="52"/>
      <c r="Z1988" s="52"/>
      <c r="AA1988" s="52"/>
      <c r="AB1988" s="28"/>
      <c r="AC1988" s="28"/>
    </row>
    <row r="1989" spans="1:29" s="30" customFormat="1" ht="22.5" customHeight="1">
      <c r="A1989" s="112" t="str">
        <f>"K"&amp;E1971</f>
        <v>K66</v>
      </c>
      <c r="B1989" s="790" t="s">
        <v>390</v>
      </c>
      <c r="C1989" s="772" t="s">
        <v>391</v>
      </c>
      <c r="D1989" s="773"/>
      <c r="E1989" s="773"/>
      <c r="F1989" s="773"/>
      <c r="G1989" s="773"/>
      <c r="H1989" s="773"/>
      <c r="I1989" s="773"/>
      <c r="J1989" s="773"/>
      <c r="K1989" s="773"/>
      <c r="L1989" s="773"/>
      <c r="M1989" s="774"/>
      <c r="N1989" s="525"/>
      <c r="O1989" s="588"/>
      <c r="P1989" s="772" t="s">
        <v>392</v>
      </c>
      <c r="Q1989" s="773"/>
      <c r="R1989" s="773"/>
      <c r="S1989" s="774"/>
      <c r="T1989" s="784" t="s">
        <v>393</v>
      </c>
      <c r="U1989" s="774"/>
      <c r="V1989" s="811"/>
      <c r="W1989" s="284"/>
      <c r="X1989" s="778" t="s">
        <v>394</v>
      </c>
      <c r="Y1989" s="779"/>
      <c r="Z1989" s="779"/>
      <c r="AA1989" s="779" t="s">
        <v>395</v>
      </c>
      <c r="AB1989" s="808" t="s">
        <v>396</v>
      </c>
      <c r="AC1989" s="28"/>
    </row>
    <row r="1990" spans="1:29" s="30" customFormat="1" ht="22.5" customHeight="1">
      <c r="A1990" s="112" t="str">
        <f>"L"&amp;E1971</f>
        <v>L66</v>
      </c>
      <c r="B1990" s="791"/>
      <c r="C1990" s="769" t="s">
        <v>397</v>
      </c>
      <c r="D1990" s="770"/>
      <c r="E1990" s="771"/>
      <c r="F1990" s="512">
        <f>IF(VLOOKUP(E1971,PROPONENTES!$C$19:$E$108,3,0)="","",VLOOKUP(E1971,PROPONENTES!$C$19:$E$108,3,0))</f>
        <v>2</v>
      </c>
      <c r="G1990" s="824" t="s">
        <v>398</v>
      </c>
      <c r="H1990" s="793" t="s">
        <v>399</v>
      </c>
      <c r="I1990" s="793"/>
      <c r="J1990" s="769" t="s">
        <v>400</v>
      </c>
      <c r="K1990" s="823"/>
      <c r="L1990" s="513" t="s">
        <v>401</v>
      </c>
      <c r="M1990" s="513"/>
      <c r="N1990" s="526"/>
      <c r="O1990" s="527"/>
      <c r="P1990" s="775"/>
      <c r="Q1990" s="776"/>
      <c r="R1990" s="776"/>
      <c r="S1990" s="777"/>
      <c r="T1990" s="796"/>
      <c r="U1990" s="797"/>
      <c r="V1990" s="812"/>
      <c r="W1990" s="284"/>
      <c r="X1990" s="780" t="s">
        <v>402</v>
      </c>
      <c r="Y1990" s="810" t="s">
        <v>403</v>
      </c>
      <c r="Z1990" s="810"/>
      <c r="AA1990" s="810"/>
      <c r="AB1990" s="809"/>
      <c r="AC1990" s="28"/>
    </row>
    <row r="1991" spans="1:29" s="30" customFormat="1" ht="51.75" customHeight="1" thickBot="1">
      <c r="A1991" s="112" t="str">
        <f>"M"&amp;E1971</f>
        <v>M66</v>
      </c>
      <c r="B1991" s="791"/>
      <c r="C1991" s="770" t="s">
        <v>404</v>
      </c>
      <c r="D1991" s="771"/>
      <c r="E1991" s="514" t="s">
        <v>405</v>
      </c>
      <c r="F1991" s="515" t="s">
        <v>406</v>
      </c>
      <c r="G1991" s="824"/>
      <c r="H1991" s="793"/>
      <c r="I1991" s="793"/>
      <c r="J1991" s="504" t="s">
        <v>407</v>
      </c>
      <c r="K1991" s="516" t="s">
        <v>408</v>
      </c>
      <c r="L1991" s="517" t="s">
        <v>409</v>
      </c>
      <c r="M1991" s="517"/>
      <c r="N1991" s="528" t="s">
        <v>410</v>
      </c>
      <c r="O1991" s="529"/>
      <c r="P1991" s="386"/>
      <c r="Q1991" s="387" t="s">
        <v>411</v>
      </c>
      <c r="R1991" s="388"/>
      <c r="S1991" s="113">
        <f>COUNTIFS(H1975:H1984,"SI",O1975:O1984,"&gt;0")</f>
        <v>4</v>
      </c>
      <c r="T1991" s="785"/>
      <c r="U1991" s="787"/>
      <c r="V1991" s="813"/>
      <c r="W1991" s="284"/>
      <c r="X1991" s="780"/>
      <c r="Y1991" s="810"/>
      <c r="Z1991" s="810"/>
      <c r="AA1991" s="810"/>
      <c r="AB1991" s="809"/>
      <c r="AC1991" s="28"/>
    </row>
    <row r="1992" spans="1:29" s="30" customFormat="1" ht="15.75" customHeight="1">
      <c r="A1992" s="112" t="str">
        <f>"N"&amp;E1971</f>
        <v>N66</v>
      </c>
      <c r="B1992" s="791"/>
      <c r="C1992" s="54">
        <v>1</v>
      </c>
      <c r="D1992" s="100" t="str">
        <f>IF(AND(C1992&lt;=F1990,F1990&gt;1,F1990&lt;&gt;""),VLOOKUP(VALUE(E1971&amp;","&amp;C1992),INTEGRANTES!$D$19:$F$192,2,0),"")</f>
        <v>INCODIM SAS</v>
      </c>
      <c r="E1992" s="107">
        <f>IF(D1992&lt;&gt;"",VLOOKUP(VALUE(E1971&amp;","&amp;C1992),INTEGRANTES!$D$19:$F$192,3,0),"")</f>
        <v>0.75</v>
      </c>
      <c r="F1992" s="380">
        <f>IF(D1992="","",IF(OR(SUMIF($J1975:$J1984,D1992,$O1975:$O1984)=0,N1992="NO"),"NO APORTA",SUMIF($J1975:$J1984,D1992,$O1975:$O1984)))</f>
        <v>124.328</v>
      </c>
      <c r="G1992" s="380">
        <f ca="1">IF($D1992="","",IF($F1990&lt;=1,"",ROUND(POSMMLV*PORPO,2)))</f>
        <v>150</v>
      </c>
      <c r="H1992" s="765" t="str">
        <f ca="1">IF($D1992="","",IF(OR(F1992="NO APORTA",G1992&gt;F1992),"NO CUMPLE","CUMPLE"))</f>
        <v>NO CUMPLE</v>
      </c>
      <c r="I1992" s="766"/>
      <c r="J1992" s="108" t="str">
        <f ca="1">IF(D1992="","",IF(OR(AND(SUMIF($J1975:$J1984,D1992,$O1975:$O1984)&gt;=5%*POSMMLV,N1992="SI"),AND(SUMIF($J1975:$J1984,D1992,$O1975:$O1984)=0,E1992&lt;=5%,N1992="SI")),"CUMPLE","NO CUMPLE"))</f>
        <v>CUMPLE</v>
      </c>
      <c r="K1992" s="105" t="str">
        <f ca="1">IF(OR(D1992="",J1992=""),"",IF(AND(J1992="NO CUMPLE",F1992="NO APORTA",E1992&gt;5%),"EXP = 0 y PART &gt; 5%",IF(F1992&lt;5%*Q1997,"EXP &lt; 5%*PO","")))</f>
        <v/>
      </c>
      <c r="L1992" s="389" t="str">
        <f>IF(OR(D1992="",E1992=""),"",IF(AND(E1992&gt;=0.25,F1992&lt;&gt;"NO APORTA",F1992&gt;=$R1997*0.25),"SI","NO"))</f>
        <v>NO</v>
      </c>
      <c r="M1992" s="389"/>
      <c r="N1992" s="468" t="s">
        <v>385</v>
      </c>
      <c r="O1992" s="396">
        <f>COUNTIFS(O1975:O1984,"&gt;0",H1975:H1984,"SI")</f>
        <v>4</v>
      </c>
      <c r="P1992" s="814" t="s">
        <v>139</v>
      </c>
      <c r="Q1992" s="814"/>
      <c r="R1992" s="817">
        <f>E1971</f>
        <v>66</v>
      </c>
      <c r="S1992" s="818"/>
      <c r="T1992" s="784" t="s">
        <v>412</v>
      </c>
      <c r="U1992" s="773"/>
      <c r="V1992" s="774"/>
      <c r="W1992" s="283"/>
      <c r="X1992" s="542" t="str">
        <f>IF($F1990=1,"NO APLICA",$D1992)</f>
        <v>INCODIM SAS</v>
      </c>
      <c r="Y1992" s="543">
        <f ca="1">IF(OR($F1992="",$F1992="NO APORTA",$R1997=0,$X1992="NO APLICA"),"",ROUND($F1992/$Q1997,2))</f>
        <v>0.41</v>
      </c>
      <c r="Z1992" s="544" t="str">
        <f ca="1">IF(Y1998=1,"SI APLICA",IF(OR($X1992="",$X1992="NO APLICA",$F1992="",$F1992="NO APORTA"),"",IF(ROUND($F1992/Q1997,7)&gt;=0.4,"SI APLICA","NO APLICA")))</f>
        <v>SI APLICA</v>
      </c>
      <c r="AA1992" s="543" t="s">
        <v>413</v>
      </c>
      <c r="AB1992" s="540" t="str">
        <f ca="1">IF(COUNTIF(Z1992:AA1992,"SI APLICA")=2,"SI APLICA","")</f>
        <v>SI APLICA</v>
      </c>
      <c r="AC1992" s="28"/>
    </row>
    <row r="1993" spans="1:29" s="30" customFormat="1" ht="22.5" customHeight="1" thickBot="1">
      <c r="A1993" s="112" t="str">
        <f>"O"&amp;E1971</f>
        <v>O66</v>
      </c>
      <c r="B1993" s="791"/>
      <c r="C1993" s="54">
        <v>2</v>
      </c>
      <c r="D1993" s="100" t="str">
        <f>IF(AND(C1993&lt;=F1990,F1990&lt;&gt;""),VLOOKUP(VALUE(E1971&amp;","&amp;C1993),INTEGRANTES!$D$19:$F$192,2,0),"")</f>
        <v>JOSE MAURICIO LOPEZ GAMBOA</v>
      </c>
      <c r="E1993" s="107">
        <f>IF(D1993&lt;&gt;"",VLOOKUP(VALUE(E1971&amp;","&amp;C1993),INTEGRANTES!$D$19:$F$192,3,0),"")</f>
        <v>0.25</v>
      </c>
      <c r="F1993" s="380">
        <f>IF(D1993="","",IF(OR(SUMIF($J1975:$J1984,D1993,$O1975:$O1984)=0,N1993="NO"),"NO APORTA",SUMIF($J1975:$J1984,D1993,$O1975:$O1984)))</f>
        <v>1463.0069999999998</v>
      </c>
      <c r="G1993" s="380">
        <f ca="1">IF($D1993="","",IF($F1990&lt;=1,"",ROUND(POSMMLV*PORPO,2)))</f>
        <v>150</v>
      </c>
      <c r="H1993" s="765" t="str">
        <f t="shared" ref="H1993:H1996" ca="1" si="398">IF($D1993="","",IF(OR(F1993="NO APORTA",G1993&gt;F1993),"NO CUMPLE","CUMPLE"))</f>
        <v>CUMPLE</v>
      </c>
      <c r="I1993" s="766"/>
      <c r="J1993" s="108" t="str">
        <f ca="1">IF(D1993="","",IF(OR(AND(SUMIF($J1975:$J1984,D1993,$O1975:$O1984)&gt;=5%*POSMMLV,N1993="SI"),AND(SUMIF($J1975:$J1984,D1993,$O1975:$O1984)=0,E1993&lt;=5%,N1993="SI")),"CUMPLE","NO CUMPLE"))</f>
        <v>CUMPLE</v>
      </c>
      <c r="K1993" s="105" t="str">
        <f ca="1">IF(OR(D1993="",J1993=""),"",IF(AND(J1993="NO CUMPLE",F1993="NO APORTA",E1993&gt;5%),"EXP = 0 y PART &gt; 5%",IF(F1993&lt;5%*Q1997,"EXP &lt; 5%*PO","")))</f>
        <v/>
      </c>
      <c r="L1993" s="389" t="str">
        <f>IF(OR(D1993="",E1993=""),"",IF(AND(E1993&gt;=0.25,F1993&lt;&gt;"NO APORTA",F1993&gt;=$R1997*0.25),"SI","NO"))</f>
        <v>SI</v>
      </c>
      <c r="M1993" s="389"/>
      <c r="N1993" s="468" t="s">
        <v>385</v>
      </c>
      <c r="O1993" s="396"/>
      <c r="P1993" s="815"/>
      <c r="Q1993" s="815"/>
      <c r="R1993" s="815"/>
      <c r="S1993" s="819"/>
      <c r="T1993" s="785"/>
      <c r="U1993" s="786"/>
      <c r="V1993" s="787"/>
      <c r="W1993" s="283"/>
      <c r="X1993" s="542" t="str">
        <f>IF($F1990=1,"NO APLICA",$D1993)</f>
        <v>JOSE MAURICIO LOPEZ GAMBOA</v>
      </c>
      <c r="Y1993" s="543">
        <f ca="1">IF(OR($F1993="",$F1993="NO APORTA",$R1997=0,$X1993="NO APLICA"),"",ROUND($F1993/$Q1997,2))</f>
        <v>4.88</v>
      </c>
      <c r="Z1993" s="544" t="str">
        <f ca="1">IF(Y1998=1,"SI APLICA",IF(OR($X1993="",$X1993="NO APLICA",$F1993="",$F1993="NO APORTA"),"",IF(ROUND($F1993/Q1997,7)&gt;=0.4,"SI APLICA","NO APLICA")))</f>
        <v>SI APLICA</v>
      </c>
      <c r="AA1993" s="543" t="s">
        <v>516</v>
      </c>
      <c r="AB1993" s="540" t="str">
        <f t="shared" ref="AB1993" ca="1" si="399">IF(COUNTIF(Z1993:AA1993,"SI APLICA")=2,"SI APLICA","")</f>
        <v/>
      </c>
      <c r="AC1993" s="28"/>
    </row>
    <row r="1994" spans="1:29" s="30" customFormat="1" ht="15.75" customHeight="1">
      <c r="A1994" s="112" t="str">
        <f>"P"&amp;E1971</f>
        <v>P66</v>
      </c>
      <c r="B1994" s="791"/>
      <c r="C1994" s="54">
        <v>3</v>
      </c>
      <c r="D1994" s="100" t="str">
        <f>IF(AND(C1994&lt;=F1990,F1990&lt;&gt;""),VLOOKUP(VALUE(E1971&amp;","&amp;C1994),INTEGRANTES!$D$19:$F$192,2,0),"")</f>
        <v/>
      </c>
      <c r="E1994" s="107" t="str">
        <f>IF(D1994&lt;&gt;"",VLOOKUP(VALUE(E1971&amp;","&amp;C1994),INTEGRANTES!$D$19:$F$192,3,0),"")</f>
        <v/>
      </c>
      <c r="F1994" s="380" t="str">
        <f>IF(D1994="","",IF(OR(SUMIF($J1978:$J1984,D1994,$O1978:$O1984)=0,N1994="NO"),"NO APORTA",SUMIF($J1978:$J1984,D1994,$O1978:$O1984)))</f>
        <v/>
      </c>
      <c r="G1994" s="380" t="str">
        <f>IF($D1994="","",IF($F1990&lt;=1,"",ROUND(POSMMLV*PORPO,2)))</f>
        <v/>
      </c>
      <c r="H1994" s="765" t="str">
        <f t="shared" si="398"/>
        <v/>
      </c>
      <c r="I1994" s="766"/>
      <c r="J1994" s="108" t="str">
        <f>IF(D1994="","",IF(OR(AND(SUMIF($J1975:$J1984,D1994,$O1975:$O1984)&gt;=5%*POSMMLV,N1994="SI"),AND(SUMIF($J1975:$J1984,D1994,$O1975:$O1984)=0,E1994&lt;=5%,N1994="SI")),"CUMPLE","NO CUMPLE"))</f>
        <v/>
      </c>
      <c r="K1994" s="105" t="str">
        <f>IF(OR(D1994="",J1994=""),"",IF(AND(J1994="NO CUMPLE",F1994="NO APORTA",E1994&gt;5%),"EXP = 0 y PART &gt; 5%",IF(F1994&lt;5%*Q1997,"EXP &lt; 5%*PO","")))</f>
        <v/>
      </c>
      <c r="L1994" s="389" t="str">
        <f>IF(OR(D1994="",E1994=""),"",IF(AND(E1994&gt;=0.25,F1994&lt;&gt;"NO APORTA",F1994&gt;=$R1997*0.25),"SI","NO"))</f>
        <v/>
      </c>
      <c r="M1994" s="389"/>
      <c r="N1994" s="468"/>
      <c r="O1994" s="397"/>
      <c r="P1994" s="816"/>
      <c r="Q1994" s="816"/>
      <c r="R1994" s="816"/>
      <c r="S1994" s="820"/>
      <c r="T1994" s="308"/>
      <c r="U1994" s="308"/>
      <c r="V1994" s="309"/>
      <c r="W1994" s="284"/>
      <c r="X1994" s="542" t="str">
        <f>IF($F1990=1,"NO APLICA",$D1994)</f>
        <v/>
      </c>
      <c r="Y1994" s="543" t="str">
        <f>IF(OR($F1994="",$F1994="NO APORTA",$R1997=0,$X1994="NO APLICA"),"",ROUND($F1994/$Q1997,2))</f>
        <v/>
      </c>
      <c r="Z1994" s="544" t="str">
        <f>IF(Y1998=1,"SI APLICA",IF(OR($X1994="",$X1994="NO APLICA",$F1994="",$F1994="NO APORTA"),"",IF(ROUND($F1994/Q1997,7)&gt;=0.4,"SI APLICA","NO APLICA")))</f>
        <v/>
      </c>
      <c r="AA1994" s="543"/>
      <c r="AB1994" s="540" t="str">
        <f>IF(COUNTIF(Z1994:AA1994,"SI APLICA")=2,"SI APLICA","")</f>
        <v/>
      </c>
      <c r="AC1994" s="28"/>
    </row>
    <row r="1995" spans="1:29" s="30" customFormat="1" ht="15.75" customHeight="1">
      <c r="A1995" s="112" t="str">
        <f>"Q"&amp;E1971</f>
        <v>Q66</v>
      </c>
      <c r="B1995" s="791"/>
      <c r="C1995" s="54">
        <v>4</v>
      </c>
      <c r="D1995" s="100" t="str">
        <f>IF(AND(C1995&lt;=F1990,F1990&lt;&gt;""),VLOOKUP(VALUE(E1971&amp;","&amp;C1995),INTEGRANTES!$D$19:$F$192,2,0),"")</f>
        <v/>
      </c>
      <c r="E1995" s="107" t="str">
        <f>IF(D1995&lt;&gt;"",VLOOKUP(VALUE(E1971&amp;","&amp;C1995),INTEGRANTES!$D$19:$F$192,3,0),"")</f>
        <v/>
      </c>
      <c r="F1995" s="380" t="str">
        <f>IF(D1995="","",IF(OR(SUMIF($J1978:$J1984,D1995,$O1978:$O1984)=0,N1995="NO"),"NO APORTA",SUMIF($J1978:$J1984,D1995,$O1978:$O1984)))</f>
        <v/>
      </c>
      <c r="G1995" s="380" t="str">
        <f>IF($D1995="","",IF($F1990&lt;=1,"",ROUND(POSMMLV*PORPO,2)))</f>
        <v/>
      </c>
      <c r="H1995" s="765" t="str">
        <f t="shared" si="398"/>
        <v/>
      </c>
      <c r="I1995" s="766"/>
      <c r="J1995" s="108" t="str">
        <f>IF(D1995="","",IF(OR(AND(SUMIF($J1975:$J1984,D1995,$O1975:$O1984)&gt;=5%*POSMMLV,N1995="SI"),AND(SUMIF($J1975:$J1984,D1995,$O1975:$O1984)=0,E1995&lt;=5%,N1995="SI")),"CUMPLE","NO CUMPLE"))</f>
        <v/>
      </c>
      <c r="K1995" s="105" t="str">
        <f>IF(OR(D1995="",J1995=""),"",IF(AND(J1995="NO CUMPLE",F1995="NO APORTA",E1995&gt;5%),"EXP = 0 y PART &gt; 5%",IF(F1995&lt;5%*Q1997,"EXP &lt; 5%*PO","")))</f>
        <v/>
      </c>
      <c r="L1995" s="389" t="str">
        <f>IF(OR(D1995="",E1995=""),"",IF(AND(E1995&gt;=0.25,F1995&lt;&gt;"NO APORTA",F1995&gt;=$R1997*0.25),"SI","NO"))</f>
        <v/>
      </c>
      <c r="M1995" s="389"/>
      <c r="N1995" s="468"/>
      <c r="O1995" s="788" t="s">
        <v>414</v>
      </c>
      <c r="P1995" s="769" t="s">
        <v>415</v>
      </c>
      <c r="Q1995" s="770"/>
      <c r="R1995" s="770"/>
      <c r="S1995" s="771"/>
      <c r="T1995" s="284"/>
      <c r="U1995" s="284"/>
      <c r="V1995" s="310"/>
      <c r="W1995" s="284"/>
      <c r="X1995" s="542" t="str">
        <f>IF($F1990=1,"NO APLICA",$D1995)</f>
        <v/>
      </c>
      <c r="Y1995" s="543" t="str">
        <f>IF(OR($F1995="",$F1995="NO APORTA",$R1997=0,$X1995="NO APLICA"),"",ROUND($F1995/$Q1997,2))</f>
        <v/>
      </c>
      <c r="Z1995" s="544" t="str">
        <f>IF(Y1998=1,"SI APLICA",IF(OR($X1995="",$X1995="NO APLICA",$F1995="",$F1995="NO APORTA"),"",IF(ROUND($F1995/Q1997,7)&gt;=0.4,"SI APLICA","NO APLICA")))</f>
        <v/>
      </c>
      <c r="AA1995" s="543"/>
      <c r="AB1995" s="540" t="str">
        <f t="shared" ref="AB1995:AB1996" si="400">IF(COUNTIF(Z1995:AA1995,"SI APLICA")=2,"SI APLICA","")</f>
        <v/>
      </c>
      <c r="AC1995" s="28"/>
    </row>
    <row r="1996" spans="1:29" s="30" customFormat="1" ht="17.25" customHeight="1">
      <c r="A1996" s="112" t="str">
        <f>"R"&amp;E1971</f>
        <v>R66</v>
      </c>
      <c r="B1996" s="791"/>
      <c r="C1996" s="54">
        <v>5</v>
      </c>
      <c r="D1996" s="100" t="str">
        <f>IF(AND(C1996&lt;=F1990,F1990&lt;&gt;""),VLOOKUP(VALUE(E1971&amp;","&amp;C1996),INTEGRANTES!$D$19:$F$192,2,0),"")</f>
        <v/>
      </c>
      <c r="E1996" s="107" t="str">
        <f>IF(D1996&lt;&gt;"",VLOOKUP(VALUE(E1971&amp;","&amp;C1996),INTEGRANTES!$D$19:$F$192,3,0),"")</f>
        <v/>
      </c>
      <c r="F1996" s="380" t="str">
        <f>IF(D1996="","",IF(OR(SUMIF($J1978:$J1984,D1996,$O1978:$O1984)=0,N1996="NO"),"NO APORTA",SUMIF($J1978:$J1984,D1996,$O1978:$O1984)))</f>
        <v/>
      </c>
      <c r="G1996" s="380" t="str">
        <f>IF($D1996="","",IF($F1990&lt;=1,"",ROUND(POSMMLV*PORPO,2)))</f>
        <v/>
      </c>
      <c r="H1996" s="765" t="str">
        <f t="shared" si="398"/>
        <v/>
      </c>
      <c r="I1996" s="766"/>
      <c r="J1996" s="108" t="str">
        <f>IF(D1996="","",IF(OR(AND(SUMIF($J1975:$J1984,D1996,$O1975:$O1984)&gt;=5%*POSMMLV,N1996="SI"),AND(SUMIF($J1975:$J1984,D1996,$O1975:$O1984)=0,E1996&lt;=5%,N1996="SI")),"CUMPLE","NO CUMPLE"))</f>
        <v/>
      </c>
      <c r="K1996" s="105" t="str">
        <f>IF(OR(D1996="",J1996=""),"",IF(AND(J1996="NO CUMPLE",F1996="NO APORTA",E1996&gt;5%),"EXP = 0 y PART &gt; 5%",IF(F1996&lt;5%*Q1997,"EXP &lt; 5%*PO","")))</f>
        <v/>
      </c>
      <c r="L1996" s="389" t="str">
        <f>IF(OR(D1996="",E1996=""),"",IF(AND(E1996&gt;=0.25,F1996&lt;&gt;"NO APORTA",F1996&gt;=$R1997*0.25),"SI","NO"))</f>
        <v/>
      </c>
      <c r="M1996" s="389"/>
      <c r="N1996" s="468"/>
      <c r="O1996" s="789"/>
      <c r="P1996" s="504" t="s">
        <v>416</v>
      </c>
      <c r="Q1996" s="504" t="s">
        <v>417</v>
      </c>
      <c r="R1996" s="793" t="s">
        <v>418</v>
      </c>
      <c r="S1996" s="793"/>
      <c r="T1996" s="284"/>
      <c r="U1996" s="284"/>
      <c r="V1996" s="310"/>
      <c r="W1996" s="284"/>
      <c r="X1996" s="542" t="str">
        <f>IF($F1990=1,"NO APLICA",$D1996)</f>
        <v/>
      </c>
      <c r="Y1996" s="543" t="str">
        <f>IF(OR($F1996="",$F1996="NO APORTA",$R1997=0,$X1996="NO APLICA"),"",ROUND($F1996/$Q1997,2))</f>
        <v/>
      </c>
      <c r="Z1996" s="544" t="str">
        <f>IF(Y1998=1,"SI APLICA",IF(OR($X1996="",$X1996="NO APLICA",$F1996="",$F1996="NO APORTA"),"",IF(ROUND($F1996/Q1997,7)&gt;=0.4,"SI APLICA","NO APLICA")))</f>
        <v/>
      </c>
      <c r="AA1996" s="543"/>
      <c r="AB1996" s="540" t="str">
        <f t="shared" si="400"/>
        <v/>
      </c>
      <c r="AC1996" s="28"/>
    </row>
    <row r="1997" spans="1:29" s="30" customFormat="1" ht="16.5" customHeight="1" thickBot="1">
      <c r="A1997" s="112" t="str">
        <f>"S"&amp;E1971</f>
        <v>S66</v>
      </c>
      <c r="B1997" s="791"/>
      <c r="C1997" s="109">
        <v>6</v>
      </c>
      <c r="D1997" s="110" t="str">
        <f>IF(AND(C1997&lt;=F1990,F1990&lt;&gt;""),VLOOKUP(VALUE(E1971&amp;","&amp;C1997),INTEGRANTES!$D$19:$F$192,2,0),"")</f>
        <v/>
      </c>
      <c r="E1997" s="111" t="str">
        <f>IF(D1997&lt;&gt;"",VLOOKUP(VALUE(E1971&amp;","&amp;C1997),INTEGRANTES!$D$19:$F$192,3,0),"")</f>
        <v/>
      </c>
      <c r="F1997" s="380" t="str">
        <f>IF(D1997="","",IF(OR(SUMIF($J1978:$J1984,D1997,$O1978:$O1984)=0,N1997="NO"),"NO APORTA",SUMIF($J1978:$J1984,D1997,$O1978:$O1984)))</f>
        <v/>
      </c>
      <c r="G1997" s="380" t="str">
        <f>IF($D1997="","",IF($F1990&lt;=1,"",ROUND(POSMMLV*PORPO,2)))</f>
        <v/>
      </c>
      <c r="H1997" s="765" t="str">
        <f>IF($D1997="","",IF(OR(F1997="NO APORTA",G1997&gt;F1997),"NO CUMPLE","CUMPLE"))</f>
        <v/>
      </c>
      <c r="I1997" s="766"/>
      <c r="J1997" s="108" t="str">
        <f>IF(D1997="","",IF(OR(AND(SUMIF($J1975:$J1984,D1997,$O1975:$O1984)&gt;=5%*POSMMLV,N1997="SI"),AND(SUMIF($J1975:$J1984,D1997,$O1975:$O1984)=0,E1997&lt;=5%,N1997="SI")),"CUMPLE","NO CUMPLE"))</f>
        <v/>
      </c>
      <c r="K1997" s="105" t="str">
        <f>IF(OR(D1997="",J1997=""),"",IF(AND(J1997="NO CUMPLE",F1997="NO APORTA",E1997&gt;5%),"EXP = 0 y PART &gt; 5%",IF(F1997&lt;5%*Q1997,"EXP &lt; 5%*PO","")))</f>
        <v/>
      </c>
      <c r="L1997" s="389" t="str">
        <f>IF(OR(D1997="",E1997=""),"",IF(AND(E1997&gt;=0.25,F1997&lt;&gt;"NO APORTA",F1997&gt;=$R1997*0.25),"SI","NO"))</f>
        <v/>
      </c>
      <c r="M1997" s="389"/>
      <c r="N1997" s="468"/>
      <c r="O1997" s="403" t="str">
        <f ca="1">IF(R1997&gt;=Q1997,"CUMPLE","NO CUMPLE")</f>
        <v>CUMPLE</v>
      </c>
      <c r="P1997" s="312">
        <f>NUMMOD</f>
        <v>1</v>
      </c>
      <c r="Q1997" s="313">
        <f ca="1">IF(P1997="","",ROUND(VLOOKUP(P1997,PRESUPUESTOS!$B$16:$L$16,9,FALSE),7))</f>
        <v>300</v>
      </c>
      <c r="R1997" s="834">
        <f>IF(OR(COUNTIF(O1975:O1984,"")&gt;9,S1991&lt;NUMMINCONT),0,SUM(O1975:O1984))</f>
        <v>1587.3349999999998</v>
      </c>
      <c r="S1997" s="834"/>
      <c r="T1997" s="284"/>
      <c r="U1997" s="284"/>
      <c r="V1997" s="310"/>
      <c r="W1997" s="284"/>
      <c r="X1997" s="545" t="str">
        <f>IF($F1990=1,"NO APLICA",$D1997)</f>
        <v/>
      </c>
      <c r="Y1997" s="543" t="str">
        <f>IF(OR($F1997="",$F1997="NO APORTA",$R1997=0,$X1997="NO APLICA"),"",ROUND($F1997/$Q1997,2))</f>
        <v/>
      </c>
      <c r="Z1997" s="544" t="str">
        <f>IF(Y1998=1,"SI APLICA",IF(OR($X1997="",$X1997="NO APLICA",$F1997="",$F1997="NO APORTA"),"",IF(ROUND($F1997/Q1997,7)&gt;=0.4,"SI APLICA","NO APLICA")))</f>
        <v/>
      </c>
      <c r="AA1997" s="546"/>
      <c r="AB1997" s="540" t="str">
        <f>IF(COUNTIF(Z1997:AA1997,"SI APLICA")=2,"SI APLICA","")</f>
        <v/>
      </c>
      <c r="AC1997" s="28"/>
    </row>
    <row r="1998" spans="1:29" s="30" customFormat="1" ht="16.5" customHeight="1" thickBot="1">
      <c r="A1998" s="112" t="str">
        <f>"T"&amp;E1971</f>
        <v>T66</v>
      </c>
      <c r="B1998" s="792"/>
      <c r="C1998" s="821" t="s">
        <v>419</v>
      </c>
      <c r="D1998" s="822"/>
      <c r="E1998" s="822"/>
      <c r="F1998" s="518"/>
      <c r="G1998" s="519"/>
      <c r="H1998" s="794" t="str">
        <f ca="1">IF(OR($F1990="",SUM(E1992:E1997)=0),"",IF(COUNTIF(H1992:H1997,"CUMPLE")&gt;=1,"CUMPLE","NO CUMPLE"))</f>
        <v>CUMPLE</v>
      </c>
      <c r="I1998" s="795"/>
      <c r="J1998" s="314" t="str">
        <f ca="1">IF(COUNTIF(J1992:J1997,"")&gt;5,"",IF(COUNTIF(J1992:J1997,"NO CUMPLE")&gt;0,"NO CUMPLE","CUMPLE"))</f>
        <v>CUMPLE</v>
      </c>
      <c r="K1998" s="314" t="str">
        <f ca="1">IF(OR(AND(F1990=1,N1992="SI"),AND(COUNTIF(H1998:J1998,"CUMPLE")=2)),"CUMPLE","NO CUMPLE")</f>
        <v>CUMPLE</v>
      </c>
      <c r="L1998" s="519"/>
      <c r="M1998" s="519"/>
      <c r="N1998" s="519"/>
      <c r="O1998" s="833" t="str">
        <f ca="1">IF(ISNUMBER(F1971),"",IF(AND(O1997="NO CUMPLE",SUM(N1978:N1984)&lt;Q1997),"EL PROPONENTE SE DEBE REQUERIR POR EXPERIENCIA MINIMA EXIGIDA",""))</f>
        <v/>
      </c>
      <c r="P1998" s="833"/>
      <c r="Q1998" s="833"/>
      <c r="R1998" s="833"/>
      <c r="S1998" s="833"/>
      <c r="T1998" s="522"/>
      <c r="U1998" s="523"/>
      <c r="V1998" s="524"/>
      <c r="W1998" s="284"/>
      <c r="X1998" s="364" t="str">
        <f>IF(Y1998=1,"PROPONENTE INDIVIDUAL","PROPONENTE PLURAL")</f>
        <v>PROPONENTE PLURAL</v>
      </c>
      <c r="Y1998" s="276">
        <f>F1990</f>
        <v>2</v>
      </c>
      <c r="Z1998" s="277" t="str">
        <f ca="1">IF(OR(AND(Z1992="SI APLICA",AA1992="SI APLICA"),AND(Z1993="SI APLICA",AA1993="SI APLICA"),AND(Z1994="SI APLICA",AA1994="SI APLICA"),AND(Z1995="SI APLICA",AA1995="SI APLICA"),AND(Z1996="SI APLICA",AA1996="SI APLICA"),AND(Z1997="SI APLICA",AA1997="SI APLICA")),"SI APLICA","NO APLICA")</f>
        <v>SI APLICA</v>
      </c>
      <c r="AA1998" s="278" t="str">
        <f ca="1">IF(OR(AND(AA1992="SI APLICA",AB1992="SI APLICA"),AND(AA1993="SI APLICA",AB1993="SI APLICA"),AND(AA1994="SI APLICA",AB1994="SI APLICA"),AND(AA1995="SI APLICA",AB1995="SI APLICA"),AND(AA1996="SI APLICA",AB1996="SI APLICA"),AND(AA1997="SI APLICA",AB1997="SI APLICA")),"SI APLICA","NO APLICA")</f>
        <v>SI APLICA</v>
      </c>
      <c r="AB1998" s="278" t="str">
        <f ca="1">IF(COUNTIF(AB1992:AB1997,"SI APLICA")&gt;0,"SI APLICA","NO APLICA")</f>
        <v>SI APLICA</v>
      </c>
      <c r="AC1998" s="28"/>
    </row>
    <row r="1999" spans="1:29" ht="24.95" customHeight="1"/>
    <row r="2000" spans="1:29" ht="24.95" customHeight="1"/>
    <row r="2001" spans="1:29" s="41" customFormat="1" ht="24" thickBot="1">
      <c r="A2001" s="34">
        <v>67</v>
      </c>
      <c r="B2001" s="828" t="s">
        <v>355</v>
      </c>
      <c r="C2001" s="828"/>
      <c r="D2001" s="828"/>
      <c r="E2001" s="35">
        <f>VLOOKUP(A2001,PROPONENTES!$B$19:$E$108,2,FALSE)</f>
        <v>67</v>
      </c>
      <c r="F2001" s="36" t="str">
        <f>VLOOKUP(A2001,PROPONENTES!$B$19:$E$108,3,FALSE)</f>
        <v>CONSORCIO AV</v>
      </c>
      <c r="G2001" s="37"/>
      <c r="H2001" s="37"/>
      <c r="I2001" s="36"/>
      <c r="J2001" s="36"/>
      <c r="K2001" s="36"/>
      <c r="L2001" s="36"/>
      <c r="M2001" s="38"/>
      <c r="N2001" s="38"/>
      <c r="O2001" s="37"/>
      <c r="P2001" s="37"/>
      <c r="Q2001" s="39"/>
      <c r="R2001" s="39"/>
      <c r="S2001" s="39"/>
      <c r="T2001" s="39"/>
      <c r="U2001" s="40"/>
      <c r="Y2001" s="52"/>
      <c r="Z2001" s="52"/>
      <c r="AA2001" s="52"/>
      <c r="AB2001" s="28"/>
      <c r="AC2001" s="28"/>
    </row>
    <row r="2002" spans="1:29" s="27" customFormat="1" ht="24.75" customHeight="1">
      <c r="A2002" s="22"/>
      <c r="B2002" s="829" t="s">
        <v>356</v>
      </c>
      <c r="C2002" s="501" t="s">
        <v>357</v>
      </c>
      <c r="D2002" s="502" t="s">
        <v>358</v>
      </c>
      <c r="E2002" s="502"/>
      <c r="F2002" s="502" t="s">
        <v>359</v>
      </c>
      <c r="G2002" s="503"/>
      <c r="H2002" s="803" t="s">
        <v>360</v>
      </c>
      <c r="I2002" s="831" t="s">
        <v>361</v>
      </c>
      <c r="J2002" s="803" t="s">
        <v>362</v>
      </c>
      <c r="K2002" s="803" t="s">
        <v>363</v>
      </c>
      <c r="L2002" s="803" t="s">
        <v>364</v>
      </c>
      <c r="M2002" s="803" t="s">
        <v>365</v>
      </c>
      <c r="N2002" s="804" t="s">
        <v>366</v>
      </c>
      <c r="O2002" s="805"/>
      <c r="P2002" s="806" t="s">
        <v>367</v>
      </c>
      <c r="Q2002" s="807"/>
      <c r="R2002" s="784" t="s">
        <v>368</v>
      </c>
      <c r="S2002" s="774"/>
      <c r="T2002" s="798" t="s">
        <v>369</v>
      </c>
      <c r="U2002" s="799"/>
      <c r="V2002" s="800"/>
      <c r="X2002" s="520"/>
      <c r="Y2002" s="520"/>
    </row>
    <row r="2003" spans="1:29" s="27" customFormat="1" ht="94.5" customHeight="1">
      <c r="A2003" s="22"/>
      <c r="B2003" s="830"/>
      <c r="C2003" s="504" t="s">
        <v>370</v>
      </c>
      <c r="D2003" s="505" t="s">
        <v>41</v>
      </c>
      <c r="E2003" s="505" t="s">
        <v>371</v>
      </c>
      <c r="F2003" s="505" t="s">
        <v>372</v>
      </c>
      <c r="G2003" s="506" t="s">
        <v>373</v>
      </c>
      <c r="H2003" s="793"/>
      <c r="I2003" s="832"/>
      <c r="J2003" s="793"/>
      <c r="K2003" s="793"/>
      <c r="L2003" s="793"/>
      <c r="M2003" s="793"/>
      <c r="N2003" s="504" t="s">
        <v>374</v>
      </c>
      <c r="O2003" s="505" t="s">
        <v>375</v>
      </c>
      <c r="P2003" s="801"/>
      <c r="Q2003" s="802"/>
      <c r="R2003" s="796"/>
      <c r="S2003" s="797"/>
      <c r="T2003" s="507" t="s">
        <v>376</v>
      </c>
      <c r="U2003" s="508" t="s">
        <v>377</v>
      </c>
      <c r="V2003" s="509" t="s">
        <v>378</v>
      </c>
      <c r="X2003" s="521" t="s">
        <v>379</v>
      </c>
      <c r="Y2003" s="521" t="s">
        <v>380</v>
      </c>
    </row>
    <row r="2004" spans="1:29" s="27" customFormat="1" ht="15" customHeight="1">
      <c r="A2004" s="22"/>
      <c r="B2004" s="594"/>
      <c r="C2004" s="595">
        <v>3</v>
      </c>
      <c r="D2004" s="595">
        <v>4</v>
      </c>
      <c r="E2004" s="595">
        <v>5</v>
      </c>
      <c r="F2004" s="595">
        <v>6</v>
      </c>
      <c r="G2004" s="595">
        <v>7</v>
      </c>
      <c r="H2004" s="595">
        <v>8</v>
      </c>
      <c r="I2004" s="595">
        <v>9</v>
      </c>
      <c r="J2004" s="595">
        <v>10</v>
      </c>
      <c r="K2004" s="595">
        <v>11</v>
      </c>
      <c r="L2004" s="595">
        <v>12</v>
      </c>
      <c r="M2004" s="595">
        <v>13</v>
      </c>
      <c r="N2004" s="595">
        <v>14</v>
      </c>
      <c r="O2004" s="595">
        <v>15</v>
      </c>
      <c r="P2004" s="596">
        <v>16</v>
      </c>
      <c r="Q2004" s="597">
        <v>17</v>
      </c>
      <c r="R2004" s="596">
        <v>18</v>
      </c>
      <c r="S2004" s="597">
        <v>19</v>
      </c>
      <c r="T2004" s="598">
        <v>20</v>
      </c>
      <c r="U2004" s="255">
        <v>21</v>
      </c>
      <c r="V2004" s="599">
        <v>22</v>
      </c>
      <c r="X2004" s="589"/>
      <c r="Y2004" s="590"/>
    </row>
    <row r="2005" spans="1:29" s="44" customFormat="1" ht="45" customHeight="1">
      <c r="A2005" s="42" t="str">
        <f>"A"&amp;E2001</f>
        <v>A67</v>
      </c>
      <c r="B2005" s="605">
        <f>IF(C2005&lt;&gt;"",B2004+1,"")</f>
        <v>1</v>
      </c>
      <c r="C2005" s="581" t="s">
        <v>920</v>
      </c>
      <c r="D2005" s="581" t="s">
        <v>921</v>
      </c>
      <c r="E2005" s="581" t="s">
        <v>922</v>
      </c>
      <c r="F2005" s="581" t="s">
        <v>431</v>
      </c>
      <c r="G2005" s="534">
        <v>0.5</v>
      </c>
      <c r="H2005" s="534" t="s">
        <v>385</v>
      </c>
      <c r="I2005" s="579">
        <v>1</v>
      </c>
      <c r="J2005" s="580" t="str">
        <f>IF(I2005="","",IF(I2005="I",$F2001,VLOOKUP(I2005,$C2022:$D2027,2,0)))</f>
        <v>VICTOR GUILLERMO RODRIGUEZ RAMIREZ</v>
      </c>
      <c r="K2005" s="535">
        <v>40308</v>
      </c>
      <c r="L2005" s="535">
        <v>40518</v>
      </c>
      <c r="M2005" s="536">
        <v>618.64</v>
      </c>
      <c r="N2005" s="232">
        <f t="shared" ref="N2005:N2014" si="401">IF(OR(G2005="",M2005=""),"",M2005*G2005)</f>
        <v>309.32</v>
      </c>
      <c r="O2005" s="260">
        <f t="shared" ref="O2005:O2014" si="402">IF(OR(H2005="",H2005="NO",K2005&lt;$Q$17,K2005&gt;$R$17,K2005="",M2005="",N2005=""),"",ROUND(N2005,7))</f>
        <v>309.32</v>
      </c>
      <c r="P2005" s="781"/>
      <c r="Q2005" s="782"/>
      <c r="R2005" s="767"/>
      <c r="S2005" s="768"/>
      <c r="T2005" s="538" t="s">
        <v>385</v>
      </c>
      <c r="U2005" s="539">
        <v>8</v>
      </c>
      <c r="V2005" s="540" t="s">
        <v>385</v>
      </c>
      <c r="X2005" s="541" t="s">
        <v>446</v>
      </c>
      <c r="Y2005" s="541" t="s">
        <v>387</v>
      </c>
    </row>
    <row r="2006" spans="1:29" s="44" customFormat="1" ht="42" customHeight="1">
      <c r="A2006" s="42" t="str">
        <f>"B"&amp;E2001</f>
        <v>B67</v>
      </c>
      <c r="B2006" s="605">
        <f t="shared" ref="B2006:B2014" si="403">IF(C2006&lt;&gt;"",B2005+1,"")</f>
        <v>2</v>
      </c>
      <c r="C2006" s="581" t="s">
        <v>923</v>
      </c>
      <c r="D2006" s="581" t="s">
        <v>924</v>
      </c>
      <c r="E2006" s="581" t="s">
        <v>925</v>
      </c>
      <c r="F2006" s="581" t="s">
        <v>431</v>
      </c>
      <c r="G2006" s="534">
        <v>0.5</v>
      </c>
      <c r="H2006" s="534" t="s">
        <v>385</v>
      </c>
      <c r="I2006" s="579">
        <v>1</v>
      </c>
      <c r="J2006" s="580" t="str">
        <f>IF(I2006="","",IF(I2006="I",$F2001,VLOOKUP(I2006,$C2022:$D2027,2,0)))</f>
        <v>VICTOR GUILLERMO RODRIGUEZ RAMIREZ</v>
      </c>
      <c r="K2006" s="535">
        <v>43160</v>
      </c>
      <c r="L2006" s="535">
        <v>43465</v>
      </c>
      <c r="M2006" s="536">
        <v>1069.27</v>
      </c>
      <c r="N2006" s="232">
        <f t="shared" si="401"/>
        <v>534.63499999999999</v>
      </c>
      <c r="O2006" s="260">
        <f t="shared" si="402"/>
        <v>534.63499999999999</v>
      </c>
      <c r="P2006" s="781"/>
      <c r="Q2006" s="782"/>
      <c r="R2006" s="767"/>
      <c r="S2006" s="768"/>
      <c r="T2006" s="538" t="s">
        <v>385</v>
      </c>
      <c r="U2006" s="539">
        <v>89</v>
      </c>
      <c r="V2006" s="540" t="s">
        <v>385</v>
      </c>
      <c r="X2006" s="541" t="s">
        <v>446</v>
      </c>
      <c r="Y2006" s="541" t="s">
        <v>387</v>
      </c>
    </row>
    <row r="2007" spans="1:29" s="44" customFormat="1" ht="24.95" customHeight="1">
      <c r="A2007" s="42" t="str">
        <f>"C"&amp;E2001</f>
        <v>C67</v>
      </c>
      <c r="B2007" s="605" t="str">
        <f t="shared" si="403"/>
        <v/>
      </c>
      <c r="C2007" s="581"/>
      <c r="D2007" s="581"/>
      <c r="E2007" s="581"/>
      <c r="F2007" s="581"/>
      <c r="G2007" s="534"/>
      <c r="H2007" s="534"/>
      <c r="I2007" s="579"/>
      <c r="J2007" s="580" t="str">
        <f>IF(I2007="","",IF(I2007="I",$F2001,VLOOKUP(I2007,$C2022:$D2027,2,0)))</f>
        <v/>
      </c>
      <c r="K2007" s="535"/>
      <c r="L2007" s="535"/>
      <c r="M2007" s="536"/>
      <c r="N2007" s="232" t="str">
        <f t="shared" si="401"/>
        <v/>
      </c>
      <c r="O2007" s="260" t="str">
        <f t="shared" si="402"/>
        <v/>
      </c>
      <c r="P2007" s="781"/>
      <c r="Q2007" s="782"/>
      <c r="R2007" s="767"/>
      <c r="S2007" s="768"/>
      <c r="T2007" s="538"/>
      <c r="U2007" s="539"/>
      <c r="V2007" s="540"/>
      <c r="X2007" s="541"/>
      <c r="Y2007" s="541"/>
    </row>
    <row r="2008" spans="1:29" s="44" customFormat="1" ht="24.95" customHeight="1">
      <c r="A2008" s="42" t="str">
        <f>"D"&amp;E2001</f>
        <v>D67</v>
      </c>
      <c r="B2008" s="605" t="str">
        <f t="shared" si="403"/>
        <v/>
      </c>
      <c r="C2008" s="581"/>
      <c r="D2008" s="581"/>
      <c r="E2008" s="581"/>
      <c r="F2008" s="581"/>
      <c r="G2008" s="534"/>
      <c r="H2008" s="534"/>
      <c r="I2008" s="579"/>
      <c r="J2008" s="580" t="str">
        <f>IF(I2008="","",IF(I2008="I",$F2001,VLOOKUP(I2008,$C2022:$D2027,2,0)))</f>
        <v/>
      </c>
      <c r="K2008" s="535"/>
      <c r="L2008" s="535"/>
      <c r="M2008" s="536"/>
      <c r="N2008" s="232" t="str">
        <f t="shared" si="401"/>
        <v/>
      </c>
      <c r="O2008" s="260" t="str">
        <f t="shared" si="402"/>
        <v/>
      </c>
      <c r="P2008" s="781"/>
      <c r="Q2008" s="782"/>
      <c r="R2008" s="767"/>
      <c r="S2008" s="768"/>
      <c r="T2008" s="538"/>
      <c r="U2008" s="539"/>
      <c r="V2008" s="540"/>
      <c r="X2008" s="541"/>
      <c r="Y2008" s="541"/>
    </row>
    <row r="2009" spans="1:29" s="44" customFormat="1" ht="24.95" customHeight="1">
      <c r="A2009" s="42" t="str">
        <f>"E"&amp;E2001</f>
        <v>E67</v>
      </c>
      <c r="B2009" s="605" t="str">
        <f t="shared" si="403"/>
        <v/>
      </c>
      <c r="C2009" s="581"/>
      <c r="D2009" s="581"/>
      <c r="E2009" s="581"/>
      <c r="F2009" s="581"/>
      <c r="G2009" s="534"/>
      <c r="H2009" s="534"/>
      <c r="I2009" s="579"/>
      <c r="J2009" s="580" t="str">
        <f>IF(I2009="","",IF(I2009="I",$F2001,VLOOKUP(I2009,$C2022:$D2027,2,0)))</f>
        <v/>
      </c>
      <c r="K2009" s="535"/>
      <c r="L2009" s="535"/>
      <c r="M2009" s="536"/>
      <c r="N2009" s="232" t="str">
        <f t="shared" si="401"/>
        <v/>
      </c>
      <c r="O2009" s="260" t="str">
        <f t="shared" si="402"/>
        <v/>
      </c>
      <c r="P2009" s="781"/>
      <c r="Q2009" s="782"/>
      <c r="R2009" s="767"/>
      <c r="S2009" s="768"/>
      <c r="T2009" s="538"/>
      <c r="U2009" s="539"/>
      <c r="V2009" s="540"/>
      <c r="X2009" s="541"/>
      <c r="Y2009" s="541"/>
    </row>
    <row r="2010" spans="1:29" s="44" customFormat="1" ht="24.95" customHeight="1">
      <c r="A2010" s="42" t="str">
        <f>"F"&amp;E2001</f>
        <v>F67</v>
      </c>
      <c r="B2010" s="605" t="str">
        <f t="shared" si="403"/>
        <v/>
      </c>
      <c r="C2010" s="581"/>
      <c r="D2010" s="581"/>
      <c r="E2010" s="581"/>
      <c r="F2010" s="581"/>
      <c r="G2010" s="534"/>
      <c r="H2010" s="534"/>
      <c r="I2010" s="579"/>
      <c r="J2010" s="580" t="str">
        <f>IF(I2010="","",IF(I2010="I",$F2001,VLOOKUP(I2010,$C2022:$D2027,2,0)))</f>
        <v/>
      </c>
      <c r="K2010" s="535"/>
      <c r="L2010" s="535"/>
      <c r="M2010" s="536"/>
      <c r="N2010" s="232" t="str">
        <f t="shared" si="401"/>
        <v/>
      </c>
      <c r="O2010" s="260" t="str">
        <f t="shared" si="402"/>
        <v/>
      </c>
      <c r="P2010" s="781"/>
      <c r="Q2010" s="782"/>
      <c r="R2010" s="767"/>
      <c r="S2010" s="768"/>
      <c r="T2010" s="538"/>
      <c r="U2010" s="539"/>
      <c r="V2010" s="540"/>
      <c r="X2010" s="541"/>
      <c r="Y2010" s="541"/>
    </row>
    <row r="2011" spans="1:29" s="44" customFormat="1" ht="24.95" customHeight="1">
      <c r="A2011" s="42" t="str">
        <f>"G"&amp;E2001</f>
        <v>G67</v>
      </c>
      <c r="B2011" s="605" t="str">
        <f t="shared" si="403"/>
        <v/>
      </c>
      <c r="C2011" s="581"/>
      <c r="D2011" s="581"/>
      <c r="E2011" s="581"/>
      <c r="F2011" s="581"/>
      <c r="G2011" s="534"/>
      <c r="H2011" s="534"/>
      <c r="I2011" s="579"/>
      <c r="J2011" s="580" t="str">
        <f>IF(I2011="","",IF(I2011="I",$F2001,VLOOKUP(I2011,$C2022:$D2027,2,0)))</f>
        <v/>
      </c>
      <c r="K2011" s="535"/>
      <c r="L2011" s="535"/>
      <c r="M2011" s="536"/>
      <c r="N2011" s="43" t="str">
        <f t="shared" si="401"/>
        <v/>
      </c>
      <c r="O2011" s="260" t="str">
        <f t="shared" si="402"/>
        <v/>
      </c>
      <c r="P2011" s="781"/>
      <c r="Q2011" s="782"/>
      <c r="R2011" s="767"/>
      <c r="S2011" s="768"/>
      <c r="T2011" s="538"/>
      <c r="U2011" s="539"/>
      <c r="V2011" s="540"/>
      <c r="X2011" s="541"/>
      <c r="Y2011" s="541"/>
    </row>
    <row r="2012" spans="1:29" s="44" customFormat="1" ht="24.95" customHeight="1">
      <c r="A2012" s="42" t="str">
        <f>"H"&amp;E2001</f>
        <v>H67</v>
      </c>
      <c r="B2012" s="605" t="str">
        <f t="shared" si="403"/>
        <v/>
      </c>
      <c r="C2012" s="581"/>
      <c r="D2012" s="581"/>
      <c r="E2012" s="581"/>
      <c r="F2012" s="581"/>
      <c r="G2012" s="534"/>
      <c r="H2012" s="534"/>
      <c r="I2012" s="579"/>
      <c r="J2012" s="580" t="str">
        <f>IF(I2012="","",IF(I2012="I",$F2001,VLOOKUP(I2012,$C2022:$D2027,2,0)))</f>
        <v/>
      </c>
      <c r="K2012" s="535"/>
      <c r="L2012" s="535"/>
      <c r="M2012" s="537"/>
      <c r="N2012" s="43" t="str">
        <f t="shared" si="401"/>
        <v/>
      </c>
      <c r="O2012" s="260" t="str">
        <f t="shared" si="402"/>
        <v/>
      </c>
      <c r="P2012" s="781"/>
      <c r="Q2012" s="782"/>
      <c r="R2012" s="767"/>
      <c r="S2012" s="768"/>
      <c r="T2012" s="538"/>
      <c r="U2012" s="539"/>
      <c r="V2012" s="540"/>
      <c r="X2012" s="541"/>
      <c r="Y2012" s="541"/>
    </row>
    <row r="2013" spans="1:29" s="44" customFormat="1" ht="24.95" customHeight="1">
      <c r="A2013" s="42" t="str">
        <f>"I"&amp;E2001</f>
        <v>I67</v>
      </c>
      <c r="B2013" s="605" t="str">
        <f t="shared" si="403"/>
        <v/>
      </c>
      <c r="C2013" s="581"/>
      <c r="D2013" s="581"/>
      <c r="E2013" s="581"/>
      <c r="F2013" s="581"/>
      <c r="G2013" s="534"/>
      <c r="H2013" s="534"/>
      <c r="I2013" s="579"/>
      <c r="J2013" s="580" t="str">
        <f>IF(I2013="","",IF(I2013="I",$F2001,VLOOKUP(I2013,$C2022:$D2027,2,0)))</f>
        <v/>
      </c>
      <c r="K2013" s="535"/>
      <c r="L2013" s="535"/>
      <c r="M2013" s="537"/>
      <c r="N2013" s="43" t="str">
        <f t="shared" si="401"/>
        <v/>
      </c>
      <c r="O2013" s="260" t="str">
        <f t="shared" si="402"/>
        <v/>
      </c>
      <c r="P2013" s="781"/>
      <c r="Q2013" s="782"/>
      <c r="R2013" s="767"/>
      <c r="S2013" s="768"/>
      <c r="T2013" s="538"/>
      <c r="U2013" s="539"/>
      <c r="V2013" s="540"/>
      <c r="X2013" s="541"/>
      <c r="Y2013" s="541"/>
    </row>
    <row r="2014" spans="1:29" s="44" customFormat="1" ht="24.95" customHeight="1" thickBot="1">
      <c r="A2014" s="42" t="str">
        <f>"J"&amp;E2001</f>
        <v>J67</v>
      </c>
      <c r="B2014" s="612" t="str">
        <f t="shared" si="403"/>
        <v/>
      </c>
      <c r="C2014" s="582"/>
      <c r="D2014" s="582"/>
      <c r="E2014" s="582"/>
      <c r="F2014" s="582"/>
      <c r="G2014" s="583"/>
      <c r="H2014" s="583"/>
      <c r="I2014" s="584"/>
      <c r="J2014" s="585" t="str">
        <f>IF(I2014="","",IF(I2014="I",$F2001,VLOOKUP(I2014,$C2022:$D2027,2,0)))</f>
        <v/>
      </c>
      <c r="K2014" s="586"/>
      <c r="L2014" s="586"/>
      <c r="M2014" s="587"/>
      <c r="N2014" s="43" t="str">
        <f t="shared" si="401"/>
        <v/>
      </c>
      <c r="O2014" s="260" t="str">
        <f t="shared" si="402"/>
        <v/>
      </c>
      <c r="P2014" s="781"/>
      <c r="Q2014" s="782"/>
      <c r="R2014" s="767"/>
      <c r="S2014" s="768"/>
      <c r="T2014" s="538"/>
      <c r="U2014" s="539"/>
      <c r="V2014" s="540"/>
      <c r="X2014" s="541"/>
      <c r="Y2014" s="541"/>
    </row>
    <row r="2015" spans="1:29" s="27" customFormat="1" ht="12" customHeight="1" thickBot="1">
      <c r="A2015" s="42"/>
      <c r="B2015" s="45"/>
      <c r="C2015" s="46"/>
      <c r="D2015" s="46"/>
      <c r="E2015" s="46"/>
      <c r="F2015" s="46"/>
      <c r="G2015" s="46"/>
      <c r="H2015" s="606"/>
      <c r="I2015" s="46"/>
      <c r="J2015" s="46"/>
      <c r="K2015" s="46"/>
      <c r="L2015" s="46"/>
      <c r="M2015" s="46"/>
      <c r="N2015" s="46"/>
      <c r="O2015" s="259"/>
      <c r="P2015" s="46"/>
      <c r="Q2015" s="46"/>
      <c r="R2015" s="259"/>
      <c r="S2015" s="46"/>
      <c r="T2015" s="46"/>
      <c r="U2015" s="47"/>
      <c r="V2015" s="48"/>
      <c r="X2015" s="592"/>
      <c r="Y2015" s="593"/>
      <c r="AB2015" s="378"/>
    </row>
    <row r="2016" spans="1:29" s="27" customFormat="1" ht="17.25" customHeight="1" thickBot="1">
      <c r="A2016" s="42" t="str">
        <f>"Z"&amp;E2001</f>
        <v>Z67</v>
      </c>
      <c r="B2016" s="510"/>
      <c r="C2016" s="511"/>
      <c r="D2016" s="511"/>
      <c r="E2016" s="511"/>
      <c r="F2016" s="511"/>
      <c r="G2016" s="511"/>
      <c r="H2016" s="511"/>
      <c r="I2016" s="511"/>
      <c r="J2016" s="511"/>
      <c r="K2016" s="511"/>
      <c r="L2016" s="511"/>
      <c r="M2016" s="511"/>
      <c r="N2016" s="437" t="s">
        <v>388</v>
      </c>
      <c r="O2016" s="438">
        <f>IF(COUNTIF(O2005:O2014,"")&gt;9,0,SUM(O2005:O2014)/(COUNTIF(H2005:H2014,"SI")))</f>
        <v>421.97749999999996</v>
      </c>
      <c r="P2016" s="511"/>
      <c r="Q2016" s="511"/>
      <c r="R2016" s="530"/>
      <c r="S2016" s="530"/>
      <c r="T2016" s="531"/>
      <c r="U2016" s="532"/>
      <c r="V2016" s="533"/>
      <c r="W2016" s="285"/>
      <c r="X2016" s="613" t="e">
        <f>COUNTIF(#REF!,"")-COUNTIF(#REF!,"CUMPLE")-1</f>
        <v>#REF!</v>
      </c>
      <c r="Y2016" s="591"/>
      <c r="AB2016" s="28"/>
    </row>
    <row r="2017" spans="1:29" ht="17.25" customHeight="1">
      <c r="B2017" s="50"/>
      <c r="C2017" s="50"/>
      <c r="D2017" s="50"/>
      <c r="E2017" s="50"/>
      <c r="F2017" s="50"/>
      <c r="G2017" s="51"/>
      <c r="H2017" s="51"/>
      <c r="I2017" s="51"/>
      <c r="J2017" s="51"/>
      <c r="K2017" s="51"/>
      <c r="L2017" s="51"/>
      <c r="M2017" s="51"/>
      <c r="N2017" s="51"/>
      <c r="O2017" s="51"/>
      <c r="P2017" s="51"/>
      <c r="Q2017" s="51"/>
      <c r="R2017" s="51"/>
      <c r="S2017" s="51"/>
      <c r="T2017" s="51"/>
      <c r="U2017" s="51"/>
      <c r="V2017" s="51"/>
      <c r="W2017" s="51"/>
      <c r="X2017" s="608"/>
      <c r="Y2017" s="51"/>
      <c r="Z2017" s="51"/>
      <c r="AA2017" s="51"/>
      <c r="AB2017" s="51"/>
      <c r="AC2017" s="50"/>
    </row>
    <row r="2018" spans="1:29" s="27" customFormat="1" ht="16.5" customHeight="1" thickBot="1">
      <c r="A2018" s="22"/>
      <c r="B2018" s="783" t="s">
        <v>389</v>
      </c>
      <c r="C2018" s="783"/>
      <c r="D2018" s="783"/>
      <c r="E2018" s="783"/>
      <c r="F2018" s="783"/>
      <c r="G2018" s="783"/>
      <c r="H2018" s="783"/>
      <c r="I2018" s="783"/>
      <c r="J2018" s="783"/>
      <c r="K2018" s="783"/>
      <c r="L2018" s="783"/>
      <c r="M2018" s="783"/>
      <c r="N2018" s="783"/>
      <c r="O2018" s="783"/>
      <c r="P2018" s="783"/>
      <c r="Q2018" s="783"/>
      <c r="R2018" s="783"/>
      <c r="S2018" s="783"/>
      <c r="T2018" s="783"/>
      <c r="U2018" s="783"/>
      <c r="V2018" s="783"/>
      <c r="W2018" s="286"/>
      <c r="X2018" s="607"/>
      <c r="Y2018" s="52"/>
      <c r="Z2018" s="52"/>
      <c r="AA2018" s="52"/>
      <c r="AB2018" s="28"/>
      <c r="AC2018" s="28"/>
    </row>
    <row r="2019" spans="1:29" s="30" customFormat="1" ht="22.5" customHeight="1">
      <c r="A2019" s="112" t="str">
        <f>"K"&amp;E2001</f>
        <v>K67</v>
      </c>
      <c r="B2019" s="790" t="s">
        <v>390</v>
      </c>
      <c r="C2019" s="772" t="s">
        <v>391</v>
      </c>
      <c r="D2019" s="773"/>
      <c r="E2019" s="773"/>
      <c r="F2019" s="773"/>
      <c r="G2019" s="773"/>
      <c r="H2019" s="773"/>
      <c r="I2019" s="773"/>
      <c r="J2019" s="773"/>
      <c r="K2019" s="773"/>
      <c r="L2019" s="773"/>
      <c r="M2019" s="774"/>
      <c r="N2019" s="525"/>
      <c r="O2019" s="588"/>
      <c r="P2019" s="772" t="s">
        <v>392</v>
      </c>
      <c r="Q2019" s="773"/>
      <c r="R2019" s="773"/>
      <c r="S2019" s="774"/>
      <c r="T2019" s="784" t="s">
        <v>393</v>
      </c>
      <c r="U2019" s="774"/>
      <c r="V2019" s="811"/>
      <c r="W2019" s="284"/>
      <c r="X2019" s="778" t="s">
        <v>394</v>
      </c>
      <c r="Y2019" s="779"/>
      <c r="Z2019" s="779"/>
      <c r="AA2019" s="779" t="s">
        <v>395</v>
      </c>
      <c r="AB2019" s="808" t="s">
        <v>396</v>
      </c>
      <c r="AC2019" s="28"/>
    </row>
    <row r="2020" spans="1:29" s="30" customFormat="1" ht="22.5" customHeight="1">
      <c r="A2020" s="112" t="str">
        <f>"L"&amp;E2001</f>
        <v>L67</v>
      </c>
      <c r="B2020" s="791"/>
      <c r="C2020" s="769" t="s">
        <v>397</v>
      </c>
      <c r="D2020" s="770"/>
      <c r="E2020" s="771"/>
      <c r="F2020" s="512">
        <f>IF(VLOOKUP(E2001,PROPONENTES!$C$19:$E$108,3,0)="","",VLOOKUP(E2001,PROPONENTES!$C$19:$E$108,3,0))</f>
        <v>2</v>
      </c>
      <c r="G2020" s="824" t="s">
        <v>398</v>
      </c>
      <c r="H2020" s="793" t="s">
        <v>399</v>
      </c>
      <c r="I2020" s="793"/>
      <c r="J2020" s="769" t="s">
        <v>400</v>
      </c>
      <c r="K2020" s="823"/>
      <c r="L2020" s="513" t="s">
        <v>401</v>
      </c>
      <c r="M2020" s="513"/>
      <c r="N2020" s="526"/>
      <c r="O2020" s="527"/>
      <c r="P2020" s="775"/>
      <c r="Q2020" s="776"/>
      <c r="R2020" s="776"/>
      <c r="S2020" s="777"/>
      <c r="T2020" s="796"/>
      <c r="U2020" s="797"/>
      <c r="V2020" s="812"/>
      <c r="W2020" s="284"/>
      <c r="X2020" s="780" t="s">
        <v>402</v>
      </c>
      <c r="Y2020" s="810" t="s">
        <v>403</v>
      </c>
      <c r="Z2020" s="810"/>
      <c r="AA2020" s="810"/>
      <c r="AB2020" s="809"/>
      <c r="AC2020" s="28"/>
    </row>
    <row r="2021" spans="1:29" s="30" customFormat="1" ht="51.75" customHeight="1" thickBot="1">
      <c r="A2021" s="112" t="str">
        <f>"M"&amp;E2001</f>
        <v>M67</v>
      </c>
      <c r="B2021" s="791"/>
      <c r="C2021" s="770" t="s">
        <v>404</v>
      </c>
      <c r="D2021" s="771"/>
      <c r="E2021" s="514" t="s">
        <v>405</v>
      </c>
      <c r="F2021" s="515" t="s">
        <v>406</v>
      </c>
      <c r="G2021" s="824"/>
      <c r="H2021" s="793"/>
      <c r="I2021" s="793"/>
      <c r="J2021" s="504" t="s">
        <v>407</v>
      </c>
      <c r="K2021" s="516" t="s">
        <v>408</v>
      </c>
      <c r="L2021" s="517" t="s">
        <v>409</v>
      </c>
      <c r="M2021" s="517"/>
      <c r="N2021" s="528" t="s">
        <v>410</v>
      </c>
      <c r="O2021" s="529"/>
      <c r="P2021" s="386"/>
      <c r="Q2021" s="387" t="s">
        <v>411</v>
      </c>
      <c r="R2021" s="388"/>
      <c r="S2021" s="113">
        <f>COUNTIFS(H2005:H2014,"SI",O2005:O2014,"&gt;0")</f>
        <v>2</v>
      </c>
      <c r="T2021" s="785"/>
      <c r="U2021" s="787"/>
      <c r="V2021" s="813"/>
      <c r="W2021" s="284"/>
      <c r="X2021" s="780"/>
      <c r="Y2021" s="810"/>
      <c r="Z2021" s="810"/>
      <c r="AA2021" s="810"/>
      <c r="AB2021" s="809"/>
      <c r="AC2021" s="28"/>
    </row>
    <row r="2022" spans="1:29" s="30" customFormat="1" ht="25.5" customHeight="1">
      <c r="A2022" s="112" t="str">
        <f>"N"&amp;E2001</f>
        <v>N67</v>
      </c>
      <c r="B2022" s="791"/>
      <c r="C2022" s="54">
        <v>1</v>
      </c>
      <c r="D2022" s="100" t="str">
        <f>IF(AND(C2022&lt;=F2020,F2020&gt;1,F2020&lt;&gt;""),VLOOKUP(VALUE(E2001&amp;","&amp;C2022),INTEGRANTES!$D$19:$F$192,2,0),"")</f>
        <v>VICTOR GUILLERMO RODRIGUEZ RAMIREZ</v>
      </c>
      <c r="E2022" s="107">
        <f>IF(D2022&lt;&gt;"",VLOOKUP(VALUE(E2001&amp;","&amp;C2022),INTEGRANTES!$D$19:$F$192,3,0),"")</f>
        <v>0.95</v>
      </c>
      <c r="F2022" s="380">
        <f>IF(D2022="","",IF(OR(SUMIF($J2005:$J2014,D2022,$O2005:$O2014)=0,N2022="NO"),"NO APORTA",SUMIF($J2005:$J2014,D2022,$O2005:$O2014)))</f>
        <v>843.95499999999993</v>
      </c>
      <c r="G2022" s="380">
        <f ca="1">IF($D2022="","",IF($F2020&lt;=1,"",ROUND(POSMMLV*PORPO,2)))</f>
        <v>150</v>
      </c>
      <c r="H2022" s="765" t="str">
        <f ca="1">IF($D2022="","",IF(OR(F2022="NO APORTA",G2022&gt;F2022),"NO CUMPLE","CUMPLE"))</f>
        <v>CUMPLE</v>
      </c>
      <c r="I2022" s="766"/>
      <c r="J2022" s="108" t="str">
        <f ca="1">IF(D2022="","",IF(OR(AND(SUMIF($J2005:$J2014,D2022,$O2005:$O2014)&gt;=5%*POSMMLV,N2022="SI"),AND(SUMIF($J2005:$J2014,D2022,$O2005:$O2014)=0,E2022&lt;=5%,N2022="SI")),"CUMPLE","NO CUMPLE"))</f>
        <v>CUMPLE</v>
      </c>
      <c r="K2022" s="105" t="str">
        <f ca="1">IF(OR(D2022="",J2022=""),"",IF(AND(J2022="NO CUMPLE",F2022="NO APORTA",E2022&gt;5%),"EXP = 0 y PART &gt; 5%",IF(F2022&lt;5%*Q2027,"EXP &lt; 5%*PO","")))</f>
        <v/>
      </c>
      <c r="L2022" s="389" t="str">
        <f>IF(OR(D2022="",E2022=""),"",IF(AND(E2022&gt;=0.25,F2022&lt;&gt;"NO APORTA",F2022&gt;=$R2027*0.25),"SI","NO"))</f>
        <v>SI</v>
      </c>
      <c r="M2022" s="389"/>
      <c r="N2022" s="468" t="s">
        <v>385</v>
      </c>
      <c r="O2022" s="396">
        <f>COUNTIFS(O2005:O2014,"&gt;0",H2005:H2014,"SI")</f>
        <v>2</v>
      </c>
      <c r="P2022" s="814" t="s">
        <v>139</v>
      </c>
      <c r="Q2022" s="814"/>
      <c r="R2022" s="817">
        <f>E2001</f>
        <v>67</v>
      </c>
      <c r="S2022" s="818"/>
      <c r="T2022" s="784" t="s">
        <v>412</v>
      </c>
      <c r="U2022" s="773"/>
      <c r="V2022" s="774"/>
      <c r="W2022" s="283"/>
      <c r="X2022" s="542" t="str">
        <f>IF($F2020=1,"NO APLICA",$D2022)</f>
        <v>VICTOR GUILLERMO RODRIGUEZ RAMIREZ</v>
      </c>
      <c r="Y2022" s="543">
        <f ca="1">IF(OR($F2022="",$F2022="NO APORTA",$R2027=0,$X2022="NO APLICA"),"",ROUND($F2022/$Q2027,2))</f>
        <v>2.81</v>
      </c>
      <c r="Z2022" s="544" t="str">
        <f ca="1">IF(Y2028=1,"SI APLICA",IF(OR($X2022="",$X2022="NO APLICA",$F2022="",$F2022="NO APORTA"),"",IF(ROUND($F2022/Q2027,7)&gt;=0.4,"SI APLICA","NO APLICA")))</f>
        <v>SI APLICA</v>
      </c>
      <c r="AA2022" s="543" t="s">
        <v>413</v>
      </c>
      <c r="AB2022" s="540" t="str">
        <f ca="1">IF(COUNTIF(Z2022:AA2022,"SI APLICA")=2,"SI APLICA","")</f>
        <v>SI APLICA</v>
      </c>
      <c r="AC2022" s="28"/>
    </row>
    <row r="2023" spans="1:29" s="30" customFormat="1" ht="29.25" customHeight="1" thickBot="1">
      <c r="A2023" s="112" t="str">
        <f>"O"&amp;E2001</f>
        <v>O67</v>
      </c>
      <c r="B2023" s="791"/>
      <c r="C2023" s="54">
        <v>2</v>
      </c>
      <c r="D2023" s="100" t="str">
        <f>IF(AND(C2023&lt;=F2020,F2020&lt;&gt;""),VLOOKUP(VALUE(E2001&amp;","&amp;C2023),INTEGRANTES!$D$19:$F$192,2,0),"")</f>
        <v>ASESORIAS TECNICAS LTDA “ASETEC”</v>
      </c>
      <c r="E2023" s="107">
        <f>IF(D2023&lt;&gt;"",VLOOKUP(VALUE(E2001&amp;","&amp;C2023),INTEGRANTES!$D$19:$F$192,3,0),"")</f>
        <v>0.05</v>
      </c>
      <c r="F2023" s="380" t="str">
        <f>IF(D2023="","",IF(OR(SUMIF($J2005:$J2014,D2023,$O2005:$O2014)=0,N2023="NO"),"NO APORTA",SUMIF($J2005:$J2014,D2023,$O2005:$O2014)))</f>
        <v>NO APORTA</v>
      </c>
      <c r="G2023" s="380">
        <f ca="1">IF($D2023="","",IF($F2020&lt;=1,"",ROUND(POSMMLV*PORPO,2)))</f>
        <v>150</v>
      </c>
      <c r="H2023" s="765" t="str">
        <f t="shared" ref="H2023:H2026" ca="1" si="404">IF($D2023="","",IF(OR(F2023="NO APORTA",G2023&gt;F2023),"NO CUMPLE","CUMPLE"))</f>
        <v>NO CUMPLE</v>
      </c>
      <c r="I2023" s="766"/>
      <c r="J2023" s="108" t="str">
        <f ca="1">IF(D2023="","",IF(OR(AND(SUMIF($J2005:$J2014,D2023,$O2005:$O2014)&gt;=5%*POSMMLV,N2023="SI"),AND(SUMIF($J2005:$J2014,D2023,$O2005:$O2014)=0,E2023&lt;=5%,N2023="SI")),"CUMPLE","NO CUMPLE"))</f>
        <v>CUMPLE</v>
      </c>
      <c r="K2023" s="105" t="str">
        <f ca="1">IF(OR(D2023="",J2023=""),"",IF(AND(J2023="NO CUMPLE",F2023="NO APORTA",E2023&gt;5%),"EXP = 0 y PART &gt; 5%",IF(F2023&lt;5%*Q2027,"EXP &lt; 5%*PO","")))</f>
        <v/>
      </c>
      <c r="L2023" s="389" t="str">
        <f>IF(OR(D2023="",E2023=""),"",IF(AND(E2023&gt;=0.25,F2023&lt;&gt;"NO APORTA",F2023&gt;=$R2027*0.25),"SI","NO"))</f>
        <v>NO</v>
      </c>
      <c r="M2023" s="389"/>
      <c r="N2023" s="468" t="s">
        <v>385</v>
      </c>
      <c r="O2023" s="396"/>
      <c r="P2023" s="815"/>
      <c r="Q2023" s="815"/>
      <c r="R2023" s="815"/>
      <c r="S2023" s="819"/>
      <c r="T2023" s="785"/>
      <c r="U2023" s="786"/>
      <c r="V2023" s="787"/>
      <c r="W2023" s="283"/>
      <c r="X2023" s="542" t="str">
        <f>IF($F2020=1,"NO APLICA",$D2023)</f>
        <v>ASESORIAS TECNICAS LTDA “ASETEC”</v>
      </c>
      <c r="Y2023" s="543" t="str">
        <f>IF(OR($F2023="",$F2023="NO APORTA",$R2027=0,$X2023="NO APLICA"),"",ROUND($F2023/$Q2027,2))</f>
        <v/>
      </c>
      <c r="Z2023" s="544" t="str">
        <f>IF(Y2028=1,"SI APLICA",IF(OR($X2023="",$X2023="NO APLICA",$F2023="",$F2023="NO APORTA"),"",IF(ROUND($F2023/Q2027,7)&gt;=0.4,"SI APLICA","NO APLICA")))</f>
        <v/>
      </c>
      <c r="AA2023" s="543"/>
      <c r="AB2023" s="540" t="str">
        <f t="shared" ref="AB2023" si="405">IF(COUNTIF(Z2023:AA2023,"SI APLICA")=2,"SI APLICA","")</f>
        <v/>
      </c>
      <c r="AC2023" s="28"/>
    </row>
    <row r="2024" spans="1:29" s="30" customFormat="1" ht="15.75" customHeight="1">
      <c r="A2024" s="112" t="str">
        <f>"P"&amp;E2001</f>
        <v>P67</v>
      </c>
      <c r="B2024" s="791"/>
      <c r="C2024" s="54">
        <v>3</v>
      </c>
      <c r="D2024" s="100" t="str">
        <f>IF(AND(C2024&lt;=F2020,F2020&lt;&gt;""),VLOOKUP(VALUE(E2001&amp;","&amp;C2024),INTEGRANTES!$D$19:$F$192,2,0),"")</f>
        <v/>
      </c>
      <c r="E2024" s="107" t="str">
        <f>IF(D2024&lt;&gt;"",VLOOKUP(VALUE(E2001&amp;","&amp;C2024),INTEGRANTES!$D$19:$F$192,3,0),"")</f>
        <v/>
      </c>
      <c r="F2024" s="380" t="str">
        <f>IF(D2024="","",IF(OR(SUMIF($J2008:$J2014,D2024,$O2008:$O2014)=0,N2024="NO"),"NO APORTA",SUMIF($J2008:$J2014,D2024,$O2008:$O2014)))</f>
        <v/>
      </c>
      <c r="G2024" s="380" t="str">
        <f>IF($D2024="","",IF($F2020&lt;=1,"",ROUND(POSMMLV*PORPO,2)))</f>
        <v/>
      </c>
      <c r="H2024" s="765" t="str">
        <f t="shared" si="404"/>
        <v/>
      </c>
      <c r="I2024" s="766"/>
      <c r="J2024" s="108" t="str">
        <f>IF(D2024="","",IF(OR(AND(SUMIF($J2005:$J2014,D2024,$O2005:$O2014)&gt;=5%*POSMMLV,N2024="SI"),AND(SUMIF($J2005:$J2014,D2024,$O2005:$O2014)=0,E2024&lt;=5%,N2024="SI")),"CUMPLE","NO CUMPLE"))</f>
        <v/>
      </c>
      <c r="K2024" s="105" t="str">
        <f>IF(OR(D2024="",J2024=""),"",IF(AND(J2024="NO CUMPLE",F2024="NO APORTA",E2024&gt;5%),"EXP = 0 y PART &gt; 5%",IF(F2024&lt;5%*Q2027,"EXP &lt; 5%*PO","")))</f>
        <v/>
      </c>
      <c r="L2024" s="389" t="str">
        <f>IF(OR(D2024="",E2024=""),"",IF(AND(E2024&gt;=0.25,F2024&lt;&gt;"NO APORTA",F2024&gt;=$R2027*0.25),"SI","NO"))</f>
        <v/>
      </c>
      <c r="M2024" s="389"/>
      <c r="N2024" s="468"/>
      <c r="O2024" s="397"/>
      <c r="P2024" s="816"/>
      <c r="Q2024" s="816"/>
      <c r="R2024" s="816"/>
      <c r="S2024" s="820"/>
      <c r="T2024" s="308"/>
      <c r="U2024" s="308"/>
      <c r="V2024" s="309"/>
      <c r="W2024" s="284"/>
      <c r="X2024" s="542" t="str">
        <f>IF($F2020=1,"NO APLICA",$D2024)</f>
        <v/>
      </c>
      <c r="Y2024" s="543" t="str">
        <f>IF(OR($F2024="",$F2024="NO APORTA",$R2027=0,$X2024="NO APLICA"),"",ROUND($F2024/$Q2027,2))</f>
        <v/>
      </c>
      <c r="Z2024" s="544" t="str">
        <f>IF(Y2028=1,"SI APLICA",IF(OR($X2024="",$X2024="NO APLICA",$F2024="",$F2024="NO APORTA"),"",IF(ROUND($F2024/Q2027,7)&gt;=0.4,"SI APLICA","NO APLICA")))</f>
        <v/>
      </c>
      <c r="AA2024" s="543"/>
      <c r="AB2024" s="540" t="str">
        <f>IF(COUNTIF(Z2024:AA2024,"SI APLICA")=2,"SI APLICA","")</f>
        <v/>
      </c>
      <c r="AC2024" s="28"/>
    </row>
    <row r="2025" spans="1:29" s="30" customFormat="1" ht="15.75" customHeight="1">
      <c r="A2025" s="112" t="str">
        <f>"Q"&amp;E2001</f>
        <v>Q67</v>
      </c>
      <c r="B2025" s="791"/>
      <c r="C2025" s="54">
        <v>4</v>
      </c>
      <c r="D2025" s="100" t="str">
        <f>IF(AND(C2025&lt;=F2020,F2020&lt;&gt;""),VLOOKUP(VALUE(E2001&amp;","&amp;C2025),INTEGRANTES!$D$19:$F$192,2,0),"")</f>
        <v/>
      </c>
      <c r="E2025" s="107" t="str">
        <f>IF(D2025&lt;&gt;"",VLOOKUP(VALUE(E2001&amp;","&amp;C2025),INTEGRANTES!$D$19:$F$192,3,0),"")</f>
        <v/>
      </c>
      <c r="F2025" s="380" t="str">
        <f>IF(D2025="","",IF(OR(SUMIF($J2008:$J2014,D2025,$O2008:$O2014)=0,N2025="NO"),"NO APORTA",SUMIF($J2008:$J2014,D2025,$O2008:$O2014)))</f>
        <v/>
      </c>
      <c r="G2025" s="380" t="str">
        <f>IF($D2025="","",IF($F2020&lt;=1,"",ROUND(POSMMLV*PORPO,2)))</f>
        <v/>
      </c>
      <c r="H2025" s="765" t="str">
        <f t="shared" si="404"/>
        <v/>
      </c>
      <c r="I2025" s="766"/>
      <c r="J2025" s="108" t="str">
        <f>IF(D2025="","",IF(OR(AND(SUMIF($J2005:$J2014,D2025,$O2005:$O2014)&gt;=5%*POSMMLV,N2025="SI"),AND(SUMIF($J2005:$J2014,D2025,$O2005:$O2014)=0,E2025&lt;=5%,N2025="SI")),"CUMPLE","NO CUMPLE"))</f>
        <v/>
      </c>
      <c r="K2025" s="105" t="str">
        <f>IF(OR(D2025="",J2025=""),"",IF(AND(J2025="NO CUMPLE",F2025="NO APORTA",E2025&gt;5%),"EXP = 0 y PART &gt; 5%",IF(F2025&lt;5%*Q2027,"EXP &lt; 5%*PO","")))</f>
        <v/>
      </c>
      <c r="L2025" s="389" t="str">
        <f>IF(OR(D2025="",E2025=""),"",IF(AND(E2025&gt;=0.25,F2025&lt;&gt;"NO APORTA",F2025&gt;=$R2027*0.25),"SI","NO"))</f>
        <v/>
      </c>
      <c r="M2025" s="389"/>
      <c r="N2025" s="468"/>
      <c r="O2025" s="788" t="s">
        <v>414</v>
      </c>
      <c r="P2025" s="769" t="s">
        <v>415</v>
      </c>
      <c r="Q2025" s="770"/>
      <c r="R2025" s="770"/>
      <c r="S2025" s="771"/>
      <c r="T2025" s="284"/>
      <c r="U2025" s="284"/>
      <c r="V2025" s="310"/>
      <c r="W2025" s="284"/>
      <c r="X2025" s="542" t="str">
        <f>IF($F2020=1,"NO APLICA",$D2025)</f>
        <v/>
      </c>
      <c r="Y2025" s="543" t="str">
        <f>IF(OR($F2025="",$F2025="NO APORTA",$R2027=0,$X2025="NO APLICA"),"",ROUND($F2025/$Q2027,2))</f>
        <v/>
      </c>
      <c r="Z2025" s="544" t="str">
        <f>IF(Y2028=1,"SI APLICA",IF(OR($X2025="",$X2025="NO APLICA",$F2025="",$F2025="NO APORTA"),"",IF(ROUND($F2025/Q2027,7)&gt;=0.4,"SI APLICA","NO APLICA")))</f>
        <v/>
      </c>
      <c r="AA2025" s="543"/>
      <c r="AB2025" s="540" t="str">
        <f t="shared" ref="AB2025:AB2026" si="406">IF(COUNTIF(Z2025:AA2025,"SI APLICA")=2,"SI APLICA","")</f>
        <v/>
      </c>
      <c r="AC2025" s="28"/>
    </row>
    <row r="2026" spans="1:29" s="30" customFormat="1" ht="17.25" customHeight="1">
      <c r="A2026" s="112" t="str">
        <f>"R"&amp;E2001</f>
        <v>R67</v>
      </c>
      <c r="B2026" s="791"/>
      <c r="C2026" s="54">
        <v>5</v>
      </c>
      <c r="D2026" s="100" t="str">
        <f>IF(AND(C2026&lt;=F2020,F2020&lt;&gt;""),VLOOKUP(VALUE(E2001&amp;","&amp;C2026),INTEGRANTES!$D$19:$F$192,2,0),"")</f>
        <v/>
      </c>
      <c r="E2026" s="107" t="str">
        <f>IF(D2026&lt;&gt;"",VLOOKUP(VALUE(E2001&amp;","&amp;C2026),INTEGRANTES!$D$19:$F$192,3,0),"")</f>
        <v/>
      </c>
      <c r="F2026" s="380" t="str">
        <f>IF(D2026="","",IF(OR(SUMIF($J2008:$J2014,D2026,$O2008:$O2014)=0,N2026="NO"),"NO APORTA",SUMIF($J2008:$J2014,D2026,$O2008:$O2014)))</f>
        <v/>
      </c>
      <c r="G2026" s="380" t="str">
        <f>IF($D2026="","",IF($F2020&lt;=1,"",ROUND(POSMMLV*PORPO,2)))</f>
        <v/>
      </c>
      <c r="H2026" s="765" t="str">
        <f t="shared" si="404"/>
        <v/>
      </c>
      <c r="I2026" s="766"/>
      <c r="J2026" s="108" t="str">
        <f>IF(D2026="","",IF(OR(AND(SUMIF($J2005:$J2014,D2026,$O2005:$O2014)&gt;=5%*POSMMLV,N2026="SI"),AND(SUMIF($J2005:$J2014,D2026,$O2005:$O2014)=0,E2026&lt;=5%,N2026="SI")),"CUMPLE","NO CUMPLE"))</f>
        <v/>
      </c>
      <c r="K2026" s="105" t="str">
        <f>IF(OR(D2026="",J2026=""),"",IF(AND(J2026="NO CUMPLE",F2026="NO APORTA",E2026&gt;5%),"EXP = 0 y PART &gt; 5%",IF(F2026&lt;5%*Q2027,"EXP &lt; 5%*PO","")))</f>
        <v/>
      </c>
      <c r="L2026" s="389" t="str">
        <f>IF(OR(D2026="",E2026=""),"",IF(AND(E2026&gt;=0.25,F2026&lt;&gt;"NO APORTA",F2026&gt;=$R2027*0.25),"SI","NO"))</f>
        <v/>
      </c>
      <c r="M2026" s="389"/>
      <c r="N2026" s="468"/>
      <c r="O2026" s="789"/>
      <c r="P2026" s="504" t="s">
        <v>416</v>
      </c>
      <c r="Q2026" s="504" t="s">
        <v>417</v>
      </c>
      <c r="R2026" s="793" t="s">
        <v>418</v>
      </c>
      <c r="S2026" s="793"/>
      <c r="T2026" s="284"/>
      <c r="U2026" s="284"/>
      <c r="V2026" s="310"/>
      <c r="W2026" s="284"/>
      <c r="X2026" s="542" t="str">
        <f>IF($F2020=1,"NO APLICA",$D2026)</f>
        <v/>
      </c>
      <c r="Y2026" s="543" t="str">
        <f>IF(OR($F2026="",$F2026="NO APORTA",$R2027=0,$X2026="NO APLICA"),"",ROUND($F2026/$Q2027,2))</f>
        <v/>
      </c>
      <c r="Z2026" s="544" t="str">
        <f>IF(Y2028=1,"SI APLICA",IF(OR($X2026="",$X2026="NO APLICA",$F2026="",$F2026="NO APORTA"),"",IF(ROUND($F2026/Q2027,7)&gt;=0.4,"SI APLICA","NO APLICA")))</f>
        <v/>
      </c>
      <c r="AA2026" s="543"/>
      <c r="AB2026" s="540" t="str">
        <f t="shared" si="406"/>
        <v/>
      </c>
      <c r="AC2026" s="28"/>
    </row>
    <row r="2027" spans="1:29" s="30" customFormat="1" ht="16.5" customHeight="1" thickBot="1">
      <c r="A2027" s="112" t="str">
        <f>"S"&amp;E2001</f>
        <v>S67</v>
      </c>
      <c r="B2027" s="791"/>
      <c r="C2027" s="109">
        <v>6</v>
      </c>
      <c r="D2027" s="110" t="str">
        <f>IF(AND(C2027&lt;=F2020,F2020&lt;&gt;""),VLOOKUP(VALUE(E2001&amp;","&amp;C2027),INTEGRANTES!$D$19:$F$192,2,0),"")</f>
        <v/>
      </c>
      <c r="E2027" s="111" t="str">
        <f>IF(D2027&lt;&gt;"",VLOOKUP(VALUE(E2001&amp;","&amp;C2027),INTEGRANTES!$D$19:$F$192,3,0),"")</f>
        <v/>
      </c>
      <c r="F2027" s="380" t="str">
        <f>IF(D2027="","",IF(OR(SUMIF($J2008:$J2014,D2027,$O2008:$O2014)=0,N2027="NO"),"NO APORTA",SUMIF($J2008:$J2014,D2027,$O2008:$O2014)))</f>
        <v/>
      </c>
      <c r="G2027" s="380" t="str">
        <f>IF($D2027="","",IF($F2020&lt;=1,"",ROUND(POSMMLV*PORPO,2)))</f>
        <v/>
      </c>
      <c r="H2027" s="765" t="str">
        <f>IF($D2027="","",IF(OR(F2027="NO APORTA",G2027&gt;F2027),"NO CUMPLE","CUMPLE"))</f>
        <v/>
      </c>
      <c r="I2027" s="766"/>
      <c r="J2027" s="108" t="str">
        <f>IF(D2027="","",IF(OR(AND(SUMIF($J2005:$J2014,D2027,$O2005:$O2014)&gt;=5%*POSMMLV,N2027="SI"),AND(SUMIF($J2005:$J2014,D2027,$O2005:$O2014)=0,E2027&lt;=5%,N2027="SI")),"CUMPLE","NO CUMPLE"))</f>
        <v/>
      </c>
      <c r="K2027" s="105" t="str">
        <f>IF(OR(D2027="",J2027=""),"",IF(AND(J2027="NO CUMPLE",F2027="NO APORTA",E2027&gt;5%),"EXP = 0 y PART &gt; 5%",IF(F2027&lt;5%*Q2027,"EXP &lt; 5%*PO","")))</f>
        <v/>
      </c>
      <c r="L2027" s="389" t="str">
        <f>IF(OR(D2027="",E2027=""),"",IF(AND(E2027&gt;=0.25,F2027&lt;&gt;"NO APORTA",F2027&gt;=$R2027*0.25),"SI","NO"))</f>
        <v/>
      </c>
      <c r="M2027" s="389"/>
      <c r="N2027" s="468"/>
      <c r="O2027" s="403" t="str">
        <f ca="1">IF(R2027&gt;=Q2027,"CUMPLE","NO CUMPLE")</f>
        <v>CUMPLE</v>
      </c>
      <c r="P2027" s="312">
        <f>NUMMOD</f>
        <v>1</v>
      </c>
      <c r="Q2027" s="313">
        <f ca="1">IF(P2027="","",ROUND(VLOOKUP(P2027,PRESUPUESTOS!$B$16:$L$16,9,FALSE),7))</f>
        <v>300</v>
      </c>
      <c r="R2027" s="834">
        <f>IF(OR(COUNTIF(O2005:O2014,"")&gt;9,S2021&lt;NUMMINCONT),0,SUM(O2005:O2014))</f>
        <v>843.95499999999993</v>
      </c>
      <c r="S2027" s="834"/>
      <c r="T2027" s="284"/>
      <c r="U2027" s="284"/>
      <c r="V2027" s="310"/>
      <c r="W2027" s="284"/>
      <c r="X2027" s="545" t="str">
        <f>IF($F2020=1,"NO APLICA",$D2027)</f>
        <v/>
      </c>
      <c r="Y2027" s="543" t="str">
        <f>IF(OR($F2027="",$F2027="NO APORTA",$R2027=0,$X2027="NO APLICA"),"",ROUND($F2027/$Q2027,2))</f>
        <v/>
      </c>
      <c r="Z2027" s="544" t="str">
        <f>IF(Y2028=1,"SI APLICA",IF(OR($X2027="",$X2027="NO APLICA",$F2027="",$F2027="NO APORTA"),"",IF(ROUND($F2027/Q2027,7)&gt;=0.4,"SI APLICA","NO APLICA")))</f>
        <v/>
      </c>
      <c r="AA2027" s="546"/>
      <c r="AB2027" s="540" t="str">
        <f>IF(COUNTIF(Z2027:AA2027,"SI APLICA")=2,"SI APLICA","")</f>
        <v/>
      </c>
      <c r="AC2027" s="28"/>
    </row>
    <row r="2028" spans="1:29" s="30" customFormat="1" ht="16.5" customHeight="1" thickBot="1">
      <c r="A2028" s="112" t="str">
        <f>"T"&amp;E2001</f>
        <v>T67</v>
      </c>
      <c r="B2028" s="792"/>
      <c r="C2028" s="821" t="s">
        <v>419</v>
      </c>
      <c r="D2028" s="822"/>
      <c r="E2028" s="822"/>
      <c r="F2028" s="518"/>
      <c r="G2028" s="519"/>
      <c r="H2028" s="794" t="str">
        <f ca="1">IF(OR($F2020="",SUM(E2022:E2027)=0),"",IF(COUNTIF(H2022:H2027,"CUMPLE")&gt;=1,"CUMPLE","NO CUMPLE"))</f>
        <v>CUMPLE</v>
      </c>
      <c r="I2028" s="795"/>
      <c r="J2028" s="314" t="str">
        <f ca="1">IF(COUNTIF(J2022:J2027,"")&gt;5,"",IF(COUNTIF(J2022:J2027,"NO CUMPLE")&gt;0,"NO CUMPLE","CUMPLE"))</f>
        <v>CUMPLE</v>
      </c>
      <c r="K2028" s="314" t="str">
        <f ca="1">IF(OR(AND(F2020=1,N2022="SI"),AND(COUNTIF(H2028:J2028,"CUMPLE")=2)),"CUMPLE","NO CUMPLE")</f>
        <v>CUMPLE</v>
      </c>
      <c r="L2028" s="519"/>
      <c r="M2028" s="519"/>
      <c r="N2028" s="519"/>
      <c r="O2028" s="833" t="str">
        <f ca="1">IF(ISNUMBER(F2001),"",IF(AND(O2027="NO CUMPLE",SUM(N2008:N2014)&lt;Q2027),"EL PROPONENTE SE DEBE REQUERIR POR EXPERIENCIA MINIMA EXIGIDA",""))</f>
        <v/>
      </c>
      <c r="P2028" s="833"/>
      <c r="Q2028" s="833"/>
      <c r="R2028" s="833"/>
      <c r="S2028" s="833"/>
      <c r="T2028" s="522"/>
      <c r="U2028" s="523"/>
      <c r="V2028" s="524"/>
      <c r="W2028" s="284"/>
      <c r="X2028" s="364" t="str">
        <f>IF(Y2028=1,"PROPONENTE INDIVIDUAL","PROPONENTE PLURAL")</f>
        <v>PROPONENTE PLURAL</v>
      </c>
      <c r="Y2028" s="276">
        <f>F2020</f>
        <v>2</v>
      </c>
      <c r="Z2028" s="277" t="str">
        <f ca="1">IF(OR(AND(Z2022="SI APLICA",AA2022="SI APLICA"),AND(Z2023="SI APLICA",AA2023="SI APLICA"),AND(Z2024="SI APLICA",AA2024="SI APLICA"),AND(Z2025="SI APLICA",AA2025="SI APLICA"),AND(Z2026="SI APLICA",AA2026="SI APLICA"),AND(Z2027="SI APLICA",AA2027="SI APLICA")),"SI APLICA","NO APLICA")</f>
        <v>SI APLICA</v>
      </c>
      <c r="AA2028" s="278" t="str">
        <f ca="1">IF(OR(AND(AA2022="SI APLICA",AB2022="SI APLICA"),AND(AA2023="SI APLICA",AB2023="SI APLICA"),AND(AA2024="SI APLICA",AB2024="SI APLICA"),AND(AA2025="SI APLICA",AB2025="SI APLICA"),AND(AA2026="SI APLICA",AB2026="SI APLICA"),AND(AA2027="SI APLICA",AB2027="SI APLICA")),"SI APLICA","NO APLICA")</f>
        <v>SI APLICA</v>
      </c>
      <c r="AB2028" s="278" t="str">
        <f ca="1">IF(COUNTIF(AB2022:AB2027,"SI APLICA")&gt;0,"SI APLICA","NO APLICA")</f>
        <v>SI APLICA</v>
      </c>
      <c r="AC2028" s="28"/>
    </row>
    <row r="2029" spans="1:29" ht="24.95" customHeight="1"/>
    <row r="2030" spans="1:29" ht="24.95" customHeight="1"/>
    <row r="2031" spans="1:29" s="41" customFormat="1" ht="24" thickBot="1">
      <c r="A2031" s="34">
        <v>68</v>
      </c>
      <c r="B2031" s="828" t="s">
        <v>355</v>
      </c>
      <c r="C2031" s="828"/>
      <c r="D2031" s="828"/>
      <c r="E2031" s="35">
        <f>VLOOKUP(A2031,PROPONENTES!$B$19:$E$108,2,FALSE)</f>
        <v>68</v>
      </c>
      <c r="F2031" s="36" t="str">
        <f>VLOOKUP(A2031,PROPONENTES!$B$19:$E$108,3,FALSE)</f>
        <v>SOLUCIONES PARA LA INGENIERÍA S.A.S.</v>
      </c>
      <c r="G2031" s="37"/>
      <c r="H2031" s="37"/>
      <c r="I2031" s="36"/>
      <c r="J2031" s="36"/>
      <c r="K2031" s="36"/>
      <c r="L2031" s="36"/>
      <c r="M2031" s="38"/>
      <c r="N2031" s="38"/>
      <c r="O2031" s="37"/>
      <c r="P2031" s="37"/>
      <c r="Q2031" s="39"/>
      <c r="R2031" s="39"/>
      <c r="S2031" s="39"/>
      <c r="T2031" s="39"/>
      <c r="U2031" s="40"/>
      <c r="Y2031" s="52"/>
      <c r="Z2031" s="52"/>
      <c r="AA2031" s="52"/>
      <c r="AB2031" s="28"/>
      <c r="AC2031" s="28"/>
    </row>
    <row r="2032" spans="1:29" s="27" customFormat="1" ht="24.75" customHeight="1">
      <c r="A2032" s="22"/>
      <c r="B2032" s="829" t="s">
        <v>356</v>
      </c>
      <c r="C2032" s="501" t="s">
        <v>357</v>
      </c>
      <c r="D2032" s="502" t="s">
        <v>358</v>
      </c>
      <c r="E2032" s="502"/>
      <c r="F2032" s="502" t="s">
        <v>359</v>
      </c>
      <c r="G2032" s="503"/>
      <c r="H2032" s="803" t="s">
        <v>360</v>
      </c>
      <c r="I2032" s="831" t="s">
        <v>361</v>
      </c>
      <c r="J2032" s="803" t="s">
        <v>362</v>
      </c>
      <c r="K2032" s="803" t="s">
        <v>363</v>
      </c>
      <c r="L2032" s="803" t="s">
        <v>364</v>
      </c>
      <c r="M2032" s="803" t="s">
        <v>365</v>
      </c>
      <c r="N2032" s="804" t="s">
        <v>366</v>
      </c>
      <c r="O2032" s="805"/>
      <c r="P2032" s="806" t="s">
        <v>367</v>
      </c>
      <c r="Q2032" s="807"/>
      <c r="R2032" s="784" t="s">
        <v>368</v>
      </c>
      <c r="S2032" s="774"/>
      <c r="T2032" s="798" t="s">
        <v>369</v>
      </c>
      <c r="U2032" s="799"/>
      <c r="V2032" s="800"/>
      <c r="X2032" s="520"/>
      <c r="Y2032" s="520"/>
    </row>
    <row r="2033" spans="1:29" s="27" customFormat="1" ht="94.5" customHeight="1">
      <c r="A2033" s="22"/>
      <c r="B2033" s="830"/>
      <c r="C2033" s="504" t="s">
        <v>370</v>
      </c>
      <c r="D2033" s="505" t="s">
        <v>41</v>
      </c>
      <c r="E2033" s="505" t="s">
        <v>371</v>
      </c>
      <c r="F2033" s="505" t="s">
        <v>372</v>
      </c>
      <c r="G2033" s="506" t="s">
        <v>373</v>
      </c>
      <c r="H2033" s="793"/>
      <c r="I2033" s="832"/>
      <c r="J2033" s="793"/>
      <c r="K2033" s="793"/>
      <c r="L2033" s="793"/>
      <c r="M2033" s="793"/>
      <c r="N2033" s="504" t="s">
        <v>374</v>
      </c>
      <c r="O2033" s="505" t="s">
        <v>375</v>
      </c>
      <c r="P2033" s="801"/>
      <c r="Q2033" s="802"/>
      <c r="R2033" s="796"/>
      <c r="S2033" s="797"/>
      <c r="T2033" s="507" t="s">
        <v>376</v>
      </c>
      <c r="U2033" s="508" t="s">
        <v>377</v>
      </c>
      <c r="V2033" s="509" t="s">
        <v>378</v>
      </c>
      <c r="X2033" s="521" t="s">
        <v>379</v>
      </c>
      <c r="Y2033" s="521" t="s">
        <v>380</v>
      </c>
    </row>
    <row r="2034" spans="1:29" s="27" customFormat="1" ht="15" customHeight="1">
      <c r="A2034" s="22"/>
      <c r="B2034" s="594"/>
      <c r="C2034" s="595">
        <v>3</v>
      </c>
      <c r="D2034" s="595">
        <v>4</v>
      </c>
      <c r="E2034" s="595">
        <v>5</v>
      </c>
      <c r="F2034" s="595">
        <v>6</v>
      </c>
      <c r="G2034" s="595">
        <v>7</v>
      </c>
      <c r="H2034" s="595">
        <v>8</v>
      </c>
      <c r="I2034" s="595">
        <v>9</v>
      </c>
      <c r="J2034" s="595">
        <v>10</v>
      </c>
      <c r="K2034" s="595">
        <v>11</v>
      </c>
      <c r="L2034" s="595">
        <v>12</v>
      </c>
      <c r="M2034" s="595">
        <v>13</v>
      </c>
      <c r="N2034" s="595">
        <v>14</v>
      </c>
      <c r="O2034" s="595">
        <v>15</v>
      </c>
      <c r="P2034" s="596">
        <v>16</v>
      </c>
      <c r="Q2034" s="597">
        <v>17</v>
      </c>
      <c r="R2034" s="596">
        <v>18</v>
      </c>
      <c r="S2034" s="597">
        <v>19</v>
      </c>
      <c r="T2034" s="598">
        <v>20</v>
      </c>
      <c r="U2034" s="255">
        <v>21</v>
      </c>
      <c r="V2034" s="599">
        <v>22</v>
      </c>
      <c r="X2034" s="589"/>
      <c r="Y2034" s="590"/>
    </row>
    <row r="2035" spans="1:29" s="44" customFormat="1" ht="104.25" customHeight="1">
      <c r="A2035" s="42" t="str">
        <f>"A"&amp;E2031</f>
        <v>A68</v>
      </c>
      <c r="B2035" s="605">
        <f>IF(C2035&lt;&gt;"",B2034+1,"")</f>
        <v>1</v>
      </c>
      <c r="C2035" s="581" t="s">
        <v>926</v>
      </c>
      <c r="D2035" s="581" t="s">
        <v>927</v>
      </c>
      <c r="E2035" s="581" t="s">
        <v>928</v>
      </c>
      <c r="F2035" s="581" t="s">
        <v>431</v>
      </c>
      <c r="G2035" s="534">
        <v>0.5</v>
      </c>
      <c r="H2035" s="534" t="s">
        <v>385</v>
      </c>
      <c r="I2035" s="579" t="s">
        <v>384</v>
      </c>
      <c r="J2035" s="580" t="str">
        <f>IF(I2035="","",IF(I2035="I",$F2031,VLOOKUP(I2035,$C2052:$D2057,2,0)))</f>
        <v>SOLUCIONES PARA LA INGENIERÍA S.A.S.</v>
      </c>
      <c r="K2035" s="535">
        <v>40956</v>
      </c>
      <c r="L2035" s="535">
        <v>41521</v>
      </c>
      <c r="M2035" s="633">
        <v>751.02</v>
      </c>
      <c r="N2035" s="232">
        <f t="shared" ref="N2035:N2044" si="407">IF(OR(G2035="",M2035=""),"",M2035*G2035)</f>
        <v>375.51</v>
      </c>
      <c r="O2035" s="260">
        <f t="shared" ref="O2035:O2044" si="408">IF(OR(H2035="",H2035="NO",K2035&lt;$Q$17,K2035&gt;$R$17,K2035="",M2035="",N2035=""),"",ROUND(N2035,7))</f>
        <v>375.51</v>
      </c>
      <c r="P2035" s="781"/>
      <c r="Q2035" s="782"/>
      <c r="R2035" s="767"/>
      <c r="S2035" s="768"/>
      <c r="T2035" s="538" t="s">
        <v>385</v>
      </c>
      <c r="U2035" s="539">
        <v>1</v>
      </c>
      <c r="V2035" s="540" t="s">
        <v>385</v>
      </c>
      <c r="X2035" s="541" t="s">
        <v>386</v>
      </c>
      <c r="Y2035" s="541" t="s">
        <v>387</v>
      </c>
    </row>
    <row r="2036" spans="1:29" s="44" customFormat="1" ht="63.75" customHeight="1">
      <c r="A2036" s="42" t="str">
        <f>"B"&amp;E2031</f>
        <v>B68</v>
      </c>
      <c r="B2036" s="605">
        <f t="shared" ref="B2036:B2044" si="409">IF(C2036&lt;&gt;"",B2035+1,"")</f>
        <v>2</v>
      </c>
      <c r="C2036" s="581" t="s">
        <v>929</v>
      </c>
      <c r="D2036" s="581" t="s">
        <v>930</v>
      </c>
      <c r="E2036" s="581" t="s">
        <v>931</v>
      </c>
      <c r="F2036" s="581" t="s">
        <v>384</v>
      </c>
      <c r="G2036" s="534">
        <v>1</v>
      </c>
      <c r="H2036" s="534" t="s">
        <v>385</v>
      </c>
      <c r="I2036" s="579" t="s">
        <v>384</v>
      </c>
      <c r="J2036" s="580" t="str">
        <f>IF(I2036="","",IF(I2036="I",$F2031,VLOOKUP(,$C2052:$D2057,2,0)))</f>
        <v>SOLUCIONES PARA LA INGENIERÍA S.A.S.</v>
      </c>
      <c r="K2036" s="535">
        <v>41521</v>
      </c>
      <c r="L2036" s="535">
        <v>41814</v>
      </c>
      <c r="M2036" s="633">
        <v>376.62</v>
      </c>
      <c r="N2036" s="232">
        <f t="shared" si="407"/>
        <v>376.62</v>
      </c>
      <c r="O2036" s="260">
        <f t="shared" si="408"/>
        <v>376.62</v>
      </c>
      <c r="P2036" s="781"/>
      <c r="Q2036" s="782"/>
      <c r="R2036" s="767"/>
      <c r="S2036" s="768"/>
      <c r="T2036" s="538" t="s">
        <v>385</v>
      </c>
      <c r="U2036" s="539">
        <v>2</v>
      </c>
      <c r="V2036" s="540" t="s">
        <v>385</v>
      </c>
      <c r="X2036" s="541" t="s">
        <v>446</v>
      </c>
      <c r="Y2036" s="541" t="s">
        <v>435</v>
      </c>
    </row>
    <row r="2037" spans="1:29" s="44" customFormat="1" ht="76.5" customHeight="1">
      <c r="A2037" s="42" t="str">
        <f>"C"&amp;E2031</f>
        <v>C68</v>
      </c>
      <c r="B2037" s="605">
        <f t="shared" si="409"/>
        <v>3</v>
      </c>
      <c r="C2037" s="581" t="s">
        <v>932</v>
      </c>
      <c r="D2037" s="581" t="s">
        <v>933</v>
      </c>
      <c r="E2037" s="581" t="s">
        <v>934</v>
      </c>
      <c r="F2037" s="581" t="s">
        <v>431</v>
      </c>
      <c r="G2037" s="534">
        <v>0.9</v>
      </c>
      <c r="H2037" s="534" t="s">
        <v>385</v>
      </c>
      <c r="I2037" s="579" t="s">
        <v>384</v>
      </c>
      <c r="J2037" s="580" t="str">
        <f>IF(I2037="","",IF(I2037="I",$F2031,VLOOKUP(I2037,$C2052:$D2057,2,0)))</f>
        <v>SOLUCIONES PARA LA INGENIERÍA S.A.S.</v>
      </c>
      <c r="K2037" s="535">
        <v>41879</v>
      </c>
      <c r="L2037" s="535">
        <v>42136</v>
      </c>
      <c r="M2037" s="633">
        <v>363.71</v>
      </c>
      <c r="N2037" s="232">
        <f t="shared" si="407"/>
        <v>327.339</v>
      </c>
      <c r="O2037" s="260">
        <f t="shared" si="408"/>
        <v>327.339</v>
      </c>
      <c r="P2037" s="781"/>
      <c r="Q2037" s="782"/>
      <c r="R2037" s="767"/>
      <c r="S2037" s="768"/>
      <c r="T2037" s="538" t="s">
        <v>385</v>
      </c>
      <c r="U2037" s="539">
        <v>4</v>
      </c>
      <c r="V2037" s="540" t="s">
        <v>385</v>
      </c>
      <c r="X2037" s="541" t="s">
        <v>386</v>
      </c>
      <c r="Y2037" s="541" t="s">
        <v>439</v>
      </c>
    </row>
    <row r="2038" spans="1:29" s="44" customFormat="1" ht="82.5" customHeight="1">
      <c r="A2038" s="42" t="str">
        <f>"D"&amp;E2031</f>
        <v>D68</v>
      </c>
      <c r="B2038" s="605">
        <f t="shared" si="409"/>
        <v>4</v>
      </c>
      <c r="C2038" s="581" t="s">
        <v>932</v>
      </c>
      <c r="D2038" s="581" t="s">
        <v>935</v>
      </c>
      <c r="E2038" s="581" t="s">
        <v>936</v>
      </c>
      <c r="F2038" s="581" t="s">
        <v>431</v>
      </c>
      <c r="G2038" s="534">
        <v>0.99</v>
      </c>
      <c r="H2038" s="534" t="s">
        <v>385</v>
      </c>
      <c r="I2038" s="579" t="s">
        <v>384</v>
      </c>
      <c r="J2038" s="580" t="str">
        <f>IF(I2038="","",IF(I2038="I",$F2031,VLOOKUP(I2038,$C2052:$D2057,2,0)))</f>
        <v>SOLUCIONES PARA LA INGENIERÍA S.A.S.</v>
      </c>
      <c r="K2038" s="535">
        <v>42023</v>
      </c>
      <c r="L2038" s="535">
        <v>42292</v>
      </c>
      <c r="M2038" s="633">
        <v>439.03</v>
      </c>
      <c r="N2038" s="232">
        <f t="shared" si="407"/>
        <v>434.63969999999995</v>
      </c>
      <c r="O2038" s="260">
        <f t="shared" si="408"/>
        <v>434.6397</v>
      </c>
      <c r="P2038" s="781"/>
      <c r="Q2038" s="782"/>
      <c r="R2038" s="767"/>
      <c r="S2038" s="768"/>
      <c r="T2038" s="538" t="s">
        <v>385</v>
      </c>
      <c r="U2038" s="539">
        <v>5</v>
      </c>
      <c r="V2038" s="540" t="s">
        <v>385</v>
      </c>
      <c r="X2038" s="541" t="s">
        <v>386</v>
      </c>
      <c r="Y2038" s="541" t="s">
        <v>387</v>
      </c>
    </row>
    <row r="2039" spans="1:29" s="44" customFormat="1" ht="54" customHeight="1">
      <c r="A2039" s="42" t="str">
        <f>"E"&amp;E2031</f>
        <v>E68</v>
      </c>
      <c r="B2039" s="605">
        <f t="shared" si="409"/>
        <v>5</v>
      </c>
      <c r="C2039" s="581" t="s">
        <v>937</v>
      </c>
      <c r="D2039" s="581" t="s">
        <v>938</v>
      </c>
      <c r="E2039" s="581" t="s">
        <v>939</v>
      </c>
      <c r="F2039" s="581" t="s">
        <v>384</v>
      </c>
      <c r="G2039" s="534">
        <v>1</v>
      </c>
      <c r="H2039" s="534" t="s">
        <v>385</v>
      </c>
      <c r="I2039" s="579" t="s">
        <v>384</v>
      </c>
      <c r="J2039" s="580" t="str">
        <f>IF(I2039="","",IF(I2039="I",$F2031,VLOOKUP(I2039,$C2052:$D2057,2,0)))</f>
        <v>SOLUCIONES PARA LA INGENIERÍA S.A.S.</v>
      </c>
      <c r="K2039" s="535">
        <v>43494</v>
      </c>
      <c r="L2039" s="535">
        <v>43797</v>
      </c>
      <c r="M2039" s="536">
        <v>808.83</v>
      </c>
      <c r="N2039" s="232">
        <f t="shared" si="407"/>
        <v>808.83</v>
      </c>
      <c r="O2039" s="260">
        <f t="shared" si="408"/>
        <v>808.83</v>
      </c>
      <c r="P2039" s="781"/>
      <c r="Q2039" s="782"/>
      <c r="R2039" s="767"/>
      <c r="S2039" s="768"/>
      <c r="T2039" s="538" t="s">
        <v>385</v>
      </c>
      <c r="U2039" s="539">
        <v>10</v>
      </c>
      <c r="V2039" s="540" t="s">
        <v>385</v>
      </c>
      <c r="X2039" s="541" t="s">
        <v>423</v>
      </c>
      <c r="Y2039" s="541" t="s">
        <v>435</v>
      </c>
    </row>
    <row r="2040" spans="1:29" s="44" customFormat="1" ht="24.95" customHeight="1">
      <c r="A2040" s="42" t="str">
        <f>"F"&amp;E2031</f>
        <v>F68</v>
      </c>
      <c r="B2040" s="605" t="str">
        <f t="shared" si="409"/>
        <v/>
      </c>
      <c r="C2040" s="581"/>
      <c r="D2040" s="581"/>
      <c r="E2040" s="581"/>
      <c r="F2040" s="581"/>
      <c r="G2040" s="534"/>
      <c r="H2040" s="534"/>
      <c r="I2040" s="579"/>
      <c r="J2040" s="580" t="str">
        <f>IF(I2040="","",IF(I2040="I",$F2031,VLOOKUP(I2040,$C2052:$D2057,2,0)))</f>
        <v/>
      </c>
      <c r="K2040" s="535"/>
      <c r="L2040" s="535"/>
      <c r="M2040" s="536"/>
      <c r="N2040" s="232" t="str">
        <f t="shared" si="407"/>
        <v/>
      </c>
      <c r="O2040" s="260" t="str">
        <f t="shared" si="408"/>
        <v/>
      </c>
      <c r="P2040" s="781"/>
      <c r="Q2040" s="782"/>
      <c r="R2040" s="767"/>
      <c r="S2040" s="768"/>
      <c r="T2040" s="538"/>
      <c r="U2040" s="539"/>
      <c r="V2040" s="540"/>
      <c r="X2040" s="541"/>
      <c r="Y2040" s="541"/>
    </row>
    <row r="2041" spans="1:29" s="44" customFormat="1" ht="24.95" customHeight="1">
      <c r="A2041" s="42" t="str">
        <f>"G"&amp;E2031</f>
        <v>G68</v>
      </c>
      <c r="B2041" s="605" t="str">
        <f t="shared" si="409"/>
        <v/>
      </c>
      <c r="C2041" s="581"/>
      <c r="D2041" s="581"/>
      <c r="E2041" s="581"/>
      <c r="F2041" s="581"/>
      <c r="G2041" s="534"/>
      <c r="H2041" s="534"/>
      <c r="I2041" s="579"/>
      <c r="J2041" s="580" t="str">
        <f>IF(I2041="","",IF(I2041="I",$F2031,VLOOKUP(I2041,$C2052:$D2057,2,0)))</f>
        <v/>
      </c>
      <c r="K2041" s="535"/>
      <c r="L2041" s="535"/>
      <c r="M2041" s="536"/>
      <c r="N2041" s="43" t="str">
        <f t="shared" si="407"/>
        <v/>
      </c>
      <c r="O2041" s="260" t="str">
        <f t="shared" si="408"/>
        <v/>
      </c>
      <c r="P2041" s="781"/>
      <c r="Q2041" s="782"/>
      <c r="R2041" s="767"/>
      <c r="S2041" s="768"/>
      <c r="T2041" s="538"/>
      <c r="U2041" s="539"/>
      <c r="V2041" s="540"/>
      <c r="X2041" s="541"/>
      <c r="Y2041" s="541"/>
    </row>
    <row r="2042" spans="1:29" s="44" customFormat="1" ht="24.95" customHeight="1">
      <c r="A2042" s="42" t="str">
        <f>"H"&amp;E2031</f>
        <v>H68</v>
      </c>
      <c r="B2042" s="605" t="str">
        <f t="shared" si="409"/>
        <v/>
      </c>
      <c r="C2042" s="581"/>
      <c r="D2042" s="581"/>
      <c r="E2042" s="581"/>
      <c r="F2042" s="581"/>
      <c r="G2042" s="534"/>
      <c r="H2042" s="534"/>
      <c r="I2042" s="579"/>
      <c r="J2042" s="580" t="str">
        <f>IF(I2042="","",IF(I2042="I",$F2031,VLOOKUP(I2042,$C2052:$D2057,2,0)))</f>
        <v/>
      </c>
      <c r="K2042" s="535"/>
      <c r="L2042" s="535"/>
      <c r="M2042" s="537"/>
      <c r="N2042" s="43" t="str">
        <f t="shared" si="407"/>
        <v/>
      </c>
      <c r="O2042" s="260" t="str">
        <f t="shared" si="408"/>
        <v/>
      </c>
      <c r="P2042" s="781"/>
      <c r="Q2042" s="782"/>
      <c r="R2042" s="767"/>
      <c r="S2042" s="768"/>
      <c r="T2042" s="538"/>
      <c r="U2042" s="539"/>
      <c r="V2042" s="540"/>
      <c r="X2042" s="541"/>
      <c r="Y2042" s="541"/>
    </row>
    <row r="2043" spans="1:29" s="44" customFormat="1" ht="24.95" customHeight="1">
      <c r="A2043" s="42" t="str">
        <f>"I"&amp;E2031</f>
        <v>I68</v>
      </c>
      <c r="B2043" s="605" t="str">
        <f t="shared" si="409"/>
        <v/>
      </c>
      <c r="C2043" s="581"/>
      <c r="D2043" s="581"/>
      <c r="E2043" s="581"/>
      <c r="F2043" s="581"/>
      <c r="G2043" s="534"/>
      <c r="H2043" s="534"/>
      <c r="I2043" s="579"/>
      <c r="J2043" s="580" t="str">
        <f>IF(I2043="","",IF(I2043="I",$F2031,VLOOKUP(I2043,$C2052:$D2057,2,0)))</f>
        <v/>
      </c>
      <c r="K2043" s="535"/>
      <c r="L2043" s="535"/>
      <c r="M2043" s="537"/>
      <c r="N2043" s="43" t="str">
        <f t="shared" si="407"/>
        <v/>
      </c>
      <c r="O2043" s="260" t="str">
        <f t="shared" si="408"/>
        <v/>
      </c>
      <c r="P2043" s="781"/>
      <c r="Q2043" s="782"/>
      <c r="R2043" s="767"/>
      <c r="S2043" s="768"/>
      <c r="T2043" s="538"/>
      <c r="U2043" s="539"/>
      <c r="V2043" s="540"/>
      <c r="X2043" s="541"/>
      <c r="Y2043" s="541"/>
    </row>
    <row r="2044" spans="1:29" s="44" customFormat="1" ht="24.95" customHeight="1" thickBot="1">
      <c r="A2044" s="42" t="str">
        <f>"J"&amp;E2031</f>
        <v>J68</v>
      </c>
      <c r="B2044" s="612" t="str">
        <f t="shared" si="409"/>
        <v/>
      </c>
      <c r="C2044" s="582"/>
      <c r="D2044" s="582"/>
      <c r="E2044" s="582"/>
      <c r="F2044" s="582"/>
      <c r="G2044" s="583"/>
      <c r="H2044" s="583"/>
      <c r="I2044" s="584"/>
      <c r="J2044" s="585" t="str">
        <f>IF(I2044="","",IF(I2044="I",$F2031,VLOOKUP(I2044,$C2052:$D2057,2,0)))</f>
        <v/>
      </c>
      <c r="K2044" s="586"/>
      <c r="L2044" s="586"/>
      <c r="M2044" s="587"/>
      <c r="N2044" s="43" t="str">
        <f t="shared" si="407"/>
        <v/>
      </c>
      <c r="O2044" s="260" t="str">
        <f t="shared" si="408"/>
        <v/>
      </c>
      <c r="P2044" s="781"/>
      <c r="Q2044" s="782"/>
      <c r="R2044" s="767"/>
      <c r="S2044" s="768"/>
      <c r="T2044" s="538"/>
      <c r="U2044" s="539"/>
      <c r="V2044" s="540"/>
      <c r="X2044" s="541"/>
      <c r="Y2044" s="541"/>
    </row>
    <row r="2045" spans="1:29" s="27" customFormat="1" ht="12" customHeight="1" thickBot="1">
      <c r="A2045" s="42"/>
      <c r="B2045" s="45"/>
      <c r="C2045" s="46"/>
      <c r="D2045" s="46"/>
      <c r="E2045" s="46"/>
      <c r="F2045" s="46"/>
      <c r="G2045" s="46"/>
      <c r="H2045" s="606"/>
      <c r="I2045" s="46"/>
      <c r="J2045" s="46"/>
      <c r="K2045" s="46"/>
      <c r="L2045" s="46"/>
      <c r="M2045" s="46"/>
      <c r="N2045" s="46"/>
      <c r="O2045" s="259"/>
      <c r="P2045" s="46"/>
      <c r="Q2045" s="46"/>
      <c r="R2045" s="259"/>
      <c r="S2045" s="46"/>
      <c r="T2045" s="46"/>
      <c r="U2045" s="47"/>
      <c r="V2045" s="48"/>
      <c r="X2045" s="592"/>
      <c r="Y2045" s="593"/>
      <c r="AB2045" s="378"/>
    </row>
    <row r="2046" spans="1:29" s="27" customFormat="1" ht="17.25" customHeight="1" thickBot="1">
      <c r="A2046" s="42" t="str">
        <f>"Z"&amp;E2031</f>
        <v>Z68</v>
      </c>
      <c r="B2046" s="510"/>
      <c r="C2046" s="511"/>
      <c r="D2046" s="511"/>
      <c r="E2046" s="511"/>
      <c r="F2046" s="511"/>
      <c r="G2046" s="511"/>
      <c r="H2046" s="511"/>
      <c r="I2046" s="511"/>
      <c r="J2046" s="511"/>
      <c r="K2046" s="511"/>
      <c r="L2046" s="511"/>
      <c r="M2046" s="511"/>
      <c r="N2046" s="437" t="s">
        <v>388</v>
      </c>
      <c r="O2046" s="438">
        <f>IF(COUNTIF(O2035:O2044,"")&gt;9,0,SUM(O2035:O2044)/(COUNTIF(H2035:H2044,"SI")))</f>
        <v>464.58774000000005</v>
      </c>
      <c r="P2046" s="511"/>
      <c r="Q2046" s="511"/>
      <c r="R2046" s="530"/>
      <c r="S2046" s="530"/>
      <c r="T2046" s="531"/>
      <c r="U2046" s="532"/>
      <c r="V2046" s="533"/>
      <c r="W2046" s="285"/>
      <c r="X2046" s="613" t="e">
        <f>COUNTIF(#REF!,"")-COUNTIF(#REF!,"CUMPLE")-1</f>
        <v>#REF!</v>
      </c>
      <c r="Y2046" s="591"/>
      <c r="AB2046" s="28"/>
    </row>
    <row r="2047" spans="1:29" ht="17.25" customHeight="1">
      <c r="B2047" s="50"/>
      <c r="C2047" s="50"/>
      <c r="D2047" s="50"/>
      <c r="E2047" s="50"/>
      <c r="F2047" s="50"/>
      <c r="G2047" s="51"/>
      <c r="H2047" s="51"/>
      <c r="I2047" s="51"/>
      <c r="J2047" s="51"/>
      <c r="K2047" s="51"/>
      <c r="L2047" s="51"/>
      <c r="M2047" s="51"/>
      <c r="N2047" s="51"/>
      <c r="O2047" s="51"/>
      <c r="P2047" s="51"/>
      <c r="Q2047" s="51"/>
      <c r="R2047" s="51"/>
      <c r="S2047" s="51"/>
      <c r="T2047" s="51"/>
      <c r="U2047" s="51"/>
      <c r="V2047" s="51"/>
      <c r="W2047" s="51"/>
      <c r="X2047" s="608"/>
      <c r="Y2047" s="51"/>
      <c r="Z2047" s="51"/>
      <c r="AA2047" s="51"/>
      <c r="AB2047" s="51"/>
      <c r="AC2047" s="50"/>
    </row>
    <row r="2048" spans="1:29" s="27" customFormat="1" ht="16.5" customHeight="1" thickBot="1">
      <c r="A2048" s="22"/>
      <c r="B2048" s="783" t="s">
        <v>389</v>
      </c>
      <c r="C2048" s="783"/>
      <c r="D2048" s="783"/>
      <c r="E2048" s="783"/>
      <c r="F2048" s="783"/>
      <c r="G2048" s="783"/>
      <c r="H2048" s="783"/>
      <c r="I2048" s="783"/>
      <c r="J2048" s="783"/>
      <c r="K2048" s="783"/>
      <c r="L2048" s="783"/>
      <c r="M2048" s="783"/>
      <c r="N2048" s="783"/>
      <c r="O2048" s="783"/>
      <c r="P2048" s="783"/>
      <c r="Q2048" s="783"/>
      <c r="R2048" s="783"/>
      <c r="S2048" s="783"/>
      <c r="T2048" s="783"/>
      <c r="U2048" s="783"/>
      <c r="V2048" s="783"/>
      <c r="W2048" s="286"/>
      <c r="X2048" s="607"/>
      <c r="Y2048" s="52"/>
      <c r="Z2048" s="52"/>
      <c r="AA2048" s="52"/>
      <c r="AB2048" s="28"/>
      <c r="AC2048" s="28"/>
    </row>
    <row r="2049" spans="1:29" s="30" customFormat="1" ht="22.5" customHeight="1">
      <c r="A2049" s="112" t="str">
        <f>"K"&amp;E2031</f>
        <v>K68</v>
      </c>
      <c r="B2049" s="790" t="s">
        <v>390</v>
      </c>
      <c r="C2049" s="772" t="s">
        <v>391</v>
      </c>
      <c r="D2049" s="773"/>
      <c r="E2049" s="773"/>
      <c r="F2049" s="773"/>
      <c r="G2049" s="773"/>
      <c r="H2049" s="773"/>
      <c r="I2049" s="773"/>
      <c r="J2049" s="773"/>
      <c r="K2049" s="773"/>
      <c r="L2049" s="773"/>
      <c r="M2049" s="774"/>
      <c r="N2049" s="525"/>
      <c r="O2049" s="588"/>
      <c r="P2049" s="772" t="s">
        <v>392</v>
      </c>
      <c r="Q2049" s="773"/>
      <c r="R2049" s="773"/>
      <c r="S2049" s="774"/>
      <c r="T2049" s="784" t="s">
        <v>393</v>
      </c>
      <c r="U2049" s="774"/>
      <c r="V2049" s="811"/>
      <c r="W2049" s="284"/>
      <c r="X2049" s="778" t="s">
        <v>394</v>
      </c>
      <c r="Y2049" s="779"/>
      <c r="Z2049" s="779"/>
      <c r="AA2049" s="779" t="s">
        <v>395</v>
      </c>
      <c r="AB2049" s="808" t="s">
        <v>396</v>
      </c>
      <c r="AC2049" s="28"/>
    </row>
    <row r="2050" spans="1:29" s="30" customFormat="1" ht="22.5" customHeight="1">
      <c r="A2050" s="112" t="str">
        <f>"L"&amp;E2031</f>
        <v>L68</v>
      </c>
      <c r="B2050" s="791"/>
      <c r="C2050" s="769" t="s">
        <v>397</v>
      </c>
      <c r="D2050" s="770"/>
      <c r="E2050" s="771"/>
      <c r="F2050" s="512">
        <f>IF(VLOOKUP(E2031,PROPONENTES!$C$19:$E$108,3,0)="","",VLOOKUP(E2031,PROPONENTES!$C$19:$E$108,3,0))</f>
        <v>1</v>
      </c>
      <c r="G2050" s="824" t="s">
        <v>398</v>
      </c>
      <c r="H2050" s="793" t="s">
        <v>399</v>
      </c>
      <c r="I2050" s="793"/>
      <c r="J2050" s="769" t="s">
        <v>400</v>
      </c>
      <c r="K2050" s="823"/>
      <c r="L2050" s="513" t="s">
        <v>401</v>
      </c>
      <c r="M2050" s="513"/>
      <c r="N2050" s="526"/>
      <c r="O2050" s="527"/>
      <c r="P2050" s="775"/>
      <c r="Q2050" s="776"/>
      <c r="R2050" s="776"/>
      <c r="S2050" s="777"/>
      <c r="T2050" s="796"/>
      <c r="U2050" s="797"/>
      <c r="V2050" s="812"/>
      <c r="W2050" s="284"/>
      <c r="X2050" s="780" t="s">
        <v>402</v>
      </c>
      <c r="Y2050" s="810" t="s">
        <v>403</v>
      </c>
      <c r="Z2050" s="810"/>
      <c r="AA2050" s="810"/>
      <c r="AB2050" s="809"/>
      <c r="AC2050" s="28"/>
    </row>
    <row r="2051" spans="1:29" s="30" customFormat="1" ht="51.75" customHeight="1" thickBot="1">
      <c r="A2051" s="112" t="str">
        <f>"M"&amp;E2031</f>
        <v>M68</v>
      </c>
      <c r="B2051" s="791"/>
      <c r="C2051" s="770" t="s">
        <v>404</v>
      </c>
      <c r="D2051" s="771"/>
      <c r="E2051" s="514" t="s">
        <v>405</v>
      </c>
      <c r="F2051" s="515" t="s">
        <v>406</v>
      </c>
      <c r="G2051" s="824"/>
      <c r="H2051" s="793"/>
      <c r="I2051" s="793"/>
      <c r="J2051" s="504" t="s">
        <v>407</v>
      </c>
      <c r="K2051" s="516" t="s">
        <v>408</v>
      </c>
      <c r="L2051" s="517" t="s">
        <v>409</v>
      </c>
      <c r="M2051" s="517"/>
      <c r="N2051" s="528" t="s">
        <v>410</v>
      </c>
      <c r="O2051" s="529"/>
      <c r="P2051" s="386"/>
      <c r="Q2051" s="387" t="s">
        <v>411</v>
      </c>
      <c r="R2051" s="388"/>
      <c r="S2051" s="113">
        <f>COUNTIFS(H2035:H2044,"SI",O2035:O2044,"&gt;0")</f>
        <v>5</v>
      </c>
      <c r="T2051" s="785"/>
      <c r="U2051" s="787"/>
      <c r="V2051" s="813"/>
      <c r="W2051" s="284"/>
      <c r="X2051" s="780"/>
      <c r="Y2051" s="810"/>
      <c r="Z2051" s="810"/>
      <c r="AA2051" s="810"/>
      <c r="AB2051" s="809"/>
      <c r="AC2051" s="28"/>
    </row>
    <row r="2052" spans="1:29" s="30" customFormat="1" ht="15.75" customHeight="1">
      <c r="A2052" s="112" t="str">
        <f>"N"&amp;E2031</f>
        <v>N68</v>
      </c>
      <c r="B2052" s="791"/>
      <c r="C2052" s="54">
        <v>1</v>
      </c>
      <c r="D2052" s="100" t="str">
        <f>IF(AND(C2052&lt;=F2050,F2050&gt;1,F2050&lt;&gt;""),VLOOKUP(VALUE(E2031&amp;","&amp;C2052),INTEGRANTES!$D$19:$F$192,2,0),"")</f>
        <v/>
      </c>
      <c r="E2052" s="107" t="str">
        <f>IF(D2052&lt;&gt;"",VLOOKUP(VALUE(E2031&amp;","&amp;C2052),INTEGRANTES!$D$19:$F$192,3,0),"")</f>
        <v/>
      </c>
      <c r="F2052" s="380" t="str">
        <f>IF(D2052="","",IF(OR(SUMIF($J2038:$J2044,D2052,$O2038:$O2044)=0,N2052="NO"),"NO APORTA",SUMIF($J2038:$J2044,D2052,$O2038:$O2044)))</f>
        <v/>
      </c>
      <c r="G2052" s="380" t="str">
        <f>IF($D2052="","",IF($F2050&lt;=1,"",ROUND(POSMMLV*PORPO,2)))</f>
        <v/>
      </c>
      <c r="H2052" s="765" t="str">
        <f>IF($D2052="","",IF(OR(F2052="NO APORTA",G2052&gt;F2052),"NO CUMPLE","CUMPLE"))</f>
        <v/>
      </c>
      <c r="I2052" s="766"/>
      <c r="J2052" s="108" t="str">
        <f>IF(D2052="","",IF(OR(AND(SUMIF($J2035:$J2044,D2052,$O2035:$O2044)&gt;=5%*POSMMLV,N2052="SI"),AND(SUMIF($J2035:$J2044,D2052,$O2035:$O2044)=0,E2052&lt;=5%,N2052="SI")),"CUMPLE","NO CUMPLE"))</f>
        <v/>
      </c>
      <c r="K2052" s="105" t="str">
        <f>IF(OR(D2052="",J2052=""),"",IF(AND(J2052="NO CUMPLE",F2052="NO APORTA",E2052&gt;5%),"EXP = 0 y PART &gt; 5%",IF(F2052&lt;5%*Q2057,"EXP &lt; 5%*PO","")))</f>
        <v/>
      </c>
      <c r="L2052" s="389" t="str">
        <f>IF(OR(D2052="",E2052=""),"",IF(AND(E2052&gt;=0.25,F2052&lt;&gt;"NO APORTA",F2052&gt;=$R2057*0.25),"SI","NO"))</f>
        <v/>
      </c>
      <c r="M2052" s="389"/>
      <c r="N2052" s="468" t="s">
        <v>385</v>
      </c>
      <c r="O2052" s="396">
        <f>COUNTIFS(O2035:O2044,"&gt;0",H2035:H2044,"SI")</f>
        <v>5</v>
      </c>
      <c r="P2052" s="814" t="s">
        <v>139</v>
      </c>
      <c r="Q2052" s="814"/>
      <c r="R2052" s="817">
        <f>E2031</f>
        <v>68</v>
      </c>
      <c r="S2052" s="818"/>
      <c r="T2052" s="784" t="s">
        <v>412</v>
      </c>
      <c r="U2052" s="773"/>
      <c r="V2052" s="774"/>
      <c r="W2052" s="283"/>
      <c r="X2052" s="542" t="str">
        <f>IF($F2050=1,"NO APLICA",$D2052)</f>
        <v>NO APLICA</v>
      </c>
      <c r="Y2052" s="543" t="str">
        <f>IF(OR($F2052="",$F2052="NO APORTA",$R2057=0,$X2052="NO APLICA"),"",ROUND($F2052/$Q2057,2))</f>
        <v/>
      </c>
      <c r="Z2052" s="544" t="str">
        <f>IF(Y2058=1,"SI APLICA",IF(OR($X2052="",$X2052="NO APLICA",$F2052="",$F2052="NO APORTA"),"",IF(ROUND($F2052/Q2057,7)&gt;=0.4,"SI APLICA","NO APLICA")))</f>
        <v>SI APLICA</v>
      </c>
      <c r="AA2052" s="543" t="s">
        <v>413</v>
      </c>
      <c r="AB2052" s="540" t="str">
        <f>IF(COUNTIF(Z2052:AA2052,"SI APLICA")=2,"SI APLICA","")</f>
        <v>SI APLICA</v>
      </c>
      <c r="AC2052" s="28"/>
    </row>
    <row r="2053" spans="1:29" s="30" customFormat="1" ht="15.75" customHeight="1" thickBot="1">
      <c r="A2053" s="112" t="str">
        <f>"O"&amp;E2031</f>
        <v>O68</v>
      </c>
      <c r="B2053" s="791"/>
      <c r="C2053" s="54">
        <v>2</v>
      </c>
      <c r="D2053" s="100" t="str">
        <f>IF(AND(C2053&lt;=F2050,F2050&lt;&gt;""),VLOOKUP(VALUE(E2031&amp;","&amp;C2053),INTEGRANTES!$D$19:$F$192,2,0),"")</f>
        <v/>
      </c>
      <c r="E2053" s="107" t="str">
        <f>IF(D2053&lt;&gt;"",VLOOKUP(VALUE(E2031&amp;","&amp;C2053),INTEGRANTES!$D$19:$F$192,3,0),"")</f>
        <v/>
      </c>
      <c r="F2053" s="380" t="str">
        <f>IF(D2053="","",IF(OR(SUMIF($J2038:$J2044,D2053,$O2038:$O2044)=0,N2053="NO"),"NO APORTA",SUMIF($J2038:$J2044,D2053,$O2038:$O2044)))</f>
        <v/>
      </c>
      <c r="G2053" s="380" t="str">
        <f>IF($D2053="","",IF($F2050&lt;=1,"",ROUND(POSMMLV*PORPO,2)))</f>
        <v/>
      </c>
      <c r="H2053" s="765" t="str">
        <f t="shared" ref="H2053:H2056" si="410">IF($D2053="","",IF(OR(F2053="NO APORTA",G2053&gt;F2053),"NO CUMPLE","CUMPLE"))</f>
        <v/>
      </c>
      <c r="I2053" s="766"/>
      <c r="J2053" s="108" t="str">
        <f>IF(D2053="","",IF(OR(AND(SUMIF($J2035:$J2044,D2053,$O2035:$O2044)&gt;=5%*POSMMLV,N2053="SI"),AND(SUMIF($J2035:$J2044,D2053,$O2035:$O2044)=0,E2053&lt;=5%,N2053="SI")),"CUMPLE","NO CUMPLE"))</f>
        <v/>
      </c>
      <c r="K2053" s="105" t="str">
        <f>IF(OR(D2053="",J2053=""),"",IF(AND(J2053="NO CUMPLE",F2053="NO APORTA",E2053&gt;5%),"EXP = 0 y PART &gt; 5%",IF(F2053&lt;5%*Q2057,"EXP &lt; 5%*PO","")))</f>
        <v/>
      </c>
      <c r="L2053" s="389" t="str">
        <f>IF(OR(D2053="",E2053=""),"",IF(AND(E2053&gt;=0.25,F2053&lt;&gt;"NO APORTA",F2053&gt;=$R2057*0.25),"SI","NO"))</f>
        <v/>
      </c>
      <c r="M2053" s="389"/>
      <c r="N2053" s="468" t="s">
        <v>385</v>
      </c>
      <c r="O2053" s="396"/>
      <c r="P2053" s="815"/>
      <c r="Q2053" s="815"/>
      <c r="R2053" s="815"/>
      <c r="S2053" s="819"/>
      <c r="T2053" s="785"/>
      <c r="U2053" s="786"/>
      <c r="V2053" s="787"/>
      <c r="W2053" s="283"/>
      <c r="X2053" s="542" t="str">
        <f>IF($F2050=1,"NO APLICA",$D2053)</f>
        <v>NO APLICA</v>
      </c>
      <c r="Y2053" s="543" t="str">
        <f>IF(OR($F2053="",$F2053="NO APORTA",$R2057=0,$X2053="NO APLICA"),"",ROUND($F2053/$Q2057,2))</f>
        <v/>
      </c>
      <c r="Z2053" s="544"/>
      <c r="AA2053" s="543"/>
      <c r="AB2053" s="540" t="str">
        <f t="shared" ref="AB2053" si="411">IF(COUNTIF(Z2053:AA2053,"SI APLICA")=2,"SI APLICA","")</f>
        <v/>
      </c>
      <c r="AC2053" s="28"/>
    </row>
    <row r="2054" spans="1:29" s="30" customFormat="1" ht="15.75" customHeight="1">
      <c r="A2054" s="112" t="str">
        <f>"P"&amp;E2031</f>
        <v>P68</v>
      </c>
      <c r="B2054" s="791"/>
      <c r="C2054" s="54">
        <v>3</v>
      </c>
      <c r="D2054" s="100" t="str">
        <f>IF(AND(C2054&lt;=F2050,F2050&lt;&gt;""),VLOOKUP(VALUE(E2031&amp;","&amp;C2054),INTEGRANTES!$D$19:$F$192,2,0),"")</f>
        <v/>
      </c>
      <c r="E2054" s="107" t="str">
        <f>IF(D2054&lt;&gt;"",VLOOKUP(VALUE(E2031&amp;","&amp;C2054),INTEGRANTES!$D$19:$F$192,3,0),"")</f>
        <v/>
      </c>
      <c r="F2054" s="380" t="str">
        <f>IF(D2054="","",IF(OR(SUMIF($J2038:$J2044,D2054,$O2038:$O2044)=0,N2054="NO"),"NO APORTA",SUMIF($J2038:$J2044,D2054,$O2038:$O2044)))</f>
        <v/>
      </c>
      <c r="G2054" s="380" t="str">
        <f>IF($D2054="","",IF($F2050&lt;=1,"",ROUND(POSMMLV*PORPO,2)))</f>
        <v/>
      </c>
      <c r="H2054" s="765" t="str">
        <f t="shared" si="410"/>
        <v/>
      </c>
      <c r="I2054" s="766"/>
      <c r="J2054" s="108" t="str">
        <f>IF(D2054="","",IF(OR(AND(SUMIF($J2035:$J2044,D2054,$O2035:$O2044)&gt;=5%*POSMMLV,N2054="SI"),AND(SUMIF($J2035:$J2044,D2054,$O2035:$O2044)=0,E2054&lt;=5%,N2054="SI")),"CUMPLE","NO CUMPLE"))</f>
        <v/>
      </c>
      <c r="K2054" s="105" t="str">
        <f>IF(OR(D2054="",J2054=""),"",IF(AND(J2054="NO CUMPLE",F2054="NO APORTA",E2054&gt;5%),"EXP = 0 y PART &gt; 5%",IF(F2054&lt;5%*Q2057,"EXP &lt; 5%*PO","")))</f>
        <v/>
      </c>
      <c r="L2054" s="389" t="str">
        <f>IF(OR(D2054="",E2054=""),"",IF(AND(E2054&gt;=0.25,F2054&lt;&gt;"NO APORTA",F2054&gt;=$R2057*0.25),"SI","NO"))</f>
        <v/>
      </c>
      <c r="M2054" s="389"/>
      <c r="N2054" s="468"/>
      <c r="O2054" s="397"/>
      <c r="P2054" s="816"/>
      <c r="Q2054" s="816"/>
      <c r="R2054" s="816"/>
      <c r="S2054" s="820"/>
      <c r="T2054" s="308"/>
      <c r="U2054" s="308"/>
      <c r="V2054" s="309"/>
      <c r="W2054" s="284"/>
      <c r="X2054" s="542" t="str">
        <f>IF($F2050=1,"NO APLICA",$D2054)</f>
        <v>NO APLICA</v>
      </c>
      <c r="Y2054" s="543" t="str">
        <f>IF(OR($F2054="",$F2054="NO APORTA",$R2057=0,$X2054="NO APLICA"),"",ROUND($F2054/$Q2057,2))</f>
        <v/>
      </c>
      <c r="Z2054" s="544"/>
      <c r="AA2054" s="543"/>
      <c r="AB2054" s="540" t="str">
        <f>IF(COUNTIF(Z2054:AA2054,"SI APLICA")=2,"SI APLICA","")</f>
        <v/>
      </c>
      <c r="AC2054" s="28"/>
    </row>
    <row r="2055" spans="1:29" s="30" customFormat="1" ht="15.75" customHeight="1">
      <c r="A2055" s="112" t="str">
        <f>"Q"&amp;E2031</f>
        <v>Q68</v>
      </c>
      <c r="B2055" s="791"/>
      <c r="C2055" s="54">
        <v>4</v>
      </c>
      <c r="D2055" s="100" t="str">
        <f>IF(AND(C2055&lt;=F2050,F2050&lt;&gt;""),VLOOKUP(VALUE(E2031&amp;","&amp;C2055),INTEGRANTES!$D$19:$F$192,2,0),"")</f>
        <v/>
      </c>
      <c r="E2055" s="107" t="str">
        <f>IF(D2055&lt;&gt;"",VLOOKUP(VALUE(E2031&amp;","&amp;C2055),INTEGRANTES!$D$19:$F$192,3,0),"")</f>
        <v/>
      </c>
      <c r="F2055" s="380" t="str">
        <f>IF(D2055="","",IF(OR(SUMIF($J2038:$J2044,D2055,$O2038:$O2044)=0,N2055="NO"),"NO APORTA",SUMIF($J2038:$J2044,D2055,$O2038:$O2044)))</f>
        <v/>
      </c>
      <c r="G2055" s="380" t="str">
        <f>IF($D2055="","",IF($F2050&lt;=1,"",ROUND(POSMMLV*PORPO,2)))</f>
        <v/>
      </c>
      <c r="H2055" s="765" t="str">
        <f t="shared" si="410"/>
        <v/>
      </c>
      <c r="I2055" s="766"/>
      <c r="J2055" s="108" t="str">
        <f>IF(D2055="","",IF(OR(AND(SUMIF($J2035:$J2044,D2055,$O2035:$O2044)&gt;=5%*POSMMLV,N2055="SI"),AND(SUMIF($J2035:$J2044,D2055,$O2035:$O2044)=0,E2055&lt;=5%,N2055="SI")),"CUMPLE","NO CUMPLE"))</f>
        <v/>
      </c>
      <c r="K2055" s="105" t="str">
        <f>IF(OR(D2055="",J2055=""),"",IF(AND(J2055="NO CUMPLE",F2055="NO APORTA",E2055&gt;5%),"EXP = 0 y PART &gt; 5%",IF(F2055&lt;5%*Q2057,"EXP &lt; 5%*PO","")))</f>
        <v/>
      </c>
      <c r="L2055" s="389" t="str">
        <f>IF(OR(D2055="",E2055=""),"",IF(AND(E2055&gt;=0.25,F2055&lt;&gt;"NO APORTA",F2055&gt;=$R2057*0.25),"SI","NO"))</f>
        <v/>
      </c>
      <c r="M2055" s="389"/>
      <c r="N2055" s="468"/>
      <c r="O2055" s="788" t="s">
        <v>414</v>
      </c>
      <c r="P2055" s="769" t="s">
        <v>415</v>
      </c>
      <c r="Q2055" s="770"/>
      <c r="R2055" s="770"/>
      <c r="S2055" s="771"/>
      <c r="T2055" s="284"/>
      <c r="U2055" s="284"/>
      <c r="V2055" s="310"/>
      <c r="W2055" s="284"/>
      <c r="X2055" s="542" t="str">
        <f>IF($F2050=1,"NO APLICA",$D2055)</f>
        <v>NO APLICA</v>
      </c>
      <c r="Y2055" s="543" t="str">
        <f>IF(OR($F2055="",$F2055="NO APORTA",$R2057=0,$X2055="NO APLICA"),"",ROUND($F2055/$Q2057,2))</f>
        <v/>
      </c>
      <c r="Z2055" s="544"/>
      <c r="AA2055" s="543"/>
      <c r="AB2055" s="540" t="str">
        <f t="shared" ref="AB2055:AB2056" si="412">IF(COUNTIF(Z2055:AA2055,"SI APLICA")=2,"SI APLICA","")</f>
        <v/>
      </c>
      <c r="AC2055" s="28"/>
    </row>
    <row r="2056" spans="1:29" s="30" customFormat="1" ht="17.25" customHeight="1">
      <c r="A2056" s="112" t="str">
        <f>"R"&amp;E2031</f>
        <v>R68</v>
      </c>
      <c r="B2056" s="791"/>
      <c r="C2056" s="54">
        <v>5</v>
      </c>
      <c r="D2056" s="100" t="str">
        <f>IF(AND(C2056&lt;=F2050,F2050&lt;&gt;""),VLOOKUP(VALUE(E2031&amp;","&amp;C2056),INTEGRANTES!$D$19:$F$192,2,0),"")</f>
        <v/>
      </c>
      <c r="E2056" s="107" t="str">
        <f>IF(D2056&lt;&gt;"",VLOOKUP(VALUE(E2031&amp;","&amp;C2056),INTEGRANTES!$D$19:$F$192,3,0),"")</f>
        <v/>
      </c>
      <c r="F2056" s="380" t="str">
        <f>IF(D2056="","",IF(OR(SUMIF($J2038:$J2044,D2056,$O2038:$O2044)=0,N2056="NO"),"NO APORTA",SUMIF($J2038:$J2044,D2056,$O2038:$O2044)))</f>
        <v/>
      </c>
      <c r="G2056" s="380" t="str">
        <f>IF($D2056="","",IF($F2050&lt;=1,"",ROUND(POSMMLV*PORPO,2)))</f>
        <v/>
      </c>
      <c r="H2056" s="765" t="str">
        <f t="shared" si="410"/>
        <v/>
      </c>
      <c r="I2056" s="766"/>
      <c r="J2056" s="108" t="str">
        <f>IF(D2056="","",IF(OR(AND(SUMIF($J2035:$J2044,D2056,$O2035:$O2044)&gt;=5%*POSMMLV,N2056="SI"),AND(SUMIF($J2035:$J2044,D2056,$O2035:$O2044)=0,E2056&lt;=5%,N2056="SI")),"CUMPLE","NO CUMPLE"))</f>
        <v/>
      </c>
      <c r="K2056" s="105" t="str">
        <f>IF(OR(D2056="",J2056=""),"",IF(AND(J2056="NO CUMPLE",F2056="NO APORTA",E2056&gt;5%),"EXP = 0 y PART &gt; 5%",IF(F2056&lt;5%*Q2057,"EXP &lt; 5%*PO","")))</f>
        <v/>
      </c>
      <c r="L2056" s="389" t="str">
        <f>IF(OR(D2056="",E2056=""),"",IF(AND(E2056&gt;=0.25,F2056&lt;&gt;"NO APORTA",F2056&gt;=$R2057*0.25),"SI","NO"))</f>
        <v/>
      </c>
      <c r="M2056" s="389"/>
      <c r="N2056" s="468"/>
      <c r="O2056" s="789"/>
      <c r="P2056" s="504" t="s">
        <v>416</v>
      </c>
      <c r="Q2056" s="504" t="s">
        <v>417</v>
      </c>
      <c r="R2056" s="793" t="s">
        <v>418</v>
      </c>
      <c r="S2056" s="793"/>
      <c r="T2056" s="284"/>
      <c r="U2056" s="284"/>
      <c r="V2056" s="310"/>
      <c r="W2056" s="284"/>
      <c r="X2056" s="542" t="str">
        <f>IF($F2050=1,"NO APLICA",$D2056)</f>
        <v>NO APLICA</v>
      </c>
      <c r="Y2056" s="543" t="str">
        <f>IF(OR($F2056="",$F2056="NO APORTA",$R2057=0,$X2056="NO APLICA"),"",ROUND($F2056/$Q2057,2))</f>
        <v/>
      </c>
      <c r="Z2056" s="544"/>
      <c r="AA2056" s="543"/>
      <c r="AB2056" s="540" t="str">
        <f t="shared" si="412"/>
        <v/>
      </c>
      <c r="AC2056" s="28"/>
    </row>
    <row r="2057" spans="1:29" s="30" customFormat="1" ht="16.5" customHeight="1" thickBot="1">
      <c r="A2057" s="112" t="str">
        <f>"S"&amp;E2031</f>
        <v>S68</v>
      </c>
      <c r="B2057" s="791"/>
      <c r="C2057" s="109">
        <v>6</v>
      </c>
      <c r="D2057" s="110" t="str">
        <f>IF(AND(C2057&lt;=F2050,F2050&lt;&gt;""),VLOOKUP(VALUE(E2031&amp;","&amp;C2057),INTEGRANTES!$D$19:$F$192,2,0),"")</f>
        <v/>
      </c>
      <c r="E2057" s="111" t="str">
        <f>IF(D2057&lt;&gt;"",VLOOKUP(VALUE(E2031&amp;","&amp;C2057),INTEGRANTES!$D$19:$F$192,3,0),"")</f>
        <v/>
      </c>
      <c r="F2057" s="380" t="str">
        <f>IF(D2057="","",IF(OR(SUMIF($J2038:$J2044,D2057,$O2038:$O2044)=0,N2057="NO"),"NO APORTA",SUMIF($J2038:$J2044,D2057,$O2038:$O2044)))</f>
        <v/>
      </c>
      <c r="G2057" s="380" t="str">
        <f>IF($D2057="","",IF($F2050&lt;=1,"",ROUND(POSMMLV*PORPO,2)))</f>
        <v/>
      </c>
      <c r="H2057" s="765" t="str">
        <f>IF($D2057="","",IF(OR(F2057="NO APORTA",G2057&gt;F2057),"NO CUMPLE","CUMPLE"))</f>
        <v/>
      </c>
      <c r="I2057" s="766"/>
      <c r="J2057" s="108" t="str">
        <f>IF(D2057="","",IF(OR(AND(SUMIF($J2035:$J2044,D2057,$O2035:$O2044)&gt;=5%*POSMMLV,N2057="SI"),AND(SUMIF($J2035:$J2044,D2057,$O2035:$O2044)=0,E2057&lt;=5%,N2057="SI")),"CUMPLE","NO CUMPLE"))</f>
        <v/>
      </c>
      <c r="K2057" s="105" t="str">
        <f>IF(OR(D2057="",J2057=""),"",IF(AND(J2057="NO CUMPLE",F2057="NO APORTA",E2057&gt;5%),"EXP = 0 y PART &gt; 5%",IF(F2057&lt;5%*Q2057,"EXP &lt; 5%*PO","")))</f>
        <v/>
      </c>
      <c r="L2057" s="389" t="str">
        <f>IF(OR(D2057="",E2057=""),"",IF(AND(E2057&gt;=0.25,F2057&lt;&gt;"NO APORTA",F2057&gt;=$R2057*0.25),"SI","NO"))</f>
        <v/>
      </c>
      <c r="M2057" s="389"/>
      <c r="N2057" s="468"/>
      <c r="O2057" s="403" t="str">
        <f ca="1">IF(R2057&gt;=Q2057,"CUMPLE","NO CUMPLE")</f>
        <v>CUMPLE</v>
      </c>
      <c r="P2057" s="312">
        <f>NUMMOD</f>
        <v>1</v>
      </c>
      <c r="Q2057" s="313">
        <f ca="1">IF(P2057="","",ROUND(VLOOKUP(P2057,PRESUPUESTOS!$B$16:$L$16,9,FALSE),7))</f>
        <v>300</v>
      </c>
      <c r="R2057" s="834">
        <f>IF(OR(COUNTIF(O2035:O2044,"")&gt;9,S2051&lt;NUMMINCONT),0,SUM(O2035:O2044))</f>
        <v>2322.9387000000002</v>
      </c>
      <c r="S2057" s="834"/>
      <c r="T2057" s="284"/>
      <c r="U2057" s="284"/>
      <c r="V2057" s="310"/>
      <c r="W2057" s="284"/>
      <c r="X2057" s="545" t="str">
        <f>IF($F2050=1,"NO APLICA",$D2057)</f>
        <v>NO APLICA</v>
      </c>
      <c r="Y2057" s="543" t="str">
        <f>IF(OR($F2057="",$F2057="NO APORTA",$R2057=0,$X2057="NO APLICA"),"",ROUND($F2057/$Q2057,2))</f>
        <v/>
      </c>
      <c r="Z2057" s="544"/>
      <c r="AA2057" s="546"/>
      <c r="AB2057" s="540" t="str">
        <f>IF(COUNTIF(Z2057:AA2057,"SI APLICA")=2,"SI APLICA","")</f>
        <v/>
      </c>
      <c r="AC2057" s="28"/>
    </row>
    <row r="2058" spans="1:29" s="30" customFormat="1" ht="16.5" customHeight="1" thickBot="1">
      <c r="A2058" s="112" t="str">
        <f>"T"&amp;E2031</f>
        <v>T68</v>
      </c>
      <c r="B2058" s="792"/>
      <c r="C2058" s="821" t="s">
        <v>419</v>
      </c>
      <c r="D2058" s="822"/>
      <c r="E2058" s="822"/>
      <c r="F2058" s="518"/>
      <c r="G2058" s="519"/>
      <c r="H2058" s="794" t="str">
        <f>IF(OR($F2050="",SUM(E2052:E2057)=0),"",IF(COUNTIF(H2052:H2057,"CUMPLE")&gt;=1,"CUMPLE","NO CUMPLE"))</f>
        <v/>
      </c>
      <c r="I2058" s="795"/>
      <c r="J2058" s="314" t="str">
        <f>IF(COUNTIF(J2052:J2057,"")&gt;5,"",IF(COUNTIF(J2052:J2057,"NO CUMPLE")&gt;0,"NO CUMPLE","CUMPLE"))</f>
        <v/>
      </c>
      <c r="K2058" s="314" t="str">
        <f>IF(OR(AND(F2050=1,N2052="SI"),AND(COUNTIF(H2058:J2058,"CUMPLE")=2)),"CUMPLE","NO CUMPLE")</f>
        <v>CUMPLE</v>
      </c>
      <c r="L2058" s="519"/>
      <c r="M2058" s="519"/>
      <c r="N2058" s="519"/>
      <c r="O2058" s="833" t="str">
        <f ca="1">IF(ISNUMBER(F2031),"",IF(AND(O2057="NO CUMPLE",SUM(N2038:N2044)&lt;Q2057),"EL PROPONENTE SE DEBE REQUERIR POR EXPERIENCIA MINIMA EXIGIDA",""))</f>
        <v/>
      </c>
      <c r="P2058" s="833"/>
      <c r="Q2058" s="833"/>
      <c r="R2058" s="833"/>
      <c r="S2058" s="833"/>
      <c r="T2058" s="522"/>
      <c r="U2058" s="523"/>
      <c r="V2058" s="524"/>
      <c r="W2058" s="284"/>
      <c r="X2058" s="364" t="str">
        <f>IF(Y2058=1,"PROPONENTE INDIVIDUAL","PROPONENTE PLURAL")</f>
        <v>PROPONENTE INDIVIDUAL</v>
      </c>
      <c r="Y2058" s="276">
        <f>F2050</f>
        <v>1</v>
      </c>
      <c r="Z2058" s="277" t="str">
        <f>IF(OR(AND(Z2052="SI APLICA",AA2052="SI APLICA"),AND(Z2053="SI APLICA",AA2053="SI APLICA"),AND(Z2054="SI APLICA",AA2054="SI APLICA"),AND(Z2055="SI APLICA",AA2055="SI APLICA"),AND(Z2056="SI APLICA",AA2056="SI APLICA"),AND(Z2057="SI APLICA",AA2057="SI APLICA")),"SI APLICA","NO APLICA")</f>
        <v>SI APLICA</v>
      </c>
      <c r="AA2058" s="278" t="str">
        <f>IF(OR(AND(AA2052="SI APLICA",AB2052="SI APLICA"),AND(AA2053="SI APLICA",AB2053="SI APLICA"),AND(AA2054="SI APLICA",AB2054="SI APLICA"),AND(AA2055="SI APLICA",AB2055="SI APLICA"),AND(AA2056="SI APLICA",AB2056="SI APLICA"),AND(AA2057="SI APLICA",AB2057="SI APLICA")),"SI APLICA","NO APLICA")</f>
        <v>SI APLICA</v>
      </c>
      <c r="AB2058" s="278" t="str">
        <f>IF(COUNTIF(AB2052:AB2057,"SI APLICA")&gt;0,"SI APLICA","NO APLICA")</f>
        <v>SI APLICA</v>
      </c>
      <c r="AC2058" s="28"/>
    </row>
    <row r="2059" spans="1:29" ht="24.95" customHeight="1"/>
    <row r="2060" spans="1:29" ht="24.95" customHeight="1"/>
    <row r="2061" spans="1:29" s="41" customFormat="1" ht="24" thickBot="1">
      <c r="A2061" s="34">
        <v>69</v>
      </c>
      <c r="B2061" s="828" t="s">
        <v>355</v>
      </c>
      <c r="C2061" s="828"/>
      <c r="D2061" s="828"/>
      <c r="E2061" s="35">
        <f>VLOOKUP(A2061,PROPONENTES!$B$19:$E$108,2,FALSE)</f>
        <v>69</v>
      </c>
      <c r="F2061" s="36" t="str">
        <f>VLOOKUP(A2061,PROPONENTES!$B$19:$E$108,3,FALSE)</f>
        <v>Unión Temporal Intervías Tolima</v>
      </c>
      <c r="G2061" s="37"/>
      <c r="H2061" s="37"/>
      <c r="I2061" s="36"/>
      <c r="J2061" s="36"/>
      <c r="K2061" s="36"/>
      <c r="L2061" s="36"/>
      <c r="M2061" s="38"/>
      <c r="N2061" s="38"/>
      <c r="O2061" s="37"/>
      <c r="P2061" s="37"/>
      <c r="Q2061" s="39"/>
      <c r="R2061" s="39"/>
      <c r="S2061" s="39"/>
      <c r="T2061" s="39"/>
      <c r="U2061" s="40"/>
      <c r="Y2061" s="52"/>
      <c r="Z2061" s="52"/>
      <c r="AA2061" s="52"/>
      <c r="AB2061" s="28"/>
      <c r="AC2061" s="28"/>
    </row>
    <row r="2062" spans="1:29" s="27" customFormat="1" ht="24.75" customHeight="1">
      <c r="A2062" s="22"/>
      <c r="B2062" s="829" t="s">
        <v>356</v>
      </c>
      <c r="C2062" s="501" t="s">
        <v>357</v>
      </c>
      <c r="D2062" s="502" t="s">
        <v>358</v>
      </c>
      <c r="E2062" s="502"/>
      <c r="F2062" s="502" t="s">
        <v>359</v>
      </c>
      <c r="G2062" s="503"/>
      <c r="H2062" s="803" t="s">
        <v>360</v>
      </c>
      <c r="I2062" s="831" t="s">
        <v>361</v>
      </c>
      <c r="J2062" s="803" t="s">
        <v>362</v>
      </c>
      <c r="K2062" s="803" t="s">
        <v>363</v>
      </c>
      <c r="L2062" s="803" t="s">
        <v>364</v>
      </c>
      <c r="M2062" s="803" t="s">
        <v>365</v>
      </c>
      <c r="N2062" s="804" t="s">
        <v>366</v>
      </c>
      <c r="O2062" s="805"/>
      <c r="P2062" s="806" t="s">
        <v>367</v>
      </c>
      <c r="Q2062" s="807"/>
      <c r="R2062" s="784" t="s">
        <v>368</v>
      </c>
      <c r="S2062" s="774"/>
      <c r="T2062" s="798" t="s">
        <v>369</v>
      </c>
      <c r="U2062" s="799"/>
      <c r="V2062" s="800"/>
      <c r="X2062" s="520"/>
      <c r="Y2062" s="520"/>
    </row>
    <row r="2063" spans="1:29" s="27" customFormat="1" ht="94.5" customHeight="1">
      <c r="A2063" s="22"/>
      <c r="B2063" s="830"/>
      <c r="C2063" s="504" t="s">
        <v>370</v>
      </c>
      <c r="D2063" s="505" t="s">
        <v>41</v>
      </c>
      <c r="E2063" s="505" t="s">
        <v>371</v>
      </c>
      <c r="F2063" s="505" t="s">
        <v>372</v>
      </c>
      <c r="G2063" s="506" t="s">
        <v>373</v>
      </c>
      <c r="H2063" s="793"/>
      <c r="I2063" s="832"/>
      <c r="J2063" s="793"/>
      <c r="K2063" s="793"/>
      <c r="L2063" s="793"/>
      <c r="M2063" s="793"/>
      <c r="N2063" s="504" t="s">
        <v>374</v>
      </c>
      <c r="O2063" s="505" t="s">
        <v>375</v>
      </c>
      <c r="P2063" s="801"/>
      <c r="Q2063" s="802"/>
      <c r="R2063" s="796"/>
      <c r="S2063" s="797"/>
      <c r="T2063" s="507" t="s">
        <v>376</v>
      </c>
      <c r="U2063" s="508" t="s">
        <v>377</v>
      </c>
      <c r="V2063" s="509" t="s">
        <v>378</v>
      </c>
      <c r="X2063" s="521" t="s">
        <v>379</v>
      </c>
      <c r="Y2063" s="521" t="s">
        <v>380</v>
      </c>
    </row>
    <row r="2064" spans="1:29" s="27" customFormat="1" ht="15" customHeight="1">
      <c r="A2064" s="22"/>
      <c r="B2064" s="594"/>
      <c r="C2064" s="595">
        <v>3</v>
      </c>
      <c r="D2064" s="595">
        <v>4</v>
      </c>
      <c r="E2064" s="595" t="s">
        <v>940</v>
      </c>
      <c r="F2064" s="595">
        <v>6</v>
      </c>
      <c r="G2064" s="595">
        <v>7</v>
      </c>
      <c r="H2064" s="595">
        <v>8</v>
      </c>
      <c r="I2064" s="595">
        <v>9</v>
      </c>
      <c r="J2064" s="595">
        <v>10</v>
      </c>
      <c r="K2064" s="595">
        <v>11</v>
      </c>
      <c r="L2064" s="595">
        <v>12</v>
      </c>
      <c r="M2064" s="595">
        <v>13</v>
      </c>
      <c r="N2064" s="595">
        <v>14</v>
      </c>
      <c r="O2064" s="595">
        <v>15</v>
      </c>
      <c r="P2064" s="596">
        <v>16</v>
      </c>
      <c r="Q2064" s="597">
        <v>17</v>
      </c>
      <c r="R2064" s="596">
        <v>18</v>
      </c>
      <c r="S2064" s="597">
        <v>19</v>
      </c>
      <c r="T2064" s="598">
        <v>20</v>
      </c>
      <c r="U2064" s="255">
        <v>21</v>
      </c>
      <c r="V2064" s="599">
        <v>22</v>
      </c>
      <c r="X2064" s="589"/>
      <c r="Y2064" s="590"/>
    </row>
    <row r="2065" spans="1:29" s="44" customFormat="1" ht="59.25" customHeight="1">
      <c r="A2065" s="42" t="str">
        <f>"A"&amp;E2061</f>
        <v>A69</v>
      </c>
      <c r="B2065" s="605">
        <f>IF(C2065&lt;&gt;"",B2064+1,"")</f>
        <v>1</v>
      </c>
      <c r="C2065" s="581" t="s">
        <v>941</v>
      </c>
      <c r="D2065" s="581" t="s">
        <v>942</v>
      </c>
      <c r="E2065" s="636" t="s">
        <v>943</v>
      </c>
      <c r="F2065" s="581" t="s">
        <v>533</v>
      </c>
      <c r="G2065" s="534">
        <v>0.3</v>
      </c>
      <c r="H2065" s="534" t="s">
        <v>385</v>
      </c>
      <c r="I2065" s="579">
        <v>1</v>
      </c>
      <c r="J2065" s="580" t="str">
        <f>IF(I2065="","",IF(I2065="I",$F2061,VLOOKUP(I2065,$C2082:$D2087,2,0)))</f>
        <v>SCS INGENIERÍA S.A.S</v>
      </c>
      <c r="K2065" s="535">
        <v>43756</v>
      </c>
      <c r="L2065" s="535">
        <v>44493</v>
      </c>
      <c r="M2065" s="633">
        <v>323.64999999999998</v>
      </c>
      <c r="N2065" s="232">
        <f t="shared" ref="N2065:N2074" si="413">IF(OR(G2065="",M2065=""),"",M2065*G2065)</f>
        <v>97.094999999999985</v>
      </c>
      <c r="O2065" s="631">
        <f>IF(OR(H2065="",H2065="NO",K2065&lt;$Q$17,K2065&gt;$R$17,K2065="",M2065="",N2065=""),"",ROUND(N2065,7))</f>
        <v>97.094999999999999</v>
      </c>
      <c r="P2065" s="781"/>
      <c r="Q2065" s="782"/>
      <c r="R2065" s="767"/>
      <c r="S2065" s="768"/>
      <c r="T2065" s="538" t="s">
        <v>776</v>
      </c>
      <c r="U2065" s="539">
        <v>166</v>
      </c>
      <c r="V2065" s="540" t="s">
        <v>385</v>
      </c>
      <c r="X2065" s="541" t="s">
        <v>446</v>
      </c>
      <c r="Y2065" s="541" t="s">
        <v>435</v>
      </c>
    </row>
    <row r="2066" spans="1:29" s="44" customFormat="1" ht="51" customHeight="1">
      <c r="A2066" s="42" t="str">
        <f>"B"&amp;E2061</f>
        <v>B69</v>
      </c>
      <c r="B2066" s="605">
        <f t="shared" ref="B2066:B2074" si="414">IF(C2066&lt;&gt;"",B2065+1,"")</f>
        <v>2</v>
      </c>
      <c r="C2066" s="581" t="s">
        <v>944</v>
      </c>
      <c r="D2066" s="581" t="s">
        <v>945</v>
      </c>
      <c r="E2066" s="632" t="s">
        <v>946</v>
      </c>
      <c r="F2066" s="581" t="s">
        <v>384</v>
      </c>
      <c r="G2066" s="534">
        <v>1</v>
      </c>
      <c r="H2066" s="534" t="s">
        <v>385</v>
      </c>
      <c r="I2066" s="579">
        <v>2</v>
      </c>
      <c r="J2066" s="580" t="str">
        <f>IF(I2066="","",IF(I2066="I",$F2061,VLOOKUP(I2066,$C2082:$D2087,2,0)))</f>
        <v>TECNISUELOS S.A.S.</v>
      </c>
      <c r="K2066" s="535">
        <v>40896</v>
      </c>
      <c r="L2066" s="535">
        <v>41195</v>
      </c>
      <c r="M2066" s="633">
        <v>705.82</v>
      </c>
      <c r="N2066" s="232">
        <f t="shared" si="413"/>
        <v>705.82</v>
      </c>
      <c r="O2066" s="260">
        <f t="shared" ref="O2066:O2074" si="415">IF(OR(H2066="",H2066="NO",K2066&lt;$Q$17,K2066&gt;$R$17,K2066="",M2066="",N2066=""),"",ROUND(N2066,7))</f>
        <v>705.82</v>
      </c>
      <c r="P2066" s="781"/>
      <c r="Q2066" s="782"/>
      <c r="R2066" s="767"/>
      <c r="S2066" s="768"/>
      <c r="T2066" s="538" t="s">
        <v>385</v>
      </c>
      <c r="U2066" s="539">
        <v>11</v>
      </c>
      <c r="V2066" s="540" t="s">
        <v>385</v>
      </c>
      <c r="X2066" s="541" t="s">
        <v>386</v>
      </c>
      <c r="Y2066" s="541" t="s">
        <v>387</v>
      </c>
    </row>
    <row r="2067" spans="1:29" s="44" customFormat="1" ht="24.95" customHeight="1">
      <c r="A2067" s="42" t="str">
        <f>"C"&amp;E2061</f>
        <v>C69</v>
      </c>
      <c r="B2067" s="605">
        <f t="shared" si="414"/>
        <v>3</v>
      </c>
      <c r="C2067" s="581" t="s">
        <v>947</v>
      </c>
      <c r="D2067" s="581" t="s">
        <v>948</v>
      </c>
      <c r="E2067" s="581" t="s">
        <v>949</v>
      </c>
      <c r="F2067" s="581" t="s">
        <v>384</v>
      </c>
      <c r="G2067" s="534">
        <v>1</v>
      </c>
      <c r="H2067" s="534" t="s">
        <v>385</v>
      </c>
      <c r="I2067" s="579">
        <v>2</v>
      </c>
      <c r="J2067" s="580" t="str">
        <f>IF(I2067="","",IF(I2067="I",$F2061,VLOOKUP(I2067,$C2082:$D2087,2,0)))</f>
        <v>TECNISUELOS S.A.S.</v>
      </c>
      <c r="K2067" s="535">
        <v>41330</v>
      </c>
      <c r="L2067" s="535">
        <v>42342</v>
      </c>
      <c r="M2067" s="634">
        <v>3949.85</v>
      </c>
      <c r="N2067" s="232">
        <f t="shared" si="413"/>
        <v>3949.85</v>
      </c>
      <c r="O2067" s="260">
        <f t="shared" si="415"/>
        <v>3949.85</v>
      </c>
      <c r="P2067" s="781"/>
      <c r="Q2067" s="782"/>
      <c r="R2067" s="767"/>
      <c r="S2067" s="768"/>
      <c r="T2067" s="538" t="s">
        <v>385</v>
      </c>
      <c r="U2067" s="539">
        <v>100</v>
      </c>
      <c r="V2067" s="540" t="s">
        <v>385</v>
      </c>
      <c r="X2067" s="541" t="s">
        <v>386</v>
      </c>
      <c r="Y2067" s="541" t="s">
        <v>387</v>
      </c>
    </row>
    <row r="2068" spans="1:29" s="44" customFormat="1" ht="24.95" customHeight="1">
      <c r="A2068" s="42" t="str">
        <f>"D"&amp;E2061</f>
        <v>D69</v>
      </c>
      <c r="B2068" s="605">
        <f t="shared" si="414"/>
        <v>4</v>
      </c>
      <c r="C2068" s="581" t="s">
        <v>779</v>
      </c>
      <c r="D2068" s="581" t="s">
        <v>950</v>
      </c>
      <c r="E2068" s="581" t="s">
        <v>951</v>
      </c>
      <c r="F2068" s="581" t="s">
        <v>384</v>
      </c>
      <c r="G2068" s="534">
        <v>1</v>
      </c>
      <c r="H2068" s="534" t="s">
        <v>385</v>
      </c>
      <c r="I2068" s="579">
        <v>2</v>
      </c>
      <c r="J2068" s="580" t="str">
        <f>IF(I2068="","",IF(I2068="I",$F2061,VLOOKUP(I2068,$C2082:$D2087,2,0)))</f>
        <v>TECNISUELOS S.A.S.</v>
      </c>
      <c r="K2068" s="535">
        <v>42044</v>
      </c>
      <c r="L2068" s="535">
        <v>42526</v>
      </c>
      <c r="M2068" s="634">
        <v>459.82</v>
      </c>
      <c r="N2068" s="232">
        <f t="shared" si="413"/>
        <v>459.82</v>
      </c>
      <c r="O2068" s="260">
        <f t="shared" si="415"/>
        <v>459.82</v>
      </c>
      <c r="P2068" s="781"/>
      <c r="Q2068" s="782"/>
      <c r="R2068" s="767"/>
      <c r="S2068" s="768"/>
      <c r="T2068" s="538" t="s">
        <v>385</v>
      </c>
      <c r="U2068" s="539">
        <v>199</v>
      </c>
      <c r="V2068" s="540" t="s">
        <v>385</v>
      </c>
      <c r="X2068" s="541" t="s">
        <v>386</v>
      </c>
      <c r="Y2068" s="541" t="s">
        <v>387</v>
      </c>
    </row>
    <row r="2069" spans="1:29" s="44" customFormat="1" ht="24.95" customHeight="1">
      <c r="A2069" s="42" t="str">
        <f>"E"&amp;E2061</f>
        <v>E69</v>
      </c>
      <c r="B2069" s="605" t="str">
        <f t="shared" si="414"/>
        <v/>
      </c>
      <c r="C2069" s="581"/>
      <c r="D2069" s="581"/>
      <c r="E2069" s="581"/>
      <c r="F2069" s="581"/>
      <c r="G2069" s="534"/>
      <c r="H2069" s="534"/>
      <c r="I2069" s="579"/>
      <c r="J2069" s="534" t="str">
        <f>IF(I2069="","",IF(I2069="I",$F2061,VLOOKUP(I2069,$C2082:$D2087,2,0)))</f>
        <v/>
      </c>
      <c r="K2069" s="535"/>
      <c r="L2069" s="535"/>
      <c r="M2069" s="536"/>
      <c r="N2069" s="232" t="str">
        <f t="shared" si="413"/>
        <v/>
      </c>
      <c r="O2069" s="260" t="str">
        <f t="shared" si="415"/>
        <v/>
      </c>
      <c r="P2069" s="781"/>
      <c r="Q2069" s="782"/>
      <c r="R2069" s="767"/>
      <c r="S2069" s="768"/>
      <c r="T2069" s="538"/>
      <c r="U2069" s="539"/>
      <c r="V2069" s="540"/>
      <c r="X2069" s="541"/>
      <c r="Y2069" s="541"/>
    </row>
    <row r="2070" spans="1:29" s="44" customFormat="1" ht="24.95" customHeight="1">
      <c r="A2070" s="42" t="str">
        <f>"F"&amp;E2061</f>
        <v>F69</v>
      </c>
      <c r="B2070" s="605" t="str">
        <f t="shared" si="414"/>
        <v/>
      </c>
      <c r="C2070" s="581"/>
      <c r="D2070" s="581"/>
      <c r="E2070" s="581"/>
      <c r="F2070" s="581"/>
      <c r="G2070" s="534"/>
      <c r="H2070" s="534"/>
      <c r="I2070" s="579"/>
      <c r="J2070" s="534" t="str">
        <f>IF(I2070="","",IF(I2070="I",$F2061,VLOOKUP(I2070,$C2082:$D2087,2,0)))</f>
        <v/>
      </c>
      <c r="K2070" s="535"/>
      <c r="L2070" s="535"/>
      <c r="M2070" s="536"/>
      <c r="N2070" s="232" t="str">
        <f t="shared" si="413"/>
        <v/>
      </c>
      <c r="O2070" s="260" t="str">
        <f t="shared" si="415"/>
        <v/>
      </c>
      <c r="P2070" s="781"/>
      <c r="Q2070" s="782"/>
      <c r="R2070" s="767"/>
      <c r="S2070" s="768"/>
      <c r="T2070" s="538"/>
      <c r="U2070" s="539"/>
      <c r="V2070" s="540"/>
      <c r="X2070" s="541"/>
      <c r="Y2070" s="541"/>
    </row>
    <row r="2071" spans="1:29" s="44" customFormat="1" ht="24.95" customHeight="1">
      <c r="A2071" s="42" t="str">
        <f>"G"&amp;E2061</f>
        <v>G69</v>
      </c>
      <c r="B2071" s="605" t="str">
        <f t="shared" si="414"/>
        <v/>
      </c>
      <c r="C2071" s="581"/>
      <c r="D2071" s="581"/>
      <c r="E2071" s="581"/>
      <c r="F2071" s="581"/>
      <c r="G2071" s="534"/>
      <c r="H2071" s="534"/>
      <c r="I2071" s="579"/>
      <c r="J2071" s="534" t="str">
        <f>IF(I2071="","",IF(I2071="I",$F2061,VLOOKUP(I2071,$C2082:$D2087,2,0)))</f>
        <v/>
      </c>
      <c r="K2071" s="535"/>
      <c r="L2071" s="535"/>
      <c r="M2071" s="536"/>
      <c r="N2071" s="43" t="str">
        <f t="shared" si="413"/>
        <v/>
      </c>
      <c r="O2071" s="260" t="str">
        <f t="shared" si="415"/>
        <v/>
      </c>
      <c r="P2071" s="781"/>
      <c r="Q2071" s="782"/>
      <c r="R2071" s="767"/>
      <c r="S2071" s="768"/>
      <c r="T2071" s="538"/>
      <c r="U2071" s="539"/>
      <c r="V2071" s="540"/>
      <c r="X2071" s="541"/>
      <c r="Y2071" s="541"/>
    </row>
    <row r="2072" spans="1:29" s="44" customFormat="1" ht="24.95" customHeight="1">
      <c r="A2072" s="42" t="str">
        <f>"H"&amp;E2061</f>
        <v>H69</v>
      </c>
      <c r="B2072" s="605" t="str">
        <f t="shared" si="414"/>
        <v/>
      </c>
      <c r="C2072" s="581"/>
      <c r="D2072" s="581"/>
      <c r="E2072" s="581"/>
      <c r="F2072" s="581"/>
      <c r="G2072" s="534"/>
      <c r="H2072" s="534"/>
      <c r="I2072" s="579"/>
      <c r="J2072" s="534" t="str">
        <f>IF(I2072="","",IF(I2072="I",$F2061,VLOOKUP(I2072,$C2082:$D2087,2,0)))</f>
        <v/>
      </c>
      <c r="K2072" s="535"/>
      <c r="L2072" s="535"/>
      <c r="M2072" s="537"/>
      <c r="N2072" s="43" t="str">
        <f t="shared" si="413"/>
        <v/>
      </c>
      <c r="O2072" s="260" t="str">
        <f t="shared" si="415"/>
        <v/>
      </c>
      <c r="P2072" s="781"/>
      <c r="Q2072" s="782"/>
      <c r="R2072" s="767"/>
      <c r="S2072" s="768"/>
      <c r="T2072" s="538"/>
      <c r="U2072" s="539"/>
      <c r="V2072" s="540"/>
      <c r="X2072" s="541"/>
      <c r="Y2072" s="541"/>
    </row>
    <row r="2073" spans="1:29" s="44" customFormat="1" ht="24.95" customHeight="1">
      <c r="A2073" s="42" t="str">
        <f>"I"&amp;E2061</f>
        <v>I69</v>
      </c>
      <c r="B2073" s="605" t="str">
        <f t="shared" si="414"/>
        <v/>
      </c>
      <c r="C2073" s="581"/>
      <c r="D2073" s="581"/>
      <c r="E2073" s="581"/>
      <c r="F2073" s="581"/>
      <c r="G2073" s="534"/>
      <c r="H2073" s="534"/>
      <c r="I2073" s="579"/>
      <c r="J2073" s="534" t="str">
        <f>IF(I2073="","",IF(I2073="I",$F2061,VLOOKUP(I2073,$C2082:$D2087,2,0)))</f>
        <v/>
      </c>
      <c r="K2073" s="535"/>
      <c r="L2073" s="535"/>
      <c r="M2073" s="537"/>
      <c r="N2073" s="43" t="str">
        <f t="shared" si="413"/>
        <v/>
      </c>
      <c r="O2073" s="260" t="str">
        <f t="shared" si="415"/>
        <v/>
      </c>
      <c r="P2073" s="781"/>
      <c r="Q2073" s="782"/>
      <c r="R2073" s="767"/>
      <c r="S2073" s="768"/>
      <c r="T2073" s="538"/>
      <c r="U2073" s="539"/>
      <c r="V2073" s="540"/>
      <c r="X2073" s="541"/>
      <c r="Y2073" s="541"/>
    </row>
    <row r="2074" spans="1:29" s="44" customFormat="1" ht="24.95" customHeight="1" thickBot="1">
      <c r="A2074" s="42" t="str">
        <f>"J"&amp;E2061</f>
        <v>J69</v>
      </c>
      <c r="B2074" s="612" t="str">
        <f t="shared" si="414"/>
        <v/>
      </c>
      <c r="C2074" s="582"/>
      <c r="D2074" s="582"/>
      <c r="E2074" s="582"/>
      <c r="F2074" s="582"/>
      <c r="G2074" s="583"/>
      <c r="H2074" s="583"/>
      <c r="I2074" s="584"/>
      <c r="J2074" s="583" t="str">
        <f>IF(I2074="","",IF(I2074="I",$F2061,VLOOKUP(I2074,$C2082:$D2087,2,0)))</f>
        <v/>
      </c>
      <c r="K2074" s="586"/>
      <c r="L2074" s="586"/>
      <c r="M2074" s="587"/>
      <c r="N2074" s="43" t="str">
        <f t="shared" si="413"/>
        <v/>
      </c>
      <c r="O2074" s="260" t="str">
        <f t="shared" si="415"/>
        <v/>
      </c>
      <c r="P2074" s="781"/>
      <c r="Q2074" s="782"/>
      <c r="R2074" s="767"/>
      <c r="S2074" s="768"/>
      <c r="T2074" s="538"/>
      <c r="U2074" s="539"/>
      <c r="V2074" s="540"/>
      <c r="X2074" s="541"/>
      <c r="Y2074" s="541"/>
    </row>
    <row r="2075" spans="1:29" s="27" customFormat="1" ht="12" customHeight="1" thickBot="1">
      <c r="A2075" s="42"/>
      <c r="B2075" s="45"/>
      <c r="C2075" s="46"/>
      <c r="D2075" s="46"/>
      <c r="E2075" s="46"/>
      <c r="F2075" s="46"/>
      <c r="G2075" s="46"/>
      <c r="H2075" s="606"/>
      <c r="I2075" s="46"/>
      <c r="J2075" s="46"/>
      <c r="K2075" s="46"/>
      <c r="L2075" s="46"/>
      <c r="M2075" s="46"/>
      <c r="N2075" s="46"/>
      <c r="O2075" s="259"/>
      <c r="P2075" s="46"/>
      <c r="Q2075" s="46"/>
      <c r="R2075" s="259"/>
      <c r="S2075" s="46"/>
      <c r="T2075" s="46"/>
      <c r="U2075" s="47"/>
      <c r="V2075" s="48"/>
      <c r="X2075" s="592"/>
      <c r="Y2075" s="593"/>
      <c r="AB2075" s="378"/>
    </row>
    <row r="2076" spans="1:29" s="27" customFormat="1" ht="17.25" customHeight="1" thickBot="1">
      <c r="A2076" s="42" t="str">
        <f>"Z"&amp;E2061</f>
        <v>Z69</v>
      </c>
      <c r="B2076" s="510"/>
      <c r="C2076" s="511"/>
      <c r="D2076" s="511"/>
      <c r="E2076" s="511"/>
      <c r="F2076" s="511"/>
      <c r="G2076" s="511"/>
      <c r="H2076" s="511"/>
      <c r="I2076" s="511"/>
      <c r="J2076" s="511"/>
      <c r="K2076" s="511"/>
      <c r="L2076" s="511"/>
      <c r="M2076" s="511"/>
      <c r="N2076" s="437" t="s">
        <v>388</v>
      </c>
      <c r="O2076" s="438">
        <f>IF(COUNTIF(O2065:O2074,"")&gt;9,0,SUM(O2065:O2074)/(COUNTIF(H2065:H2074,"SI")))</f>
        <v>1303.14625</v>
      </c>
      <c r="P2076" s="511"/>
      <c r="Q2076" s="511"/>
      <c r="R2076" s="530"/>
      <c r="S2076" s="530"/>
      <c r="T2076" s="531"/>
      <c r="U2076" s="532"/>
      <c r="V2076" s="533"/>
      <c r="W2076" s="285"/>
      <c r="X2076" s="613" t="e">
        <f>COUNTIF(#REF!,"")-COUNTIF(#REF!,"CUMPLE")-1</f>
        <v>#REF!</v>
      </c>
      <c r="Y2076" s="591"/>
      <c r="AB2076" s="28"/>
    </row>
    <row r="2077" spans="1:29" ht="17.25" customHeight="1">
      <c r="B2077" s="50"/>
      <c r="C2077" s="50"/>
      <c r="D2077" s="50"/>
      <c r="E2077" s="50"/>
      <c r="F2077" s="50"/>
      <c r="G2077" s="51"/>
      <c r="H2077" s="51"/>
      <c r="I2077" s="51"/>
      <c r="J2077" s="51"/>
      <c r="K2077" s="51"/>
      <c r="L2077" s="51"/>
      <c r="M2077" s="51"/>
      <c r="N2077" s="51"/>
      <c r="O2077" s="51"/>
      <c r="P2077" s="51"/>
      <c r="Q2077" s="51"/>
      <c r="R2077" s="51"/>
      <c r="S2077" s="51"/>
      <c r="T2077" s="51"/>
      <c r="U2077" s="51"/>
      <c r="V2077" s="51"/>
      <c r="W2077" s="51"/>
      <c r="X2077" s="608"/>
      <c r="Y2077" s="51"/>
      <c r="Z2077" s="51"/>
      <c r="AA2077" s="51"/>
      <c r="AB2077" s="51"/>
      <c r="AC2077" s="50"/>
    </row>
    <row r="2078" spans="1:29" s="27" customFormat="1" ht="16.5" customHeight="1" thickBot="1">
      <c r="A2078" s="22"/>
      <c r="B2078" s="783" t="s">
        <v>389</v>
      </c>
      <c r="C2078" s="783"/>
      <c r="D2078" s="783"/>
      <c r="E2078" s="783"/>
      <c r="F2078" s="783"/>
      <c r="G2078" s="783"/>
      <c r="H2078" s="783"/>
      <c r="I2078" s="783"/>
      <c r="J2078" s="783"/>
      <c r="K2078" s="783"/>
      <c r="L2078" s="783"/>
      <c r="M2078" s="783"/>
      <c r="N2078" s="783"/>
      <c r="O2078" s="783"/>
      <c r="P2078" s="783"/>
      <c r="Q2078" s="783"/>
      <c r="R2078" s="783"/>
      <c r="S2078" s="783"/>
      <c r="T2078" s="783"/>
      <c r="U2078" s="783"/>
      <c r="V2078" s="783"/>
      <c r="W2078" s="286"/>
      <c r="X2078" s="607"/>
      <c r="Y2078" s="52"/>
      <c r="Z2078" s="52"/>
      <c r="AA2078" s="52"/>
      <c r="AB2078" s="28"/>
      <c r="AC2078" s="28"/>
    </row>
    <row r="2079" spans="1:29" s="30" customFormat="1" ht="22.5" customHeight="1">
      <c r="A2079" s="112" t="str">
        <f>"K"&amp;E2061</f>
        <v>K69</v>
      </c>
      <c r="B2079" s="790" t="s">
        <v>390</v>
      </c>
      <c r="C2079" s="772" t="s">
        <v>391</v>
      </c>
      <c r="D2079" s="773"/>
      <c r="E2079" s="773"/>
      <c r="F2079" s="773"/>
      <c r="G2079" s="773"/>
      <c r="H2079" s="773"/>
      <c r="I2079" s="773"/>
      <c r="J2079" s="773"/>
      <c r="K2079" s="773"/>
      <c r="L2079" s="773"/>
      <c r="M2079" s="774"/>
      <c r="N2079" s="525"/>
      <c r="O2079" s="588"/>
      <c r="P2079" s="772" t="s">
        <v>392</v>
      </c>
      <c r="Q2079" s="773"/>
      <c r="R2079" s="773"/>
      <c r="S2079" s="774"/>
      <c r="T2079" s="784" t="s">
        <v>393</v>
      </c>
      <c r="U2079" s="774"/>
      <c r="V2079" s="811"/>
      <c r="W2079" s="284"/>
      <c r="X2079" s="778" t="s">
        <v>394</v>
      </c>
      <c r="Y2079" s="779"/>
      <c r="Z2079" s="779"/>
      <c r="AA2079" s="779" t="s">
        <v>395</v>
      </c>
      <c r="AB2079" s="808" t="s">
        <v>396</v>
      </c>
      <c r="AC2079" s="28"/>
    </row>
    <row r="2080" spans="1:29" s="30" customFormat="1" ht="22.5" customHeight="1">
      <c r="A2080" s="112" t="str">
        <f>"L"&amp;E2061</f>
        <v>L69</v>
      </c>
      <c r="B2080" s="791"/>
      <c r="C2080" s="769" t="s">
        <v>397</v>
      </c>
      <c r="D2080" s="770"/>
      <c r="E2080" s="771"/>
      <c r="F2080" s="512">
        <f>IF(VLOOKUP(E2061,PROPONENTES!$C$19:$E$108,3,0)="","",VLOOKUP(E2061,PROPONENTES!$C$19:$E$108,3,0))</f>
        <v>2</v>
      </c>
      <c r="G2080" s="824" t="s">
        <v>398</v>
      </c>
      <c r="H2080" s="793" t="s">
        <v>399</v>
      </c>
      <c r="I2080" s="793"/>
      <c r="J2080" s="769" t="s">
        <v>400</v>
      </c>
      <c r="K2080" s="823"/>
      <c r="L2080" s="513" t="s">
        <v>401</v>
      </c>
      <c r="M2080" s="513"/>
      <c r="N2080" s="526"/>
      <c r="O2080" s="527"/>
      <c r="P2080" s="775"/>
      <c r="Q2080" s="776"/>
      <c r="R2080" s="776"/>
      <c r="S2080" s="777"/>
      <c r="T2080" s="796"/>
      <c r="U2080" s="797"/>
      <c r="V2080" s="812"/>
      <c r="W2080" s="284"/>
      <c r="X2080" s="780" t="s">
        <v>402</v>
      </c>
      <c r="Y2080" s="810" t="s">
        <v>403</v>
      </c>
      <c r="Z2080" s="810"/>
      <c r="AA2080" s="810"/>
      <c r="AB2080" s="809"/>
      <c r="AC2080" s="28"/>
    </row>
    <row r="2081" spans="1:29" s="30" customFormat="1" ht="51.75" customHeight="1" thickBot="1">
      <c r="A2081" s="112" t="str">
        <f>"M"&amp;E2061</f>
        <v>M69</v>
      </c>
      <c r="B2081" s="791"/>
      <c r="C2081" s="770" t="s">
        <v>404</v>
      </c>
      <c r="D2081" s="771"/>
      <c r="E2081" s="514" t="s">
        <v>405</v>
      </c>
      <c r="F2081" s="515" t="s">
        <v>406</v>
      </c>
      <c r="G2081" s="824"/>
      <c r="H2081" s="793"/>
      <c r="I2081" s="793"/>
      <c r="J2081" s="504" t="s">
        <v>407</v>
      </c>
      <c r="K2081" s="516" t="s">
        <v>408</v>
      </c>
      <c r="L2081" s="517" t="s">
        <v>785</v>
      </c>
      <c r="M2081" s="517"/>
      <c r="N2081" s="528" t="s">
        <v>410</v>
      </c>
      <c r="O2081" s="529"/>
      <c r="P2081" s="386"/>
      <c r="Q2081" s="387" t="s">
        <v>411</v>
      </c>
      <c r="R2081" s="388"/>
      <c r="S2081" s="113">
        <f>COUNTIFS(H2065:H2074,"SI",O2065:O2074,"&gt;0")</f>
        <v>4</v>
      </c>
      <c r="T2081" s="785"/>
      <c r="U2081" s="787"/>
      <c r="V2081" s="813"/>
      <c r="W2081" s="284"/>
      <c r="X2081" s="780"/>
      <c r="Y2081" s="810"/>
      <c r="Z2081" s="810"/>
      <c r="AA2081" s="810"/>
      <c r="AB2081" s="809"/>
      <c r="AC2081" s="28"/>
    </row>
    <row r="2082" spans="1:29" s="30" customFormat="1" ht="15.75" customHeight="1">
      <c r="A2082" s="112" t="str">
        <f>"N"&amp;E2061</f>
        <v>N69</v>
      </c>
      <c r="B2082" s="791"/>
      <c r="C2082" s="54">
        <v>1</v>
      </c>
      <c r="D2082" s="100" t="str">
        <f>IF(AND(C2082&lt;=F2080,F2080&gt;1,F2080&lt;&gt;""),VLOOKUP(VALUE(E2061&amp;","&amp;C2082),INTEGRANTES!$D$19:$F$192,2,0),"")</f>
        <v>SCS INGENIERÍA S.A.S</v>
      </c>
      <c r="E2082" s="107">
        <f>IF(D2082&lt;&gt;"",VLOOKUP(VALUE(E2061&amp;","&amp;C2082),INTEGRANTES!$D$19:$F$192,3,0),"")</f>
        <v>0.5</v>
      </c>
      <c r="F2082" s="380">
        <f>IF(D2082="","",IF(OR(SUMIF($J2065:$J2074,D2082,$O2065:$O2074)=0,N2082="NO"),"NO APORTA",SUMIF($J2065:$J2074,D2082,$O2065:$O2074)))</f>
        <v>97.094999999999999</v>
      </c>
      <c r="G2082" s="380">
        <f ca="1">IF($D2082="","",IF($F2080&lt;=1,"",ROUND(POSMMLV*PORPO,2)))</f>
        <v>150</v>
      </c>
      <c r="H2082" s="765" t="str">
        <f ca="1">IF($D2082="","",IF(OR(F2082="NO APORTA",G2082&gt;F2082),"NO CUMPLE","CUMPLE"))</f>
        <v>NO CUMPLE</v>
      </c>
      <c r="I2082" s="766"/>
      <c r="J2082" s="108" t="str">
        <f ca="1">IF(D2082="","",IF(OR(AND(SUMIF($J2065:$J2074,D2082,$O2065:$O2074)&gt;=5%*POSMMLV,N2082="SI"),AND(SUMIF($J2065:$J2074,D2082,$O2065:$O2074)=0,E2082&lt;=5%,N2082="SI")),"CUMPLE","NO CUMPLE"))</f>
        <v>CUMPLE</v>
      </c>
      <c r="K2082" s="105" t="str">
        <f ca="1">IF(OR(D2082="",J2082=""),"",IF(AND(J2082="NO CUMPLE",F2082="NO APORTA",E2082&gt;5%),"EXP = 0 y PART &gt; 5%",IF(F2082&lt;5%*Q2087,"EXP &lt; 5%*PO","")))</f>
        <v/>
      </c>
      <c r="L2082" s="389" t="str">
        <f>IF(OR(D2082="",E2082=""),"",IF(AND(E2082&gt;=0.05,F2082&lt;&gt;"NO APORTA",F2082&gt;=$R2087*0.05),"SI","NO"))</f>
        <v>NO</v>
      </c>
      <c r="M2082" s="389"/>
      <c r="N2082" s="468" t="s">
        <v>385</v>
      </c>
      <c r="O2082" s="396">
        <f>COUNTIFS(O2065:O2074,"&gt;0",H2065:H2074,"SI")</f>
        <v>4</v>
      </c>
      <c r="P2082" s="814" t="s">
        <v>139</v>
      </c>
      <c r="Q2082" s="814"/>
      <c r="R2082" s="817">
        <f>E2061</f>
        <v>69</v>
      </c>
      <c r="S2082" s="818"/>
      <c r="T2082" s="784" t="s">
        <v>412</v>
      </c>
      <c r="U2082" s="773"/>
      <c r="V2082" s="774"/>
      <c r="W2082" s="283"/>
      <c r="X2082" s="542" t="str">
        <f>IF($F2080=1,"NO APLICA",$D2082)</f>
        <v>SCS INGENIERÍA S.A.S</v>
      </c>
      <c r="Y2082" s="543">
        <f ca="1">IF(OR($F2082="",$F2082="NO APORTA",$R2087=0,$X2082="NO APLICA"),"",ROUND($F2082/$Q2087,2))</f>
        <v>0.32</v>
      </c>
      <c r="Z2082" s="544" t="str">
        <f ca="1">IF(Y2088=1,"SI APLICA",IF(OR($X2082="",$X2082="NO APLICA",$F2082="",$F2082="NO APORTA"),"",IF(ROUND($F2082/Q2087,7)&gt;=0.4,"SI APLICA","NO APLICA")))</f>
        <v>NO APLICA</v>
      </c>
      <c r="AA2082" s="543" t="s">
        <v>516</v>
      </c>
      <c r="AB2082" s="540" t="str">
        <f t="shared" ref="AB2082:AB2083" ca="1" si="416">IF(COUNTIF(Z2082:AA2082,"SI APLICA")=2,"SI APLICA","")</f>
        <v/>
      </c>
      <c r="AC2082" s="28"/>
    </row>
    <row r="2083" spans="1:29" s="30" customFormat="1" ht="15.75" customHeight="1" thickBot="1">
      <c r="A2083" s="112" t="str">
        <f>"O"&amp;E2061</f>
        <v>O69</v>
      </c>
      <c r="B2083" s="791"/>
      <c r="C2083" s="54">
        <v>2</v>
      </c>
      <c r="D2083" s="100" t="str">
        <f>IF(AND(C2083&lt;=F2080,F2080&lt;&gt;""),VLOOKUP(VALUE(E2061&amp;","&amp;C2083),INTEGRANTES!$D$19:$F$192,2,0),"")</f>
        <v>TECNISUELOS S.A.S.</v>
      </c>
      <c r="E2083" s="107">
        <f>IF(D2083&lt;&gt;"",VLOOKUP(VALUE(E2061&amp;","&amp;C2083),INTEGRANTES!$D$19:$F$192,3,0),"")</f>
        <v>0.5</v>
      </c>
      <c r="F2083" s="380">
        <f>IF(D2083="","",IF(OR(SUMIF($J2065:$J2074,D2083,$O2065:$O2074)=0,N2083="NO"),"NO APORTA",SUMIF($J2065:$J2074,D2083,$O2065:$O2074)))</f>
        <v>5115.49</v>
      </c>
      <c r="G2083" s="380">
        <f ca="1">IF($D2083="","",IF($F2080&lt;=1,"",ROUND(POSMMLV*PORPO,2)))</f>
        <v>150</v>
      </c>
      <c r="H2083" s="765" t="str">
        <f t="shared" ref="H2083:H2086" ca="1" si="417">IF($D2083="","",IF(OR(F2083="NO APORTA",G2083&gt;F2083),"NO CUMPLE","CUMPLE"))</f>
        <v>CUMPLE</v>
      </c>
      <c r="I2083" s="766"/>
      <c r="J2083" s="108" t="str">
        <f ca="1">IF(D2083="","",IF(OR(AND(SUMIF($J2065:$J2074,D2083,$O2065:$O2074)&gt;=5%*POSMMLV,N2083="SI"),AND(SUMIF($J2065:$J2074,D2083,$O2065:$O2074)=0,E2083&lt;=5%,N2083="SI")),"CUMPLE","NO CUMPLE"))</f>
        <v>CUMPLE</v>
      </c>
      <c r="K2083" s="105" t="str">
        <f ca="1">IF(OR(D2083="",J2083=""),"",IF(AND(J2083="NO CUMPLE",F2083="NO APORTA",E2083&gt;5%),"EXP = 0 y PART &gt; 5%",IF(F2083&lt;5%*Q2087,"EXP &lt; 5%*PO","")))</f>
        <v/>
      </c>
      <c r="L2083" s="389" t="str">
        <f>IF(OR(D2083="",E2083=""),"",IF(AND(E2083&gt;=0.05,F2083&lt;&gt;"NO APORTA",F2083&gt;=$R2087*0.05),"SI","NO"))</f>
        <v>SI</v>
      </c>
      <c r="M2083" s="389"/>
      <c r="N2083" s="468" t="s">
        <v>385</v>
      </c>
      <c r="O2083" s="396"/>
      <c r="P2083" s="815"/>
      <c r="Q2083" s="815"/>
      <c r="R2083" s="815"/>
      <c r="S2083" s="819"/>
      <c r="T2083" s="785"/>
      <c r="U2083" s="786"/>
      <c r="V2083" s="787"/>
      <c r="W2083" s="283"/>
      <c r="X2083" s="542" t="str">
        <f>IF($F2080=1,"NO APLICA",$D2083)</f>
        <v>TECNISUELOS S.A.S.</v>
      </c>
      <c r="Y2083" s="543">
        <f ca="1">IF(OR($F2083="",$F2083="NO APORTA",$R2087=0,$X2083="NO APLICA"),"",ROUND($F2083/$Q2087,2))</f>
        <v>17.05</v>
      </c>
      <c r="Z2083" s="544" t="str">
        <f ca="1">IF(Y2088=1,"SI APLICA",IF(OR($X2083="",$X2083="NO APLICA",$F2083="",$F2083="NO APORTA"),"",IF(ROUND($F2083/Q2087,7)&gt;=0.4,"SI APLICA","NO APLICA")))</f>
        <v>SI APLICA</v>
      </c>
      <c r="AA2083" s="543" t="s">
        <v>413</v>
      </c>
      <c r="AB2083" s="540" t="str">
        <f t="shared" ca="1" si="416"/>
        <v>SI APLICA</v>
      </c>
      <c r="AC2083" s="28"/>
    </row>
    <row r="2084" spans="1:29" s="30" customFormat="1" ht="15.75" customHeight="1">
      <c r="A2084" s="112" t="str">
        <f>"P"&amp;E2061</f>
        <v>P69</v>
      </c>
      <c r="B2084" s="791"/>
      <c r="C2084" s="54">
        <v>3</v>
      </c>
      <c r="D2084" s="100" t="str">
        <f>IF(AND(C2084&lt;=F2080,F2080&lt;&gt;""),VLOOKUP(VALUE(E2061&amp;","&amp;C2084),INTEGRANTES!$D$19:$F$192,2,0),"")</f>
        <v/>
      </c>
      <c r="E2084" s="107" t="str">
        <f>IF(D2084&lt;&gt;"",VLOOKUP(VALUE(E2061&amp;","&amp;C2084),INTEGRANTES!$D$19:$F$192,3,0),"")</f>
        <v/>
      </c>
      <c r="F2084" s="380" t="str">
        <f>IF(D2084="","",IF(OR(SUMIF($J2068:$J2074,D2084,$O2068:$O2074)=0,N2084="NO"),"NO APORTA",SUMIF($J2068:$J2074,D2084,$O2068:$O2074)))</f>
        <v/>
      </c>
      <c r="G2084" s="380" t="str">
        <f>IF($D2084="","",IF($F2080&lt;=1,"",ROUND(POSMMLV*PORPO,2)))</f>
        <v/>
      </c>
      <c r="H2084" s="765" t="str">
        <f t="shared" si="417"/>
        <v/>
      </c>
      <c r="I2084" s="766"/>
      <c r="J2084" s="108" t="str">
        <f>IF(D2084="","",IF(OR(AND(SUMIF($J2065:$J2074,D2084,$O2065:$O2074)&gt;=5%*POSMMLV,N2084="SI"),AND(SUMIF($J2065:$J2074,D2084,$O2065:$O2074)=0,E2084&lt;=5%,N2084="SI")),"CUMPLE","NO CUMPLE"))</f>
        <v/>
      </c>
      <c r="K2084" s="105" t="str">
        <f>IF(OR(D2084="",J2084=""),"",IF(AND(J2084="NO CUMPLE",F2084="NO APORTA",E2084&gt;5%),"EXP = 0 y PART &gt; 5%",IF(F2084&lt;5%*Q2087,"EXP &lt; 5%*PO","")))</f>
        <v/>
      </c>
      <c r="L2084" s="389" t="str">
        <f>IF(OR(D2084="",E2084=""),"",IF(AND(E2084&gt;=0.25,F2084&lt;&gt;"NO APORTA",F2084&gt;=$R2087*0.25),"SI","NO"))</f>
        <v/>
      </c>
      <c r="M2084" s="389"/>
      <c r="N2084" s="468"/>
      <c r="O2084" s="397"/>
      <c r="P2084" s="816"/>
      <c r="Q2084" s="816"/>
      <c r="R2084" s="816"/>
      <c r="S2084" s="820"/>
      <c r="T2084" s="308"/>
      <c r="U2084" s="308"/>
      <c r="V2084" s="309"/>
      <c r="W2084" s="284"/>
      <c r="X2084" s="542" t="str">
        <f>IF($F2080=1,"NO APLICA",$D2084)</f>
        <v/>
      </c>
      <c r="Y2084" s="543" t="str">
        <f>IF(OR($F2084="",$F2084="NO APORTA",$R2087=0,$X2084="NO APLICA"),"",ROUND($F2084/$Q2087,2))</f>
        <v/>
      </c>
      <c r="Z2084" s="544" t="str">
        <f>IF(Y2088=1,"SI APLICA",IF(OR($X2084="",$X2084="NO APLICA",$F2084="",$F2084="NO APORTA"),"",IF(ROUND($F2084/Q2087,7)&gt;=0.4,"SI APLICA","NO APLICA")))</f>
        <v/>
      </c>
      <c r="AA2084" s="543"/>
      <c r="AB2084" s="540" t="str">
        <f>IF(COUNTIF(Z2084:AA2084,"SI APLICA")=2,"SI APLICA","")</f>
        <v/>
      </c>
      <c r="AC2084" s="28"/>
    </row>
    <row r="2085" spans="1:29" s="30" customFormat="1" ht="15.75" customHeight="1">
      <c r="A2085" s="112" t="str">
        <f>"Q"&amp;E2061</f>
        <v>Q69</v>
      </c>
      <c r="B2085" s="791"/>
      <c r="C2085" s="54">
        <v>4</v>
      </c>
      <c r="D2085" s="100" t="str">
        <f>IF(AND(C2085&lt;=F2080,F2080&lt;&gt;""),VLOOKUP(VALUE(E2061&amp;","&amp;C2085),INTEGRANTES!$D$19:$F$192,2,0),"")</f>
        <v/>
      </c>
      <c r="E2085" s="107" t="str">
        <f>IF(D2085&lt;&gt;"",VLOOKUP(VALUE(E2061&amp;","&amp;C2085),INTEGRANTES!$D$19:$F$192,3,0),"")</f>
        <v/>
      </c>
      <c r="F2085" s="380" t="str">
        <f>IF(D2085="","",IF(OR(SUMIF($J2068:$J2074,D2085,$O2068:$O2074)=0,N2085="NO"),"NO APORTA",SUMIF($J2068:$J2074,D2085,$O2068:$O2074)))</f>
        <v/>
      </c>
      <c r="G2085" s="380" t="str">
        <f>IF($D2085="","",IF($F2080&lt;=1,"",ROUND(POSMMLV*PORPO,2)))</f>
        <v/>
      </c>
      <c r="H2085" s="765" t="str">
        <f t="shared" si="417"/>
        <v/>
      </c>
      <c r="I2085" s="766"/>
      <c r="J2085" s="108" t="str">
        <f>IF(D2085="","",IF(OR(AND(SUMIF($J2065:$J2074,D2085,$O2065:$O2074)&gt;=5%*POSMMLV,N2085="SI"),AND(SUMIF($J2065:$J2074,D2085,$O2065:$O2074)=0,E2085&lt;=5%,N2085="SI")),"CUMPLE","NO CUMPLE"))</f>
        <v/>
      </c>
      <c r="K2085" s="105" t="str">
        <f>IF(OR(D2085="",J2085=""),"",IF(AND(J2085="NO CUMPLE",F2085="NO APORTA",E2085&gt;5%),"EXP = 0 y PART &gt; 5%",IF(F2085&lt;5%*Q2087,"EXP &lt; 5%*PO","")))</f>
        <v/>
      </c>
      <c r="L2085" s="389" t="str">
        <f>IF(OR(D2085="",E2085=""),"",IF(AND(E2085&gt;=0.25,F2085&lt;&gt;"NO APORTA",F2085&gt;=$R2087*0.25),"SI","NO"))</f>
        <v/>
      </c>
      <c r="M2085" s="389"/>
      <c r="N2085" s="468"/>
      <c r="O2085" s="788" t="s">
        <v>414</v>
      </c>
      <c r="P2085" s="769" t="s">
        <v>415</v>
      </c>
      <c r="Q2085" s="770"/>
      <c r="R2085" s="770"/>
      <c r="S2085" s="771"/>
      <c r="T2085" s="284"/>
      <c r="U2085" s="284"/>
      <c r="V2085" s="310"/>
      <c r="W2085" s="284"/>
      <c r="X2085" s="542" t="str">
        <f>IF($F2080=1,"NO APLICA",$D2085)</f>
        <v/>
      </c>
      <c r="Y2085" s="543" t="str">
        <f>IF(OR($F2085="",$F2085="NO APORTA",$R2087=0,$X2085="NO APLICA"),"",ROUND($F2085/$Q2087,2))</f>
        <v/>
      </c>
      <c r="Z2085" s="544" t="str">
        <f>IF(Y2088=1,"SI APLICA",IF(OR($X2085="",$X2085="NO APLICA",$F2085="",$F2085="NO APORTA"),"",IF(ROUND($F2085/Q2087,7)&gt;=0.4,"SI APLICA","NO APLICA")))</f>
        <v/>
      </c>
      <c r="AA2085" s="543"/>
      <c r="AB2085" s="540" t="str">
        <f t="shared" ref="AB2085:AB2086" si="418">IF(COUNTIF(Z2085:AA2085,"SI APLICA")=2,"SI APLICA","")</f>
        <v/>
      </c>
      <c r="AC2085" s="28"/>
    </row>
    <row r="2086" spans="1:29" s="30" customFormat="1" ht="17.25" customHeight="1">
      <c r="A2086" s="112" t="str">
        <f>"R"&amp;E2061</f>
        <v>R69</v>
      </c>
      <c r="B2086" s="791"/>
      <c r="C2086" s="54">
        <v>5</v>
      </c>
      <c r="D2086" s="100" t="str">
        <f>IF(AND(C2086&lt;=F2080,F2080&lt;&gt;""),VLOOKUP(VALUE(E2061&amp;","&amp;C2086),INTEGRANTES!$D$19:$F$192,2,0),"")</f>
        <v/>
      </c>
      <c r="E2086" s="107" t="str">
        <f>IF(D2086&lt;&gt;"",VLOOKUP(VALUE(E2061&amp;","&amp;C2086),INTEGRANTES!$D$19:$F$192,3,0),"")</f>
        <v/>
      </c>
      <c r="F2086" s="380" t="str">
        <f>IF(D2086="","",IF(OR(SUMIF($J2068:$J2074,D2086,$O2068:$O2074)=0,N2086="NO"),"NO APORTA",SUMIF($J2068:$J2074,D2086,$O2068:$O2074)))</f>
        <v/>
      </c>
      <c r="G2086" s="380" t="str">
        <f>IF($D2086="","",IF($F2080&lt;=1,"",ROUND(POSMMLV*PORPO,2)))</f>
        <v/>
      </c>
      <c r="H2086" s="765" t="str">
        <f t="shared" si="417"/>
        <v/>
      </c>
      <c r="I2086" s="766"/>
      <c r="J2086" s="108" t="str">
        <f>IF(D2086="","",IF(OR(AND(SUMIF($J2065:$J2074,D2086,$O2065:$O2074)&gt;=5%*POSMMLV,N2086="SI"),AND(SUMIF($J2065:$J2074,D2086,$O2065:$O2074)=0,E2086&lt;=5%,N2086="SI")),"CUMPLE","NO CUMPLE"))</f>
        <v/>
      </c>
      <c r="K2086" s="105" t="str">
        <f>IF(OR(D2086="",J2086=""),"",IF(AND(J2086="NO CUMPLE",F2086="NO APORTA",E2086&gt;5%),"EXP = 0 y PART &gt; 5%",IF(F2086&lt;5%*Q2087,"EXP &lt; 5%*PO","")))</f>
        <v/>
      </c>
      <c r="L2086" s="389" t="str">
        <f>IF(OR(D2086="",E2086=""),"",IF(AND(E2086&gt;=0.25,F2086&lt;&gt;"NO APORTA",F2086&gt;=$R2087*0.25),"SI","NO"))</f>
        <v/>
      </c>
      <c r="M2086" s="389"/>
      <c r="N2086" s="468"/>
      <c r="O2086" s="789"/>
      <c r="P2086" s="504" t="s">
        <v>416</v>
      </c>
      <c r="Q2086" s="504" t="s">
        <v>417</v>
      </c>
      <c r="R2086" s="793" t="s">
        <v>418</v>
      </c>
      <c r="S2086" s="793"/>
      <c r="T2086" s="284"/>
      <c r="U2086" s="284"/>
      <c r="V2086" s="310"/>
      <c r="W2086" s="284"/>
      <c r="X2086" s="542" t="str">
        <f>IF($F2080=1,"NO APLICA",$D2086)</f>
        <v/>
      </c>
      <c r="Y2086" s="543" t="str">
        <f>IF(OR($F2086="",$F2086="NO APORTA",$R2087=0,$X2086="NO APLICA"),"",ROUND($F2086/$Q2087,2))</f>
        <v/>
      </c>
      <c r="Z2086" s="544" t="str">
        <f>IF(Y2088=1,"SI APLICA",IF(OR($X2086="",$X2086="NO APLICA",$F2086="",$F2086="NO APORTA"),"",IF(ROUND($F2086/Q2087,7)&gt;=0.4,"SI APLICA","NO APLICA")))</f>
        <v/>
      </c>
      <c r="AA2086" s="543"/>
      <c r="AB2086" s="540" t="str">
        <f t="shared" si="418"/>
        <v/>
      </c>
      <c r="AC2086" s="28"/>
    </row>
    <row r="2087" spans="1:29" s="30" customFormat="1" ht="16.5" customHeight="1" thickBot="1">
      <c r="A2087" s="112" t="str">
        <f>"S"&amp;E2061</f>
        <v>S69</v>
      </c>
      <c r="B2087" s="791"/>
      <c r="C2087" s="109">
        <v>6</v>
      </c>
      <c r="D2087" s="110" t="str">
        <f>IF(AND(C2087&lt;=F2080,F2080&lt;&gt;""),VLOOKUP(VALUE(E2061&amp;","&amp;C2087),INTEGRANTES!$D$19:$F$192,2,0),"")</f>
        <v/>
      </c>
      <c r="E2087" s="111" t="str">
        <f>IF(D2087&lt;&gt;"",VLOOKUP(VALUE(E2061&amp;","&amp;C2087),INTEGRANTES!$D$19:$F$192,3,0),"")</f>
        <v/>
      </c>
      <c r="F2087" s="380" t="str">
        <f>IF(D2087="","",IF(OR(SUMIF($J2068:$J2074,D2087,$O2068:$O2074)=0,N2087="NO"),"NO APORTA",SUMIF($J2068:$J2074,D2087,$O2068:$O2074)))</f>
        <v/>
      </c>
      <c r="G2087" s="380" t="str">
        <f>IF($D2087="","",IF($F2080&lt;=1,"",ROUND(POSMMLV*PORPO,2)))</f>
        <v/>
      </c>
      <c r="H2087" s="765" t="str">
        <f>IF($D2087="","",IF(OR(F2087="NO APORTA",G2087&gt;F2087),"NO CUMPLE","CUMPLE"))</f>
        <v/>
      </c>
      <c r="I2087" s="766"/>
      <c r="J2087" s="108" t="str">
        <f>IF(D2087="","",IF(OR(AND(SUMIF($J2065:$J2074,D2087,$O2065:$O2074)&gt;=5%*POSMMLV,N2087="SI"),AND(SUMIF($J2065:$J2074,D2087,$O2065:$O2074)=0,E2087&lt;=5%,N2087="SI")),"CUMPLE","NO CUMPLE"))</f>
        <v/>
      </c>
      <c r="K2087" s="105" t="str">
        <f>IF(OR(D2087="",J2087=""),"",IF(AND(J2087="NO CUMPLE",F2087="NO APORTA",E2087&gt;5%),"EXP = 0 y PART &gt; 5%",IF(F2087&lt;5%*Q2087,"EXP &lt; 5%*PO","")))</f>
        <v/>
      </c>
      <c r="L2087" s="389" t="str">
        <f>IF(OR(D2087="",E2087=""),"",IF(AND(E2087&gt;=0.25,F2087&lt;&gt;"NO APORTA",F2087&gt;=$R2087*0.25),"SI","NO"))</f>
        <v/>
      </c>
      <c r="M2087" s="389"/>
      <c r="N2087" s="468"/>
      <c r="O2087" s="403" t="str">
        <f ca="1">IF(R2087&gt;=Q2087,"CUMPLE","NO CUMPLE")</f>
        <v>CUMPLE</v>
      </c>
      <c r="P2087" s="312">
        <f>NUMMOD</f>
        <v>1</v>
      </c>
      <c r="Q2087" s="313">
        <f ca="1">IF(P2087="","",ROUND(VLOOKUP(P2087,PRESUPUESTOS!$B$16:$L$16,9,FALSE),7))</f>
        <v>300</v>
      </c>
      <c r="R2087" s="834">
        <f>IF(OR(COUNTIF(O2065:O2074,"")&gt;9,S2081&lt;NUMMINCONT),0,SUM(O2065:O2074))</f>
        <v>5212.585</v>
      </c>
      <c r="S2087" s="834"/>
      <c r="T2087" s="284"/>
      <c r="U2087" s="284"/>
      <c r="V2087" s="310"/>
      <c r="W2087" s="284"/>
      <c r="X2087" s="545" t="str">
        <f>IF($F2080=1,"NO APLICA",$D2087)</f>
        <v/>
      </c>
      <c r="Y2087" s="543" t="str">
        <f>IF(OR($F2087="",$F2087="NO APORTA",$R2087=0,$X2087="NO APLICA"),"",ROUND($F2087/$Q2087,2))</f>
        <v/>
      </c>
      <c r="Z2087" s="544" t="str">
        <f>IF(Y2088=1,"SI APLICA",IF(OR($X2087="",$X2087="NO APLICA",$F2087="",$F2087="NO APORTA"),"",IF(ROUND($F2087/Q2087,7)&gt;=0.4,"SI APLICA","NO APLICA")))</f>
        <v/>
      </c>
      <c r="AA2087" s="546"/>
      <c r="AB2087" s="540" t="str">
        <f>IF(COUNTIF(Z2087:AA2087,"SI APLICA")=2,"SI APLICA","")</f>
        <v/>
      </c>
      <c r="AC2087" s="28"/>
    </row>
    <row r="2088" spans="1:29" s="30" customFormat="1" ht="16.5" customHeight="1" thickBot="1">
      <c r="A2088" s="112" t="str">
        <f>"T"&amp;E2061</f>
        <v>T69</v>
      </c>
      <c r="B2088" s="792"/>
      <c r="C2088" s="821" t="s">
        <v>419</v>
      </c>
      <c r="D2088" s="822"/>
      <c r="E2088" s="822"/>
      <c r="F2088" s="518"/>
      <c r="G2088" s="519"/>
      <c r="H2088" s="794" t="str">
        <f ca="1">IF(OR($F2080="",SUM(E2082:E2087)=0),"",IF(COUNTIF(H2082:H2087,"CUMPLE")&gt;=1,"CUMPLE","NO CUMPLE"))</f>
        <v>CUMPLE</v>
      </c>
      <c r="I2088" s="795"/>
      <c r="J2088" s="314" t="str">
        <f ca="1">IF(COUNTIF(J2082:J2087,"")&gt;5,"",IF(COUNTIF(J2082:J2087,"NO CUMPLE")&gt;0,"NO CUMPLE","CUMPLE"))</f>
        <v>CUMPLE</v>
      </c>
      <c r="K2088" s="314" t="str" cm="1">
        <f t="array" aca="1" ref="K2088" ca="1">IF(OR(AND(F2080=1,N2082:N2083="SI"),AND(COUNTIF(H2088:J2088,"CUMPLE")=2)),"CUMPLE","NO CUMPLE")</f>
        <v>CUMPLE</v>
      </c>
      <c r="L2088" s="519"/>
      <c r="M2088" s="519"/>
      <c r="N2088" s="519"/>
      <c r="O2088" s="833" t="str">
        <f ca="1">IF(ISNUMBER(F2061),"",IF(AND(O2087="NO CUMPLE",SUM(N2068:N2074)&lt;Q2087),"EL PROPONENTE SE DEBE REQUERIR POR EXPERIENCIA MINIMA EXIGIDA",""))</f>
        <v/>
      </c>
      <c r="P2088" s="833"/>
      <c r="Q2088" s="833"/>
      <c r="R2088" s="833"/>
      <c r="S2088" s="833"/>
      <c r="T2088" s="522"/>
      <c r="U2088" s="523"/>
      <c r="V2088" s="524"/>
      <c r="W2088" s="284"/>
      <c r="X2088" s="364" t="str">
        <f>IF(Y2088=1,"PROPONENTE INDIVIDUAL","PROPONENTE PLURAL")</f>
        <v>PROPONENTE PLURAL</v>
      </c>
      <c r="Y2088" s="276">
        <f>F2080</f>
        <v>2</v>
      </c>
      <c r="Z2088" s="277" t="str">
        <f ca="1">IF(OR(AND(Z2082="SI APLICA",AA2082="SI APLICA"),AND(Z2083="SI APLICA",AA2083="SI APLICA"),AND(Z2084="SI APLICA",AA2084="SI APLICA"),AND(Z2085="SI APLICA",AA2085="SI APLICA"),AND(Z2086="SI APLICA",AA2086="SI APLICA"),AND(Z2087="SI APLICA",AA2087="SI APLICA")),"SI APLICA","NO APLICA")</f>
        <v>SI APLICA</v>
      </c>
      <c r="AA2088" s="278" t="str">
        <f ca="1">IF(OR(AND(AA2082="SI APLICA",AB2082="SI APLICA"),AND(AA2083="SI APLICA",AB2083="SI APLICA"),AND(AA2084="SI APLICA",AB2084="SI APLICA"),AND(AA2085="SI APLICA",AB2085="SI APLICA"),AND(AA2086="SI APLICA",AB2086="SI APLICA"),AND(AA2087="SI APLICA",AB2087="SI APLICA")),"SI APLICA","NO APLICA")</f>
        <v>SI APLICA</v>
      </c>
      <c r="AB2088" s="278" t="str">
        <f ca="1">IF(COUNTIF(AB2082:AB2087,"SI APLICA")&gt;0,"SI APLICA","NO APLICA")</f>
        <v>SI APLICA</v>
      </c>
      <c r="AC2088" s="28"/>
    </row>
    <row r="2089" spans="1:29" ht="24.95" customHeight="1"/>
    <row r="2090" spans="1:29" ht="24.95" customHeight="1"/>
    <row r="2091" spans="1:29" s="41" customFormat="1" ht="24" thickBot="1">
      <c r="A2091" s="34">
        <v>70</v>
      </c>
      <c r="B2091" s="828" t="s">
        <v>355</v>
      </c>
      <c r="C2091" s="828"/>
      <c r="D2091" s="828"/>
      <c r="E2091" s="35">
        <f>VLOOKUP(A2091,PROPONENTES!$B$19:$E$108,2,FALSE)</f>
        <v>70</v>
      </c>
      <c r="F2091" s="36" t="str">
        <f>VLOOKUP(A2091,PROPONENTES!$B$19:$E$108,3,FALSE)</f>
        <v>CONSORCIO DT TOLIMA ZP</v>
      </c>
      <c r="G2091" s="37"/>
      <c r="H2091" s="37"/>
      <c r="I2091" s="36"/>
      <c r="J2091" s="36"/>
      <c r="K2091" s="36"/>
      <c r="L2091" s="36"/>
      <c r="M2091" s="38"/>
      <c r="N2091" s="38"/>
      <c r="O2091" s="37"/>
      <c r="P2091" s="37"/>
      <c r="Q2091" s="39"/>
      <c r="R2091" s="39"/>
      <c r="S2091" s="39"/>
      <c r="T2091" s="39"/>
      <c r="U2091" s="40"/>
      <c r="Y2091" s="52"/>
      <c r="Z2091" s="52"/>
      <c r="AA2091" s="52"/>
      <c r="AB2091" s="28"/>
      <c r="AC2091" s="28"/>
    </row>
    <row r="2092" spans="1:29" s="27" customFormat="1" ht="24.75" customHeight="1">
      <c r="A2092" s="22"/>
      <c r="B2092" s="829" t="s">
        <v>356</v>
      </c>
      <c r="C2092" s="501" t="s">
        <v>357</v>
      </c>
      <c r="D2092" s="502" t="s">
        <v>358</v>
      </c>
      <c r="E2092" s="502"/>
      <c r="F2092" s="502" t="s">
        <v>359</v>
      </c>
      <c r="G2092" s="503"/>
      <c r="H2092" s="803" t="s">
        <v>360</v>
      </c>
      <c r="I2092" s="831" t="s">
        <v>361</v>
      </c>
      <c r="J2092" s="803" t="s">
        <v>362</v>
      </c>
      <c r="K2092" s="803" t="s">
        <v>363</v>
      </c>
      <c r="L2092" s="803" t="s">
        <v>364</v>
      </c>
      <c r="M2092" s="803" t="s">
        <v>365</v>
      </c>
      <c r="N2092" s="804" t="s">
        <v>366</v>
      </c>
      <c r="O2092" s="805"/>
      <c r="P2092" s="806" t="s">
        <v>367</v>
      </c>
      <c r="Q2092" s="807"/>
      <c r="R2092" s="784" t="s">
        <v>368</v>
      </c>
      <c r="S2092" s="774"/>
      <c r="T2092" s="798" t="s">
        <v>369</v>
      </c>
      <c r="U2092" s="799"/>
      <c r="V2092" s="800"/>
      <c r="X2092" s="520"/>
      <c r="Y2092" s="520"/>
    </row>
    <row r="2093" spans="1:29" s="27" customFormat="1" ht="94.5" customHeight="1">
      <c r="A2093" s="22"/>
      <c r="B2093" s="830"/>
      <c r="C2093" s="504" t="s">
        <v>370</v>
      </c>
      <c r="D2093" s="505" t="s">
        <v>41</v>
      </c>
      <c r="E2093" s="505" t="s">
        <v>371</v>
      </c>
      <c r="F2093" s="505" t="s">
        <v>372</v>
      </c>
      <c r="G2093" s="506" t="s">
        <v>373</v>
      </c>
      <c r="H2093" s="793"/>
      <c r="I2093" s="832"/>
      <c r="J2093" s="793"/>
      <c r="K2093" s="793"/>
      <c r="L2093" s="793"/>
      <c r="M2093" s="793"/>
      <c r="N2093" s="504" t="s">
        <v>374</v>
      </c>
      <c r="O2093" s="505" t="s">
        <v>375</v>
      </c>
      <c r="P2093" s="801"/>
      <c r="Q2093" s="802"/>
      <c r="R2093" s="796"/>
      <c r="S2093" s="797"/>
      <c r="T2093" s="507" t="s">
        <v>376</v>
      </c>
      <c r="U2093" s="508" t="s">
        <v>377</v>
      </c>
      <c r="V2093" s="509" t="s">
        <v>378</v>
      </c>
      <c r="X2093" s="521" t="s">
        <v>379</v>
      </c>
      <c r="Y2093" s="521" t="s">
        <v>380</v>
      </c>
    </row>
    <row r="2094" spans="1:29" s="27" customFormat="1" ht="15" customHeight="1">
      <c r="A2094" s="22"/>
      <c r="B2094" s="594"/>
      <c r="C2094" s="595">
        <v>3</v>
      </c>
      <c r="D2094" s="595">
        <v>4</v>
      </c>
      <c r="E2094" s="595">
        <v>5</v>
      </c>
      <c r="F2094" s="595">
        <v>6</v>
      </c>
      <c r="G2094" s="595">
        <v>7</v>
      </c>
      <c r="H2094" s="595">
        <v>8</v>
      </c>
      <c r="I2094" s="595">
        <v>9</v>
      </c>
      <c r="J2094" s="595">
        <v>10</v>
      </c>
      <c r="K2094" s="595">
        <v>11</v>
      </c>
      <c r="L2094" s="595">
        <v>12</v>
      </c>
      <c r="M2094" s="595">
        <v>13</v>
      </c>
      <c r="N2094" s="595">
        <v>14</v>
      </c>
      <c r="O2094" s="595">
        <v>15</v>
      </c>
      <c r="P2094" s="596">
        <v>16</v>
      </c>
      <c r="Q2094" s="597">
        <v>17</v>
      </c>
      <c r="R2094" s="596">
        <v>18</v>
      </c>
      <c r="S2094" s="597">
        <v>19</v>
      </c>
      <c r="T2094" s="598">
        <v>20</v>
      </c>
      <c r="U2094" s="255">
        <v>21</v>
      </c>
      <c r="V2094" s="599">
        <v>22</v>
      </c>
      <c r="X2094" s="589"/>
      <c r="Y2094" s="590"/>
    </row>
    <row r="2095" spans="1:29" s="44" customFormat="1" ht="38.25" customHeight="1">
      <c r="A2095" s="42" t="str">
        <f>"A"&amp;E2091</f>
        <v>A70</v>
      </c>
      <c r="B2095" s="605">
        <f>IF(C2095&lt;&gt;"",B2094+1,"")</f>
        <v>1</v>
      </c>
      <c r="C2095" s="581" t="s">
        <v>952</v>
      </c>
      <c r="D2095" s="581" t="s">
        <v>953</v>
      </c>
      <c r="E2095" s="581" t="s">
        <v>954</v>
      </c>
      <c r="F2095" s="581" t="s">
        <v>431</v>
      </c>
      <c r="G2095" s="534">
        <v>0.3</v>
      </c>
      <c r="H2095" s="534" t="s">
        <v>385</v>
      </c>
      <c r="I2095" s="579">
        <v>1</v>
      </c>
      <c r="J2095" s="580" t="str">
        <f>IF(I2095="","",IF(I2095="I",$F2091,VLOOKUP(I2095,$C2112:$D2117,2,0)))</f>
        <v>PI SAS – PROYECTOS DE INGENIERIA SAS</v>
      </c>
      <c r="K2095" s="535">
        <v>40512</v>
      </c>
      <c r="L2095" s="535">
        <v>40906</v>
      </c>
      <c r="M2095" s="536">
        <v>1435.95</v>
      </c>
      <c r="N2095" s="232">
        <f t="shared" ref="N2095:N2104" si="419">IF(OR(G2095="",M2095=""),"",M2095*G2095)</f>
        <v>430.78500000000003</v>
      </c>
      <c r="O2095" s="260">
        <f t="shared" ref="O2095:O2104" si="420">IF(OR(H2095="",H2095="NO",K2095&lt;$Q$17,K2095&gt;$R$17,K2095="",M2095="",N2095=""),"",ROUND(N2095,7))</f>
        <v>430.78500000000003</v>
      </c>
      <c r="P2095" s="781" t="s">
        <v>955</v>
      </c>
      <c r="Q2095" s="782"/>
      <c r="R2095" s="767"/>
      <c r="S2095" s="768"/>
      <c r="T2095" s="538" t="s">
        <v>385</v>
      </c>
      <c r="U2095" s="539">
        <v>9</v>
      </c>
      <c r="V2095" s="540" t="s">
        <v>385</v>
      </c>
      <c r="X2095" s="541" t="s">
        <v>446</v>
      </c>
      <c r="Y2095" s="541" t="s">
        <v>387</v>
      </c>
    </row>
    <row r="2096" spans="1:29" s="44" customFormat="1" ht="36" customHeight="1">
      <c r="A2096" s="42" t="str">
        <f>"B"&amp;E2091</f>
        <v>B70</v>
      </c>
      <c r="B2096" s="605">
        <f t="shared" ref="B2096:B2104" si="421">IF(C2096&lt;&gt;"",B2095+1,"")</f>
        <v>2</v>
      </c>
      <c r="C2096" s="581" t="s">
        <v>956</v>
      </c>
      <c r="D2096" s="581" t="s">
        <v>957</v>
      </c>
      <c r="E2096" s="581" t="s">
        <v>958</v>
      </c>
      <c r="F2096" s="581" t="s">
        <v>431</v>
      </c>
      <c r="G2096" s="534">
        <v>0.2</v>
      </c>
      <c r="H2096" s="534" t="s">
        <v>385</v>
      </c>
      <c r="I2096" s="579">
        <v>1</v>
      </c>
      <c r="J2096" s="580" t="str">
        <f>IF(I2096="","",IF(I2096="I",$F2091,VLOOKUP(I2096,$C2112:$D2117,2,0)))</f>
        <v>PI SAS – PROYECTOS DE INGENIERIA SAS</v>
      </c>
      <c r="K2096" s="535">
        <v>40855</v>
      </c>
      <c r="L2096" s="535">
        <v>41144</v>
      </c>
      <c r="M2096" s="536">
        <v>700.18</v>
      </c>
      <c r="N2096" s="232">
        <f t="shared" si="419"/>
        <v>140.036</v>
      </c>
      <c r="O2096" s="260">
        <f t="shared" si="420"/>
        <v>140.036</v>
      </c>
      <c r="P2096" s="781"/>
      <c r="Q2096" s="782"/>
      <c r="R2096" s="767"/>
      <c r="S2096" s="768"/>
      <c r="T2096" s="538" t="s">
        <v>385</v>
      </c>
      <c r="U2096" s="539">
        <v>15</v>
      </c>
      <c r="V2096" s="540" t="s">
        <v>385</v>
      </c>
      <c r="X2096" s="541" t="s">
        <v>446</v>
      </c>
      <c r="Y2096" s="541" t="s">
        <v>387</v>
      </c>
    </row>
    <row r="2097" spans="1:29" s="44" customFormat="1" ht="53.25" customHeight="1">
      <c r="A2097" s="42" t="str">
        <f>"C"&amp;E2091</f>
        <v>C70</v>
      </c>
      <c r="B2097" s="605">
        <f t="shared" si="421"/>
        <v>3</v>
      </c>
      <c r="C2097" s="581" t="s">
        <v>956</v>
      </c>
      <c r="D2097" s="581" t="s">
        <v>959</v>
      </c>
      <c r="E2097" s="581" t="s">
        <v>960</v>
      </c>
      <c r="F2097" s="581" t="s">
        <v>431</v>
      </c>
      <c r="G2097" s="534">
        <v>0.6</v>
      </c>
      <c r="H2097" s="534" t="s">
        <v>385</v>
      </c>
      <c r="I2097" s="579">
        <v>2</v>
      </c>
      <c r="J2097" s="580" t="str">
        <f>IF(I2097="","",IF(I2097="I",$F2091,VLOOKUP(I2097,$C2112:$D2117,2,0)))</f>
        <v>ZAFRA INGENIERIA SAS</v>
      </c>
      <c r="K2097" s="535">
        <v>43299</v>
      </c>
      <c r="L2097" s="535">
        <v>43602</v>
      </c>
      <c r="M2097" s="536">
        <v>1032.1199999999999</v>
      </c>
      <c r="N2097" s="232">
        <f t="shared" si="419"/>
        <v>619.27199999999993</v>
      </c>
      <c r="O2097" s="260">
        <f t="shared" si="420"/>
        <v>619.27200000000005</v>
      </c>
      <c r="P2097" s="781" t="s">
        <v>961</v>
      </c>
      <c r="Q2097" s="782"/>
      <c r="R2097" s="767"/>
      <c r="S2097" s="768"/>
      <c r="T2097" s="538" t="s">
        <v>385</v>
      </c>
      <c r="U2097" s="539">
        <v>74</v>
      </c>
      <c r="V2097" s="540" t="s">
        <v>385</v>
      </c>
      <c r="X2097" s="541" t="s">
        <v>446</v>
      </c>
      <c r="Y2097" s="541" t="s">
        <v>387</v>
      </c>
    </row>
    <row r="2098" spans="1:29" s="44" customFormat="1" ht="54.75" customHeight="1">
      <c r="A2098" s="42" t="str">
        <f>"D"&amp;E2091</f>
        <v>D70</v>
      </c>
      <c r="B2098" s="605">
        <f t="shared" si="421"/>
        <v>4</v>
      </c>
      <c r="C2098" s="581" t="s">
        <v>956</v>
      </c>
      <c r="D2098" s="581" t="s">
        <v>962</v>
      </c>
      <c r="E2098" s="581" t="s">
        <v>963</v>
      </c>
      <c r="F2098" s="581" t="s">
        <v>431</v>
      </c>
      <c r="G2098" s="534">
        <v>0.6</v>
      </c>
      <c r="H2098" s="534" t="s">
        <v>385</v>
      </c>
      <c r="I2098" s="579">
        <v>2</v>
      </c>
      <c r="J2098" s="580" t="str">
        <f>IF(I2098="","",IF(I2098="I",$F2091,VLOOKUP(I2098,$C2112:$D2117,2,0)))</f>
        <v>ZAFRA INGENIERIA SAS</v>
      </c>
      <c r="K2098" s="535">
        <v>43458</v>
      </c>
      <c r="L2098" s="535">
        <v>44255</v>
      </c>
      <c r="M2098" s="536">
        <v>808.45</v>
      </c>
      <c r="N2098" s="232">
        <f t="shared" si="419"/>
        <v>485.07</v>
      </c>
      <c r="O2098" s="260">
        <f t="shared" si="420"/>
        <v>485.07</v>
      </c>
      <c r="P2098" s="781" t="s">
        <v>964</v>
      </c>
      <c r="Q2098" s="782"/>
      <c r="R2098" s="767"/>
      <c r="S2098" s="768"/>
      <c r="T2098" s="538" t="s">
        <v>385</v>
      </c>
      <c r="U2098" s="539">
        <v>79</v>
      </c>
      <c r="V2098" s="540" t="s">
        <v>385</v>
      </c>
      <c r="X2098" s="541" t="s">
        <v>386</v>
      </c>
      <c r="Y2098" s="541" t="s">
        <v>435</v>
      </c>
    </row>
    <row r="2099" spans="1:29" s="44" customFormat="1" ht="24.95" customHeight="1">
      <c r="A2099" s="42" t="str">
        <f>"E"&amp;E2091</f>
        <v>E70</v>
      </c>
      <c r="B2099" s="605" t="str">
        <f t="shared" si="421"/>
        <v/>
      </c>
      <c r="C2099" s="581"/>
      <c r="D2099" s="581"/>
      <c r="E2099" s="581"/>
      <c r="F2099" s="581"/>
      <c r="G2099" s="534"/>
      <c r="H2099" s="534"/>
      <c r="I2099" s="579"/>
      <c r="J2099" s="580" t="str">
        <f>IF(I2099="","",IF(I2099="I",$F2091,VLOOKUP(I2099,$C2112:$D2117,2,0)))</f>
        <v/>
      </c>
      <c r="K2099" s="535"/>
      <c r="L2099" s="535"/>
      <c r="M2099" s="536"/>
      <c r="N2099" s="232" t="str">
        <f t="shared" si="419"/>
        <v/>
      </c>
      <c r="O2099" s="260" t="str">
        <f t="shared" si="420"/>
        <v/>
      </c>
      <c r="P2099" s="781"/>
      <c r="Q2099" s="782"/>
      <c r="R2099" s="767"/>
      <c r="S2099" s="768"/>
      <c r="T2099" s="538"/>
      <c r="U2099" s="539"/>
      <c r="V2099" s="540"/>
      <c r="X2099" s="541"/>
      <c r="Y2099" s="541"/>
    </row>
    <row r="2100" spans="1:29" s="44" customFormat="1" ht="24.95" customHeight="1">
      <c r="A2100" s="42" t="str">
        <f>"F"&amp;E2091</f>
        <v>F70</v>
      </c>
      <c r="B2100" s="605" t="str">
        <f t="shared" si="421"/>
        <v/>
      </c>
      <c r="C2100" s="581"/>
      <c r="D2100" s="581"/>
      <c r="E2100" s="581"/>
      <c r="F2100" s="581"/>
      <c r="G2100" s="534"/>
      <c r="H2100" s="534"/>
      <c r="I2100" s="579"/>
      <c r="J2100" s="580" t="str">
        <f>IF(I2100="","",IF(I2100="I",$F2091,VLOOKUP(I2100,$C2112:$D2117,2,0)))</f>
        <v/>
      </c>
      <c r="K2100" s="535"/>
      <c r="L2100" s="535"/>
      <c r="M2100" s="536"/>
      <c r="N2100" s="232" t="str">
        <f t="shared" si="419"/>
        <v/>
      </c>
      <c r="O2100" s="260" t="str">
        <f t="shared" si="420"/>
        <v/>
      </c>
      <c r="P2100" s="781"/>
      <c r="Q2100" s="782"/>
      <c r="R2100" s="767"/>
      <c r="S2100" s="768"/>
      <c r="T2100" s="538"/>
      <c r="U2100" s="539"/>
      <c r="V2100" s="540"/>
      <c r="X2100" s="541"/>
      <c r="Y2100" s="541"/>
    </row>
    <row r="2101" spans="1:29" s="44" customFormat="1" ht="24.95" customHeight="1">
      <c r="A2101" s="42" t="str">
        <f>"G"&amp;E2091</f>
        <v>G70</v>
      </c>
      <c r="B2101" s="605" t="str">
        <f t="shared" si="421"/>
        <v/>
      </c>
      <c r="C2101" s="581"/>
      <c r="D2101" s="581"/>
      <c r="E2101" s="581"/>
      <c r="F2101" s="581"/>
      <c r="G2101" s="534"/>
      <c r="H2101" s="534"/>
      <c r="I2101" s="579"/>
      <c r="J2101" s="580" t="str">
        <f>IF(I2101="","",IF(I2101="I",$F2091,VLOOKUP(I2101,$C2112:$D2117,2,0)))</f>
        <v/>
      </c>
      <c r="K2101" s="535"/>
      <c r="L2101" s="535"/>
      <c r="M2101" s="536"/>
      <c r="N2101" s="43" t="str">
        <f t="shared" si="419"/>
        <v/>
      </c>
      <c r="O2101" s="260" t="str">
        <f t="shared" si="420"/>
        <v/>
      </c>
      <c r="P2101" s="781"/>
      <c r="Q2101" s="782"/>
      <c r="R2101" s="767"/>
      <c r="S2101" s="768"/>
      <c r="T2101" s="538"/>
      <c r="U2101" s="539"/>
      <c r="V2101" s="540"/>
      <c r="X2101" s="541"/>
      <c r="Y2101" s="541"/>
    </row>
    <row r="2102" spans="1:29" s="44" customFormat="1" ht="24.95" customHeight="1">
      <c r="A2102" s="42" t="str">
        <f>"H"&amp;E2091</f>
        <v>H70</v>
      </c>
      <c r="B2102" s="605" t="str">
        <f t="shared" si="421"/>
        <v/>
      </c>
      <c r="C2102" s="581"/>
      <c r="D2102" s="581"/>
      <c r="E2102" s="581"/>
      <c r="F2102" s="581"/>
      <c r="G2102" s="534"/>
      <c r="H2102" s="534"/>
      <c r="I2102" s="579"/>
      <c r="J2102" s="580" t="str">
        <f>IF(I2102="","",IF(I2102="I",$F2091,VLOOKUP(I2102,$C2112:$D2117,2,0)))</f>
        <v/>
      </c>
      <c r="K2102" s="535"/>
      <c r="L2102" s="535"/>
      <c r="M2102" s="537"/>
      <c r="N2102" s="43" t="str">
        <f t="shared" si="419"/>
        <v/>
      </c>
      <c r="O2102" s="260" t="str">
        <f t="shared" si="420"/>
        <v/>
      </c>
      <c r="P2102" s="781"/>
      <c r="Q2102" s="782"/>
      <c r="R2102" s="767"/>
      <c r="S2102" s="768"/>
      <c r="T2102" s="538"/>
      <c r="U2102" s="539"/>
      <c r="V2102" s="540"/>
      <c r="X2102" s="541"/>
      <c r="Y2102" s="541"/>
    </row>
    <row r="2103" spans="1:29" s="44" customFormat="1" ht="24.95" customHeight="1">
      <c r="A2103" s="42" t="str">
        <f>"I"&amp;E2091</f>
        <v>I70</v>
      </c>
      <c r="B2103" s="605" t="str">
        <f t="shared" si="421"/>
        <v/>
      </c>
      <c r="C2103" s="581"/>
      <c r="D2103" s="581"/>
      <c r="E2103" s="581"/>
      <c r="F2103" s="581"/>
      <c r="G2103" s="534"/>
      <c r="H2103" s="534"/>
      <c r="I2103" s="579"/>
      <c r="J2103" s="580" t="str">
        <f>IF(I2103="","",IF(I2103="I",$F2091,VLOOKUP(I2103,$C2112:$D2117,2,0)))</f>
        <v/>
      </c>
      <c r="K2103" s="535"/>
      <c r="L2103" s="535"/>
      <c r="M2103" s="537"/>
      <c r="N2103" s="43" t="str">
        <f t="shared" si="419"/>
        <v/>
      </c>
      <c r="O2103" s="260" t="str">
        <f t="shared" si="420"/>
        <v/>
      </c>
      <c r="P2103" s="781"/>
      <c r="Q2103" s="782"/>
      <c r="R2103" s="767"/>
      <c r="S2103" s="768"/>
      <c r="T2103" s="538"/>
      <c r="U2103" s="539"/>
      <c r="V2103" s="540"/>
      <c r="X2103" s="541"/>
      <c r="Y2103" s="541"/>
    </row>
    <row r="2104" spans="1:29" s="44" customFormat="1" ht="24.95" customHeight="1" thickBot="1">
      <c r="A2104" s="42" t="str">
        <f>"J"&amp;E2091</f>
        <v>J70</v>
      </c>
      <c r="B2104" s="612" t="str">
        <f t="shared" si="421"/>
        <v/>
      </c>
      <c r="C2104" s="582"/>
      <c r="D2104" s="582"/>
      <c r="E2104" s="582"/>
      <c r="F2104" s="582"/>
      <c r="G2104" s="583"/>
      <c r="H2104" s="583"/>
      <c r="I2104" s="584"/>
      <c r="J2104" s="585" t="str">
        <f>IF(I2104="","",IF(I2104="I",$F2091,VLOOKUP(I2104,$C2112:$D2117,2,0)))</f>
        <v/>
      </c>
      <c r="K2104" s="586"/>
      <c r="L2104" s="586"/>
      <c r="M2104" s="587"/>
      <c r="N2104" s="43" t="str">
        <f t="shared" si="419"/>
        <v/>
      </c>
      <c r="O2104" s="260" t="str">
        <f t="shared" si="420"/>
        <v/>
      </c>
      <c r="P2104" s="781"/>
      <c r="Q2104" s="782"/>
      <c r="R2104" s="767"/>
      <c r="S2104" s="768"/>
      <c r="T2104" s="538"/>
      <c r="U2104" s="539"/>
      <c r="V2104" s="540"/>
      <c r="X2104" s="541"/>
      <c r="Y2104" s="541"/>
    </row>
    <row r="2105" spans="1:29" s="27" customFormat="1" ht="12" customHeight="1" thickBot="1">
      <c r="A2105" s="42"/>
      <c r="B2105" s="45"/>
      <c r="C2105" s="46"/>
      <c r="D2105" s="46"/>
      <c r="E2105" s="46"/>
      <c r="F2105" s="46"/>
      <c r="G2105" s="46"/>
      <c r="H2105" s="606"/>
      <c r="I2105" s="46"/>
      <c r="J2105" s="46"/>
      <c r="K2105" s="46"/>
      <c r="L2105" s="46"/>
      <c r="M2105" s="46"/>
      <c r="N2105" s="46"/>
      <c r="O2105" s="259"/>
      <c r="P2105" s="46"/>
      <c r="Q2105" s="46"/>
      <c r="R2105" s="259"/>
      <c r="S2105" s="46"/>
      <c r="T2105" s="46"/>
      <c r="U2105" s="47"/>
      <c r="V2105" s="48"/>
      <c r="X2105" s="592"/>
      <c r="Y2105" s="593"/>
      <c r="AB2105" s="378"/>
    </row>
    <row r="2106" spans="1:29" s="27" customFormat="1" ht="17.25" customHeight="1" thickBot="1">
      <c r="A2106" s="42" t="str">
        <f>"Z"&amp;E2091</f>
        <v>Z70</v>
      </c>
      <c r="B2106" s="510"/>
      <c r="C2106" s="511"/>
      <c r="D2106" s="511"/>
      <c r="E2106" s="511"/>
      <c r="F2106" s="511"/>
      <c r="G2106" s="511"/>
      <c r="H2106" s="511"/>
      <c r="I2106" s="511"/>
      <c r="J2106" s="511"/>
      <c r="K2106" s="511"/>
      <c r="L2106" s="511"/>
      <c r="M2106" s="511"/>
      <c r="N2106" s="437" t="s">
        <v>388</v>
      </c>
      <c r="O2106" s="438">
        <f>IF(COUNTIF(O2095:O2104,"")&gt;9,0,SUM(O2095:O2104)/(COUNTIF(H2095:H2104,"SI")))</f>
        <v>418.79075</v>
      </c>
      <c r="P2106" s="511"/>
      <c r="Q2106" s="511"/>
      <c r="R2106" s="530"/>
      <c r="S2106" s="530"/>
      <c r="T2106" s="531"/>
      <c r="U2106" s="532"/>
      <c r="V2106" s="533"/>
      <c r="W2106" s="285"/>
      <c r="X2106" s="613" t="e">
        <f>COUNTIF(#REF!,"")-COUNTIF(#REF!,"CUMPLE")-1</f>
        <v>#REF!</v>
      </c>
      <c r="Y2106" s="591"/>
      <c r="AB2106" s="28"/>
    </row>
    <row r="2107" spans="1:29" ht="17.25" customHeight="1">
      <c r="B2107" s="50"/>
      <c r="C2107" s="50"/>
      <c r="D2107" s="50"/>
      <c r="E2107" s="50"/>
      <c r="F2107" s="50"/>
      <c r="G2107" s="51"/>
      <c r="H2107" s="51"/>
      <c r="I2107" s="51"/>
      <c r="J2107" s="51"/>
      <c r="K2107" s="51"/>
      <c r="L2107" s="51"/>
      <c r="M2107" s="51"/>
      <c r="N2107" s="51"/>
      <c r="O2107" s="51"/>
      <c r="P2107" s="51"/>
      <c r="Q2107" s="51"/>
      <c r="R2107" s="51"/>
      <c r="S2107" s="51"/>
      <c r="T2107" s="51"/>
      <c r="U2107" s="51"/>
      <c r="V2107" s="51"/>
      <c r="W2107" s="51"/>
      <c r="X2107" s="608"/>
      <c r="Y2107" s="51"/>
      <c r="Z2107" s="51"/>
      <c r="AA2107" s="51"/>
      <c r="AB2107" s="51"/>
      <c r="AC2107" s="50"/>
    </row>
    <row r="2108" spans="1:29" s="27" customFormat="1" ht="16.5" customHeight="1" thickBot="1">
      <c r="A2108" s="22"/>
      <c r="B2108" s="783" t="s">
        <v>389</v>
      </c>
      <c r="C2108" s="783"/>
      <c r="D2108" s="783"/>
      <c r="E2108" s="783"/>
      <c r="F2108" s="783"/>
      <c r="G2108" s="783"/>
      <c r="H2108" s="783"/>
      <c r="I2108" s="783"/>
      <c r="J2108" s="783"/>
      <c r="K2108" s="783"/>
      <c r="L2108" s="783"/>
      <c r="M2108" s="783"/>
      <c r="N2108" s="783"/>
      <c r="O2108" s="783"/>
      <c r="P2108" s="783"/>
      <c r="Q2108" s="783"/>
      <c r="R2108" s="783"/>
      <c r="S2108" s="783"/>
      <c r="T2108" s="783"/>
      <c r="U2108" s="783"/>
      <c r="V2108" s="783"/>
      <c r="W2108" s="286"/>
      <c r="X2108" s="607"/>
      <c r="Y2108" s="52"/>
      <c r="Z2108" s="52"/>
      <c r="AA2108" s="52"/>
      <c r="AB2108" s="28"/>
      <c r="AC2108" s="28"/>
    </row>
    <row r="2109" spans="1:29" s="30" customFormat="1" ht="22.5" customHeight="1">
      <c r="A2109" s="112" t="str">
        <f>"K"&amp;E2091</f>
        <v>K70</v>
      </c>
      <c r="B2109" s="790" t="s">
        <v>390</v>
      </c>
      <c r="C2109" s="772" t="s">
        <v>391</v>
      </c>
      <c r="D2109" s="773"/>
      <c r="E2109" s="773"/>
      <c r="F2109" s="773"/>
      <c r="G2109" s="773"/>
      <c r="H2109" s="773"/>
      <c r="I2109" s="773"/>
      <c r="J2109" s="773"/>
      <c r="K2109" s="773"/>
      <c r="L2109" s="773"/>
      <c r="M2109" s="774"/>
      <c r="N2109" s="525"/>
      <c r="O2109" s="588"/>
      <c r="P2109" s="772" t="s">
        <v>392</v>
      </c>
      <c r="Q2109" s="773"/>
      <c r="R2109" s="773"/>
      <c r="S2109" s="774"/>
      <c r="T2109" s="784" t="s">
        <v>393</v>
      </c>
      <c r="U2109" s="774"/>
      <c r="V2109" s="811"/>
      <c r="W2109" s="284"/>
      <c r="X2109" s="778" t="s">
        <v>394</v>
      </c>
      <c r="Y2109" s="779"/>
      <c r="Z2109" s="779"/>
      <c r="AA2109" s="779" t="s">
        <v>395</v>
      </c>
      <c r="AB2109" s="808" t="s">
        <v>396</v>
      </c>
      <c r="AC2109" s="28"/>
    </row>
    <row r="2110" spans="1:29" s="30" customFormat="1" ht="22.5" customHeight="1">
      <c r="A2110" s="112" t="str">
        <f>"L"&amp;E2091</f>
        <v>L70</v>
      </c>
      <c r="B2110" s="791"/>
      <c r="C2110" s="769" t="s">
        <v>397</v>
      </c>
      <c r="D2110" s="770"/>
      <c r="E2110" s="771"/>
      <c r="F2110" s="512">
        <f>IF(VLOOKUP(E2091,PROPONENTES!$C$19:$E$108,3,0)="","",VLOOKUP(E2091,PROPONENTES!$C$19:$E$108,3,0))</f>
        <v>2</v>
      </c>
      <c r="G2110" s="824" t="s">
        <v>398</v>
      </c>
      <c r="H2110" s="793" t="s">
        <v>399</v>
      </c>
      <c r="I2110" s="793"/>
      <c r="J2110" s="769" t="s">
        <v>400</v>
      </c>
      <c r="K2110" s="823"/>
      <c r="L2110" s="513" t="s">
        <v>401</v>
      </c>
      <c r="M2110" s="513"/>
      <c r="N2110" s="526"/>
      <c r="O2110" s="527"/>
      <c r="P2110" s="775"/>
      <c r="Q2110" s="776"/>
      <c r="R2110" s="776"/>
      <c r="S2110" s="777"/>
      <c r="T2110" s="796"/>
      <c r="U2110" s="797"/>
      <c r="V2110" s="812"/>
      <c r="W2110" s="284"/>
      <c r="X2110" s="780" t="s">
        <v>402</v>
      </c>
      <c r="Y2110" s="810" t="s">
        <v>403</v>
      </c>
      <c r="Z2110" s="810"/>
      <c r="AA2110" s="810"/>
      <c r="AB2110" s="809"/>
      <c r="AC2110" s="28"/>
    </row>
    <row r="2111" spans="1:29" s="30" customFormat="1" ht="51.75" customHeight="1" thickBot="1">
      <c r="A2111" s="112" t="str">
        <f>"M"&amp;E2091</f>
        <v>M70</v>
      </c>
      <c r="B2111" s="791"/>
      <c r="C2111" s="770" t="s">
        <v>404</v>
      </c>
      <c r="D2111" s="771"/>
      <c r="E2111" s="514" t="s">
        <v>405</v>
      </c>
      <c r="F2111" s="515" t="s">
        <v>406</v>
      </c>
      <c r="G2111" s="824"/>
      <c r="H2111" s="793"/>
      <c r="I2111" s="793"/>
      <c r="J2111" s="504" t="s">
        <v>407</v>
      </c>
      <c r="K2111" s="516" t="s">
        <v>408</v>
      </c>
      <c r="L2111" s="517" t="s">
        <v>409</v>
      </c>
      <c r="M2111" s="517"/>
      <c r="N2111" s="528" t="s">
        <v>410</v>
      </c>
      <c r="O2111" s="529"/>
      <c r="P2111" s="386"/>
      <c r="Q2111" s="387" t="s">
        <v>411</v>
      </c>
      <c r="R2111" s="388"/>
      <c r="S2111" s="113">
        <f>COUNTIFS(H2095:H2104,"SI",O2095:O2104,"&gt;0")</f>
        <v>4</v>
      </c>
      <c r="T2111" s="785"/>
      <c r="U2111" s="787"/>
      <c r="V2111" s="813"/>
      <c r="W2111" s="284"/>
      <c r="X2111" s="780"/>
      <c r="Y2111" s="810"/>
      <c r="Z2111" s="810"/>
      <c r="AA2111" s="810"/>
      <c r="AB2111" s="809"/>
      <c r="AC2111" s="28"/>
    </row>
    <row r="2112" spans="1:29" s="30" customFormat="1" ht="23.25" customHeight="1">
      <c r="A2112" s="112" t="str">
        <f>"N"&amp;E2091</f>
        <v>N70</v>
      </c>
      <c r="B2112" s="791"/>
      <c r="C2112" s="54">
        <v>1</v>
      </c>
      <c r="D2112" s="100" t="str">
        <f>IF(AND(C2112&lt;=F2110,F2110&gt;1,F2110&lt;&gt;""),VLOOKUP(VALUE(E2091&amp;","&amp;C2112),INTEGRANTES!$D$19:$F$192,2,0),"")</f>
        <v>PI SAS – PROYECTOS DE INGENIERIA SAS</v>
      </c>
      <c r="E2112" s="107">
        <f>IF(D2112&lt;&gt;"",VLOOKUP(VALUE(E2091&amp;","&amp;C2112),INTEGRANTES!$D$19:$F$192,3,0),"")</f>
        <v>0.5</v>
      </c>
      <c r="F2112" s="380">
        <f>IF(D2112="","",IF(OR(SUMIF($J2095:$J2104,D2112,$O2095:$O2104)=0,N2112="NO"),"NO APORTA",SUMIF($J2095:$J2104,D2112,$O2095:$O2104)))</f>
        <v>570.82100000000003</v>
      </c>
      <c r="G2112" s="380">
        <f ca="1">IF($D2112="","",IF($F2110&lt;=1,"",ROUND(POSMMLV*PORPO,2)))</f>
        <v>150</v>
      </c>
      <c r="H2112" s="765" t="str">
        <f ca="1">IF($D2112="","",IF(OR(F2112="NO APORTA",G2112&gt;F2112),"NO CUMPLE","CUMPLE"))</f>
        <v>CUMPLE</v>
      </c>
      <c r="I2112" s="766"/>
      <c r="J2112" s="108" t="str">
        <f ca="1">IF(D2112="","",IF(OR(AND(SUMIF($J2095:$J2104,D2112,$O2095:$O2104)&gt;=5%*POSMMLV,N2112="SI"),AND(SUMIF($J2095:$J2104,D2112,$O2095:$O2104)=0,E2112&lt;=5%,N2112="SI")),"CUMPLE","NO CUMPLE"))</f>
        <v>CUMPLE</v>
      </c>
      <c r="K2112" s="105" t="str">
        <f ca="1">IF(OR(D2112="",J2112=""),"",IF(AND(J2112="NO CUMPLE",F2112="NO APORTA",E2112&gt;5%),"EXP = 0 y PART &gt; 5%",IF(F2112&lt;5%*Q2117,"EXP &lt; 5%*PO","")))</f>
        <v/>
      </c>
      <c r="L2112" s="389" t="str">
        <f>IF(OR(D2112="",E2112=""),"",IF(AND(E2112&gt;=0.25,F2112&lt;&gt;"NO APORTA",F2112&gt;=$R2117*0.25),"SI","NO"))</f>
        <v>SI</v>
      </c>
      <c r="M2112" s="389"/>
      <c r="N2112" s="468" t="s">
        <v>385</v>
      </c>
      <c r="O2112" s="396">
        <f>COUNTIFS(O2095:O2104,"&gt;0",H2095:H2104,"SI")</f>
        <v>4</v>
      </c>
      <c r="P2112" s="814" t="s">
        <v>139</v>
      </c>
      <c r="Q2112" s="814"/>
      <c r="R2112" s="817">
        <f>E2091</f>
        <v>70</v>
      </c>
      <c r="S2112" s="818"/>
      <c r="T2112" s="784" t="s">
        <v>412</v>
      </c>
      <c r="U2112" s="773"/>
      <c r="V2112" s="774"/>
      <c r="W2112" s="283"/>
      <c r="X2112" s="542" t="str">
        <f>IF($F2110=1,"NO APLICA",$D2112)</f>
        <v>PI SAS – PROYECTOS DE INGENIERIA SAS</v>
      </c>
      <c r="Y2112" s="543">
        <f ca="1">IF(OR($F2112="",$F2112="NO APORTA",$R2117=0,$X2112="NO APLICA"),"",ROUND($F2112/$Q2117,2))</f>
        <v>1.9</v>
      </c>
      <c r="Z2112" s="544" t="str">
        <f ca="1">IF(Y2118=1,"SI APLICA",IF(OR($X2112="",$X2112="NO APLICA",$F2112="",$F2112="NO APORTA"),"",IF(ROUND($F2112/Q2117,7)&gt;=0.4,"SI APLICA","NO APLICA")))</f>
        <v>SI APLICA</v>
      </c>
      <c r="AA2112" s="543" t="s">
        <v>413</v>
      </c>
      <c r="AB2112" s="540" t="str">
        <f ca="1">IF(COUNTIF(Z2112:AA2112,"SI APLICA")=2,"SI APLICA","")</f>
        <v>SI APLICA</v>
      </c>
      <c r="AC2112" s="28"/>
    </row>
    <row r="2113" spans="1:29" s="30" customFormat="1" ht="15.75" customHeight="1" thickBot="1">
      <c r="A2113" s="112" t="str">
        <f>"O"&amp;E2091</f>
        <v>O70</v>
      </c>
      <c r="B2113" s="791"/>
      <c r="C2113" s="54">
        <v>2</v>
      </c>
      <c r="D2113" s="100" t="str">
        <f>IF(AND(C2113&lt;=F2110,F2110&lt;&gt;""),VLOOKUP(VALUE(E2091&amp;","&amp;C2113),INTEGRANTES!$D$19:$F$192,2,0),"")</f>
        <v>ZAFRA INGENIERIA SAS</v>
      </c>
      <c r="E2113" s="107">
        <f>IF(D2113&lt;&gt;"",VLOOKUP(VALUE(E2091&amp;","&amp;C2113),INTEGRANTES!$D$19:$F$192,3,0),"")</f>
        <v>0.5</v>
      </c>
      <c r="F2113" s="380">
        <f>IF(D2113="","",IF(OR(SUMIF($J2098:$J2104,D2113,$O2098:$O2104)=0,N2113="NO"),"NO APORTA",SUMIF($J2098:$J2104,D2113,$O2098:$O2104)))</f>
        <v>485.07</v>
      </c>
      <c r="G2113" s="380">
        <f ca="1">IF($D2113="","",IF($F2110&lt;=1,"",ROUND(POSMMLV*PORPO,2)))</f>
        <v>150</v>
      </c>
      <c r="H2113" s="765" t="str">
        <f t="shared" ref="H2113:H2116" ca="1" si="422">IF($D2113="","",IF(OR(F2113="NO APORTA",G2113&gt;F2113),"NO CUMPLE","CUMPLE"))</f>
        <v>CUMPLE</v>
      </c>
      <c r="I2113" s="766"/>
      <c r="J2113" s="108" t="str">
        <f ca="1">IF(D2113="","",IF(OR(AND(SUMIF($J2095:$J2104,D2113,$O2095:$O2104)&gt;=5%*POSMMLV,N2113="SI"),AND(SUMIF($J2095:$J2104,D2113,$O2095:$O2104)=0,E2113&lt;=5%,N2113="SI")),"CUMPLE","NO CUMPLE"))</f>
        <v>CUMPLE</v>
      </c>
      <c r="K2113" s="105" t="str">
        <f ca="1">IF(OR(D2113="",J2113=""),"",IF(AND(J2113="NO CUMPLE",F2113="NO APORTA",E2113&gt;5%),"EXP = 0 y PART &gt; 5%",IF(F2113&lt;5%*Q2117,"EXP &lt; 5%*PO","")))</f>
        <v/>
      </c>
      <c r="L2113" s="389" t="str">
        <f>IF(OR(D2113="",E2113=""),"",IF(AND(E2113&gt;=0.25,F2113&lt;&gt;"NO APORTA",F2113&gt;=$R2117*0.25),"SI","NO"))</f>
        <v>SI</v>
      </c>
      <c r="M2113" s="389"/>
      <c r="N2113" s="468" t="s">
        <v>385</v>
      </c>
      <c r="O2113" s="396"/>
      <c r="P2113" s="815"/>
      <c r="Q2113" s="815"/>
      <c r="R2113" s="815"/>
      <c r="S2113" s="819"/>
      <c r="T2113" s="785"/>
      <c r="U2113" s="786"/>
      <c r="V2113" s="787"/>
      <c r="W2113" s="283"/>
      <c r="X2113" s="542" t="str">
        <f>IF($F2110=1,"NO APLICA",$D2113)</f>
        <v>ZAFRA INGENIERIA SAS</v>
      </c>
      <c r="Y2113" s="543">
        <f ca="1">IF(OR($F2113="",$F2113="NO APORTA",$R2117=0,$X2113="NO APLICA"),"",ROUND($F2113/$Q2117,2))</f>
        <v>1.62</v>
      </c>
      <c r="Z2113" s="544" t="str">
        <f ca="1">IF(Y2118=1,"SI APLICA",IF(OR($X2113="",$X2113="NO APLICA",$F2113="",$F2113="NO APORTA"),"",IF(ROUND($F2113/Q2117,7)&gt;=0.4,"SI APLICA","NO APLICA")))</f>
        <v>SI APLICA</v>
      </c>
      <c r="AA2113" s="543" t="s">
        <v>413</v>
      </c>
      <c r="AB2113" s="540" t="str">
        <f t="shared" ref="AB2113" ca="1" si="423">IF(COUNTIF(Z2113:AA2113,"SI APLICA")=2,"SI APLICA","")</f>
        <v>SI APLICA</v>
      </c>
      <c r="AC2113" s="28"/>
    </row>
    <row r="2114" spans="1:29" s="30" customFormat="1" ht="15.75" customHeight="1">
      <c r="A2114" s="112" t="str">
        <f>"P"&amp;E2091</f>
        <v>P70</v>
      </c>
      <c r="B2114" s="791"/>
      <c r="C2114" s="54">
        <v>3</v>
      </c>
      <c r="D2114" s="100" t="str">
        <f>IF(AND(C2114&lt;=F2110,F2110&lt;&gt;""),VLOOKUP(VALUE(E2091&amp;","&amp;C2114),INTEGRANTES!$D$19:$F$192,2,0),"")</f>
        <v/>
      </c>
      <c r="E2114" s="107" t="str">
        <f>IF(D2114&lt;&gt;"",VLOOKUP(VALUE(E2091&amp;","&amp;C2114),INTEGRANTES!$D$19:$F$192,3,0),"")</f>
        <v/>
      </c>
      <c r="F2114" s="380" t="str">
        <f>IF(D2114="","",IF(OR(SUMIF($J2098:$J2104,D2114,$O2098:$O2104)=0,N2114="NO"),"NO APORTA",SUMIF($J2098:$J2104,D2114,$O2098:$O2104)))</f>
        <v/>
      </c>
      <c r="G2114" s="380" t="str">
        <f>IF($D2114="","",IF($F2110&lt;=1,"",ROUND(POSMMLV*PORPO,2)))</f>
        <v/>
      </c>
      <c r="H2114" s="765" t="str">
        <f t="shared" si="422"/>
        <v/>
      </c>
      <c r="I2114" s="766"/>
      <c r="J2114" s="108" t="str">
        <f>IF(D2114="","",IF(OR(AND(SUMIF($J2095:$J2104,D2114,$O2095:$O2104)&gt;=5%*POSMMLV,N2114="SI"),AND(SUMIF($J2095:$J2104,D2114,$O2095:$O2104)=0,E2114&lt;=5%,N2114="SI")),"CUMPLE","NO CUMPLE"))</f>
        <v/>
      </c>
      <c r="K2114" s="105" t="str">
        <f>IF(OR(D2114="",J2114=""),"",IF(AND(J2114="NO CUMPLE",F2114="NO APORTA",E2114&gt;5%),"EXP = 0 y PART &gt; 5%",IF(F2114&lt;5%*Q2117,"EXP &lt; 5%*PO","")))</f>
        <v/>
      </c>
      <c r="L2114" s="389" t="str">
        <f>IF(OR(D2114="",E2114=""),"",IF(AND(E2114&gt;=0.25,F2114&lt;&gt;"NO APORTA",F2114&gt;=$R2117*0.25),"SI","NO"))</f>
        <v/>
      </c>
      <c r="M2114" s="389"/>
      <c r="N2114" s="468"/>
      <c r="O2114" s="397"/>
      <c r="P2114" s="816"/>
      <c r="Q2114" s="816"/>
      <c r="R2114" s="816"/>
      <c r="S2114" s="820"/>
      <c r="T2114" s="308"/>
      <c r="U2114" s="308"/>
      <c r="V2114" s="309"/>
      <c r="W2114" s="284"/>
      <c r="X2114" s="542" t="str">
        <f>IF($F2110=1,"NO APLICA",$D2114)</f>
        <v/>
      </c>
      <c r="Y2114" s="543" t="str">
        <f>IF(OR($F2114="",$F2114="NO APORTA",$R2117=0,$X2114="NO APLICA"),"",ROUND($F2114/$Q2117,2))</f>
        <v/>
      </c>
      <c r="Z2114" s="544" t="str">
        <f>IF(Y2118=1,"SI APLICA",IF(OR($X2114="",$X2114="NO APLICA",$F2114="",$F2114="NO APORTA"),"",IF(ROUND($F2114/Q2117,7)&gt;=0.4,"SI APLICA","NO APLICA")))</f>
        <v/>
      </c>
      <c r="AA2114" s="543"/>
      <c r="AB2114" s="540" t="str">
        <f>IF(COUNTIF(Z2114:AA2114,"SI APLICA")=2,"SI APLICA","")</f>
        <v/>
      </c>
      <c r="AC2114" s="28"/>
    </row>
    <row r="2115" spans="1:29" s="30" customFormat="1" ht="15.75" customHeight="1">
      <c r="A2115" s="112" t="str">
        <f>"Q"&amp;E2091</f>
        <v>Q70</v>
      </c>
      <c r="B2115" s="791"/>
      <c r="C2115" s="54">
        <v>4</v>
      </c>
      <c r="D2115" s="100" t="str">
        <f>IF(AND(C2115&lt;=F2110,F2110&lt;&gt;""),VLOOKUP(VALUE(E2091&amp;","&amp;C2115),INTEGRANTES!$D$19:$F$192,2,0),"")</f>
        <v/>
      </c>
      <c r="E2115" s="107" t="str">
        <f>IF(D2115&lt;&gt;"",VLOOKUP(VALUE(E2091&amp;","&amp;C2115),INTEGRANTES!$D$19:$F$192,3,0),"")</f>
        <v/>
      </c>
      <c r="F2115" s="380" t="str">
        <f>IF(D2115="","",IF(OR(SUMIF($J2098:$J2104,D2115,$O2098:$O2104)=0,N2115="NO"),"NO APORTA",SUMIF($J2098:$J2104,D2115,$O2098:$O2104)))</f>
        <v/>
      </c>
      <c r="G2115" s="380" t="str">
        <f>IF($D2115="","",IF($F2110&lt;=1,"",ROUND(POSMMLV*PORPO,2)))</f>
        <v/>
      </c>
      <c r="H2115" s="765" t="str">
        <f t="shared" si="422"/>
        <v/>
      </c>
      <c r="I2115" s="766"/>
      <c r="J2115" s="108" t="str">
        <f>IF(D2115="","",IF(OR(AND(SUMIF($J2095:$J2104,D2115,$O2095:$O2104)&gt;=5%*POSMMLV,N2115="SI"),AND(SUMIF($J2095:$J2104,D2115,$O2095:$O2104)=0,E2115&lt;=5%,N2115="SI")),"CUMPLE","NO CUMPLE"))</f>
        <v/>
      </c>
      <c r="K2115" s="105" t="str">
        <f>IF(OR(D2115="",J2115=""),"",IF(AND(J2115="NO CUMPLE",F2115="NO APORTA",E2115&gt;5%),"EXP = 0 y PART &gt; 5%",IF(F2115&lt;5%*Q2117,"EXP &lt; 5%*PO","")))</f>
        <v/>
      </c>
      <c r="L2115" s="389" t="str">
        <f>IF(OR(D2115="",E2115=""),"",IF(AND(E2115&gt;=0.25,F2115&lt;&gt;"NO APORTA",F2115&gt;=$R2117*0.25),"SI","NO"))</f>
        <v/>
      </c>
      <c r="M2115" s="389"/>
      <c r="N2115" s="468"/>
      <c r="O2115" s="788" t="s">
        <v>414</v>
      </c>
      <c r="P2115" s="769" t="s">
        <v>415</v>
      </c>
      <c r="Q2115" s="770"/>
      <c r="R2115" s="770"/>
      <c r="S2115" s="771"/>
      <c r="T2115" s="284"/>
      <c r="U2115" s="284"/>
      <c r="V2115" s="310"/>
      <c r="W2115" s="284"/>
      <c r="X2115" s="542" t="str">
        <f>IF($F2110=1,"NO APLICA",$D2115)</f>
        <v/>
      </c>
      <c r="Y2115" s="543" t="str">
        <f>IF(OR($F2115="",$F2115="NO APORTA",$R2117=0,$X2115="NO APLICA"),"",ROUND($F2115/$Q2117,2))</f>
        <v/>
      </c>
      <c r="Z2115" s="544" t="str">
        <f>IF(Y2118=1,"SI APLICA",IF(OR($X2115="",$X2115="NO APLICA",$F2115="",$F2115="NO APORTA"),"",IF(ROUND($F2115/Q2117,7)&gt;=0.4,"SI APLICA","NO APLICA")))</f>
        <v/>
      </c>
      <c r="AA2115" s="543"/>
      <c r="AB2115" s="540" t="str">
        <f t="shared" ref="AB2115:AB2116" si="424">IF(COUNTIF(Z2115:AA2115,"SI APLICA")=2,"SI APLICA","")</f>
        <v/>
      </c>
      <c r="AC2115" s="28"/>
    </row>
    <row r="2116" spans="1:29" s="30" customFormat="1" ht="17.25" customHeight="1">
      <c r="A2116" s="112" t="str">
        <f>"R"&amp;E2091</f>
        <v>R70</v>
      </c>
      <c r="B2116" s="791"/>
      <c r="C2116" s="54">
        <v>5</v>
      </c>
      <c r="D2116" s="100" t="str">
        <f>IF(AND(C2116&lt;=F2110,F2110&lt;&gt;""),VLOOKUP(VALUE(E2091&amp;","&amp;C2116),INTEGRANTES!$D$19:$F$192,2,0),"")</f>
        <v/>
      </c>
      <c r="E2116" s="107" t="str">
        <f>IF(D2116&lt;&gt;"",VLOOKUP(VALUE(E2091&amp;","&amp;C2116),INTEGRANTES!$D$19:$F$192,3,0),"")</f>
        <v/>
      </c>
      <c r="F2116" s="380" t="str">
        <f>IF(D2116="","",IF(OR(SUMIF($J2098:$J2104,D2116,$O2098:$O2104)=0,N2116="NO"),"NO APORTA",SUMIF($J2098:$J2104,D2116,$O2098:$O2104)))</f>
        <v/>
      </c>
      <c r="G2116" s="380" t="str">
        <f>IF($D2116="","",IF($F2110&lt;=1,"",ROUND(POSMMLV*PORPO,2)))</f>
        <v/>
      </c>
      <c r="H2116" s="765" t="str">
        <f t="shared" si="422"/>
        <v/>
      </c>
      <c r="I2116" s="766"/>
      <c r="J2116" s="108" t="str">
        <f>IF(D2116="","",IF(OR(AND(SUMIF($J2095:$J2104,D2116,$O2095:$O2104)&gt;=5%*POSMMLV,N2116="SI"),AND(SUMIF($J2095:$J2104,D2116,$O2095:$O2104)=0,E2116&lt;=5%,N2116="SI")),"CUMPLE","NO CUMPLE"))</f>
        <v/>
      </c>
      <c r="K2116" s="105" t="str">
        <f>IF(OR(D2116="",J2116=""),"",IF(AND(J2116="NO CUMPLE",F2116="NO APORTA",E2116&gt;5%),"EXP = 0 y PART &gt; 5%",IF(F2116&lt;5%*Q2117,"EXP &lt; 5%*PO","")))</f>
        <v/>
      </c>
      <c r="L2116" s="389" t="str">
        <f>IF(OR(D2116="",E2116=""),"",IF(AND(E2116&gt;=0.25,F2116&lt;&gt;"NO APORTA",F2116&gt;=$R2117*0.25),"SI","NO"))</f>
        <v/>
      </c>
      <c r="M2116" s="389"/>
      <c r="N2116" s="468"/>
      <c r="O2116" s="789"/>
      <c r="P2116" s="504" t="s">
        <v>416</v>
      </c>
      <c r="Q2116" s="504" t="s">
        <v>417</v>
      </c>
      <c r="R2116" s="793" t="s">
        <v>418</v>
      </c>
      <c r="S2116" s="793"/>
      <c r="T2116" s="284"/>
      <c r="U2116" s="284"/>
      <c r="V2116" s="310"/>
      <c r="W2116" s="284"/>
      <c r="X2116" s="542" t="str">
        <f>IF($F2110=1,"NO APLICA",$D2116)</f>
        <v/>
      </c>
      <c r="Y2116" s="543" t="str">
        <f>IF(OR($F2116="",$F2116="NO APORTA",$R2117=0,$X2116="NO APLICA"),"",ROUND($F2116/$Q2117,2))</f>
        <v/>
      </c>
      <c r="Z2116" s="544" t="str">
        <f>IF(Y2118=1,"SI APLICA",IF(OR($X2116="",$X2116="NO APLICA",$F2116="",$F2116="NO APORTA"),"",IF(ROUND($F2116/Q2117,7)&gt;=0.4,"SI APLICA","NO APLICA")))</f>
        <v/>
      </c>
      <c r="AA2116" s="543"/>
      <c r="AB2116" s="540" t="str">
        <f t="shared" si="424"/>
        <v/>
      </c>
      <c r="AC2116" s="28"/>
    </row>
    <row r="2117" spans="1:29" s="30" customFormat="1" ht="16.5" customHeight="1" thickBot="1">
      <c r="A2117" s="112" t="str">
        <f>"S"&amp;E2091</f>
        <v>S70</v>
      </c>
      <c r="B2117" s="791"/>
      <c r="C2117" s="109">
        <v>6</v>
      </c>
      <c r="D2117" s="110" t="str">
        <f>IF(AND(C2117&lt;=F2110,F2110&lt;&gt;""),VLOOKUP(VALUE(E2091&amp;","&amp;C2117),INTEGRANTES!$D$19:$F$192,2,0),"")</f>
        <v/>
      </c>
      <c r="E2117" s="111" t="str">
        <f>IF(D2117&lt;&gt;"",VLOOKUP(VALUE(E2091&amp;","&amp;C2117),INTEGRANTES!$D$19:$F$192,3,0),"")</f>
        <v/>
      </c>
      <c r="F2117" s="380" t="str">
        <f>IF(D2117="","",IF(OR(SUMIF($J2098:$J2104,D2117,$O2098:$O2104)=0,N2117="NO"),"NO APORTA",SUMIF($J2098:$J2104,D2117,$O2098:$O2104)))</f>
        <v/>
      </c>
      <c r="G2117" s="380" t="str">
        <f>IF($D2117="","",IF($F2110&lt;=1,"",ROUND(POSMMLV*PORPO,2)))</f>
        <v/>
      </c>
      <c r="H2117" s="765" t="str">
        <f>IF($D2117="","",IF(OR(F2117="NO APORTA",G2117&gt;F2117),"NO CUMPLE","CUMPLE"))</f>
        <v/>
      </c>
      <c r="I2117" s="766"/>
      <c r="J2117" s="108" t="str">
        <f>IF(D2117="","",IF(OR(AND(SUMIF($J2095:$J2104,D2117,$O2095:$O2104)&gt;=5%*POSMMLV,N2117="SI"),AND(SUMIF($J2095:$J2104,D2117,$O2095:$O2104)=0,E2117&lt;=5%,N2117="SI")),"CUMPLE","NO CUMPLE"))</f>
        <v/>
      </c>
      <c r="K2117" s="105" t="str">
        <f>IF(OR(D2117="",J2117=""),"",IF(AND(J2117="NO CUMPLE",F2117="NO APORTA",E2117&gt;5%),"EXP = 0 y PART &gt; 5%",IF(F2117&lt;5%*Q2117,"EXP &lt; 5%*PO","")))</f>
        <v/>
      </c>
      <c r="L2117" s="389" t="str">
        <f>IF(OR(D2117="",E2117=""),"",IF(AND(E2117&gt;=0.25,F2117&lt;&gt;"NO APORTA",F2117&gt;=$R2117*0.25),"SI","NO"))</f>
        <v/>
      </c>
      <c r="M2117" s="389"/>
      <c r="N2117" s="468"/>
      <c r="O2117" s="403" t="str">
        <f ca="1">IF(R2117&gt;=Q2117,"CUMPLE","NO CUMPLE")</f>
        <v>CUMPLE</v>
      </c>
      <c r="P2117" s="312">
        <f>NUMMOD</f>
        <v>1</v>
      </c>
      <c r="Q2117" s="313">
        <f ca="1">IF(P2117="","",ROUND(VLOOKUP(P2117,PRESUPUESTOS!$B$16:$L$16,9,FALSE),7))</f>
        <v>300</v>
      </c>
      <c r="R2117" s="834">
        <f>IF(OR(COUNTIF(O2095:O2104,"")&gt;9,S2111&lt;NUMMINCONT),0,SUM(O2095:O2104))</f>
        <v>1675.163</v>
      </c>
      <c r="S2117" s="834"/>
      <c r="T2117" s="284"/>
      <c r="U2117" s="284"/>
      <c r="V2117" s="310"/>
      <c r="W2117" s="284"/>
      <c r="X2117" s="545" t="str">
        <f>IF($F2110=1,"NO APLICA",$D2117)</f>
        <v/>
      </c>
      <c r="Y2117" s="543" t="str">
        <f>IF(OR($F2117="",$F2117="NO APORTA",$R2117=0,$X2117="NO APLICA"),"",ROUND($F2117/$Q2117,2))</f>
        <v/>
      </c>
      <c r="Z2117" s="544" t="str">
        <f>IF(Y2118=1,"SI APLICA",IF(OR($X2117="",$X2117="NO APLICA",$F2117="",$F2117="NO APORTA"),"",IF(ROUND($F2117/Q2117,7)&gt;=0.4,"SI APLICA","NO APLICA")))</f>
        <v/>
      </c>
      <c r="AA2117" s="546"/>
      <c r="AB2117" s="540" t="str">
        <f>IF(COUNTIF(Z2117:AA2117,"SI APLICA")=2,"SI APLICA","")</f>
        <v/>
      </c>
      <c r="AC2117" s="28"/>
    </row>
    <row r="2118" spans="1:29" s="30" customFormat="1" ht="16.5" customHeight="1" thickBot="1">
      <c r="A2118" s="112" t="str">
        <f>"T"&amp;E2091</f>
        <v>T70</v>
      </c>
      <c r="B2118" s="792"/>
      <c r="C2118" s="821" t="s">
        <v>419</v>
      </c>
      <c r="D2118" s="822"/>
      <c r="E2118" s="822"/>
      <c r="F2118" s="518"/>
      <c r="G2118" s="519"/>
      <c r="H2118" s="794" t="str">
        <f ca="1">IF(OR($F2110="",SUM(E2112:E2117)=0),"",IF(COUNTIF(H2112:H2117,"CUMPLE")&gt;=1,"CUMPLE","NO CUMPLE"))</f>
        <v>CUMPLE</v>
      </c>
      <c r="I2118" s="795"/>
      <c r="J2118" s="314" t="str">
        <f ca="1">IF(COUNTIF(J2112:J2117,"")&gt;5,"",IF(COUNTIF(J2112:J2117,"NO CUMPLE")&gt;0,"NO CUMPLE","CUMPLE"))</f>
        <v>CUMPLE</v>
      </c>
      <c r="K2118" s="314" t="str" cm="1">
        <f t="array" aca="1" ref="K2118" ca="1">IF(OR(AND(F2110=1,N2112:N2113="SI"),AND(COUNTIF(H2118:J2118,"CUMPLE")=2)),"CUMPLE","NO CUMPLE")</f>
        <v>CUMPLE</v>
      </c>
      <c r="L2118" s="519"/>
      <c r="M2118" s="519"/>
      <c r="N2118" s="519"/>
      <c r="O2118" s="833" t="str">
        <f ca="1">IF(ISNUMBER(F2091),"",IF(AND(O2117="NO CUMPLE",SUM(N2098:N2104)&lt;Q2117),"EL PROPONENTE SE DEBE REQUERIR POR EXPERIENCIA MINIMA EXIGIDA",""))</f>
        <v/>
      </c>
      <c r="P2118" s="833"/>
      <c r="Q2118" s="833"/>
      <c r="R2118" s="833"/>
      <c r="S2118" s="833"/>
      <c r="T2118" s="522"/>
      <c r="U2118" s="523"/>
      <c r="V2118" s="524"/>
      <c r="W2118" s="284"/>
      <c r="X2118" s="364" t="str">
        <f>IF(Y2118=1,"PROPONENTE INDIVIDUAL","PROPONENTE PLURAL")</f>
        <v>PROPONENTE PLURAL</v>
      </c>
      <c r="Y2118" s="276">
        <f>F2110</f>
        <v>2</v>
      </c>
      <c r="Z2118" s="277" t="str">
        <f ca="1">IF(OR(AND(Z2112="SI APLICA",AA2112="SI APLICA"),AND(Z2113="SI APLICA",AA2113="SI APLICA"),AND(Z2114="SI APLICA",AA2114="SI APLICA"),AND(Z2115="SI APLICA",AA2115="SI APLICA"),AND(Z2116="SI APLICA",AA2116="SI APLICA"),AND(Z2117="SI APLICA",AA2117="SI APLICA")),"SI APLICA","NO APLICA")</f>
        <v>SI APLICA</v>
      </c>
      <c r="AA2118" s="278" t="str">
        <f ca="1">IF(OR(AND(AA2112="SI APLICA",AB2112="SI APLICA"),AND(AA2113="SI APLICA",AB2113="SI APLICA"),AND(AA2114="SI APLICA",AB2114="SI APLICA"),AND(AA2115="SI APLICA",AB2115="SI APLICA"),AND(AA2116="SI APLICA",AB2116="SI APLICA"),AND(AA2117="SI APLICA",AB2117="SI APLICA")),"SI APLICA","NO APLICA")</f>
        <v>SI APLICA</v>
      </c>
      <c r="AB2118" s="278" t="str">
        <f ca="1">IF(COUNTIF(AB2112:AB2117,"SI APLICA")&gt;0,"SI APLICA","NO APLICA")</f>
        <v>SI APLICA</v>
      </c>
      <c r="AC2118" s="28"/>
    </row>
    <row r="2119" spans="1:29" ht="24.95" customHeight="1"/>
    <row r="2120" spans="1:29" ht="24.95" customHeight="1"/>
    <row r="2121" spans="1:29" s="41" customFormat="1" ht="24" thickBot="1">
      <c r="A2121" s="34">
        <v>71</v>
      </c>
      <c r="B2121" s="828" t="s">
        <v>355</v>
      </c>
      <c r="C2121" s="828"/>
      <c r="D2121" s="828"/>
      <c r="E2121" s="35">
        <f>VLOOKUP(A2121,PROPONENTES!$B$19:$E$108,2,FALSE)</f>
        <v>71</v>
      </c>
      <c r="F2121" s="36" t="str">
        <f>VLOOKUP(A2121,PROPONENTES!$B$19:$E$108,3,FALSE)</f>
        <v>INGENIEROS CIVILES ESPECIALISTAS S.A.S.</v>
      </c>
      <c r="G2121" s="37"/>
      <c r="H2121" s="37"/>
      <c r="I2121" s="36"/>
      <c r="J2121" s="36"/>
      <c r="K2121" s="36"/>
      <c r="L2121" s="36"/>
      <c r="M2121" s="38"/>
      <c r="N2121" s="38"/>
      <c r="O2121" s="37"/>
      <c r="P2121" s="37"/>
      <c r="Q2121" s="39"/>
      <c r="R2121" s="39"/>
      <c r="S2121" s="39"/>
      <c r="T2121" s="39"/>
      <c r="U2121" s="40"/>
      <c r="Y2121" s="52"/>
      <c r="Z2121" s="52"/>
      <c r="AA2121" s="52"/>
      <c r="AB2121" s="28"/>
      <c r="AC2121" s="28"/>
    </row>
    <row r="2122" spans="1:29" s="27" customFormat="1" ht="24.75" customHeight="1">
      <c r="A2122" s="22"/>
      <c r="B2122" s="829" t="s">
        <v>356</v>
      </c>
      <c r="C2122" s="501" t="s">
        <v>357</v>
      </c>
      <c r="D2122" s="502" t="s">
        <v>358</v>
      </c>
      <c r="E2122" s="502"/>
      <c r="F2122" s="502" t="s">
        <v>359</v>
      </c>
      <c r="G2122" s="503"/>
      <c r="H2122" s="803" t="s">
        <v>360</v>
      </c>
      <c r="I2122" s="831" t="s">
        <v>361</v>
      </c>
      <c r="J2122" s="803" t="s">
        <v>362</v>
      </c>
      <c r="K2122" s="803" t="s">
        <v>363</v>
      </c>
      <c r="L2122" s="803" t="s">
        <v>364</v>
      </c>
      <c r="M2122" s="803" t="s">
        <v>365</v>
      </c>
      <c r="N2122" s="804" t="s">
        <v>366</v>
      </c>
      <c r="O2122" s="805"/>
      <c r="P2122" s="806" t="s">
        <v>367</v>
      </c>
      <c r="Q2122" s="807"/>
      <c r="R2122" s="784" t="s">
        <v>368</v>
      </c>
      <c r="S2122" s="774"/>
      <c r="T2122" s="798" t="s">
        <v>369</v>
      </c>
      <c r="U2122" s="799"/>
      <c r="V2122" s="800"/>
      <c r="X2122" s="520"/>
      <c r="Y2122" s="520"/>
    </row>
    <row r="2123" spans="1:29" s="27" customFormat="1" ht="94.5" customHeight="1">
      <c r="A2123" s="22"/>
      <c r="B2123" s="830"/>
      <c r="C2123" s="504" t="s">
        <v>370</v>
      </c>
      <c r="D2123" s="505" t="s">
        <v>41</v>
      </c>
      <c r="E2123" s="505" t="s">
        <v>371</v>
      </c>
      <c r="F2123" s="505" t="s">
        <v>372</v>
      </c>
      <c r="G2123" s="506" t="s">
        <v>373</v>
      </c>
      <c r="H2123" s="793"/>
      <c r="I2123" s="832"/>
      <c r="J2123" s="793"/>
      <c r="K2123" s="793"/>
      <c r="L2123" s="793"/>
      <c r="M2123" s="793"/>
      <c r="N2123" s="504" t="s">
        <v>374</v>
      </c>
      <c r="O2123" s="505" t="s">
        <v>375</v>
      </c>
      <c r="P2123" s="801"/>
      <c r="Q2123" s="802"/>
      <c r="R2123" s="796"/>
      <c r="S2123" s="797"/>
      <c r="T2123" s="507" t="s">
        <v>376</v>
      </c>
      <c r="U2123" s="508" t="s">
        <v>377</v>
      </c>
      <c r="V2123" s="509" t="s">
        <v>378</v>
      </c>
      <c r="X2123" s="521" t="s">
        <v>379</v>
      </c>
      <c r="Y2123" s="521" t="s">
        <v>380</v>
      </c>
    </row>
    <row r="2124" spans="1:29" s="27" customFormat="1" ht="15" customHeight="1">
      <c r="A2124" s="22"/>
      <c r="B2124" s="594"/>
      <c r="C2124" s="595">
        <v>3</v>
      </c>
      <c r="D2124" s="595">
        <v>4</v>
      </c>
      <c r="E2124" s="595">
        <v>5</v>
      </c>
      <c r="F2124" s="595">
        <v>6</v>
      </c>
      <c r="G2124" s="595">
        <v>7</v>
      </c>
      <c r="H2124" s="595">
        <v>8</v>
      </c>
      <c r="I2124" s="595">
        <v>9</v>
      </c>
      <c r="J2124" s="595">
        <v>10</v>
      </c>
      <c r="K2124" s="595">
        <v>11</v>
      </c>
      <c r="L2124" s="595">
        <v>12</v>
      </c>
      <c r="M2124" s="595">
        <v>13</v>
      </c>
      <c r="N2124" s="595">
        <v>14</v>
      </c>
      <c r="O2124" s="595">
        <v>15</v>
      </c>
      <c r="P2124" s="596">
        <v>16</v>
      </c>
      <c r="Q2124" s="597">
        <v>17</v>
      </c>
      <c r="R2124" s="596">
        <v>18</v>
      </c>
      <c r="S2124" s="597">
        <v>19</v>
      </c>
      <c r="T2124" s="598">
        <v>20</v>
      </c>
      <c r="U2124" s="255">
        <v>21</v>
      </c>
      <c r="V2124" s="599">
        <v>22</v>
      </c>
      <c r="X2124" s="589"/>
      <c r="Y2124" s="590"/>
    </row>
    <row r="2125" spans="1:29" s="44" customFormat="1" ht="42.75" customHeight="1">
      <c r="A2125" s="42" t="str">
        <f>"A"&amp;E2121</f>
        <v>A71</v>
      </c>
      <c r="B2125" s="605">
        <f>IF(C2125&lt;&gt;"",B2124+1,"")</f>
        <v>1</v>
      </c>
      <c r="C2125" s="581" t="s">
        <v>965</v>
      </c>
      <c r="D2125" s="581" t="s">
        <v>966</v>
      </c>
      <c r="E2125" s="581" t="s">
        <v>967</v>
      </c>
      <c r="F2125" s="581" t="s">
        <v>384</v>
      </c>
      <c r="G2125" s="534">
        <v>1</v>
      </c>
      <c r="H2125" s="534" t="s">
        <v>385</v>
      </c>
      <c r="I2125" s="579" t="s">
        <v>384</v>
      </c>
      <c r="J2125" s="580" t="str">
        <f>IF(I2125="","",IF(I2125="I",$F2121,VLOOKUP(I2125,$C2142:$D2147,2,0)))</f>
        <v>INGENIEROS CIVILES ESPECIALISTAS S.A.S.</v>
      </c>
      <c r="K2125" s="535">
        <v>41214</v>
      </c>
      <c r="L2125" s="535">
        <v>41333</v>
      </c>
      <c r="M2125" s="536">
        <v>249.17</v>
      </c>
      <c r="N2125" s="232">
        <f t="shared" ref="N2125:N2134" si="425">IF(OR(G2125="",M2125=""),"",M2125*G2125)</f>
        <v>249.17</v>
      </c>
      <c r="O2125" s="260">
        <f t="shared" ref="O2125:O2134" si="426">IF(OR(H2125="",H2125="NO",K2125&lt;$Q$17,K2125&gt;$R$17,K2125="",M2125="",N2125=""),"",ROUND(N2125,7))</f>
        <v>249.17</v>
      </c>
      <c r="P2125" s="781"/>
      <c r="Q2125" s="782"/>
      <c r="R2125" s="767"/>
      <c r="S2125" s="768"/>
      <c r="T2125" s="538" t="s">
        <v>385</v>
      </c>
      <c r="U2125" s="539">
        <v>1</v>
      </c>
      <c r="V2125" s="540" t="s">
        <v>385</v>
      </c>
      <c r="X2125" s="541" t="s">
        <v>446</v>
      </c>
      <c r="Y2125" s="541" t="s">
        <v>387</v>
      </c>
    </row>
    <row r="2126" spans="1:29" s="44" customFormat="1" ht="33.75" customHeight="1">
      <c r="A2126" s="42" t="str">
        <f>"B"&amp;E2121</f>
        <v>B71</v>
      </c>
      <c r="B2126" s="605">
        <f t="shared" ref="B2126:B2134" si="427">IF(C2126&lt;&gt;"",B2125+1,"")</f>
        <v>2</v>
      </c>
      <c r="C2126" s="581" t="s">
        <v>968</v>
      </c>
      <c r="D2126" s="581" t="s">
        <v>969</v>
      </c>
      <c r="E2126" s="581" t="s">
        <v>970</v>
      </c>
      <c r="F2126" s="581" t="s">
        <v>384</v>
      </c>
      <c r="G2126" s="534">
        <v>1</v>
      </c>
      <c r="H2126" s="534" t="s">
        <v>385</v>
      </c>
      <c r="I2126" s="579" t="s">
        <v>384</v>
      </c>
      <c r="J2126" s="580" t="str">
        <f>IF(I2126="","",IF(I2126="I",$F2121,VLOOKUP(I2126,$C2142:$D2147,2,0)))</f>
        <v>INGENIEROS CIVILES ESPECIALISTAS S.A.S.</v>
      </c>
      <c r="K2126" s="535">
        <v>39485</v>
      </c>
      <c r="L2126" s="535">
        <v>40000</v>
      </c>
      <c r="M2126" s="536">
        <v>1668.38</v>
      </c>
      <c r="N2126" s="232">
        <f t="shared" si="425"/>
        <v>1668.38</v>
      </c>
      <c r="O2126" s="260">
        <f t="shared" si="426"/>
        <v>1668.38</v>
      </c>
      <c r="P2126" s="781"/>
      <c r="Q2126" s="782"/>
      <c r="R2126" s="767"/>
      <c r="S2126" s="768"/>
      <c r="T2126" s="538" t="s">
        <v>385</v>
      </c>
      <c r="U2126" s="539">
        <v>10</v>
      </c>
      <c r="V2126" s="540" t="s">
        <v>385</v>
      </c>
      <c r="X2126" s="541" t="s">
        <v>386</v>
      </c>
      <c r="Y2126" s="541" t="s">
        <v>439</v>
      </c>
    </row>
    <row r="2127" spans="1:29" s="44" customFormat="1" ht="24.95" customHeight="1">
      <c r="A2127" s="42" t="str">
        <f>"C"&amp;E2121</f>
        <v>C71</v>
      </c>
      <c r="B2127" s="605">
        <f t="shared" si="427"/>
        <v>3</v>
      </c>
      <c r="C2127" s="581" t="s">
        <v>965</v>
      </c>
      <c r="D2127" s="581" t="s">
        <v>971</v>
      </c>
      <c r="E2127" s="581" t="s">
        <v>972</v>
      </c>
      <c r="F2127" s="581" t="s">
        <v>384</v>
      </c>
      <c r="G2127" s="534">
        <v>1</v>
      </c>
      <c r="H2127" s="534" t="s">
        <v>385</v>
      </c>
      <c r="I2127" s="579" t="s">
        <v>384</v>
      </c>
      <c r="J2127" s="580" t="str">
        <f>IF(I2127="","",IF(I2127="I",$F2121,VLOOKUP(I2127,$C2142:$D2147,2,0)))</f>
        <v>INGENIEROS CIVILES ESPECIALISTAS S.A.S.</v>
      </c>
      <c r="K2127" s="535">
        <v>41555</v>
      </c>
      <c r="L2127" s="535">
        <v>41921</v>
      </c>
      <c r="M2127" s="536">
        <v>451.91</v>
      </c>
      <c r="N2127" s="232">
        <f t="shared" si="425"/>
        <v>451.91</v>
      </c>
      <c r="O2127" s="260">
        <f t="shared" si="426"/>
        <v>451.91</v>
      </c>
      <c r="P2127" s="781"/>
      <c r="Q2127" s="782"/>
      <c r="R2127" s="767"/>
      <c r="S2127" s="768"/>
      <c r="T2127" s="538" t="s">
        <v>385</v>
      </c>
      <c r="U2127" s="539">
        <v>27</v>
      </c>
      <c r="V2127" s="540" t="s">
        <v>385</v>
      </c>
      <c r="X2127" s="541" t="s">
        <v>446</v>
      </c>
      <c r="Y2127" s="541" t="s">
        <v>387</v>
      </c>
    </row>
    <row r="2128" spans="1:29" s="44" customFormat="1" ht="30.75" customHeight="1">
      <c r="A2128" s="42" t="str">
        <f>"D"&amp;E2121</f>
        <v>D71</v>
      </c>
      <c r="B2128" s="605">
        <f t="shared" si="427"/>
        <v>4</v>
      </c>
      <c r="C2128" s="581" t="s">
        <v>973</v>
      </c>
      <c r="D2128" s="581" t="s">
        <v>974</v>
      </c>
      <c r="E2128" s="581" t="s">
        <v>975</v>
      </c>
      <c r="F2128" s="581" t="s">
        <v>384</v>
      </c>
      <c r="G2128" s="534">
        <v>1</v>
      </c>
      <c r="H2128" s="534" t="s">
        <v>385</v>
      </c>
      <c r="I2128" s="579" t="s">
        <v>384</v>
      </c>
      <c r="J2128" s="580" t="str">
        <f>IF(I2128="","",IF(I2128="I",$F2121,VLOOKUP(I2128,$C2142:$D2147,2,0)))</f>
        <v>INGENIEROS CIVILES ESPECIALISTAS S.A.S.</v>
      </c>
      <c r="K2128" s="535">
        <v>41694</v>
      </c>
      <c r="L2128" s="535">
        <v>41888</v>
      </c>
      <c r="M2128" s="536">
        <v>222.1</v>
      </c>
      <c r="N2128" s="232">
        <f t="shared" si="425"/>
        <v>222.1</v>
      </c>
      <c r="O2128" s="260">
        <f t="shared" si="426"/>
        <v>222.1</v>
      </c>
      <c r="P2128" s="781"/>
      <c r="Q2128" s="782"/>
      <c r="R2128" s="767"/>
      <c r="S2128" s="768"/>
      <c r="T2128" s="538" t="s">
        <v>385</v>
      </c>
      <c r="U2128" s="539">
        <v>30</v>
      </c>
      <c r="V2128" s="540" t="s">
        <v>385</v>
      </c>
      <c r="X2128" s="541" t="s">
        <v>446</v>
      </c>
      <c r="Y2128" s="541" t="s">
        <v>387</v>
      </c>
    </row>
    <row r="2129" spans="1:29" s="44" customFormat="1" ht="24.95" customHeight="1">
      <c r="A2129" s="42" t="str">
        <f>"E"&amp;E2121</f>
        <v>E71</v>
      </c>
      <c r="B2129" s="605">
        <f t="shared" si="427"/>
        <v>5</v>
      </c>
      <c r="C2129" s="581" t="s">
        <v>443</v>
      </c>
      <c r="D2129" s="581" t="s">
        <v>976</v>
      </c>
      <c r="E2129" s="581" t="s">
        <v>977</v>
      </c>
      <c r="F2129" s="581" t="s">
        <v>431</v>
      </c>
      <c r="G2129" s="534">
        <v>0.5</v>
      </c>
      <c r="H2129" s="534" t="s">
        <v>385</v>
      </c>
      <c r="I2129" s="579" t="s">
        <v>384</v>
      </c>
      <c r="J2129" s="580" t="str">
        <f>IF(I2129="","",IF(I2129="I",$F2121,VLOOKUP(I2129,$C2142:$D2147,2,0)))</f>
        <v>INGENIEROS CIVILES ESPECIALISTAS S.A.S.</v>
      </c>
      <c r="K2129" s="535">
        <v>41977</v>
      </c>
      <c r="L2129" s="535">
        <v>42091</v>
      </c>
      <c r="M2129" s="536">
        <v>365.27</v>
      </c>
      <c r="N2129" s="232">
        <f t="shared" si="425"/>
        <v>182.63499999999999</v>
      </c>
      <c r="O2129" s="260">
        <f t="shared" si="426"/>
        <v>182.63499999999999</v>
      </c>
      <c r="P2129" s="781"/>
      <c r="Q2129" s="782"/>
      <c r="R2129" s="767"/>
      <c r="S2129" s="768"/>
      <c r="T2129" s="538" t="s">
        <v>385</v>
      </c>
      <c r="U2129" s="539">
        <v>32</v>
      </c>
      <c r="V2129" s="540" t="s">
        <v>385</v>
      </c>
      <c r="X2129" s="541" t="s">
        <v>449</v>
      </c>
      <c r="Y2129" s="541" t="s">
        <v>435</v>
      </c>
    </row>
    <row r="2130" spans="1:29" s="44" customFormat="1" ht="24.95" customHeight="1">
      <c r="A2130" s="42" t="str">
        <f>"F"&amp;E2121</f>
        <v>F71</v>
      </c>
      <c r="B2130" s="605" t="str">
        <f t="shared" si="427"/>
        <v/>
      </c>
      <c r="C2130" s="581"/>
      <c r="D2130" s="581"/>
      <c r="E2130" s="581"/>
      <c r="F2130" s="581"/>
      <c r="G2130" s="534"/>
      <c r="H2130" s="534"/>
      <c r="I2130" s="579"/>
      <c r="J2130" s="580" t="str">
        <f>IF(I2130="","",IF(I2130="I",$F2121,VLOOKUP(I2130,$C2142:$D2147,2,0)))</f>
        <v/>
      </c>
      <c r="K2130" s="535"/>
      <c r="L2130" s="535"/>
      <c r="M2130" s="536"/>
      <c r="N2130" s="232" t="str">
        <f t="shared" si="425"/>
        <v/>
      </c>
      <c r="O2130" s="260" t="str">
        <f t="shared" si="426"/>
        <v/>
      </c>
      <c r="P2130" s="781"/>
      <c r="Q2130" s="782"/>
      <c r="R2130" s="767"/>
      <c r="S2130" s="768"/>
      <c r="T2130" s="538"/>
      <c r="U2130" s="539"/>
      <c r="V2130" s="540"/>
      <c r="X2130" s="541"/>
      <c r="Y2130" s="541"/>
    </row>
    <row r="2131" spans="1:29" s="44" customFormat="1" ht="24.95" customHeight="1">
      <c r="A2131" s="42" t="str">
        <f>"G"&amp;E2121</f>
        <v>G71</v>
      </c>
      <c r="B2131" s="605" t="str">
        <f t="shared" si="427"/>
        <v/>
      </c>
      <c r="C2131" s="581"/>
      <c r="D2131" s="581"/>
      <c r="E2131" s="581"/>
      <c r="F2131" s="581"/>
      <c r="G2131" s="534"/>
      <c r="H2131" s="534"/>
      <c r="I2131" s="579"/>
      <c r="J2131" s="580" t="str">
        <f>IF(I2131="","",IF(I2131="I",$F2121,VLOOKUP(I2131,$C2142:$D2147,2,0)))</f>
        <v/>
      </c>
      <c r="K2131" s="535"/>
      <c r="L2131" s="535"/>
      <c r="M2131" s="536"/>
      <c r="N2131" s="43" t="str">
        <f t="shared" si="425"/>
        <v/>
      </c>
      <c r="O2131" s="260" t="str">
        <f t="shared" si="426"/>
        <v/>
      </c>
      <c r="P2131" s="781"/>
      <c r="Q2131" s="782"/>
      <c r="R2131" s="767"/>
      <c r="S2131" s="768"/>
      <c r="T2131" s="538"/>
      <c r="U2131" s="539"/>
      <c r="V2131" s="540"/>
      <c r="X2131" s="541"/>
      <c r="Y2131" s="541"/>
    </row>
    <row r="2132" spans="1:29" s="44" customFormat="1" ht="24.95" customHeight="1">
      <c r="A2132" s="42" t="str">
        <f>"H"&amp;E2121</f>
        <v>H71</v>
      </c>
      <c r="B2132" s="605" t="str">
        <f t="shared" si="427"/>
        <v/>
      </c>
      <c r="C2132" s="581"/>
      <c r="D2132" s="581"/>
      <c r="E2132" s="581"/>
      <c r="F2132" s="581"/>
      <c r="G2132" s="534"/>
      <c r="H2132" s="534"/>
      <c r="I2132" s="579"/>
      <c r="J2132" s="580" t="str">
        <f>IF(I2132="","",IF(I2132="I",$F2121,VLOOKUP(I2132,$C2142:$D2147,2,0)))</f>
        <v/>
      </c>
      <c r="K2132" s="535"/>
      <c r="L2132" s="535"/>
      <c r="M2132" s="537"/>
      <c r="N2132" s="43" t="str">
        <f t="shared" si="425"/>
        <v/>
      </c>
      <c r="O2132" s="260" t="str">
        <f t="shared" si="426"/>
        <v/>
      </c>
      <c r="P2132" s="781"/>
      <c r="Q2132" s="782"/>
      <c r="R2132" s="767"/>
      <c r="S2132" s="768"/>
      <c r="T2132" s="538"/>
      <c r="U2132" s="539"/>
      <c r="V2132" s="540"/>
      <c r="X2132" s="541"/>
      <c r="Y2132" s="541"/>
    </row>
    <row r="2133" spans="1:29" s="44" customFormat="1" ht="24.95" customHeight="1">
      <c r="A2133" s="42" t="str">
        <f>"I"&amp;E2121</f>
        <v>I71</v>
      </c>
      <c r="B2133" s="605" t="str">
        <f t="shared" si="427"/>
        <v/>
      </c>
      <c r="C2133" s="581"/>
      <c r="D2133" s="581"/>
      <c r="E2133" s="581"/>
      <c r="F2133" s="581"/>
      <c r="G2133" s="534"/>
      <c r="H2133" s="534"/>
      <c r="I2133" s="579"/>
      <c r="J2133" s="580" t="str">
        <f>IF(I2133="","",IF(I2133="I",$F2121,VLOOKUP(I2133,$C2142:$D2147,2,0)))</f>
        <v/>
      </c>
      <c r="K2133" s="535"/>
      <c r="L2133" s="535"/>
      <c r="M2133" s="537"/>
      <c r="N2133" s="43" t="str">
        <f t="shared" si="425"/>
        <v/>
      </c>
      <c r="O2133" s="260" t="str">
        <f t="shared" si="426"/>
        <v/>
      </c>
      <c r="P2133" s="781"/>
      <c r="Q2133" s="782"/>
      <c r="R2133" s="767"/>
      <c r="S2133" s="768"/>
      <c r="T2133" s="538"/>
      <c r="U2133" s="539"/>
      <c r="V2133" s="540"/>
      <c r="X2133" s="541"/>
      <c r="Y2133" s="541"/>
    </row>
    <row r="2134" spans="1:29" s="44" customFormat="1" ht="24.95" customHeight="1" thickBot="1">
      <c r="A2134" s="42" t="str">
        <f>"J"&amp;E2121</f>
        <v>J71</v>
      </c>
      <c r="B2134" s="612" t="str">
        <f t="shared" si="427"/>
        <v/>
      </c>
      <c r="C2134" s="582"/>
      <c r="D2134" s="582"/>
      <c r="E2134" s="582"/>
      <c r="F2134" s="582"/>
      <c r="G2134" s="583"/>
      <c r="H2134" s="583"/>
      <c r="I2134" s="584"/>
      <c r="J2134" s="585" t="str">
        <f>IF(I2134="","",IF(I2134="I",$F2121,VLOOKUP(I2134,$C2142:$D2147,2,0)))</f>
        <v/>
      </c>
      <c r="K2134" s="586"/>
      <c r="L2134" s="586"/>
      <c r="M2134" s="587"/>
      <c r="N2134" s="43" t="str">
        <f t="shared" si="425"/>
        <v/>
      </c>
      <c r="O2134" s="260" t="str">
        <f t="shared" si="426"/>
        <v/>
      </c>
      <c r="P2134" s="781"/>
      <c r="Q2134" s="782"/>
      <c r="R2134" s="767"/>
      <c r="S2134" s="768"/>
      <c r="T2134" s="538"/>
      <c r="U2134" s="539"/>
      <c r="V2134" s="540"/>
      <c r="X2134" s="541"/>
      <c r="Y2134" s="541"/>
    </row>
    <row r="2135" spans="1:29" s="27" customFormat="1" ht="12" customHeight="1" thickBot="1">
      <c r="A2135" s="42"/>
      <c r="B2135" s="45"/>
      <c r="C2135" s="46"/>
      <c r="D2135" s="46"/>
      <c r="E2135" s="46"/>
      <c r="F2135" s="46"/>
      <c r="G2135" s="46"/>
      <c r="H2135" s="606"/>
      <c r="I2135" s="46"/>
      <c r="J2135" s="46"/>
      <c r="K2135" s="46"/>
      <c r="L2135" s="46"/>
      <c r="M2135" s="46"/>
      <c r="N2135" s="46"/>
      <c r="O2135" s="259"/>
      <c r="P2135" s="46"/>
      <c r="Q2135" s="46"/>
      <c r="R2135" s="259"/>
      <c r="S2135" s="46"/>
      <c r="T2135" s="46"/>
      <c r="U2135" s="47"/>
      <c r="V2135" s="48"/>
      <c r="X2135" s="592"/>
      <c r="Y2135" s="593"/>
      <c r="AB2135" s="378"/>
    </row>
    <row r="2136" spans="1:29" s="27" customFormat="1" ht="17.25" customHeight="1" thickBot="1">
      <c r="A2136" s="42" t="str">
        <f>"Z"&amp;E2121</f>
        <v>Z71</v>
      </c>
      <c r="B2136" s="510"/>
      <c r="C2136" s="511"/>
      <c r="D2136" s="511"/>
      <c r="E2136" s="511"/>
      <c r="F2136" s="511"/>
      <c r="G2136" s="511"/>
      <c r="H2136" s="511"/>
      <c r="I2136" s="511"/>
      <c r="J2136" s="511"/>
      <c r="K2136" s="511"/>
      <c r="L2136" s="511"/>
      <c r="M2136" s="511"/>
      <c r="N2136" s="437" t="s">
        <v>388</v>
      </c>
      <c r="O2136" s="658">
        <f>IF(COUNTIF(O2125:O2134,"")&gt;9,0,SUM(O2125:O2134)/(COUNTIF(H2125:H2134,"SI")))</f>
        <v>554.83899999999994</v>
      </c>
      <c r="P2136" s="511"/>
      <c r="Q2136" s="511"/>
      <c r="R2136" s="530"/>
      <c r="S2136" s="530"/>
      <c r="T2136" s="531"/>
      <c r="U2136" s="532"/>
      <c r="V2136" s="533"/>
      <c r="W2136" s="285"/>
      <c r="X2136" s="613" t="e">
        <f>COUNTIF(#REF!,"")-COUNTIF(#REF!,"CUMPLE")-1</f>
        <v>#REF!</v>
      </c>
      <c r="Y2136" s="591"/>
      <c r="AB2136" s="28"/>
    </row>
    <row r="2137" spans="1:29" ht="17.25" customHeight="1">
      <c r="B2137" s="50"/>
      <c r="C2137" s="50"/>
      <c r="D2137" s="50"/>
      <c r="E2137" s="50"/>
      <c r="F2137" s="50"/>
      <c r="G2137" s="51"/>
      <c r="H2137" s="51"/>
      <c r="I2137" s="51"/>
      <c r="J2137" s="51"/>
      <c r="K2137" s="51"/>
      <c r="L2137" s="51"/>
      <c r="M2137" s="51"/>
      <c r="N2137" s="51"/>
      <c r="O2137" s="51"/>
      <c r="P2137" s="51"/>
      <c r="Q2137" s="51"/>
      <c r="R2137" s="51"/>
      <c r="S2137" s="51"/>
      <c r="T2137" s="51"/>
      <c r="U2137" s="51"/>
      <c r="V2137" s="51"/>
      <c r="W2137" s="51"/>
      <c r="X2137" s="608"/>
      <c r="Y2137" s="51"/>
      <c r="Z2137" s="51"/>
      <c r="AA2137" s="51"/>
      <c r="AB2137" s="51"/>
      <c r="AC2137" s="50"/>
    </row>
    <row r="2138" spans="1:29" s="27" customFormat="1" ht="16.5" customHeight="1" thickBot="1">
      <c r="A2138" s="22"/>
      <c r="B2138" s="783" t="s">
        <v>389</v>
      </c>
      <c r="C2138" s="783"/>
      <c r="D2138" s="783"/>
      <c r="E2138" s="783"/>
      <c r="F2138" s="783"/>
      <c r="G2138" s="783"/>
      <c r="H2138" s="783"/>
      <c r="I2138" s="783"/>
      <c r="J2138" s="783"/>
      <c r="K2138" s="783"/>
      <c r="L2138" s="783"/>
      <c r="M2138" s="783"/>
      <c r="N2138" s="783"/>
      <c r="O2138" s="783"/>
      <c r="P2138" s="783"/>
      <c r="Q2138" s="783"/>
      <c r="R2138" s="783"/>
      <c r="S2138" s="783"/>
      <c r="T2138" s="783"/>
      <c r="U2138" s="783"/>
      <c r="V2138" s="783"/>
      <c r="W2138" s="286"/>
      <c r="X2138" s="607"/>
      <c r="Y2138" s="52"/>
      <c r="Z2138" s="52"/>
      <c r="AA2138" s="52"/>
      <c r="AB2138" s="28"/>
      <c r="AC2138" s="28"/>
    </row>
    <row r="2139" spans="1:29" s="30" customFormat="1" ht="22.5" customHeight="1">
      <c r="A2139" s="112" t="str">
        <f>"K"&amp;E2121</f>
        <v>K71</v>
      </c>
      <c r="B2139" s="790" t="s">
        <v>390</v>
      </c>
      <c r="C2139" s="772" t="s">
        <v>391</v>
      </c>
      <c r="D2139" s="773"/>
      <c r="E2139" s="773"/>
      <c r="F2139" s="773"/>
      <c r="G2139" s="773"/>
      <c r="H2139" s="773"/>
      <c r="I2139" s="773"/>
      <c r="J2139" s="773"/>
      <c r="K2139" s="773"/>
      <c r="L2139" s="773"/>
      <c r="M2139" s="774"/>
      <c r="N2139" s="525"/>
      <c r="O2139" s="588"/>
      <c r="P2139" s="772" t="s">
        <v>392</v>
      </c>
      <c r="Q2139" s="773"/>
      <c r="R2139" s="773"/>
      <c r="S2139" s="774"/>
      <c r="T2139" s="784" t="s">
        <v>393</v>
      </c>
      <c r="U2139" s="774"/>
      <c r="V2139" s="811"/>
      <c r="W2139" s="284"/>
      <c r="X2139" s="778" t="s">
        <v>394</v>
      </c>
      <c r="Y2139" s="779"/>
      <c r="Z2139" s="779"/>
      <c r="AA2139" s="779" t="s">
        <v>395</v>
      </c>
      <c r="AB2139" s="808" t="s">
        <v>396</v>
      </c>
      <c r="AC2139" s="28"/>
    </row>
    <row r="2140" spans="1:29" s="30" customFormat="1" ht="22.5" customHeight="1">
      <c r="A2140" s="112" t="str">
        <f>"L"&amp;E2121</f>
        <v>L71</v>
      </c>
      <c r="B2140" s="791"/>
      <c r="C2140" s="769" t="s">
        <v>397</v>
      </c>
      <c r="D2140" s="770"/>
      <c r="E2140" s="771"/>
      <c r="F2140" s="512">
        <f>IF(VLOOKUP(E2121,PROPONENTES!$C$19:$E$108,3,0)="","",VLOOKUP(E2121,PROPONENTES!$C$19:$E$108,3,0))</f>
        <v>1</v>
      </c>
      <c r="G2140" s="824" t="s">
        <v>398</v>
      </c>
      <c r="H2140" s="793" t="s">
        <v>399</v>
      </c>
      <c r="I2140" s="793"/>
      <c r="J2140" s="769" t="s">
        <v>400</v>
      </c>
      <c r="K2140" s="823"/>
      <c r="L2140" s="513" t="s">
        <v>401</v>
      </c>
      <c r="M2140" s="513"/>
      <c r="N2140" s="526"/>
      <c r="O2140" s="527"/>
      <c r="P2140" s="775"/>
      <c r="Q2140" s="776"/>
      <c r="R2140" s="776"/>
      <c r="S2140" s="777"/>
      <c r="T2140" s="796"/>
      <c r="U2140" s="797"/>
      <c r="V2140" s="812"/>
      <c r="W2140" s="284"/>
      <c r="X2140" s="780" t="s">
        <v>402</v>
      </c>
      <c r="Y2140" s="810" t="s">
        <v>403</v>
      </c>
      <c r="Z2140" s="810"/>
      <c r="AA2140" s="810"/>
      <c r="AB2140" s="809"/>
      <c r="AC2140" s="28"/>
    </row>
    <row r="2141" spans="1:29" s="30" customFormat="1" ht="51.75" customHeight="1" thickBot="1">
      <c r="A2141" s="112" t="str">
        <f>"M"&amp;E2121</f>
        <v>M71</v>
      </c>
      <c r="B2141" s="791"/>
      <c r="C2141" s="770" t="s">
        <v>404</v>
      </c>
      <c r="D2141" s="771"/>
      <c r="E2141" s="514" t="s">
        <v>405</v>
      </c>
      <c r="F2141" s="515" t="s">
        <v>406</v>
      </c>
      <c r="G2141" s="824"/>
      <c r="H2141" s="793"/>
      <c r="I2141" s="793"/>
      <c r="J2141" s="504" t="s">
        <v>407</v>
      </c>
      <c r="K2141" s="516" t="s">
        <v>408</v>
      </c>
      <c r="L2141" s="517" t="s">
        <v>409</v>
      </c>
      <c r="M2141" s="517"/>
      <c r="N2141" s="528" t="s">
        <v>410</v>
      </c>
      <c r="O2141" s="529"/>
      <c r="P2141" s="386"/>
      <c r="Q2141" s="387" t="s">
        <v>411</v>
      </c>
      <c r="R2141" s="388"/>
      <c r="S2141" s="113">
        <f>COUNTIFS(H2125:H2134,"SI",O2125:O2134,"&gt;0")</f>
        <v>5</v>
      </c>
      <c r="T2141" s="785"/>
      <c r="U2141" s="787"/>
      <c r="V2141" s="813"/>
      <c r="W2141" s="284"/>
      <c r="X2141" s="780"/>
      <c r="Y2141" s="810"/>
      <c r="Z2141" s="810"/>
      <c r="AA2141" s="810"/>
      <c r="AB2141" s="809"/>
      <c r="AC2141" s="28"/>
    </row>
    <row r="2142" spans="1:29" s="30" customFormat="1" ht="15.75" customHeight="1">
      <c r="A2142" s="112" t="str">
        <f>"N"&amp;E2121</f>
        <v>N71</v>
      </c>
      <c r="B2142" s="791"/>
      <c r="C2142" s="54">
        <v>1</v>
      </c>
      <c r="D2142" s="100" t="str">
        <f>IF(AND(C2142&lt;=F2140,F2140&gt;1,F2140&lt;&gt;""),VLOOKUP(VALUE(E2121&amp;","&amp;C2142),INTEGRANTES!$D$19:$F$192,2,0),"")</f>
        <v/>
      </c>
      <c r="E2142" s="107" t="str">
        <f>IF(D2142&lt;&gt;"",VLOOKUP(VALUE(E2121&amp;","&amp;C2142),INTEGRANTES!$D$19:$F$192,3,0),"")</f>
        <v/>
      </c>
      <c r="F2142" s="380" t="str">
        <f>IF(D2142="","",IF(OR(SUMIF($J2128:$J2134,D2142,$O2128:$O2134)=0,N2142="NO"),"NO APORTA",SUMIF($J2128:$J2134,D2142,$O2128:$O2134)))</f>
        <v/>
      </c>
      <c r="G2142" s="380" t="str">
        <f>IF($D2142="","",IF($F2140&lt;=1,"",ROUND(POSMMLV*PORPO,2)))</f>
        <v/>
      </c>
      <c r="H2142" s="765" t="str">
        <f>IF($D2142="","",IF(OR(F2142="NO APORTA",G2142&gt;F2142),"NO CUMPLE","CUMPLE"))</f>
        <v/>
      </c>
      <c r="I2142" s="766"/>
      <c r="J2142" s="108" t="str">
        <f>IF(D2142="","",IF(OR(AND(SUMIF($J2125:$J2134,D2142,$O2125:$O2134)&gt;=5%*POSMMLV,N2142="SI"),AND(SUMIF($J2125:$J2134,D2142,$O2125:$O2134)=0,E2142&lt;=5%,N2142="SI")),"CUMPLE","NO CUMPLE"))</f>
        <v/>
      </c>
      <c r="K2142" s="105" t="str">
        <f>IF(OR(D2142="",J2142=""),"",IF(AND(J2142="NO CUMPLE",F2142="NO APORTA",E2142&gt;5%),"EXP = 0 y PART &gt; 5%",IF(F2142&lt;5%*Q2147,"EXP &lt; 5%*PO","")))</f>
        <v/>
      </c>
      <c r="L2142" s="389" t="str">
        <f>IF(OR(D2142="",E2142=""),"",IF(AND(E2142&gt;=0.25,F2142&lt;&gt;"NO APORTA",F2142&gt;=$R2147*0.25),"SI","NO"))</f>
        <v/>
      </c>
      <c r="M2142" s="389"/>
      <c r="N2142" s="468" t="s">
        <v>385</v>
      </c>
      <c r="O2142" s="396">
        <f>COUNTIFS(O2125:O2134,"&gt;0",H2125:H2134,"SI")</f>
        <v>5</v>
      </c>
      <c r="P2142" s="814" t="s">
        <v>139</v>
      </c>
      <c r="Q2142" s="814"/>
      <c r="R2142" s="817">
        <f>E2121</f>
        <v>71</v>
      </c>
      <c r="S2142" s="818"/>
      <c r="T2142" s="784" t="s">
        <v>412</v>
      </c>
      <c r="U2142" s="773"/>
      <c r="V2142" s="774"/>
      <c r="W2142" s="283"/>
      <c r="X2142" s="542" t="str">
        <f>IF($F2140=1,"NO APLICA",$D2142)</f>
        <v>NO APLICA</v>
      </c>
      <c r="Y2142" s="543" t="str">
        <f>IF(OR($F2142="",$F2142="NO APORTA",$R2147=0,$X2142="NO APLICA"),"",ROUND($F2142/$Q2147,2))</f>
        <v/>
      </c>
      <c r="Z2142" s="544" t="str">
        <f>IF(Y2148=1,"SI APLICA",IF(OR($X2142="",$X2142="NO APLICA",$F2142="",$F2142="NO APORTA"),"",IF(ROUND($F2142/Q2147,7)&gt;=0.4,"SI APLICA","NO APLICA")))</f>
        <v>SI APLICA</v>
      </c>
      <c r="AA2142" s="543" t="s">
        <v>413</v>
      </c>
      <c r="AB2142" s="540" t="str">
        <f>IF(COUNTIF(Z2142:AA2142,"SI APLICA")=2,"SI APLICA","")</f>
        <v>SI APLICA</v>
      </c>
      <c r="AC2142" s="28"/>
    </row>
    <row r="2143" spans="1:29" s="30" customFormat="1" ht="15.75" customHeight="1" thickBot="1">
      <c r="A2143" s="112" t="str">
        <f>"O"&amp;E2121</f>
        <v>O71</v>
      </c>
      <c r="B2143" s="791"/>
      <c r="C2143" s="54">
        <v>2</v>
      </c>
      <c r="D2143" s="100" t="str">
        <f>IF(AND(C2143&lt;=F2140,F2140&lt;&gt;""),VLOOKUP(VALUE(E2121&amp;","&amp;C2143),INTEGRANTES!$D$19:$F$192,2,0),"")</f>
        <v/>
      </c>
      <c r="E2143" s="107" t="str">
        <f>IF(D2143&lt;&gt;"",VLOOKUP(VALUE(E2121&amp;","&amp;C2143),INTEGRANTES!$D$19:$F$192,3,0),"")</f>
        <v/>
      </c>
      <c r="F2143" s="380" t="str">
        <f>IF(D2143="","",IF(OR(SUMIF($J2128:$J2134,D2143,$O2128:$O2134)=0,N2143="NO"),"NO APORTA",SUMIF($J2128:$J2134,D2143,$O2128:$O2134)))</f>
        <v/>
      </c>
      <c r="G2143" s="380" t="str">
        <f>IF($D2143="","",IF($F2140&lt;=1,"",ROUND(POSMMLV*PORPO,2)))</f>
        <v/>
      </c>
      <c r="H2143" s="765" t="str">
        <f t="shared" ref="H2143:H2146" si="428">IF($D2143="","",IF(OR(F2143="NO APORTA",G2143&gt;F2143),"NO CUMPLE","CUMPLE"))</f>
        <v/>
      </c>
      <c r="I2143" s="766"/>
      <c r="J2143" s="108" t="str">
        <f>IF(D2143="","",IF(OR(AND(SUMIF($J2125:$J2134,D2143,$O2125:$O2134)&gt;=5%*POSMMLV,N2143="SI"),AND(SUMIF($J2125:$J2134,D2143,$O2125:$O2134)=0,E2143&lt;=5%,N2143="SI")),"CUMPLE","NO CUMPLE"))</f>
        <v/>
      </c>
      <c r="K2143" s="105" t="str">
        <f>IF(OR(D2143="",J2143=""),"",IF(AND(J2143="NO CUMPLE",F2143="NO APORTA",E2143&gt;5%),"EXP = 0 y PART &gt; 5%",IF(F2143&lt;5%*Q2147,"EXP &lt; 5%*PO","")))</f>
        <v/>
      </c>
      <c r="L2143" s="389" t="str">
        <f>IF(OR(D2143="",E2143=""),"",IF(AND(E2143&gt;=0.25,F2143&lt;&gt;"NO APORTA",F2143&gt;=$R2147*0.25),"SI","NO"))</f>
        <v/>
      </c>
      <c r="M2143" s="389"/>
      <c r="N2143" s="468" t="s">
        <v>385</v>
      </c>
      <c r="O2143" s="396"/>
      <c r="P2143" s="815"/>
      <c r="Q2143" s="815"/>
      <c r="R2143" s="815"/>
      <c r="S2143" s="819"/>
      <c r="T2143" s="785"/>
      <c r="U2143" s="786"/>
      <c r="V2143" s="787"/>
      <c r="W2143" s="283"/>
      <c r="X2143" s="542" t="str">
        <f>IF($F2140=1,"NO APLICA",$D2143)</f>
        <v>NO APLICA</v>
      </c>
      <c r="Y2143" s="543" t="str">
        <f>IF(OR($F2143="",$F2143="NO APORTA",$R2147=0,$X2143="NO APLICA"),"",ROUND($F2143/$Q2147,2))</f>
        <v/>
      </c>
      <c r="Z2143" s="544"/>
      <c r="AA2143" s="543"/>
      <c r="AB2143" s="540" t="str">
        <f t="shared" ref="AB2143" si="429">IF(COUNTIF(Z2143:AA2143,"SI APLICA")=2,"SI APLICA","")</f>
        <v/>
      </c>
      <c r="AC2143" s="28"/>
    </row>
    <row r="2144" spans="1:29" s="30" customFormat="1" ht="15.75" customHeight="1">
      <c r="A2144" s="112" t="str">
        <f>"P"&amp;E2121</f>
        <v>P71</v>
      </c>
      <c r="B2144" s="791"/>
      <c r="C2144" s="54">
        <v>3</v>
      </c>
      <c r="D2144" s="100" t="str">
        <f>IF(AND(C2144&lt;=F2140,F2140&lt;&gt;""),VLOOKUP(VALUE(E2121&amp;","&amp;C2144),INTEGRANTES!$D$19:$F$192,2,0),"")</f>
        <v/>
      </c>
      <c r="E2144" s="107" t="str">
        <f>IF(D2144&lt;&gt;"",VLOOKUP(VALUE(E2121&amp;","&amp;C2144),INTEGRANTES!$D$19:$F$192,3,0),"")</f>
        <v/>
      </c>
      <c r="F2144" s="380" t="str">
        <f>IF(D2144="","",IF(OR(SUMIF($J2128:$J2134,D2144,$O2128:$O2134)=0,N2144="NO"),"NO APORTA",SUMIF($J2128:$J2134,D2144,$O2128:$O2134)))</f>
        <v/>
      </c>
      <c r="G2144" s="380" t="str">
        <f>IF($D2144="","",IF($F2140&lt;=1,"",ROUND(POSMMLV*PORPO,2)))</f>
        <v/>
      </c>
      <c r="H2144" s="765" t="str">
        <f t="shared" si="428"/>
        <v/>
      </c>
      <c r="I2144" s="766"/>
      <c r="J2144" s="108" t="str">
        <f>IF(D2144="","",IF(OR(AND(SUMIF($J2125:$J2134,D2144,$O2125:$O2134)&gt;=5%*POSMMLV,N2144="SI"),AND(SUMIF($J2125:$J2134,D2144,$O2125:$O2134)=0,E2144&lt;=5%,N2144="SI")),"CUMPLE","NO CUMPLE"))</f>
        <v/>
      </c>
      <c r="K2144" s="105" t="str">
        <f>IF(OR(D2144="",J2144=""),"",IF(AND(J2144="NO CUMPLE",F2144="NO APORTA",E2144&gt;5%),"EXP = 0 y PART &gt; 5%",IF(F2144&lt;5%*Q2147,"EXP &lt; 5%*PO","")))</f>
        <v/>
      </c>
      <c r="L2144" s="389" t="str">
        <f>IF(OR(D2144="",E2144=""),"",IF(AND(E2144&gt;=0.25,F2144&lt;&gt;"NO APORTA",F2144&gt;=$R2147*0.25),"SI","NO"))</f>
        <v/>
      </c>
      <c r="M2144" s="389"/>
      <c r="N2144" s="468"/>
      <c r="O2144" s="397"/>
      <c r="P2144" s="816"/>
      <c r="Q2144" s="816"/>
      <c r="R2144" s="816"/>
      <c r="S2144" s="820"/>
      <c r="T2144" s="308"/>
      <c r="U2144" s="308"/>
      <c r="V2144" s="309"/>
      <c r="W2144" s="284"/>
      <c r="X2144" s="542" t="str">
        <f>IF($F2140=1,"NO APLICA",$D2144)</f>
        <v>NO APLICA</v>
      </c>
      <c r="Y2144" s="543" t="str">
        <f>IF(OR($F2144="",$F2144="NO APORTA",$R2147=0,$X2144="NO APLICA"),"",ROUND($F2144/$Q2147,2))</f>
        <v/>
      </c>
      <c r="Z2144" s="544"/>
      <c r="AA2144" s="543"/>
      <c r="AB2144" s="540" t="str">
        <f>IF(COUNTIF(Z2144:AA2144,"SI APLICA")=2,"SI APLICA","")</f>
        <v/>
      </c>
      <c r="AC2144" s="28"/>
    </row>
    <row r="2145" spans="1:29" s="30" customFormat="1" ht="15.75" customHeight="1">
      <c r="A2145" s="112" t="str">
        <f>"Q"&amp;E2121</f>
        <v>Q71</v>
      </c>
      <c r="B2145" s="791"/>
      <c r="C2145" s="54">
        <v>4</v>
      </c>
      <c r="D2145" s="100" t="str">
        <f>IF(AND(C2145&lt;=F2140,F2140&lt;&gt;""),VLOOKUP(VALUE(E2121&amp;","&amp;C2145),INTEGRANTES!$D$19:$F$192,2,0),"")</f>
        <v/>
      </c>
      <c r="E2145" s="107" t="str">
        <f>IF(D2145&lt;&gt;"",VLOOKUP(VALUE(E2121&amp;","&amp;C2145),INTEGRANTES!$D$19:$F$192,3,0),"")</f>
        <v/>
      </c>
      <c r="F2145" s="380" t="str">
        <f>IF(D2145="","",IF(OR(SUMIF($J2128:$J2134,D2145,$O2128:$O2134)=0,N2145="NO"),"NO APORTA",SUMIF($J2128:$J2134,D2145,$O2128:$O2134)))</f>
        <v/>
      </c>
      <c r="G2145" s="380" t="str">
        <f>IF($D2145="","",IF($F2140&lt;=1,"",ROUND(POSMMLV*PORPO,2)))</f>
        <v/>
      </c>
      <c r="H2145" s="765" t="str">
        <f t="shared" si="428"/>
        <v/>
      </c>
      <c r="I2145" s="766"/>
      <c r="J2145" s="108" t="str">
        <f>IF(D2145="","",IF(OR(AND(SUMIF($J2125:$J2134,D2145,$O2125:$O2134)&gt;=5%*POSMMLV,N2145="SI"),AND(SUMIF($J2125:$J2134,D2145,$O2125:$O2134)=0,E2145&lt;=5%,N2145="SI")),"CUMPLE","NO CUMPLE"))</f>
        <v/>
      </c>
      <c r="K2145" s="105" t="str">
        <f>IF(OR(D2145="",J2145=""),"",IF(AND(J2145="NO CUMPLE",F2145="NO APORTA",E2145&gt;5%),"EXP = 0 y PART &gt; 5%",IF(F2145&lt;5%*Q2147,"EXP &lt; 5%*PO","")))</f>
        <v/>
      </c>
      <c r="L2145" s="389" t="str">
        <f>IF(OR(D2145="",E2145=""),"",IF(AND(E2145&gt;=0.25,F2145&lt;&gt;"NO APORTA",F2145&gt;=$R2147*0.25),"SI","NO"))</f>
        <v/>
      </c>
      <c r="M2145" s="389"/>
      <c r="N2145" s="468"/>
      <c r="O2145" s="788" t="s">
        <v>414</v>
      </c>
      <c r="P2145" s="769" t="s">
        <v>415</v>
      </c>
      <c r="Q2145" s="770"/>
      <c r="R2145" s="770"/>
      <c r="S2145" s="771"/>
      <c r="T2145" s="284"/>
      <c r="U2145" s="284"/>
      <c r="V2145" s="310"/>
      <c r="W2145" s="284"/>
      <c r="X2145" s="542" t="str">
        <f>IF($F2140=1,"NO APLICA",$D2145)</f>
        <v>NO APLICA</v>
      </c>
      <c r="Y2145" s="543" t="str">
        <f>IF(OR($F2145="",$F2145="NO APORTA",$R2147=0,$X2145="NO APLICA"),"",ROUND($F2145/$Q2147,2))</f>
        <v/>
      </c>
      <c r="Z2145" s="544"/>
      <c r="AA2145" s="543"/>
      <c r="AB2145" s="540" t="str">
        <f t="shared" ref="AB2145:AB2146" si="430">IF(COUNTIF(Z2145:AA2145,"SI APLICA")=2,"SI APLICA","")</f>
        <v/>
      </c>
      <c r="AC2145" s="28"/>
    </row>
    <row r="2146" spans="1:29" s="30" customFormat="1" ht="17.25" customHeight="1">
      <c r="A2146" s="112" t="str">
        <f>"R"&amp;E2121</f>
        <v>R71</v>
      </c>
      <c r="B2146" s="791"/>
      <c r="C2146" s="54">
        <v>5</v>
      </c>
      <c r="D2146" s="100" t="str">
        <f>IF(AND(C2146&lt;=F2140,F2140&lt;&gt;""),VLOOKUP(VALUE(E2121&amp;","&amp;C2146),INTEGRANTES!$D$19:$F$192,2,0),"")</f>
        <v/>
      </c>
      <c r="E2146" s="107" t="str">
        <f>IF(D2146&lt;&gt;"",VLOOKUP(VALUE(E2121&amp;","&amp;C2146),INTEGRANTES!$D$19:$F$192,3,0),"")</f>
        <v/>
      </c>
      <c r="F2146" s="380" t="str">
        <f>IF(D2146="","",IF(OR(SUMIF($J2128:$J2134,D2146,$O2128:$O2134)=0,N2146="NO"),"NO APORTA",SUMIF($J2128:$J2134,D2146,$O2128:$O2134)))</f>
        <v/>
      </c>
      <c r="G2146" s="380" t="str">
        <f>IF($D2146="","",IF($F2140&lt;=1,"",ROUND(POSMMLV*PORPO,2)))</f>
        <v/>
      </c>
      <c r="H2146" s="765" t="str">
        <f t="shared" si="428"/>
        <v/>
      </c>
      <c r="I2146" s="766"/>
      <c r="J2146" s="108" t="str">
        <f>IF(D2146="","",IF(OR(AND(SUMIF($J2125:$J2134,D2146,$O2125:$O2134)&gt;=5%*POSMMLV,N2146="SI"),AND(SUMIF($J2125:$J2134,D2146,$O2125:$O2134)=0,E2146&lt;=5%,N2146="SI")),"CUMPLE","NO CUMPLE"))</f>
        <v/>
      </c>
      <c r="K2146" s="105" t="str">
        <f>IF(OR(D2146="",J2146=""),"",IF(AND(J2146="NO CUMPLE",F2146="NO APORTA",E2146&gt;5%),"EXP = 0 y PART &gt; 5%",IF(F2146&lt;5%*Q2147,"EXP &lt; 5%*PO","")))</f>
        <v/>
      </c>
      <c r="L2146" s="389" t="str">
        <f>IF(OR(D2146="",E2146=""),"",IF(AND(E2146&gt;=0.25,F2146&lt;&gt;"NO APORTA",F2146&gt;=$R2147*0.25),"SI","NO"))</f>
        <v/>
      </c>
      <c r="M2146" s="389"/>
      <c r="N2146" s="468"/>
      <c r="O2146" s="789"/>
      <c r="P2146" s="504" t="s">
        <v>416</v>
      </c>
      <c r="Q2146" s="504" t="s">
        <v>417</v>
      </c>
      <c r="R2146" s="793" t="s">
        <v>418</v>
      </c>
      <c r="S2146" s="793"/>
      <c r="T2146" s="284"/>
      <c r="U2146" s="284"/>
      <c r="V2146" s="310"/>
      <c r="W2146" s="284"/>
      <c r="X2146" s="542" t="str">
        <f>IF($F2140=1,"NO APLICA",$D2146)</f>
        <v>NO APLICA</v>
      </c>
      <c r="Y2146" s="543" t="str">
        <f>IF(OR($F2146="",$F2146="NO APORTA",$R2147=0,$X2146="NO APLICA"),"",ROUND($F2146/$Q2147,2))</f>
        <v/>
      </c>
      <c r="Z2146" s="544"/>
      <c r="AA2146" s="543"/>
      <c r="AB2146" s="540" t="str">
        <f t="shared" si="430"/>
        <v/>
      </c>
      <c r="AC2146" s="28"/>
    </row>
    <row r="2147" spans="1:29" s="30" customFormat="1" ht="16.5" customHeight="1" thickBot="1">
      <c r="A2147" s="112" t="str">
        <f>"S"&amp;E2121</f>
        <v>S71</v>
      </c>
      <c r="B2147" s="791"/>
      <c r="C2147" s="109">
        <v>6</v>
      </c>
      <c r="D2147" s="110" t="str">
        <f>IF(AND(C2147&lt;=F2140,F2140&lt;&gt;""),VLOOKUP(VALUE(E2121&amp;","&amp;C2147),INTEGRANTES!$D$19:$F$192,2,0),"")</f>
        <v/>
      </c>
      <c r="E2147" s="111" t="str">
        <f>IF(D2147&lt;&gt;"",VLOOKUP(VALUE(E2121&amp;","&amp;C2147),INTEGRANTES!$D$19:$F$192,3,0),"")</f>
        <v/>
      </c>
      <c r="F2147" s="380" t="str">
        <f>IF(D2147="","",IF(OR(SUMIF($J2128:$J2134,D2147,$O2128:$O2134)=0,N2147="NO"),"NO APORTA",SUMIF($J2128:$J2134,D2147,$O2128:$O2134)))</f>
        <v/>
      </c>
      <c r="G2147" s="380" t="str">
        <f>IF($D2147="","",IF($F2140&lt;=1,"",ROUND(POSMMLV*PORPO,2)))</f>
        <v/>
      </c>
      <c r="H2147" s="765" t="str">
        <f>IF($D2147="","",IF(OR(F2147="NO APORTA",G2147&gt;F2147),"NO CUMPLE","CUMPLE"))</f>
        <v/>
      </c>
      <c r="I2147" s="766"/>
      <c r="J2147" s="108" t="str">
        <f>IF(D2147="","",IF(OR(AND(SUMIF($J2125:$J2134,D2147,$O2125:$O2134)&gt;=5%*POSMMLV,N2147="SI"),AND(SUMIF($J2125:$J2134,D2147,$O2125:$O2134)=0,E2147&lt;=5%,N2147="SI")),"CUMPLE","NO CUMPLE"))</f>
        <v/>
      </c>
      <c r="K2147" s="105" t="str">
        <f>IF(OR(D2147="",J2147=""),"",IF(AND(J2147="NO CUMPLE",F2147="NO APORTA",E2147&gt;5%),"EXP = 0 y PART &gt; 5%",IF(F2147&lt;5%*Q2147,"EXP &lt; 5%*PO","")))</f>
        <v/>
      </c>
      <c r="L2147" s="389" t="str">
        <f>IF(OR(D2147="",E2147=""),"",IF(AND(E2147&gt;=0.25,F2147&lt;&gt;"NO APORTA",F2147&gt;=$R2147*0.25),"SI","NO"))</f>
        <v/>
      </c>
      <c r="M2147" s="389"/>
      <c r="N2147" s="468"/>
      <c r="O2147" s="403" t="str">
        <f ca="1">IF(R2147&gt;=Q2147,"CUMPLE","NO CUMPLE")</f>
        <v>CUMPLE</v>
      </c>
      <c r="P2147" s="312">
        <f>NUMMOD</f>
        <v>1</v>
      </c>
      <c r="Q2147" s="313">
        <f ca="1">IF(P2147="","",ROUND(VLOOKUP(P2147,PRESUPUESTOS!$B$16:$L$16,9,FALSE),7))</f>
        <v>300</v>
      </c>
      <c r="R2147" s="834">
        <f>IF(OR(COUNTIF(O2125:O2134,"")&gt;9,S2141&lt;NUMMINCONT),0,SUM(O2125:O2134))</f>
        <v>2774.1949999999997</v>
      </c>
      <c r="S2147" s="834"/>
      <c r="T2147" s="284"/>
      <c r="U2147" s="284"/>
      <c r="V2147" s="310"/>
      <c r="W2147" s="284"/>
      <c r="X2147" s="545" t="str">
        <f>IF($F2140=1,"NO APLICA",$D2147)</f>
        <v>NO APLICA</v>
      </c>
      <c r="Y2147" s="543" t="str">
        <f>IF(OR($F2147="",$F2147="NO APORTA",$R2147=0,$X2147="NO APLICA"),"",ROUND($F2147/$Q2147,2))</f>
        <v/>
      </c>
      <c r="Z2147" s="544"/>
      <c r="AA2147" s="546"/>
      <c r="AB2147" s="540" t="str">
        <f>IF(COUNTIF(Z2147:AA2147,"SI APLICA")=2,"SI APLICA","")</f>
        <v/>
      </c>
      <c r="AC2147" s="28"/>
    </row>
    <row r="2148" spans="1:29" s="30" customFormat="1" ht="16.5" customHeight="1" thickBot="1">
      <c r="A2148" s="112" t="str">
        <f>"T"&amp;E2121</f>
        <v>T71</v>
      </c>
      <c r="B2148" s="792"/>
      <c r="C2148" s="821" t="s">
        <v>419</v>
      </c>
      <c r="D2148" s="822"/>
      <c r="E2148" s="822"/>
      <c r="F2148" s="518"/>
      <c r="G2148" s="519"/>
      <c r="H2148" s="794" t="str">
        <f>IF(OR($F2140="",SUM(E2142:E2147)=0),"",IF(COUNTIF(H2142:H2147,"CUMPLE")&gt;=1,"CUMPLE","NO CUMPLE"))</f>
        <v/>
      </c>
      <c r="I2148" s="795"/>
      <c r="J2148" s="314" t="str">
        <f>IF(COUNTIF(J2142:J2147,"")&gt;5,"",IF(COUNTIF(J2142:J2147,"NO CUMPLE")&gt;0,"NO CUMPLE","CUMPLE"))</f>
        <v/>
      </c>
      <c r="K2148" s="314" t="str">
        <f>IF(OR(AND(F2140=1,N2142="SI"),AND(COUNTIF(H2148:J2148,"CUMPLE")=2)),"CUMPLE","NO CUMPLE")</f>
        <v>CUMPLE</v>
      </c>
      <c r="L2148" s="519"/>
      <c r="M2148" s="519"/>
      <c r="N2148" s="519"/>
      <c r="O2148" s="833" t="str">
        <f ca="1">IF(ISNUMBER(F2121),"",IF(AND(O2147="NO CUMPLE",SUM(N2128:N2134)&lt;Q2147),"EL PROPONENTE SE DEBE REQUERIR POR EXPERIENCIA MINIMA EXIGIDA",""))</f>
        <v/>
      </c>
      <c r="P2148" s="833"/>
      <c r="Q2148" s="833"/>
      <c r="R2148" s="833"/>
      <c r="S2148" s="833"/>
      <c r="T2148" s="522"/>
      <c r="U2148" s="523"/>
      <c r="V2148" s="524"/>
      <c r="W2148" s="284"/>
      <c r="X2148" s="364" t="str">
        <f>IF(Y2148=1,"PROPONENTE INDIVIDUAL","PROPONENTE PLURAL")</f>
        <v>PROPONENTE INDIVIDUAL</v>
      </c>
      <c r="Y2148" s="276">
        <f>F2140</f>
        <v>1</v>
      </c>
      <c r="Z2148" s="277" t="str">
        <f>IF(OR(AND(Z2142="SI APLICA",AA2142="SI APLICA"),AND(Z2143="SI APLICA",AA2143="SI APLICA"),AND(Z2144="SI APLICA",AA2144="SI APLICA"),AND(Z2145="SI APLICA",AA2145="SI APLICA"),AND(Z2146="SI APLICA",AA2146="SI APLICA"),AND(Z2147="SI APLICA",AA2147="SI APLICA")),"SI APLICA","NO APLICA")</f>
        <v>SI APLICA</v>
      </c>
      <c r="AA2148" s="278" t="str">
        <f>IF(OR(AND(AA2142="SI APLICA",AB2142="SI APLICA"),AND(AA2143="SI APLICA",AB2143="SI APLICA"),AND(AA2144="SI APLICA",AB2144="SI APLICA"),AND(AA2145="SI APLICA",AB2145="SI APLICA"),AND(AA2146="SI APLICA",AB2146="SI APLICA"),AND(AA2147="SI APLICA",AB2147="SI APLICA")),"SI APLICA","NO APLICA")</f>
        <v>SI APLICA</v>
      </c>
      <c r="AB2148" s="278" t="str">
        <f>IF(COUNTIF(AB2142:AB2147,"SI APLICA")&gt;0,"SI APLICA","NO APLICA")</f>
        <v>SI APLICA</v>
      </c>
      <c r="AC2148" s="28"/>
    </row>
    <row r="2149" spans="1:29" ht="24.95" customHeight="1"/>
    <row r="2150" spans="1:29" ht="24.95" customHeight="1"/>
    <row r="2151" spans="1:29" s="41" customFormat="1" ht="24" thickBot="1">
      <c r="A2151" s="34">
        <v>72</v>
      </c>
      <c r="B2151" s="828" t="s">
        <v>355</v>
      </c>
      <c r="C2151" s="828"/>
      <c r="D2151" s="828"/>
      <c r="E2151" s="35">
        <f>VLOOKUP(A2151,PROPONENTES!$B$19:$E$108,2,FALSE)</f>
        <v>72</v>
      </c>
      <c r="F2151" s="36" t="str">
        <f>VLOOKUP(A2151,PROPONENTES!$B$19:$E$108,3,FALSE)</f>
        <v>GRUPO QUIMBAYA S.A.S.</v>
      </c>
      <c r="G2151" s="37"/>
      <c r="H2151" s="37"/>
      <c r="I2151" s="36"/>
      <c r="J2151" s="36"/>
      <c r="K2151" s="36"/>
      <c r="L2151" s="36"/>
      <c r="M2151" s="38"/>
      <c r="N2151" s="38"/>
      <c r="O2151" s="37"/>
      <c r="P2151" s="37"/>
      <c r="Q2151" s="39"/>
      <c r="R2151" s="39"/>
      <c r="S2151" s="39"/>
      <c r="T2151" s="39"/>
      <c r="U2151" s="40"/>
      <c r="Y2151" s="52"/>
      <c r="Z2151" s="52"/>
      <c r="AA2151" s="52"/>
      <c r="AB2151" s="28"/>
      <c r="AC2151" s="28"/>
    </row>
    <row r="2152" spans="1:29" s="27" customFormat="1" ht="24.75" customHeight="1">
      <c r="A2152" s="22"/>
      <c r="B2152" s="829" t="s">
        <v>356</v>
      </c>
      <c r="C2152" s="501" t="s">
        <v>357</v>
      </c>
      <c r="D2152" s="502" t="s">
        <v>358</v>
      </c>
      <c r="E2152" s="502"/>
      <c r="F2152" s="502" t="s">
        <v>359</v>
      </c>
      <c r="G2152" s="503"/>
      <c r="H2152" s="803" t="s">
        <v>360</v>
      </c>
      <c r="I2152" s="831" t="s">
        <v>361</v>
      </c>
      <c r="J2152" s="803" t="s">
        <v>362</v>
      </c>
      <c r="K2152" s="803" t="s">
        <v>363</v>
      </c>
      <c r="L2152" s="803" t="s">
        <v>364</v>
      </c>
      <c r="M2152" s="803" t="s">
        <v>365</v>
      </c>
      <c r="N2152" s="804" t="s">
        <v>366</v>
      </c>
      <c r="O2152" s="805"/>
      <c r="P2152" s="806" t="s">
        <v>367</v>
      </c>
      <c r="Q2152" s="807"/>
      <c r="R2152" s="784" t="s">
        <v>368</v>
      </c>
      <c r="S2152" s="774"/>
      <c r="T2152" s="798" t="s">
        <v>369</v>
      </c>
      <c r="U2152" s="799"/>
      <c r="V2152" s="800"/>
      <c r="X2152" s="520"/>
      <c r="Y2152" s="520"/>
    </row>
    <row r="2153" spans="1:29" s="27" customFormat="1" ht="94.5" customHeight="1">
      <c r="A2153" s="22"/>
      <c r="B2153" s="830"/>
      <c r="C2153" s="504" t="s">
        <v>370</v>
      </c>
      <c r="D2153" s="505" t="s">
        <v>41</v>
      </c>
      <c r="E2153" s="505" t="s">
        <v>371</v>
      </c>
      <c r="F2153" s="505" t="s">
        <v>372</v>
      </c>
      <c r="G2153" s="506" t="s">
        <v>373</v>
      </c>
      <c r="H2153" s="793"/>
      <c r="I2153" s="832"/>
      <c r="J2153" s="793"/>
      <c r="K2153" s="793"/>
      <c r="L2153" s="793"/>
      <c r="M2153" s="793"/>
      <c r="N2153" s="504" t="s">
        <v>374</v>
      </c>
      <c r="O2153" s="505" t="s">
        <v>375</v>
      </c>
      <c r="P2153" s="801"/>
      <c r="Q2153" s="802"/>
      <c r="R2153" s="796"/>
      <c r="S2153" s="797"/>
      <c r="T2153" s="507" t="s">
        <v>376</v>
      </c>
      <c r="U2153" s="508" t="s">
        <v>377</v>
      </c>
      <c r="V2153" s="509" t="s">
        <v>378</v>
      </c>
      <c r="X2153" s="521" t="s">
        <v>379</v>
      </c>
      <c r="Y2153" s="521" t="s">
        <v>380</v>
      </c>
    </row>
    <row r="2154" spans="1:29" s="27" customFormat="1" ht="15" customHeight="1">
      <c r="A2154" s="22"/>
      <c r="B2154" s="594"/>
      <c r="C2154" s="595">
        <v>3</v>
      </c>
      <c r="D2154" s="595">
        <v>4</v>
      </c>
      <c r="E2154" s="595">
        <v>5</v>
      </c>
      <c r="F2154" s="595">
        <v>6</v>
      </c>
      <c r="G2154" s="595">
        <v>7</v>
      </c>
      <c r="H2154" s="595">
        <v>8</v>
      </c>
      <c r="I2154" s="595">
        <v>9</v>
      </c>
      <c r="J2154" s="595">
        <v>10</v>
      </c>
      <c r="K2154" s="595">
        <v>11</v>
      </c>
      <c r="L2154" s="595">
        <v>12</v>
      </c>
      <c r="M2154" s="595">
        <v>13</v>
      </c>
      <c r="N2154" s="595">
        <v>14</v>
      </c>
      <c r="O2154" s="595">
        <v>15</v>
      </c>
      <c r="P2154" s="596">
        <v>16</v>
      </c>
      <c r="Q2154" s="597">
        <v>17</v>
      </c>
      <c r="R2154" s="596">
        <v>18</v>
      </c>
      <c r="S2154" s="597">
        <v>19</v>
      </c>
      <c r="T2154" s="598">
        <v>20</v>
      </c>
      <c r="U2154" s="255">
        <v>21</v>
      </c>
      <c r="V2154" s="599">
        <v>22</v>
      </c>
      <c r="X2154" s="589"/>
      <c r="Y2154" s="590"/>
    </row>
    <row r="2155" spans="1:29" s="44" customFormat="1" ht="48" customHeight="1">
      <c r="A2155" s="42" t="str">
        <f>"A"&amp;E2151</f>
        <v>A72</v>
      </c>
      <c r="B2155" s="605">
        <f>IF(C2155&lt;&gt;"",B2154+1,"")</f>
        <v>1</v>
      </c>
      <c r="C2155" s="581" t="s">
        <v>978</v>
      </c>
      <c r="D2155" s="581" t="s">
        <v>979</v>
      </c>
      <c r="E2155" s="581" t="s">
        <v>980</v>
      </c>
      <c r="F2155" s="581" t="s">
        <v>384</v>
      </c>
      <c r="G2155" s="534">
        <v>1</v>
      </c>
      <c r="H2155" s="534" t="s">
        <v>385</v>
      </c>
      <c r="I2155" s="579" t="s">
        <v>384</v>
      </c>
      <c r="J2155" s="580" t="str">
        <f>IF(I2155="","",IF(I2155="I",$F2151,VLOOKUP(I2155,$C2172:$D2177,2,0)))</f>
        <v>GRUPO QUIMBAYA S.A.S.</v>
      </c>
      <c r="K2155" s="535">
        <v>43313</v>
      </c>
      <c r="L2155" s="535">
        <v>43739</v>
      </c>
      <c r="M2155" s="536">
        <v>302.8</v>
      </c>
      <c r="N2155" s="232">
        <f t="shared" ref="N2155:N2164" si="431">IF(OR(G2155="",M2155=""),"",M2155*G2155)</f>
        <v>302.8</v>
      </c>
      <c r="O2155" s="260">
        <f t="shared" ref="O2155:O2164" si="432">IF(OR(H2155="",H2155="NO",K2155&lt;$Q$17,K2155&gt;$R$17,K2155="",M2155="",N2155=""),"",ROUND(N2155,7))</f>
        <v>302.8</v>
      </c>
      <c r="P2155" s="781"/>
      <c r="Q2155" s="782"/>
      <c r="R2155" s="767"/>
      <c r="S2155" s="768"/>
      <c r="T2155" s="538" t="s">
        <v>385</v>
      </c>
      <c r="U2155" s="539">
        <v>343</v>
      </c>
      <c r="V2155" s="540" t="s">
        <v>385</v>
      </c>
      <c r="X2155" s="541" t="s">
        <v>386</v>
      </c>
      <c r="Y2155" s="541" t="s">
        <v>439</v>
      </c>
    </row>
    <row r="2156" spans="1:29" s="44" customFormat="1" ht="49.5" customHeight="1">
      <c r="A2156" s="42" t="str">
        <f>"B"&amp;E2151</f>
        <v>B72</v>
      </c>
      <c r="B2156" s="605">
        <f t="shared" ref="B2156:B2164" si="433">IF(C2156&lt;&gt;"",B2155+1,"")</f>
        <v>2</v>
      </c>
      <c r="C2156" s="581" t="s">
        <v>981</v>
      </c>
      <c r="D2156" s="581" t="s">
        <v>982</v>
      </c>
      <c r="E2156" s="581" t="s">
        <v>983</v>
      </c>
      <c r="F2156" s="581" t="s">
        <v>431</v>
      </c>
      <c r="G2156" s="534">
        <v>0.33</v>
      </c>
      <c r="H2156" s="534" t="s">
        <v>385</v>
      </c>
      <c r="I2156" s="579" t="s">
        <v>384</v>
      </c>
      <c r="J2156" s="580" t="str">
        <f>IF(I2156="","",IF(I2156="I",$F2151,VLOOKUP(I2156,$C2172:$D2177,2,0)))</f>
        <v>GRUPO QUIMBAYA S.A.S.</v>
      </c>
      <c r="K2156" s="535">
        <v>38237</v>
      </c>
      <c r="L2156" s="535">
        <v>38439</v>
      </c>
      <c r="M2156" s="536">
        <v>1103.6600000000001</v>
      </c>
      <c r="N2156" s="232">
        <f t="shared" si="431"/>
        <v>364.20780000000002</v>
      </c>
      <c r="O2156" s="260">
        <f t="shared" si="432"/>
        <v>364.20780000000002</v>
      </c>
      <c r="P2156" s="781"/>
      <c r="Q2156" s="782"/>
      <c r="R2156" s="767"/>
      <c r="S2156" s="768"/>
      <c r="T2156" s="538" t="s">
        <v>385</v>
      </c>
      <c r="U2156" s="539">
        <v>85</v>
      </c>
      <c r="V2156" s="540" t="s">
        <v>385</v>
      </c>
      <c r="X2156" s="541" t="s">
        <v>386</v>
      </c>
      <c r="Y2156" s="541" t="s">
        <v>435</v>
      </c>
    </row>
    <row r="2157" spans="1:29" s="44" customFormat="1" ht="24.95" customHeight="1">
      <c r="A2157" s="42" t="str">
        <f>"C"&amp;E2151</f>
        <v>C72</v>
      </c>
      <c r="B2157" s="605" t="str">
        <f t="shared" si="433"/>
        <v/>
      </c>
      <c r="C2157" s="581"/>
      <c r="D2157" s="581"/>
      <c r="E2157" s="581"/>
      <c r="F2157" s="581"/>
      <c r="G2157" s="534"/>
      <c r="H2157" s="534"/>
      <c r="I2157" s="579"/>
      <c r="J2157" s="580" t="str">
        <f>IF(I2157="","",IF(I2157="I",$F2151,VLOOKUP(I2157,$C2172:$D2177,2,0)))</f>
        <v/>
      </c>
      <c r="K2157" s="535"/>
      <c r="L2157" s="535"/>
      <c r="M2157" s="536"/>
      <c r="N2157" s="232" t="str">
        <f t="shared" si="431"/>
        <v/>
      </c>
      <c r="O2157" s="260" t="str">
        <f t="shared" si="432"/>
        <v/>
      </c>
      <c r="P2157" s="781"/>
      <c r="Q2157" s="782"/>
      <c r="R2157" s="767"/>
      <c r="S2157" s="768"/>
      <c r="T2157" s="538"/>
      <c r="U2157" s="539"/>
      <c r="V2157" s="540"/>
      <c r="X2157" s="541"/>
      <c r="Y2157" s="541"/>
    </row>
    <row r="2158" spans="1:29" s="44" customFormat="1" ht="24.95" customHeight="1">
      <c r="A2158" s="42" t="str">
        <f>"D"&amp;E2151</f>
        <v>D72</v>
      </c>
      <c r="B2158" s="605" t="str">
        <f t="shared" si="433"/>
        <v/>
      </c>
      <c r="C2158" s="581"/>
      <c r="D2158" s="581"/>
      <c r="E2158" s="581"/>
      <c r="F2158" s="581"/>
      <c r="G2158" s="534"/>
      <c r="H2158" s="534"/>
      <c r="I2158" s="579"/>
      <c r="J2158" s="580" t="str">
        <f>IF(I2158="","",IF(I2158="I",$F2151,VLOOKUP(I2158,$C2172:$D2177,2,0)))</f>
        <v/>
      </c>
      <c r="K2158" s="535"/>
      <c r="L2158" s="535"/>
      <c r="M2158" s="536"/>
      <c r="N2158" s="232" t="str">
        <f t="shared" si="431"/>
        <v/>
      </c>
      <c r="O2158" s="260" t="str">
        <f t="shared" si="432"/>
        <v/>
      </c>
      <c r="P2158" s="781"/>
      <c r="Q2158" s="782"/>
      <c r="R2158" s="767"/>
      <c r="S2158" s="768"/>
      <c r="T2158" s="538"/>
      <c r="U2158" s="539"/>
      <c r="V2158" s="540"/>
      <c r="X2158" s="541"/>
      <c r="Y2158" s="541"/>
    </row>
    <row r="2159" spans="1:29" s="44" customFormat="1" ht="24.95" customHeight="1">
      <c r="A2159" s="42" t="str">
        <f>"E"&amp;E2151</f>
        <v>E72</v>
      </c>
      <c r="B2159" s="605" t="str">
        <f t="shared" si="433"/>
        <v/>
      </c>
      <c r="C2159" s="581"/>
      <c r="D2159" s="581"/>
      <c r="E2159" s="581"/>
      <c r="F2159" s="581"/>
      <c r="G2159" s="534"/>
      <c r="H2159" s="534"/>
      <c r="I2159" s="579"/>
      <c r="J2159" s="580" t="str">
        <f>IF(I2159="","",IF(I2159="I",$F2151,VLOOKUP(I2159,$C2172:$D2177,2,0)))</f>
        <v/>
      </c>
      <c r="K2159" s="535"/>
      <c r="L2159" s="535"/>
      <c r="M2159" s="536"/>
      <c r="N2159" s="232" t="str">
        <f t="shared" si="431"/>
        <v/>
      </c>
      <c r="O2159" s="260" t="str">
        <f t="shared" si="432"/>
        <v/>
      </c>
      <c r="P2159" s="781"/>
      <c r="Q2159" s="782"/>
      <c r="R2159" s="767"/>
      <c r="S2159" s="768"/>
      <c r="T2159" s="538"/>
      <c r="U2159" s="539"/>
      <c r="V2159" s="540"/>
      <c r="X2159" s="541"/>
      <c r="Y2159" s="541"/>
    </row>
    <row r="2160" spans="1:29" s="44" customFormat="1" ht="24.95" customHeight="1">
      <c r="A2160" s="42" t="str">
        <f>"F"&amp;E2151</f>
        <v>F72</v>
      </c>
      <c r="B2160" s="605" t="str">
        <f t="shared" si="433"/>
        <v/>
      </c>
      <c r="C2160" s="581"/>
      <c r="D2160" s="581"/>
      <c r="E2160" s="581"/>
      <c r="F2160" s="581"/>
      <c r="G2160" s="534"/>
      <c r="H2160" s="534"/>
      <c r="I2160" s="579"/>
      <c r="J2160" s="580" t="str">
        <f>IF(I2160="","",IF(I2160="I",$F2151,VLOOKUP(I2160,$C2172:$D2177,2,0)))</f>
        <v/>
      </c>
      <c r="K2160" s="535"/>
      <c r="L2160" s="535"/>
      <c r="M2160" s="536"/>
      <c r="N2160" s="232" t="str">
        <f t="shared" si="431"/>
        <v/>
      </c>
      <c r="O2160" s="260" t="str">
        <f t="shared" si="432"/>
        <v/>
      </c>
      <c r="P2160" s="781"/>
      <c r="Q2160" s="782"/>
      <c r="R2160" s="767"/>
      <c r="S2160" s="768"/>
      <c r="T2160" s="538"/>
      <c r="U2160" s="539"/>
      <c r="V2160" s="540"/>
      <c r="X2160" s="541"/>
      <c r="Y2160" s="541"/>
    </row>
    <row r="2161" spans="1:29" s="44" customFormat="1" ht="24.95" customHeight="1">
      <c r="A2161" s="42" t="str">
        <f>"G"&amp;E2151</f>
        <v>G72</v>
      </c>
      <c r="B2161" s="605" t="str">
        <f t="shared" si="433"/>
        <v/>
      </c>
      <c r="C2161" s="581"/>
      <c r="D2161" s="581"/>
      <c r="E2161" s="581"/>
      <c r="F2161" s="581"/>
      <c r="G2161" s="534"/>
      <c r="H2161" s="534"/>
      <c r="I2161" s="579"/>
      <c r="J2161" s="580" t="str">
        <f>IF(I2161="","",IF(I2161="I",$F2151,VLOOKUP(I2161,$C2172:$D2177,2,0)))</f>
        <v/>
      </c>
      <c r="K2161" s="535"/>
      <c r="L2161" s="535"/>
      <c r="M2161" s="536"/>
      <c r="N2161" s="43" t="str">
        <f t="shared" si="431"/>
        <v/>
      </c>
      <c r="O2161" s="260" t="str">
        <f t="shared" si="432"/>
        <v/>
      </c>
      <c r="P2161" s="781"/>
      <c r="Q2161" s="782"/>
      <c r="R2161" s="767"/>
      <c r="S2161" s="768"/>
      <c r="T2161" s="538"/>
      <c r="U2161" s="539"/>
      <c r="V2161" s="540"/>
      <c r="X2161" s="541"/>
      <c r="Y2161" s="541"/>
    </row>
    <row r="2162" spans="1:29" s="44" customFormat="1" ht="24.95" customHeight="1">
      <c r="A2162" s="42" t="str">
        <f>"H"&amp;E2151</f>
        <v>H72</v>
      </c>
      <c r="B2162" s="605" t="str">
        <f t="shared" si="433"/>
        <v/>
      </c>
      <c r="C2162" s="581"/>
      <c r="D2162" s="581"/>
      <c r="E2162" s="581"/>
      <c r="F2162" s="581"/>
      <c r="G2162" s="534"/>
      <c r="H2162" s="534"/>
      <c r="I2162" s="579"/>
      <c r="J2162" s="580" t="str">
        <f>IF(I2162="","",IF(I2162="I",$F2151,VLOOKUP(I2162,$C2172:$D2177,2,0)))</f>
        <v/>
      </c>
      <c r="K2162" s="535"/>
      <c r="L2162" s="535"/>
      <c r="M2162" s="537"/>
      <c r="N2162" s="43" t="str">
        <f t="shared" si="431"/>
        <v/>
      </c>
      <c r="O2162" s="260" t="str">
        <f t="shared" si="432"/>
        <v/>
      </c>
      <c r="P2162" s="781"/>
      <c r="Q2162" s="782"/>
      <c r="R2162" s="767"/>
      <c r="S2162" s="768"/>
      <c r="T2162" s="538"/>
      <c r="U2162" s="539"/>
      <c r="V2162" s="540"/>
      <c r="X2162" s="541"/>
      <c r="Y2162" s="541"/>
    </row>
    <row r="2163" spans="1:29" s="44" customFormat="1" ht="24.95" customHeight="1">
      <c r="A2163" s="42" t="str">
        <f>"I"&amp;E2151</f>
        <v>I72</v>
      </c>
      <c r="B2163" s="605" t="str">
        <f t="shared" si="433"/>
        <v/>
      </c>
      <c r="C2163" s="581"/>
      <c r="D2163" s="581"/>
      <c r="E2163" s="581"/>
      <c r="F2163" s="581"/>
      <c r="G2163" s="534"/>
      <c r="H2163" s="534"/>
      <c r="I2163" s="579"/>
      <c r="J2163" s="580" t="str">
        <f>IF(I2163="","",IF(I2163="I",$F2151,VLOOKUP(I2163,$C2172:$D2177,2,0)))</f>
        <v/>
      </c>
      <c r="K2163" s="535"/>
      <c r="L2163" s="535"/>
      <c r="M2163" s="537"/>
      <c r="N2163" s="43" t="str">
        <f t="shared" si="431"/>
        <v/>
      </c>
      <c r="O2163" s="260" t="str">
        <f t="shared" si="432"/>
        <v/>
      </c>
      <c r="P2163" s="781"/>
      <c r="Q2163" s="782"/>
      <c r="R2163" s="767"/>
      <c r="S2163" s="768"/>
      <c r="T2163" s="538"/>
      <c r="U2163" s="539"/>
      <c r="V2163" s="540"/>
      <c r="X2163" s="541"/>
      <c r="Y2163" s="541"/>
    </row>
    <row r="2164" spans="1:29" s="44" customFormat="1" ht="24.95" customHeight="1" thickBot="1">
      <c r="A2164" s="42" t="str">
        <f>"J"&amp;E2151</f>
        <v>J72</v>
      </c>
      <c r="B2164" s="612" t="str">
        <f t="shared" si="433"/>
        <v/>
      </c>
      <c r="C2164" s="582"/>
      <c r="D2164" s="582"/>
      <c r="E2164" s="582"/>
      <c r="F2164" s="582"/>
      <c r="G2164" s="583"/>
      <c r="H2164" s="583"/>
      <c r="I2164" s="584"/>
      <c r="J2164" s="585" t="str">
        <f>IF(I2164="","",IF(I2164="I",$F2151,VLOOKUP(I2164,$C2172:$D2177,2,0)))</f>
        <v/>
      </c>
      <c r="K2164" s="586"/>
      <c r="L2164" s="586"/>
      <c r="M2164" s="587"/>
      <c r="N2164" s="43" t="str">
        <f t="shared" si="431"/>
        <v/>
      </c>
      <c r="O2164" s="260" t="str">
        <f t="shared" si="432"/>
        <v/>
      </c>
      <c r="P2164" s="781"/>
      <c r="Q2164" s="782"/>
      <c r="R2164" s="767"/>
      <c r="S2164" s="768"/>
      <c r="T2164" s="538"/>
      <c r="U2164" s="539"/>
      <c r="V2164" s="540"/>
      <c r="X2164" s="541"/>
      <c r="Y2164" s="541"/>
    </row>
    <row r="2165" spans="1:29" s="27" customFormat="1" ht="12" customHeight="1" thickBot="1">
      <c r="A2165" s="42"/>
      <c r="B2165" s="45"/>
      <c r="C2165" s="46"/>
      <c r="D2165" s="46"/>
      <c r="E2165" s="46"/>
      <c r="F2165" s="46"/>
      <c r="G2165" s="46"/>
      <c r="H2165" s="606"/>
      <c r="I2165" s="46"/>
      <c r="J2165" s="46"/>
      <c r="K2165" s="46"/>
      <c r="L2165" s="46"/>
      <c r="M2165" s="46"/>
      <c r="N2165" s="46"/>
      <c r="O2165" s="259"/>
      <c r="P2165" s="46"/>
      <c r="Q2165" s="46"/>
      <c r="R2165" s="259"/>
      <c r="S2165" s="46"/>
      <c r="T2165" s="46"/>
      <c r="U2165" s="47"/>
      <c r="V2165" s="48"/>
      <c r="X2165" s="592"/>
      <c r="Y2165" s="593"/>
      <c r="AB2165" s="378"/>
    </row>
    <row r="2166" spans="1:29" s="27" customFormat="1" ht="17.25" customHeight="1" thickBot="1">
      <c r="A2166" s="42" t="str">
        <f>"Z"&amp;E2151</f>
        <v>Z72</v>
      </c>
      <c r="B2166" s="510"/>
      <c r="C2166" s="511"/>
      <c r="D2166" s="511"/>
      <c r="E2166" s="511"/>
      <c r="F2166" s="511"/>
      <c r="G2166" s="511"/>
      <c r="H2166" s="511"/>
      <c r="I2166" s="511"/>
      <c r="J2166" s="511"/>
      <c r="K2166" s="511"/>
      <c r="L2166" s="511"/>
      <c r="M2166" s="511"/>
      <c r="N2166" s="437" t="s">
        <v>388</v>
      </c>
      <c r="O2166" s="438">
        <f>IF(COUNTIF(O2155:O2164,"")&gt;9,0,SUM(O2155:O2164)/(COUNTIF(H2155:H2164,"SI")))</f>
        <v>333.50390000000004</v>
      </c>
      <c r="P2166" s="511"/>
      <c r="Q2166" s="511"/>
      <c r="R2166" s="530"/>
      <c r="S2166" s="530"/>
      <c r="T2166" s="531"/>
      <c r="U2166" s="532"/>
      <c r="V2166" s="533"/>
      <c r="W2166" s="285"/>
      <c r="X2166" s="613" t="e">
        <f>COUNTIF(#REF!,"")-COUNTIF(#REF!,"CUMPLE")-1</f>
        <v>#REF!</v>
      </c>
      <c r="Y2166" s="591"/>
      <c r="AB2166" s="28"/>
    </row>
    <row r="2167" spans="1:29" ht="17.25" customHeight="1">
      <c r="B2167" s="50"/>
      <c r="C2167" s="50"/>
      <c r="D2167" s="50"/>
      <c r="E2167" s="50"/>
      <c r="F2167" s="50"/>
      <c r="G2167" s="51"/>
      <c r="H2167" s="51"/>
      <c r="I2167" s="51"/>
      <c r="J2167" s="51"/>
      <c r="K2167" s="51"/>
      <c r="L2167" s="51"/>
      <c r="M2167" s="51"/>
      <c r="N2167" s="51"/>
      <c r="O2167" s="51"/>
      <c r="P2167" s="51"/>
      <c r="Q2167" s="51"/>
      <c r="R2167" s="51"/>
      <c r="S2167" s="51"/>
      <c r="T2167" s="51"/>
      <c r="U2167" s="51"/>
      <c r="V2167" s="51"/>
      <c r="W2167" s="51"/>
      <c r="X2167" s="608"/>
      <c r="Y2167" s="51"/>
      <c r="Z2167" s="51"/>
      <c r="AA2167" s="51"/>
      <c r="AB2167" s="51"/>
      <c r="AC2167" s="50"/>
    </row>
    <row r="2168" spans="1:29" s="27" customFormat="1" ht="16.5" customHeight="1" thickBot="1">
      <c r="A2168" s="22"/>
      <c r="B2168" s="783" t="s">
        <v>389</v>
      </c>
      <c r="C2168" s="783"/>
      <c r="D2168" s="783"/>
      <c r="E2168" s="783"/>
      <c r="F2168" s="783"/>
      <c r="G2168" s="783"/>
      <c r="H2168" s="783"/>
      <c r="I2168" s="783"/>
      <c r="J2168" s="783"/>
      <c r="K2168" s="783"/>
      <c r="L2168" s="783"/>
      <c r="M2168" s="783"/>
      <c r="N2168" s="783"/>
      <c r="O2168" s="783"/>
      <c r="P2168" s="783"/>
      <c r="Q2168" s="783"/>
      <c r="R2168" s="783"/>
      <c r="S2168" s="783"/>
      <c r="T2168" s="783"/>
      <c r="U2168" s="783"/>
      <c r="V2168" s="783"/>
      <c r="W2168" s="286"/>
      <c r="X2168" s="607"/>
      <c r="Y2168" s="52"/>
      <c r="Z2168" s="52"/>
      <c r="AA2168" s="52"/>
      <c r="AB2168" s="28"/>
      <c r="AC2168" s="28"/>
    </row>
    <row r="2169" spans="1:29" s="30" customFormat="1" ht="22.5" customHeight="1">
      <c r="A2169" s="112" t="str">
        <f>"K"&amp;E2151</f>
        <v>K72</v>
      </c>
      <c r="B2169" s="790" t="s">
        <v>390</v>
      </c>
      <c r="C2169" s="772" t="s">
        <v>391</v>
      </c>
      <c r="D2169" s="773"/>
      <c r="E2169" s="773"/>
      <c r="F2169" s="773"/>
      <c r="G2169" s="773"/>
      <c r="H2169" s="773"/>
      <c r="I2169" s="773"/>
      <c r="J2169" s="773"/>
      <c r="K2169" s="773"/>
      <c r="L2169" s="773"/>
      <c r="M2169" s="774"/>
      <c r="N2169" s="525"/>
      <c r="O2169" s="588"/>
      <c r="P2169" s="772" t="s">
        <v>392</v>
      </c>
      <c r="Q2169" s="773"/>
      <c r="R2169" s="773"/>
      <c r="S2169" s="774"/>
      <c r="T2169" s="784" t="s">
        <v>393</v>
      </c>
      <c r="U2169" s="774"/>
      <c r="V2169" s="811"/>
      <c r="W2169" s="284"/>
      <c r="X2169" s="778" t="s">
        <v>394</v>
      </c>
      <c r="Y2169" s="779"/>
      <c r="Z2169" s="779"/>
      <c r="AA2169" s="779" t="s">
        <v>395</v>
      </c>
      <c r="AB2169" s="808" t="s">
        <v>396</v>
      </c>
      <c r="AC2169" s="28"/>
    </row>
    <row r="2170" spans="1:29" s="30" customFormat="1" ht="22.5" customHeight="1">
      <c r="A2170" s="112" t="str">
        <f>"L"&amp;E2151</f>
        <v>L72</v>
      </c>
      <c r="B2170" s="791"/>
      <c r="C2170" s="769" t="s">
        <v>397</v>
      </c>
      <c r="D2170" s="770"/>
      <c r="E2170" s="771"/>
      <c r="F2170" s="512">
        <f>IF(VLOOKUP(E2151,PROPONENTES!$C$19:$E$108,3,0)="","",VLOOKUP(E2151,PROPONENTES!$C$19:$E$108,3,0))</f>
        <v>1</v>
      </c>
      <c r="G2170" s="824" t="s">
        <v>398</v>
      </c>
      <c r="H2170" s="793" t="s">
        <v>399</v>
      </c>
      <c r="I2170" s="793"/>
      <c r="J2170" s="769" t="s">
        <v>400</v>
      </c>
      <c r="K2170" s="823"/>
      <c r="L2170" s="513" t="s">
        <v>401</v>
      </c>
      <c r="M2170" s="513"/>
      <c r="N2170" s="526"/>
      <c r="O2170" s="527"/>
      <c r="P2170" s="775"/>
      <c r="Q2170" s="776"/>
      <c r="R2170" s="776"/>
      <c r="S2170" s="777"/>
      <c r="T2170" s="796"/>
      <c r="U2170" s="797"/>
      <c r="V2170" s="812"/>
      <c r="W2170" s="284"/>
      <c r="X2170" s="780" t="s">
        <v>402</v>
      </c>
      <c r="Y2170" s="810" t="s">
        <v>403</v>
      </c>
      <c r="Z2170" s="810"/>
      <c r="AA2170" s="810"/>
      <c r="AB2170" s="809"/>
      <c r="AC2170" s="28"/>
    </row>
    <row r="2171" spans="1:29" s="30" customFormat="1" ht="51.75" customHeight="1" thickBot="1">
      <c r="A2171" s="112" t="str">
        <f>"M"&amp;E2151</f>
        <v>M72</v>
      </c>
      <c r="B2171" s="791"/>
      <c r="C2171" s="770" t="s">
        <v>404</v>
      </c>
      <c r="D2171" s="771"/>
      <c r="E2171" s="514" t="s">
        <v>405</v>
      </c>
      <c r="F2171" s="515" t="s">
        <v>406</v>
      </c>
      <c r="G2171" s="824"/>
      <c r="H2171" s="793"/>
      <c r="I2171" s="793"/>
      <c r="J2171" s="504" t="s">
        <v>407</v>
      </c>
      <c r="K2171" s="516" t="s">
        <v>408</v>
      </c>
      <c r="L2171" s="517" t="s">
        <v>409</v>
      </c>
      <c r="M2171" s="517"/>
      <c r="N2171" s="528" t="s">
        <v>410</v>
      </c>
      <c r="O2171" s="529"/>
      <c r="P2171" s="386"/>
      <c r="Q2171" s="387" t="s">
        <v>411</v>
      </c>
      <c r="R2171" s="388"/>
      <c r="S2171" s="113">
        <f>COUNTIFS(H2155:H2164,"SI",O2155:O2164,"&gt;0")</f>
        <v>2</v>
      </c>
      <c r="T2171" s="785"/>
      <c r="U2171" s="787"/>
      <c r="V2171" s="813"/>
      <c r="W2171" s="284"/>
      <c r="X2171" s="780"/>
      <c r="Y2171" s="810"/>
      <c r="Z2171" s="810"/>
      <c r="AA2171" s="810"/>
      <c r="AB2171" s="809"/>
      <c r="AC2171" s="28"/>
    </row>
    <row r="2172" spans="1:29" s="30" customFormat="1" ht="15.75" customHeight="1">
      <c r="A2172" s="112" t="str">
        <f>"N"&amp;E2151</f>
        <v>N72</v>
      </c>
      <c r="B2172" s="791"/>
      <c r="C2172" s="54">
        <v>1</v>
      </c>
      <c r="D2172" s="100" t="str">
        <f>IF(AND(C2172&lt;=F2170,F2170&gt;1,F2170&lt;&gt;""),VLOOKUP(VALUE(E2151&amp;","&amp;C2172),INTEGRANTES!$D$19:$F$192,2,0),"")</f>
        <v/>
      </c>
      <c r="E2172" s="107" t="str">
        <f>IF(D2172&lt;&gt;"",VLOOKUP(VALUE(E2151&amp;","&amp;C2172),INTEGRANTES!$D$19:$F$192,3,0),"")</f>
        <v/>
      </c>
      <c r="F2172" s="380" t="str">
        <f>IF(D2172="","",IF(OR(SUMIF($J2158:$J2164,D2172,$O2158:$O2164)=0,N2172="NO"),"NO APORTA",SUMIF($J2158:$J2164,D2172,$O2158:$O2164)))</f>
        <v/>
      </c>
      <c r="G2172" s="380" t="str">
        <f>IF($D2172="","",IF($F2170&lt;=1,"",ROUND(POSMMLV*PORPO,2)))</f>
        <v/>
      </c>
      <c r="H2172" s="765" t="str">
        <f>IF($D2172="","",IF(OR(F2172="NO APORTA",G2172&gt;F2172),"NO CUMPLE","CUMPLE"))</f>
        <v/>
      </c>
      <c r="I2172" s="766"/>
      <c r="J2172" s="108" t="str">
        <f>IF(D2172="","",IF(OR(AND(SUMIF($J2155:$J2164,D2172,$O2155:$O2164)&gt;=5%*POSMMLV,N2172="SI"),AND(SUMIF($J2155:$J2164,D2172,$O2155:$O2164)=0,E2172&lt;=5%,N2172="SI")),"CUMPLE","NO CUMPLE"))</f>
        <v/>
      </c>
      <c r="K2172" s="105" t="str">
        <f>IF(OR(D2172="",J2172=""),"",IF(AND(J2172="NO CUMPLE",F2172="NO APORTA",E2172&gt;5%),"EXP = 0 y PART &gt; 5%",IF(F2172&lt;5%*Q2177,"EXP &lt; 5%*PO","")))</f>
        <v/>
      </c>
      <c r="L2172" s="389" t="str">
        <f>IF(OR(D2172="",E2172=""),"",IF(AND(E2172&gt;=0.25,F2172&lt;&gt;"NO APORTA",F2172&gt;=$R2177*0.25),"SI","NO"))</f>
        <v/>
      </c>
      <c r="M2172" s="389"/>
      <c r="N2172" s="468" t="s">
        <v>385</v>
      </c>
      <c r="O2172" s="396">
        <f>COUNTIFS(O2155:O2164,"&gt;0",H2155:H2164,"SI")</f>
        <v>2</v>
      </c>
      <c r="P2172" s="814" t="s">
        <v>139</v>
      </c>
      <c r="Q2172" s="814"/>
      <c r="R2172" s="817">
        <f>E2151</f>
        <v>72</v>
      </c>
      <c r="S2172" s="818"/>
      <c r="T2172" s="784" t="s">
        <v>412</v>
      </c>
      <c r="U2172" s="773"/>
      <c r="V2172" s="774"/>
      <c r="W2172" s="283"/>
      <c r="X2172" s="542" t="str">
        <f>IF($F2170=1,"NO APLICA",$D2172)</f>
        <v>NO APLICA</v>
      </c>
      <c r="Y2172" s="543" t="str">
        <f>IF(OR($F2172="",$F2172="NO APORTA",$R2177=0,$X2172="NO APLICA"),"",ROUND($F2172/$Q2177,2))</f>
        <v/>
      </c>
      <c r="Z2172" s="544" t="str">
        <f>IF(Y2178=1,"SI APLICA",IF(OR($X2172="",$X2172="NO APLICA",$F2172="",$F2172="NO APORTA"),"",IF(ROUND($F2172/Q2177,7)&gt;=0.4,"SI APLICA","NO APLICA")))</f>
        <v>SI APLICA</v>
      </c>
      <c r="AA2172" s="543" t="s">
        <v>413</v>
      </c>
      <c r="AB2172" s="540" t="str">
        <f>IF(COUNTIF(Z2172:AA2172,"SI APLICA")=2,"SI APLICA","")</f>
        <v>SI APLICA</v>
      </c>
      <c r="AC2172" s="28"/>
    </row>
    <row r="2173" spans="1:29" s="30" customFormat="1" ht="15.75" customHeight="1" thickBot="1">
      <c r="A2173" s="112" t="str">
        <f>"O"&amp;E2151</f>
        <v>O72</v>
      </c>
      <c r="B2173" s="791"/>
      <c r="C2173" s="54">
        <v>2</v>
      </c>
      <c r="D2173" s="100" t="str">
        <f>IF(AND(C2173&lt;=F2170,F2170&lt;&gt;""),VLOOKUP(VALUE(E2151&amp;","&amp;C2173),INTEGRANTES!$D$19:$F$192,2,0),"")</f>
        <v/>
      </c>
      <c r="E2173" s="107" t="str">
        <f>IF(D2173&lt;&gt;"",VLOOKUP(VALUE(E2151&amp;","&amp;C2173),INTEGRANTES!$D$19:$F$192,3,0),"")</f>
        <v/>
      </c>
      <c r="F2173" s="380" t="str">
        <f>IF(D2173="","",IF(OR(SUMIF($J2158:$J2164,D2173,$O2158:$O2164)=0,N2173="NO"),"NO APORTA",SUMIF($J2158:$J2164,D2173,$O2158:$O2164)))</f>
        <v/>
      </c>
      <c r="G2173" s="380" t="str">
        <f>IF($D2173="","",IF($F2170&lt;=1,"",ROUND(POSMMLV*PORPO,2)))</f>
        <v/>
      </c>
      <c r="H2173" s="765" t="str">
        <f t="shared" ref="H2173:H2176" si="434">IF($D2173="","",IF(OR(F2173="NO APORTA",G2173&gt;F2173),"NO CUMPLE","CUMPLE"))</f>
        <v/>
      </c>
      <c r="I2173" s="766"/>
      <c r="J2173" s="108" t="str">
        <f>IF(D2173="","",IF(OR(AND(SUMIF($J2155:$J2164,D2173,$O2155:$O2164)&gt;=5%*POSMMLV,N2173="SI"),AND(SUMIF($J2155:$J2164,D2173,$O2155:$O2164)=0,E2173&lt;=5%,N2173="SI")),"CUMPLE","NO CUMPLE"))</f>
        <v/>
      </c>
      <c r="K2173" s="105" t="str">
        <f>IF(OR(D2173="",J2173=""),"",IF(AND(J2173="NO CUMPLE",F2173="NO APORTA",E2173&gt;5%),"EXP = 0 y PART &gt; 5%",IF(F2173&lt;5%*Q2177,"EXP &lt; 5%*PO","")))</f>
        <v/>
      </c>
      <c r="L2173" s="389" t="str">
        <f>IF(OR(D2173="",E2173=""),"",IF(AND(E2173&gt;=0.25,F2173&lt;&gt;"NO APORTA",F2173&gt;=$R2177*0.25),"SI","NO"))</f>
        <v/>
      </c>
      <c r="M2173" s="389"/>
      <c r="N2173" s="468" t="s">
        <v>385</v>
      </c>
      <c r="O2173" s="396"/>
      <c r="P2173" s="815"/>
      <c r="Q2173" s="815"/>
      <c r="R2173" s="815"/>
      <c r="S2173" s="819"/>
      <c r="T2173" s="785"/>
      <c r="U2173" s="786"/>
      <c r="V2173" s="787"/>
      <c r="W2173" s="283"/>
      <c r="X2173" s="542" t="str">
        <f>IF($F2170=1,"NO APLICA",$D2173)</f>
        <v>NO APLICA</v>
      </c>
      <c r="Y2173" s="543" t="str">
        <f>IF(OR($F2173="",$F2173="NO APORTA",$R2177=0,$X2173="NO APLICA"),"",ROUND($F2173/$Q2177,2))</f>
        <v/>
      </c>
      <c r="Z2173" s="544"/>
      <c r="AA2173" s="543"/>
      <c r="AB2173" s="540" t="str">
        <f t="shared" ref="AB2173" si="435">IF(COUNTIF(Z2173:AA2173,"SI APLICA")=2,"SI APLICA","")</f>
        <v/>
      </c>
      <c r="AC2173" s="28"/>
    </row>
    <row r="2174" spans="1:29" s="30" customFormat="1" ht="15.75" customHeight="1">
      <c r="A2174" s="112" t="str">
        <f>"P"&amp;E2151</f>
        <v>P72</v>
      </c>
      <c r="B2174" s="791"/>
      <c r="C2174" s="54">
        <v>3</v>
      </c>
      <c r="D2174" s="100" t="str">
        <f>IF(AND(C2174&lt;=F2170,F2170&lt;&gt;""),VLOOKUP(VALUE(E2151&amp;","&amp;C2174),INTEGRANTES!$D$19:$F$192,2,0),"")</f>
        <v/>
      </c>
      <c r="E2174" s="107" t="str">
        <f>IF(D2174&lt;&gt;"",VLOOKUP(VALUE(E2151&amp;","&amp;C2174),INTEGRANTES!$D$19:$F$192,3,0),"")</f>
        <v/>
      </c>
      <c r="F2174" s="380" t="str">
        <f>IF(D2174="","",IF(OR(SUMIF($J2158:$J2164,D2174,$O2158:$O2164)=0,N2174="NO"),"NO APORTA",SUMIF($J2158:$J2164,D2174,$O2158:$O2164)))</f>
        <v/>
      </c>
      <c r="G2174" s="380" t="str">
        <f>IF($D2174="","",IF($F2170&lt;=1,"",ROUND(POSMMLV*PORPO,2)))</f>
        <v/>
      </c>
      <c r="H2174" s="765" t="str">
        <f t="shared" si="434"/>
        <v/>
      </c>
      <c r="I2174" s="766"/>
      <c r="J2174" s="108" t="str">
        <f>IF(D2174="","",IF(OR(AND(SUMIF($J2155:$J2164,D2174,$O2155:$O2164)&gt;=5%*POSMMLV,N2174="SI"),AND(SUMIF($J2155:$J2164,D2174,$O2155:$O2164)=0,E2174&lt;=5%,N2174="SI")),"CUMPLE","NO CUMPLE"))</f>
        <v/>
      </c>
      <c r="K2174" s="105" t="str">
        <f>IF(OR(D2174="",J2174=""),"",IF(AND(J2174="NO CUMPLE",F2174="NO APORTA",E2174&gt;5%),"EXP = 0 y PART &gt; 5%",IF(F2174&lt;5%*Q2177,"EXP &lt; 5%*PO","")))</f>
        <v/>
      </c>
      <c r="L2174" s="389" t="str">
        <f>IF(OR(D2174="",E2174=""),"",IF(AND(E2174&gt;=0.25,F2174&lt;&gt;"NO APORTA",F2174&gt;=$R2177*0.25),"SI","NO"))</f>
        <v/>
      </c>
      <c r="M2174" s="389"/>
      <c r="N2174" s="468"/>
      <c r="O2174" s="397"/>
      <c r="P2174" s="816"/>
      <c r="Q2174" s="816"/>
      <c r="R2174" s="816"/>
      <c r="S2174" s="820"/>
      <c r="T2174" s="308"/>
      <c r="U2174" s="308"/>
      <c r="V2174" s="309"/>
      <c r="W2174" s="284"/>
      <c r="X2174" s="542" t="str">
        <f>IF($F2170=1,"NO APLICA",$D2174)</f>
        <v>NO APLICA</v>
      </c>
      <c r="Y2174" s="543" t="str">
        <f>IF(OR($F2174="",$F2174="NO APORTA",$R2177=0,$X2174="NO APLICA"),"",ROUND($F2174/$Q2177,2))</f>
        <v/>
      </c>
      <c r="Z2174" s="544"/>
      <c r="AA2174" s="543"/>
      <c r="AB2174" s="540" t="str">
        <f>IF(COUNTIF(Z2174:AA2174,"SI APLICA")=2,"SI APLICA","")</f>
        <v/>
      </c>
      <c r="AC2174" s="28"/>
    </row>
    <row r="2175" spans="1:29" s="30" customFormat="1" ht="15.75" customHeight="1">
      <c r="A2175" s="112" t="str">
        <f>"Q"&amp;E2151</f>
        <v>Q72</v>
      </c>
      <c r="B2175" s="791"/>
      <c r="C2175" s="54">
        <v>4</v>
      </c>
      <c r="D2175" s="100" t="str">
        <f>IF(AND(C2175&lt;=F2170,F2170&lt;&gt;""),VLOOKUP(VALUE(E2151&amp;","&amp;C2175),INTEGRANTES!$D$19:$F$192,2,0),"")</f>
        <v/>
      </c>
      <c r="E2175" s="107" t="str">
        <f>IF(D2175&lt;&gt;"",VLOOKUP(VALUE(E2151&amp;","&amp;C2175),INTEGRANTES!$D$19:$F$192,3,0),"")</f>
        <v/>
      </c>
      <c r="F2175" s="380" t="str">
        <f>IF(D2175="","",IF(OR(SUMIF($J2158:$J2164,D2175,$O2158:$O2164)=0,N2175="NO"),"NO APORTA",SUMIF($J2158:$J2164,D2175,$O2158:$O2164)))</f>
        <v/>
      </c>
      <c r="G2175" s="380" t="str">
        <f>IF($D2175="","",IF($F2170&lt;=1,"",ROUND(POSMMLV*PORPO,2)))</f>
        <v/>
      </c>
      <c r="H2175" s="765" t="str">
        <f t="shared" si="434"/>
        <v/>
      </c>
      <c r="I2175" s="766"/>
      <c r="J2175" s="108" t="str">
        <f>IF(D2175="","",IF(OR(AND(SUMIF($J2155:$J2164,D2175,$O2155:$O2164)&gt;=5%*POSMMLV,N2175="SI"),AND(SUMIF($J2155:$J2164,D2175,$O2155:$O2164)=0,E2175&lt;=5%,N2175="SI")),"CUMPLE","NO CUMPLE"))</f>
        <v/>
      </c>
      <c r="K2175" s="105" t="str">
        <f>IF(OR(D2175="",J2175=""),"",IF(AND(J2175="NO CUMPLE",F2175="NO APORTA",E2175&gt;5%),"EXP = 0 y PART &gt; 5%",IF(F2175&lt;5%*Q2177,"EXP &lt; 5%*PO","")))</f>
        <v/>
      </c>
      <c r="L2175" s="389" t="str">
        <f>IF(OR(D2175="",E2175=""),"",IF(AND(E2175&gt;=0.25,F2175&lt;&gt;"NO APORTA",F2175&gt;=$R2177*0.25),"SI","NO"))</f>
        <v/>
      </c>
      <c r="M2175" s="389"/>
      <c r="N2175" s="468"/>
      <c r="O2175" s="788" t="s">
        <v>414</v>
      </c>
      <c r="P2175" s="769" t="s">
        <v>415</v>
      </c>
      <c r="Q2175" s="770"/>
      <c r="R2175" s="770"/>
      <c r="S2175" s="771"/>
      <c r="T2175" s="284"/>
      <c r="U2175" s="284"/>
      <c r="V2175" s="310"/>
      <c r="W2175" s="284"/>
      <c r="X2175" s="542" t="str">
        <f>IF($F2170=1,"NO APLICA",$D2175)</f>
        <v>NO APLICA</v>
      </c>
      <c r="Y2175" s="543" t="str">
        <f>IF(OR($F2175="",$F2175="NO APORTA",$R2177=0,$X2175="NO APLICA"),"",ROUND($F2175/$Q2177,2))</f>
        <v/>
      </c>
      <c r="Z2175" s="544"/>
      <c r="AA2175" s="543"/>
      <c r="AB2175" s="540" t="str">
        <f t="shared" ref="AB2175:AB2176" si="436">IF(COUNTIF(Z2175:AA2175,"SI APLICA")=2,"SI APLICA","")</f>
        <v/>
      </c>
      <c r="AC2175" s="28"/>
    </row>
    <row r="2176" spans="1:29" s="30" customFormat="1" ht="17.25" customHeight="1">
      <c r="A2176" s="112" t="str">
        <f>"R"&amp;E2151</f>
        <v>R72</v>
      </c>
      <c r="B2176" s="791"/>
      <c r="C2176" s="54">
        <v>5</v>
      </c>
      <c r="D2176" s="100" t="str">
        <f>IF(AND(C2176&lt;=F2170,F2170&lt;&gt;""),VLOOKUP(VALUE(E2151&amp;","&amp;C2176),INTEGRANTES!$D$19:$F$192,2,0),"")</f>
        <v/>
      </c>
      <c r="E2176" s="107" t="str">
        <f>IF(D2176&lt;&gt;"",VLOOKUP(VALUE(E2151&amp;","&amp;C2176),INTEGRANTES!$D$19:$F$192,3,0),"")</f>
        <v/>
      </c>
      <c r="F2176" s="380" t="str">
        <f>IF(D2176="","",IF(OR(SUMIF($J2158:$J2164,D2176,$O2158:$O2164)=0,N2176="NO"),"NO APORTA",SUMIF($J2158:$J2164,D2176,$O2158:$O2164)))</f>
        <v/>
      </c>
      <c r="G2176" s="380" t="str">
        <f>IF($D2176="","",IF($F2170&lt;=1,"",ROUND(POSMMLV*PORPO,2)))</f>
        <v/>
      </c>
      <c r="H2176" s="765" t="str">
        <f t="shared" si="434"/>
        <v/>
      </c>
      <c r="I2176" s="766"/>
      <c r="J2176" s="108" t="str">
        <f>IF(D2176="","",IF(OR(AND(SUMIF($J2155:$J2164,D2176,$O2155:$O2164)&gt;=5%*POSMMLV,N2176="SI"),AND(SUMIF($J2155:$J2164,D2176,$O2155:$O2164)=0,E2176&lt;=5%,N2176="SI")),"CUMPLE","NO CUMPLE"))</f>
        <v/>
      </c>
      <c r="K2176" s="105" t="str">
        <f>IF(OR(D2176="",J2176=""),"",IF(AND(J2176="NO CUMPLE",F2176="NO APORTA",E2176&gt;5%),"EXP = 0 y PART &gt; 5%",IF(F2176&lt;5%*Q2177,"EXP &lt; 5%*PO","")))</f>
        <v/>
      </c>
      <c r="L2176" s="389" t="str">
        <f>IF(OR(D2176="",E2176=""),"",IF(AND(E2176&gt;=0.25,F2176&lt;&gt;"NO APORTA",F2176&gt;=$R2177*0.25),"SI","NO"))</f>
        <v/>
      </c>
      <c r="M2176" s="389"/>
      <c r="N2176" s="468"/>
      <c r="O2176" s="789"/>
      <c r="P2176" s="504" t="s">
        <v>416</v>
      </c>
      <c r="Q2176" s="504" t="s">
        <v>417</v>
      </c>
      <c r="R2176" s="793" t="s">
        <v>418</v>
      </c>
      <c r="S2176" s="793"/>
      <c r="T2176" s="284"/>
      <c r="U2176" s="284"/>
      <c r="V2176" s="310"/>
      <c r="W2176" s="284"/>
      <c r="X2176" s="542" t="str">
        <f>IF($F2170=1,"NO APLICA",$D2176)</f>
        <v>NO APLICA</v>
      </c>
      <c r="Y2176" s="543" t="str">
        <f>IF(OR($F2176="",$F2176="NO APORTA",$R2177=0,$X2176="NO APLICA"),"",ROUND($F2176/$Q2177,2))</f>
        <v/>
      </c>
      <c r="Z2176" s="544"/>
      <c r="AA2176" s="543"/>
      <c r="AB2176" s="540" t="str">
        <f t="shared" si="436"/>
        <v/>
      </c>
      <c r="AC2176" s="28"/>
    </row>
    <row r="2177" spans="1:29" s="30" customFormat="1" ht="16.5" customHeight="1" thickBot="1">
      <c r="A2177" s="112" t="str">
        <f>"S"&amp;E2151</f>
        <v>S72</v>
      </c>
      <c r="B2177" s="791"/>
      <c r="C2177" s="109">
        <v>6</v>
      </c>
      <c r="D2177" s="110" t="str">
        <f>IF(AND(C2177&lt;=F2170,F2170&lt;&gt;""),VLOOKUP(VALUE(E2151&amp;","&amp;C2177),INTEGRANTES!$D$19:$F$192,2,0),"")</f>
        <v/>
      </c>
      <c r="E2177" s="111" t="str">
        <f>IF(D2177&lt;&gt;"",VLOOKUP(VALUE(E2151&amp;","&amp;C2177),INTEGRANTES!$D$19:$F$192,3,0),"")</f>
        <v/>
      </c>
      <c r="F2177" s="380" t="str">
        <f>IF(D2177="","",IF(OR(SUMIF($J2158:$J2164,D2177,$O2158:$O2164)=0,N2177="NO"),"NO APORTA",SUMIF($J2158:$J2164,D2177,$O2158:$O2164)))</f>
        <v/>
      </c>
      <c r="G2177" s="380" t="str">
        <f>IF($D2177="","",IF($F2170&lt;=1,"",ROUND(POSMMLV*PORPO,2)))</f>
        <v/>
      </c>
      <c r="H2177" s="765" t="str">
        <f>IF($D2177="","",IF(OR(F2177="NO APORTA",G2177&gt;F2177),"NO CUMPLE","CUMPLE"))</f>
        <v/>
      </c>
      <c r="I2177" s="766"/>
      <c r="J2177" s="108" t="str">
        <f>IF(D2177="","",IF(OR(AND(SUMIF($J2155:$J2164,D2177,$O2155:$O2164)&gt;=5%*POSMMLV,N2177="SI"),AND(SUMIF($J2155:$J2164,D2177,$O2155:$O2164)=0,E2177&lt;=5%,N2177="SI")),"CUMPLE","NO CUMPLE"))</f>
        <v/>
      </c>
      <c r="K2177" s="105" t="str">
        <f>IF(OR(D2177="",J2177=""),"",IF(AND(J2177="NO CUMPLE",F2177="NO APORTA",E2177&gt;5%),"EXP = 0 y PART &gt; 5%",IF(F2177&lt;5%*Q2177,"EXP &lt; 5%*PO","")))</f>
        <v/>
      </c>
      <c r="L2177" s="389" t="str">
        <f>IF(OR(D2177="",E2177=""),"",IF(AND(E2177&gt;=0.25,F2177&lt;&gt;"NO APORTA",F2177&gt;=$R2177*0.25),"SI","NO"))</f>
        <v/>
      </c>
      <c r="M2177" s="389"/>
      <c r="N2177" s="468"/>
      <c r="O2177" s="403" t="str">
        <f ca="1">IF(R2177&gt;=Q2177,"CUMPLE","NO CUMPLE")</f>
        <v>CUMPLE</v>
      </c>
      <c r="P2177" s="312">
        <f>NUMMOD</f>
        <v>1</v>
      </c>
      <c r="Q2177" s="313">
        <f ca="1">IF(P2177="","",ROUND(VLOOKUP(P2177,PRESUPUESTOS!$B$16:$L$16,9,FALSE),7))</f>
        <v>300</v>
      </c>
      <c r="R2177" s="834">
        <f>IF(OR(COUNTIF(O2155:O2164,"")&gt;9,S2171&lt;NUMMINCONT),0,SUM(O2155:O2164))</f>
        <v>667.00780000000009</v>
      </c>
      <c r="S2177" s="834"/>
      <c r="T2177" s="284"/>
      <c r="U2177" s="284"/>
      <c r="V2177" s="310"/>
      <c r="W2177" s="284"/>
      <c r="X2177" s="545" t="str">
        <f>IF($F2170=1,"NO APLICA",$D2177)</f>
        <v>NO APLICA</v>
      </c>
      <c r="Y2177" s="543" t="str">
        <f>IF(OR($F2177="",$F2177="NO APORTA",$R2177=0,$X2177="NO APLICA"),"",ROUND($F2177/$Q2177,2))</f>
        <v/>
      </c>
      <c r="Z2177" s="544"/>
      <c r="AA2177" s="546"/>
      <c r="AB2177" s="540" t="str">
        <f>IF(COUNTIF(Z2177:AA2177,"SI APLICA")=2,"SI APLICA","")</f>
        <v/>
      </c>
      <c r="AC2177" s="28"/>
    </row>
    <row r="2178" spans="1:29" s="30" customFormat="1" ht="16.5" customHeight="1" thickBot="1">
      <c r="A2178" s="112" t="str">
        <f>"T"&amp;E2151</f>
        <v>T72</v>
      </c>
      <c r="B2178" s="792"/>
      <c r="C2178" s="821" t="s">
        <v>419</v>
      </c>
      <c r="D2178" s="822"/>
      <c r="E2178" s="822"/>
      <c r="F2178" s="518"/>
      <c r="G2178" s="519"/>
      <c r="H2178" s="794" t="str">
        <f>IF(OR($F2170="",SUM(E2172:E2177)=0),"",IF(COUNTIF(H2172:H2177,"CUMPLE")&gt;=1,"CUMPLE","NO CUMPLE"))</f>
        <v/>
      </c>
      <c r="I2178" s="795"/>
      <c r="J2178" s="314" t="str">
        <f>IF(COUNTIF(J2172:J2177,"")&gt;5,"",IF(COUNTIF(J2172:J2177,"NO CUMPLE")&gt;0,"NO CUMPLE","CUMPLE"))</f>
        <v/>
      </c>
      <c r="K2178" s="314" t="str">
        <f>IF(OR(AND(F2170=1,N2172="SI"),AND(COUNTIF(H2178:J2178,"CUMPLE")=2)),"CUMPLE","NO CUMPLE")</f>
        <v>CUMPLE</v>
      </c>
      <c r="L2178" s="519"/>
      <c r="M2178" s="519"/>
      <c r="N2178" s="519"/>
      <c r="O2178" s="833" t="str">
        <f ca="1">IF(ISNUMBER(F2151),"",IF(AND(O2177="NO CUMPLE",SUM(N2158:N2164)&lt;Q2177),"EL PROPONENTE SE DEBE REQUERIR POR EXPERIENCIA MINIMA EXIGIDA",""))</f>
        <v/>
      </c>
      <c r="P2178" s="833"/>
      <c r="Q2178" s="833"/>
      <c r="R2178" s="833"/>
      <c r="S2178" s="833"/>
      <c r="T2178" s="522"/>
      <c r="U2178" s="523"/>
      <c r="V2178" s="524"/>
      <c r="W2178" s="284"/>
      <c r="X2178" s="364" t="str">
        <f>IF(Y2178=1,"PROPONENTE INDIVIDUAL","PROPONENTE PLURAL")</f>
        <v>PROPONENTE INDIVIDUAL</v>
      </c>
      <c r="Y2178" s="276">
        <f>F2170</f>
        <v>1</v>
      </c>
      <c r="Z2178" s="277" t="str">
        <f>IF(OR(AND(Z2172="SI APLICA",AA2172="SI APLICA"),AND(Z2173="SI APLICA",AA2173="SI APLICA"),AND(Z2174="SI APLICA",AA2174="SI APLICA"),AND(Z2175="SI APLICA",AA2175="SI APLICA"),AND(Z2176="SI APLICA",AA2176="SI APLICA"),AND(Z2177="SI APLICA",AA2177="SI APLICA")),"SI APLICA","NO APLICA")</f>
        <v>SI APLICA</v>
      </c>
      <c r="AA2178" s="278" t="str">
        <f>IF(OR(AND(AA2172="SI APLICA",AB2172="SI APLICA"),AND(AA2173="SI APLICA",AB2173="SI APLICA"),AND(AA2174="SI APLICA",AB2174="SI APLICA"),AND(AA2175="SI APLICA",AB2175="SI APLICA"),AND(AA2176="SI APLICA",AB2176="SI APLICA"),AND(AA2177="SI APLICA",AB2177="SI APLICA")),"SI APLICA","NO APLICA")</f>
        <v>SI APLICA</v>
      </c>
      <c r="AB2178" s="278" t="str">
        <f>IF(COUNTIF(AB2172:AB2177,"SI APLICA")&gt;0,"SI APLICA","NO APLICA")</f>
        <v>SI APLICA</v>
      </c>
      <c r="AC2178" s="28"/>
    </row>
    <row r="2179" spans="1:29" ht="24.95" customHeight="1"/>
    <row r="2180" spans="1:29" ht="24.95" customHeight="1"/>
    <row r="2181" spans="1:29" s="41" customFormat="1" ht="24" thickBot="1">
      <c r="A2181" s="34">
        <v>73</v>
      </c>
      <c r="B2181" s="828" t="s">
        <v>355</v>
      </c>
      <c r="C2181" s="828"/>
      <c r="D2181" s="828"/>
      <c r="E2181" s="35">
        <f>VLOOKUP(A2181,PROPONENTES!$B$19:$E$108,2,FALSE)</f>
        <v>73</v>
      </c>
      <c r="F2181" s="36" t="str">
        <f>VLOOKUP(A2181,PROPONENTES!$B$19:$E$108,3,FALSE)</f>
        <v>CONSORCIO TOLIMA JI 001</v>
      </c>
      <c r="G2181" s="37"/>
      <c r="H2181" s="37"/>
      <c r="I2181" s="36"/>
      <c r="J2181" s="36"/>
      <c r="K2181" s="36"/>
      <c r="L2181" s="36"/>
      <c r="M2181" s="38"/>
      <c r="N2181" s="38"/>
      <c r="O2181" s="37"/>
      <c r="P2181" s="37"/>
      <c r="Q2181" s="39"/>
      <c r="R2181" s="39"/>
      <c r="S2181" s="39"/>
      <c r="T2181" s="39"/>
      <c r="U2181" s="40"/>
      <c r="Y2181" s="52"/>
      <c r="Z2181" s="52"/>
      <c r="AA2181" s="52"/>
      <c r="AB2181" s="28"/>
      <c r="AC2181" s="28"/>
    </row>
    <row r="2182" spans="1:29" s="27" customFormat="1" ht="24.75" customHeight="1">
      <c r="A2182" s="22"/>
      <c r="B2182" s="829" t="s">
        <v>356</v>
      </c>
      <c r="C2182" s="501" t="s">
        <v>357</v>
      </c>
      <c r="D2182" s="502" t="s">
        <v>358</v>
      </c>
      <c r="E2182" s="502"/>
      <c r="F2182" s="502" t="s">
        <v>359</v>
      </c>
      <c r="G2182" s="503"/>
      <c r="H2182" s="803" t="s">
        <v>360</v>
      </c>
      <c r="I2182" s="831" t="s">
        <v>361</v>
      </c>
      <c r="J2182" s="803" t="s">
        <v>362</v>
      </c>
      <c r="K2182" s="803" t="s">
        <v>363</v>
      </c>
      <c r="L2182" s="803" t="s">
        <v>364</v>
      </c>
      <c r="M2182" s="803" t="s">
        <v>365</v>
      </c>
      <c r="N2182" s="804" t="s">
        <v>366</v>
      </c>
      <c r="O2182" s="805"/>
      <c r="P2182" s="806" t="s">
        <v>367</v>
      </c>
      <c r="Q2182" s="807"/>
      <c r="R2182" s="784" t="s">
        <v>368</v>
      </c>
      <c r="S2182" s="774"/>
      <c r="T2182" s="798" t="s">
        <v>369</v>
      </c>
      <c r="U2182" s="799"/>
      <c r="V2182" s="800"/>
      <c r="X2182" s="520"/>
      <c r="Y2182" s="520"/>
    </row>
    <row r="2183" spans="1:29" s="27" customFormat="1" ht="94.5" customHeight="1">
      <c r="A2183" s="22"/>
      <c r="B2183" s="830"/>
      <c r="C2183" s="504" t="s">
        <v>370</v>
      </c>
      <c r="D2183" s="505" t="s">
        <v>41</v>
      </c>
      <c r="E2183" s="505" t="s">
        <v>371</v>
      </c>
      <c r="F2183" s="505" t="s">
        <v>372</v>
      </c>
      <c r="G2183" s="506" t="s">
        <v>373</v>
      </c>
      <c r="H2183" s="793"/>
      <c r="I2183" s="832"/>
      <c r="J2183" s="793"/>
      <c r="K2183" s="793"/>
      <c r="L2183" s="793"/>
      <c r="M2183" s="793"/>
      <c r="N2183" s="504" t="s">
        <v>374</v>
      </c>
      <c r="O2183" s="505" t="s">
        <v>375</v>
      </c>
      <c r="P2183" s="801"/>
      <c r="Q2183" s="802"/>
      <c r="R2183" s="796"/>
      <c r="S2183" s="797"/>
      <c r="T2183" s="507" t="s">
        <v>376</v>
      </c>
      <c r="U2183" s="508" t="s">
        <v>377</v>
      </c>
      <c r="V2183" s="509" t="s">
        <v>378</v>
      </c>
      <c r="X2183" s="521" t="s">
        <v>379</v>
      </c>
      <c r="Y2183" s="521" t="s">
        <v>380</v>
      </c>
    </row>
    <row r="2184" spans="1:29" s="27" customFormat="1" ht="15" customHeight="1">
      <c r="A2184" s="22"/>
      <c r="B2184" s="594"/>
      <c r="C2184" s="595">
        <v>3</v>
      </c>
      <c r="D2184" s="595">
        <v>4</v>
      </c>
      <c r="E2184" s="595">
        <v>5</v>
      </c>
      <c r="F2184" s="595">
        <v>6</v>
      </c>
      <c r="G2184" s="595">
        <v>7</v>
      </c>
      <c r="H2184" s="595">
        <v>8</v>
      </c>
      <c r="I2184" s="595">
        <v>9</v>
      </c>
      <c r="J2184" s="595">
        <v>10</v>
      </c>
      <c r="K2184" s="595">
        <v>11</v>
      </c>
      <c r="L2184" s="595">
        <v>12</v>
      </c>
      <c r="M2184" s="595">
        <v>13</v>
      </c>
      <c r="N2184" s="595">
        <v>14</v>
      </c>
      <c r="O2184" s="595">
        <v>15</v>
      </c>
      <c r="P2184" s="596">
        <v>16</v>
      </c>
      <c r="Q2184" s="597">
        <v>17</v>
      </c>
      <c r="R2184" s="596">
        <v>18</v>
      </c>
      <c r="S2184" s="597">
        <v>19</v>
      </c>
      <c r="T2184" s="598">
        <v>20</v>
      </c>
      <c r="U2184" s="255">
        <v>21</v>
      </c>
      <c r="V2184" s="599">
        <v>22</v>
      </c>
      <c r="X2184" s="589"/>
      <c r="Y2184" s="590"/>
    </row>
    <row r="2185" spans="1:29" s="44" customFormat="1" ht="98.25" customHeight="1">
      <c r="A2185" s="42" t="str">
        <f>"A"&amp;E2181</f>
        <v>A73</v>
      </c>
      <c r="B2185" s="605">
        <f>IF(C2185&lt;&gt;"",B2184+1,"")</f>
        <v>1</v>
      </c>
      <c r="C2185" s="581" t="s">
        <v>984</v>
      </c>
      <c r="D2185" s="581" t="s">
        <v>985</v>
      </c>
      <c r="E2185" s="581" t="s">
        <v>986</v>
      </c>
      <c r="F2185" s="581" t="s">
        <v>431</v>
      </c>
      <c r="G2185" s="534">
        <v>0.5</v>
      </c>
      <c r="H2185" s="534" t="s">
        <v>385</v>
      </c>
      <c r="I2185" s="579">
        <v>1</v>
      </c>
      <c r="J2185" s="580" t="str">
        <f>IF(I2185="","",IF(I2185="I",$F2181,VLOOKUP(I2185,$C2202:$D2207,2,0)))</f>
        <v>JPS INGENIERIA S.A.S.</v>
      </c>
      <c r="K2185" s="535">
        <v>40000</v>
      </c>
      <c r="L2185" s="535">
        <v>40444</v>
      </c>
      <c r="M2185" s="536">
        <v>1577.3</v>
      </c>
      <c r="N2185" s="232">
        <f t="shared" ref="N2185:N2194" si="437">IF(OR(G2185="",M2185=""),"",M2185*G2185)</f>
        <v>788.65</v>
      </c>
      <c r="O2185" s="260">
        <f t="shared" ref="O2185:O2194" si="438">IF(OR(H2185="",H2185="NO",K2185&lt;$Q$17,K2185&gt;$R$17,K2185="",M2185="",N2185=""),"",ROUND(N2185,7))</f>
        <v>788.65</v>
      </c>
      <c r="P2185" s="781"/>
      <c r="Q2185" s="782"/>
      <c r="R2185" s="767"/>
      <c r="S2185" s="768"/>
      <c r="T2185" s="538" t="s">
        <v>385</v>
      </c>
      <c r="U2185" s="539">
        <v>11</v>
      </c>
      <c r="V2185" s="540" t="s">
        <v>385</v>
      </c>
      <c r="X2185" s="541" t="s">
        <v>386</v>
      </c>
      <c r="Y2185" s="541" t="s">
        <v>439</v>
      </c>
    </row>
    <row r="2186" spans="1:29" s="44" customFormat="1" ht="57" customHeight="1">
      <c r="A2186" s="42" t="str">
        <f>"B"&amp;E2181</f>
        <v>B73</v>
      </c>
      <c r="B2186" s="605">
        <f t="shared" ref="B2186:B2194" si="439">IF(C2186&lt;&gt;"",B2185+1,"")</f>
        <v>2</v>
      </c>
      <c r="C2186" s="581" t="s">
        <v>443</v>
      </c>
      <c r="D2186" s="581" t="s">
        <v>987</v>
      </c>
      <c r="E2186" s="581" t="s">
        <v>988</v>
      </c>
      <c r="F2186" s="581" t="s">
        <v>384</v>
      </c>
      <c r="G2186" s="534">
        <v>1</v>
      </c>
      <c r="H2186" s="534" t="s">
        <v>385</v>
      </c>
      <c r="I2186" s="579">
        <v>1</v>
      </c>
      <c r="J2186" s="580" t="str">
        <f>IF(I2186="","",IF(I2186="I",$F2181,VLOOKUP(I2186,$C2202:$D2207,2,0)))</f>
        <v>JPS INGENIERIA S.A.S.</v>
      </c>
      <c r="K2186" s="535">
        <v>39350</v>
      </c>
      <c r="L2186" s="535">
        <v>39471</v>
      </c>
      <c r="M2186" s="536">
        <v>304.45</v>
      </c>
      <c r="N2186" s="232">
        <f t="shared" si="437"/>
        <v>304.45</v>
      </c>
      <c r="O2186" s="260">
        <f t="shared" si="438"/>
        <v>304.45</v>
      </c>
      <c r="P2186" s="781"/>
      <c r="Q2186" s="782"/>
      <c r="R2186" s="767"/>
      <c r="S2186" s="768"/>
      <c r="T2186" s="538" t="s">
        <v>385</v>
      </c>
      <c r="U2186" s="539">
        <v>61</v>
      </c>
      <c r="V2186" s="540" t="s">
        <v>385</v>
      </c>
      <c r="X2186" s="541" t="s">
        <v>449</v>
      </c>
      <c r="Y2186" s="541" t="s">
        <v>387</v>
      </c>
    </row>
    <row r="2187" spans="1:29" s="44" customFormat="1" ht="65.25" customHeight="1">
      <c r="A2187" s="42" t="str">
        <f>"C"&amp;E2181</f>
        <v>C73</v>
      </c>
      <c r="B2187" s="605">
        <f t="shared" si="439"/>
        <v>3</v>
      </c>
      <c r="C2187" s="581" t="s">
        <v>989</v>
      </c>
      <c r="D2187" s="581" t="s">
        <v>990</v>
      </c>
      <c r="E2187" s="581" t="s">
        <v>991</v>
      </c>
      <c r="F2187" s="581" t="s">
        <v>431</v>
      </c>
      <c r="G2187" s="534">
        <v>0.5</v>
      </c>
      <c r="H2187" s="534" t="s">
        <v>385</v>
      </c>
      <c r="I2187" s="579">
        <v>1</v>
      </c>
      <c r="J2187" s="580" t="str">
        <f>IF(I2187="","",IF(I2187="I",$F2181,VLOOKUP(I2187,$C2202:$D2207,2,0)))</f>
        <v>JPS INGENIERIA S.A.S.</v>
      </c>
      <c r="K2187" s="535">
        <v>38716</v>
      </c>
      <c r="L2187" s="535">
        <v>38975</v>
      </c>
      <c r="M2187" s="536">
        <v>309.07</v>
      </c>
      <c r="N2187" s="232">
        <f t="shared" si="437"/>
        <v>154.535</v>
      </c>
      <c r="O2187" s="260">
        <f t="shared" si="438"/>
        <v>154.535</v>
      </c>
      <c r="P2187" s="781"/>
      <c r="Q2187" s="782"/>
      <c r="R2187" s="781"/>
      <c r="S2187" s="782"/>
      <c r="T2187" s="538" t="s">
        <v>385</v>
      </c>
      <c r="U2187" s="539">
        <v>119</v>
      </c>
      <c r="V2187" s="540" t="s">
        <v>385</v>
      </c>
      <c r="X2187" s="541" t="s">
        <v>463</v>
      </c>
      <c r="Y2187" s="541" t="s">
        <v>387</v>
      </c>
    </row>
    <row r="2188" spans="1:29" s="44" customFormat="1" ht="81" customHeight="1">
      <c r="A2188" s="42" t="str">
        <f>"D"&amp;E2181</f>
        <v>D73</v>
      </c>
      <c r="B2188" s="605">
        <f t="shared" si="439"/>
        <v>4</v>
      </c>
      <c r="C2188" s="581" t="s">
        <v>992</v>
      </c>
      <c r="D2188" s="581" t="s">
        <v>993</v>
      </c>
      <c r="E2188" s="581" t="s">
        <v>994</v>
      </c>
      <c r="F2188" s="581" t="s">
        <v>384</v>
      </c>
      <c r="G2188" s="534">
        <v>1</v>
      </c>
      <c r="H2188" s="534" t="s">
        <v>385</v>
      </c>
      <c r="I2188" s="579">
        <v>1</v>
      </c>
      <c r="J2188" s="580" t="str">
        <f>IF(I2188="","",IF(I2188="I",$F2181,VLOOKUP(I2188,$C2202:$D2207,2,0)))</f>
        <v>JPS INGENIERIA S.A.S.</v>
      </c>
      <c r="K2188" s="535">
        <v>41087</v>
      </c>
      <c r="L2188" s="535">
        <v>41178</v>
      </c>
      <c r="M2188" s="536">
        <v>25.64</v>
      </c>
      <c r="N2188" s="232">
        <f t="shared" si="437"/>
        <v>25.64</v>
      </c>
      <c r="O2188" s="260">
        <f t="shared" si="438"/>
        <v>25.64</v>
      </c>
      <c r="P2188" s="781"/>
      <c r="Q2188" s="782"/>
      <c r="R2188" s="781" t="s">
        <v>995</v>
      </c>
      <c r="S2188" s="782"/>
      <c r="T2188" s="538" t="s">
        <v>385</v>
      </c>
      <c r="U2188" s="539">
        <v>161</v>
      </c>
      <c r="V2188" s="540" t="s">
        <v>385</v>
      </c>
      <c r="X2188" s="541" t="s">
        <v>386</v>
      </c>
      <c r="Y2188" s="541" t="s">
        <v>439</v>
      </c>
    </row>
    <row r="2189" spans="1:29" s="44" customFormat="1" ht="24.95" customHeight="1">
      <c r="A2189" s="42" t="str">
        <f>"E"&amp;E2181</f>
        <v>E73</v>
      </c>
      <c r="B2189" s="605" t="str">
        <f t="shared" si="439"/>
        <v/>
      </c>
      <c r="C2189" s="581"/>
      <c r="D2189" s="581"/>
      <c r="E2189" s="581"/>
      <c r="F2189" s="581"/>
      <c r="G2189" s="534"/>
      <c r="H2189" s="534"/>
      <c r="I2189" s="579"/>
      <c r="J2189" s="580" t="str">
        <f>IF(I2189="","",IF(I2189="I",$F2181,VLOOKUP(I2189,$C2202:$D2207,2,0)))</f>
        <v/>
      </c>
      <c r="K2189" s="535"/>
      <c r="L2189" s="535"/>
      <c r="M2189" s="536"/>
      <c r="N2189" s="232" t="str">
        <f t="shared" si="437"/>
        <v/>
      </c>
      <c r="O2189" s="260" t="str">
        <f t="shared" si="438"/>
        <v/>
      </c>
      <c r="P2189" s="781"/>
      <c r="Q2189" s="782"/>
      <c r="R2189" s="767"/>
      <c r="S2189" s="768"/>
      <c r="T2189" s="538"/>
      <c r="U2189" s="539"/>
      <c r="V2189" s="540"/>
      <c r="X2189" s="541"/>
      <c r="Y2189" s="541"/>
    </row>
    <row r="2190" spans="1:29" s="44" customFormat="1" ht="24.95" customHeight="1">
      <c r="A2190" s="42" t="str">
        <f>"F"&amp;E2181</f>
        <v>F73</v>
      </c>
      <c r="B2190" s="605" t="str">
        <f t="shared" si="439"/>
        <v/>
      </c>
      <c r="C2190" s="581"/>
      <c r="D2190" s="581"/>
      <c r="E2190" s="581"/>
      <c r="F2190" s="581"/>
      <c r="G2190" s="534"/>
      <c r="H2190" s="534"/>
      <c r="I2190" s="579"/>
      <c r="J2190" s="580" t="str">
        <f>IF(I2190="","",IF(I2190="I",$F2181,VLOOKUP(I2190,$C2202:$D2207,2,0)))</f>
        <v/>
      </c>
      <c r="K2190" s="535"/>
      <c r="L2190" s="535"/>
      <c r="M2190" s="536"/>
      <c r="N2190" s="232" t="str">
        <f t="shared" si="437"/>
        <v/>
      </c>
      <c r="O2190" s="260" t="str">
        <f t="shared" si="438"/>
        <v/>
      </c>
      <c r="P2190" s="781"/>
      <c r="Q2190" s="782"/>
      <c r="R2190" s="767"/>
      <c r="S2190" s="768"/>
      <c r="T2190" s="538"/>
      <c r="U2190" s="539"/>
      <c r="V2190" s="540"/>
      <c r="X2190" s="541"/>
      <c r="Y2190" s="541"/>
    </row>
    <row r="2191" spans="1:29" s="44" customFormat="1" ht="24.95" customHeight="1">
      <c r="A2191" s="42" t="str">
        <f>"G"&amp;E2181</f>
        <v>G73</v>
      </c>
      <c r="B2191" s="605" t="str">
        <f t="shared" si="439"/>
        <v/>
      </c>
      <c r="C2191" s="581"/>
      <c r="D2191" s="581"/>
      <c r="E2191" s="581"/>
      <c r="F2191" s="581"/>
      <c r="G2191" s="534"/>
      <c r="H2191" s="534"/>
      <c r="I2191" s="579"/>
      <c r="J2191" s="580" t="str">
        <f>IF(I2191="","",IF(I2191="I",$F2181,VLOOKUP(I2191,$C2202:$D2207,2,0)))</f>
        <v/>
      </c>
      <c r="K2191" s="535"/>
      <c r="L2191" s="535"/>
      <c r="M2191" s="536"/>
      <c r="N2191" s="43" t="str">
        <f t="shared" si="437"/>
        <v/>
      </c>
      <c r="O2191" s="260" t="str">
        <f t="shared" si="438"/>
        <v/>
      </c>
      <c r="P2191" s="781"/>
      <c r="Q2191" s="782"/>
      <c r="R2191" s="767"/>
      <c r="S2191" s="768"/>
      <c r="T2191" s="538"/>
      <c r="U2191" s="539"/>
      <c r="V2191" s="540"/>
      <c r="X2191" s="541"/>
      <c r="Y2191" s="541"/>
    </row>
    <row r="2192" spans="1:29" s="44" customFormat="1" ht="24.95" customHeight="1">
      <c r="A2192" s="42" t="str">
        <f>"H"&amp;E2181</f>
        <v>H73</v>
      </c>
      <c r="B2192" s="605" t="str">
        <f t="shared" si="439"/>
        <v/>
      </c>
      <c r="C2192" s="581"/>
      <c r="D2192" s="581"/>
      <c r="E2192" s="581"/>
      <c r="F2192" s="581"/>
      <c r="G2192" s="534"/>
      <c r="H2192" s="534"/>
      <c r="I2192" s="579"/>
      <c r="J2192" s="580" t="str">
        <f>IF(I2192="","",IF(I2192="I",$F2181,VLOOKUP(I2192,$C2202:$D2207,2,0)))</f>
        <v/>
      </c>
      <c r="K2192" s="535"/>
      <c r="L2192" s="535"/>
      <c r="M2192" s="537"/>
      <c r="N2192" s="43" t="str">
        <f t="shared" si="437"/>
        <v/>
      </c>
      <c r="O2192" s="260" t="str">
        <f t="shared" si="438"/>
        <v/>
      </c>
      <c r="P2192" s="781"/>
      <c r="Q2192" s="782"/>
      <c r="R2192" s="767"/>
      <c r="S2192" s="768"/>
      <c r="T2192" s="538"/>
      <c r="U2192" s="539"/>
      <c r="V2192" s="540"/>
      <c r="X2192" s="541"/>
      <c r="Y2192" s="541"/>
    </row>
    <row r="2193" spans="1:29" s="44" customFormat="1" ht="24.95" customHeight="1">
      <c r="A2193" s="42" t="str">
        <f>"I"&amp;E2181</f>
        <v>I73</v>
      </c>
      <c r="B2193" s="605" t="str">
        <f t="shared" si="439"/>
        <v/>
      </c>
      <c r="C2193" s="581"/>
      <c r="D2193" s="581"/>
      <c r="E2193" s="581"/>
      <c r="F2193" s="581"/>
      <c r="G2193" s="534"/>
      <c r="H2193" s="534"/>
      <c r="I2193" s="579"/>
      <c r="J2193" s="580" t="str">
        <f>IF(I2193="","",IF(I2193="I",$F2181,VLOOKUP(I2193,$C2202:$D2207,2,0)))</f>
        <v/>
      </c>
      <c r="K2193" s="535"/>
      <c r="L2193" s="535"/>
      <c r="M2193" s="537"/>
      <c r="N2193" s="43" t="str">
        <f t="shared" si="437"/>
        <v/>
      </c>
      <c r="O2193" s="260" t="str">
        <f t="shared" si="438"/>
        <v/>
      </c>
      <c r="P2193" s="781"/>
      <c r="Q2193" s="782"/>
      <c r="R2193" s="767"/>
      <c r="S2193" s="768"/>
      <c r="T2193" s="538"/>
      <c r="U2193" s="539"/>
      <c r="V2193" s="540"/>
      <c r="X2193" s="541"/>
      <c r="Y2193" s="541"/>
    </row>
    <row r="2194" spans="1:29" s="44" customFormat="1" ht="24.95" customHeight="1" thickBot="1">
      <c r="A2194" s="42" t="str">
        <f>"J"&amp;E2181</f>
        <v>J73</v>
      </c>
      <c r="B2194" s="612" t="str">
        <f t="shared" si="439"/>
        <v/>
      </c>
      <c r="C2194" s="582"/>
      <c r="D2194" s="582"/>
      <c r="E2194" s="582"/>
      <c r="F2194" s="582"/>
      <c r="G2194" s="583"/>
      <c r="H2194" s="583"/>
      <c r="I2194" s="584"/>
      <c r="J2194" s="585" t="str">
        <f>IF(I2194="","",IF(I2194="I",$F2181,VLOOKUP(I2194,$C2202:$D2207,2,0)))</f>
        <v/>
      </c>
      <c r="K2194" s="586"/>
      <c r="L2194" s="586"/>
      <c r="M2194" s="587"/>
      <c r="N2194" s="43" t="str">
        <f t="shared" si="437"/>
        <v/>
      </c>
      <c r="O2194" s="260" t="str">
        <f t="shared" si="438"/>
        <v/>
      </c>
      <c r="P2194" s="781"/>
      <c r="Q2194" s="782"/>
      <c r="R2194" s="767"/>
      <c r="S2194" s="768"/>
      <c r="T2194" s="538"/>
      <c r="U2194" s="539"/>
      <c r="V2194" s="540"/>
      <c r="X2194" s="541"/>
      <c r="Y2194" s="541"/>
    </row>
    <row r="2195" spans="1:29" s="27" customFormat="1" ht="12" customHeight="1" thickBot="1">
      <c r="A2195" s="42"/>
      <c r="B2195" s="45"/>
      <c r="C2195" s="46"/>
      <c r="D2195" s="46"/>
      <c r="E2195" s="46"/>
      <c r="F2195" s="46"/>
      <c r="G2195" s="46"/>
      <c r="H2195" s="606"/>
      <c r="I2195" s="46"/>
      <c r="J2195" s="46"/>
      <c r="K2195" s="46"/>
      <c r="L2195" s="46"/>
      <c r="M2195" s="46"/>
      <c r="N2195" s="46"/>
      <c r="O2195" s="259"/>
      <c r="P2195" s="46"/>
      <c r="Q2195" s="46"/>
      <c r="R2195" s="259"/>
      <c r="S2195" s="46"/>
      <c r="T2195" s="46"/>
      <c r="U2195" s="47"/>
      <c r="V2195" s="48"/>
      <c r="X2195" s="592"/>
      <c r="Y2195" s="593"/>
      <c r="AB2195" s="378"/>
    </row>
    <row r="2196" spans="1:29" s="27" customFormat="1" ht="17.25" customHeight="1" thickBot="1">
      <c r="A2196" s="42" t="str">
        <f>"Z"&amp;E2181</f>
        <v>Z73</v>
      </c>
      <c r="B2196" s="510"/>
      <c r="C2196" s="511"/>
      <c r="D2196" s="511"/>
      <c r="E2196" s="511"/>
      <c r="F2196" s="511"/>
      <c r="G2196" s="511"/>
      <c r="H2196" s="511"/>
      <c r="I2196" s="511"/>
      <c r="J2196" s="511"/>
      <c r="K2196" s="511"/>
      <c r="L2196" s="511"/>
      <c r="M2196" s="511"/>
      <c r="N2196" s="437" t="s">
        <v>388</v>
      </c>
      <c r="O2196" s="438">
        <f>IF(COUNTIF(O2185:O2194,"")&gt;9,0,SUM(O2185:O2194)/(COUNTIF(H2185:H2194,"SI")))</f>
        <v>318.31875000000002</v>
      </c>
      <c r="P2196" s="511"/>
      <c r="Q2196" s="511"/>
      <c r="R2196" s="530"/>
      <c r="S2196" s="530"/>
      <c r="T2196" s="531"/>
      <c r="U2196" s="532"/>
      <c r="V2196" s="533"/>
      <c r="W2196" s="285"/>
      <c r="X2196" s="613" t="e">
        <f>COUNTIF(#REF!,"")-COUNTIF(#REF!,"CUMPLE")-1</f>
        <v>#REF!</v>
      </c>
      <c r="Y2196" s="591"/>
      <c r="AB2196" s="28"/>
    </row>
    <row r="2197" spans="1:29" ht="17.25" customHeight="1">
      <c r="B2197" s="50"/>
      <c r="C2197" s="50"/>
      <c r="D2197" s="50"/>
      <c r="E2197" s="50"/>
      <c r="F2197" s="50"/>
      <c r="G2197" s="51"/>
      <c r="H2197" s="51"/>
      <c r="I2197" s="51"/>
      <c r="J2197" s="51"/>
      <c r="K2197" s="51"/>
      <c r="L2197" s="51"/>
      <c r="M2197" s="51"/>
      <c r="N2197" s="51"/>
      <c r="O2197" s="51"/>
      <c r="P2197" s="51"/>
      <c r="Q2197" s="51"/>
      <c r="R2197" s="51"/>
      <c r="S2197" s="51"/>
      <c r="T2197" s="51"/>
      <c r="U2197" s="51"/>
      <c r="V2197" s="51"/>
      <c r="W2197" s="51"/>
      <c r="X2197" s="608"/>
      <c r="Y2197" s="51"/>
      <c r="Z2197" s="51"/>
      <c r="AA2197" s="51"/>
      <c r="AB2197" s="51"/>
      <c r="AC2197" s="50"/>
    </row>
    <row r="2198" spans="1:29" s="27" customFormat="1" ht="16.5" customHeight="1" thickBot="1">
      <c r="A2198" s="22"/>
      <c r="B2198" s="783" t="s">
        <v>389</v>
      </c>
      <c r="C2198" s="783"/>
      <c r="D2198" s="783"/>
      <c r="E2198" s="783"/>
      <c r="F2198" s="783"/>
      <c r="G2198" s="783"/>
      <c r="H2198" s="783"/>
      <c r="I2198" s="783"/>
      <c r="J2198" s="783"/>
      <c r="K2198" s="783"/>
      <c r="L2198" s="783"/>
      <c r="M2198" s="783"/>
      <c r="N2198" s="783"/>
      <c r="O2198" s="783"/>
      <c r="P2198" s="783"/>
      <c r="Q2198" s="783"/>
      <c r="R2198" s="783"/>
      <c r="S2198" s="783"/>
      <c r="T2198" s="783"/>
      <c r="U2198" s="783"/>
      <c r="V2198" s="783"/>
      <c r="W2198" s="286"/>
      <c r="X2198" s="607"/>
      <c r="Y2198" s="52"/>
      <c r="Z2198" s="52"/>
      <c r="AA2198" s="52"/>
      <c r="AB2198" s="28"/>
      <c r="AC2198" s="28"/>
    </row>
    <row r="2199" spans="1:29" s="30" customFormat="1" ht="22.5" customHeight="1">
      <c r="A2199" s="112" t="str">
        <f>"K"&amp;E2181</f>
        <v>K73</v>
      </c>
      <c r="B2199" s="790" t="s">
        <v>390</v>
      </c>
      <c r="C2199" s="772" t="s">
        <v>391</v>
      </c>
      <c r="D2199" s="773"/>
      <c r="E2199" s="773"/>
      <c r="F2199" s="773"/>
      <c r="G2199" s="773"/>
      <c r="H2199" s="773"/>
      <c r="I2199" s="773"/>
      <c r="J2199" s="773"/>
      <c r="K2199" s="773"/>
      <c r="L2199" s="773"/>
      <c r="M2199" s="774"/>
      <c r="N2199" s="525"/>
      <c r="O2199" s="588"/>
      <c r="P2199" s="772" t="s">
        <v>392</v>
      </c>
      <c r="Q2199" s="773"/>
      <c r="R2199" s="773"/>
      <c r="S2199" s="774"/>
      <c r="T2199" s="784" t="s">
        <v>393</v>
      </c>
      <c r="U2199" s="774"/>
      <c r="V2199" s="811"/>
      <c r="W2199" s="284"/>
      <c r="X2199" s="778" t="s">
        <v>394</v>
      </c>
      <c r="Y2199" s="779"/>
      <c r="Z2199" s="779"/>
      <c r="AA2199" s="779" t="s">
        <v>395</v>
      </c>
      <c r="AB2199" s="808" t="s">
        <v>396</v>
      </c>
      <c r="AC2199" s="28"/>
    </row>
    <row r="2200" spans="1:29" s="30" customFormat="1" ht="22.5" customHeight="1">
      <c r="A2200" s="112" t="str">
        <f>"L"&amp;E2181</f>
        <v>L73</v>
      </c>
      <c r="B2200" s="791"/>
      <c r="C2200" s="769" t="s">
        <v>397</v>
      </c>
      <c r="D2200" s="770"/>
      <c r="E2200" s="771"/>
      <c r="F2200" s="512">
        <f>IF(VLOOKUP(E2181,PROPONENTES!$C$19:$E$108,3,0)="","",VLOOKUP(E2181,PROPONENTES!$C$19:$E$108,3,0))</f>
        <v>2</v>
      </c>
      <c r="G2200" s="824" t="s">
        <v>398</v>
      </c>
      <c r="H2200" s="793" t="s">
        <v>399</v>
      </c>
      <c r="I2200" s="793"/>
      <c r="J2200" s="769" t="s">
        <v>400</v>
      </c>
      <c r="K2200" s="823"/>
      <c r="L2200" s="513" t="s">
        <v>401</v>
      </c>
      <c r="M2200" s="513"/>
      <c r="N2200" s="526"/>
      <c r="O2200" s="527"/>
      <c r="P2200" s="775"/>
      <c r="Q2200" s="776"/>
      <c r="R2200" s="776"/>
      <c r="S2200" s="777"/>
      <c r="T2200" s="796"/>
      <c r="U2200" s="797"/>
      <c r="V2200" s="812"/>
      <c r="W2200" s="284"/>
      <c r="X2200" s="780" t="s">
        <v>402</v>
      </c>
      <c r="Y2200" s="810" t="s">
        <v>403</v>
      </c>
      <c r="Z2200" s="810"/>
      <c r="AA2200" s="810"/>
      <c r="AB2200" s="809"/>
      <c r="AC2200" s="28"/>
    </row>
    <row r="2201" spans="1:29" s="30" customFormat="1" ht="51.75" customHeight="1" thickBot="1">
      <c r="A2201" s="112" t="str">
        <f>"M"&amp;E2181</f>
        <v>M73</v>
      </c>
      <c r="B2201" s="791"/>
      <c r="C2201" s="770" t="s">
        <v>404</v>
      </c>
      <c r="D2201" s="771"/>
      <c r="E2201" s="514" t="s">
        <v>405</v>
      </c>
      <c r="F2201" s="515" t="s">
        <v>406</v>
      </c>
      <c r="G2201" s="824"/>
      <c r="H2201" s="793"/>
      <c r="I2201" s="793"/>
      <c r="J2201" s="504" t="s">
        <v>407</v>
      </c>
      <c r="K2201" s="516" t="s">
        <v>408</v>
      </c>
      <c r="L2201" s="517" t="s">
        <v>785</v>
      </c>
      <c r="M2201" s="517"/>
      <c r="N2201" s="528" t="s">
        <v>410</v>
      </c>
      <c r="O2201" s="529"/>
      <c r="P2201" s="386"/>
      <c r="Q2201" s="387" t="s">
        <v>411</v>
      </c>
      <c r="R2201" s="388"/>
      <c r="S2201" s="113">
        <f>COUNTIFS(H2185:H2194,"SI",O2185:O2194,"&gt;0")</f>
        <v>4</v>
      </c>
      <c r="T2201" s="785"/>
      <c r="U2201" s="787"/>
      <c r="V2201" s="813"/>
      <c r="W2201" s="284"/>
      <c r="X2201" s="780"/>
      <c r="Y2201" s="810"/>
      <c r="Z2201" s="810"/>
      <c r="AA2201" s="810"/>
      <c r="AB2201" s="809"/>
      <c r="AC2201" s="28"/>
    </row>
    <row r="2202" spans="1:29" s="30" customFormat="1" ht="15.75" customHeight="1">
      <c r="A2202" s="112" t="str">
        <f>"N"&amp;E2181</f>
        <v>N73</v>
      </c>
      <c r="B2202" s="791"/>
      <c r="C2202" s="54">
        <v>1</v>
      </c>
      <c r="D2202" s="100" t="str">
        <f>IF(AND(C2202&lt;=F2200,F2200&gt;1,F2200&lt;&gt;""),VLOOKUP(VALUE(E2181&amp;","&amp;C2202),INTEGRANTES!$D$19:$F$192,2,0),"")</f>
        <v>JPS INGENIERIA S.A.S.</v>
      </c>
      <c r="E2202" s="107">
        <f>IF(D2202&lt;&gt;"",VLOOKUP(VALUE(E2181&amp;","&amp;C2202),INTEGRANTES!$D$19:$F$192,3,0),"")</f>
        <v>0.5</v>
      </c>
      <c r="F2202" s="380">
        <f>IF(D2202="","",IF(OR(SUMIF($J2185:$J2194,D2202,$O2185:$O2194)=0,N2202="NO"),"NO APORTA",SUMIF($J2185:$J2194,D2202,$O2185:$O2194)))</f>
        <v>1273.2750000000001</v>
      </c>
      <c r="G2202" s="380">
        <f ca="1">IF($D2202="","",IF($F2200&lt;=1,"",ROUND(POSMMLV*PORPO,2)))</f>
        <v>150</v>
      </c>
      <c r="H2202" s="765" t="str">
        <f ca="1">IF($D2202="","",IF(OR(F2202="NO APORTA",G2202&gt;F2202),"NO CUMPLE","CUMPLE"))</f>
        <v>CUMPLE</v>
      </c>
      <c r="I2202" s="766"/>
      <c r="J2202" s="108" t="str">
        <f ca="1">IF(D2202="","",IF(OR(AND(SUMIF($J2185:$J2194,D2202,$O2185:$O2194)&gt;=5%*POSMMLV,N2202="SI"),AND(SUMIF($J2185:$J2194,D2202,$O2185:$O2194)=0,E2202&lt;=5%,N2202="SI")),"CUMPLE","NO CUMPLE"))</f>
        <v>CUMPLE</v>
      </c>
      <c r="K2202" s="105" t="str">
        <f ca="1">IF(OR(D2202="",J2202=""),"",IF(AND(J2202="NO CUMPLE",F2202="NO APORTA",E2202&gt;5%),"EXP = 0 y PART &gt; 5%",IF(F2202&lt;5%*Q2207,"EXP &lt; 5%*PO","")))</f>
        <v/>
      </c>
      <c r="L2202" s="389" t="str">
        <f>IF(OR(D2202="",E2202=""),"",IF(AND(E2202&gt;=0.05,F2202&lt;&gt;"NO APORTA",F2202&gt;=$R2207*0.05),"SI","NO"))</f>
        <v>SI</v>
      </c>
      <c r="M2202" s="389"/>
      <c r="N2202" s="468" t="s">
        <v>385</v>
      </c>
      <c r="O2202" s="396">
        <f>COUNTIFS(O2185:O2194,"&gt;0",H2185:H2194,"SI")</f>
        <v>4</v>
      </c>
      <c r="P2202" s="814" t="s">
        <v>139</v>
      </c>
      <c r="Q2202" s="814"/>
      <c r="R2202" s="817">
        <f>E2181</f>
        <v>73</v>
      </c>
      <c r="S2202" s="818"/>
      <c r="T2202" s="784" t="s">
        <v>412</v>
      </c>
      <c r="U2202" s="773"/>
      <c r="V2202" s="774"/>
      <c r="W2202" s="283"/>
      <c r="X2202" s="542" t="str">
        <f>IF($F2200=1,"NO APLICA",$D2202)</f>
        <v>JPS INGENIERIA S.A.S.</v>
      </c>
      <c r="Y2202" s="543">
        <f ca="1">IF(OR($F2202="",$F2202="NO APORTA",$R2207=0,$X2202="NO APLICA"),"",ROUND($F2202/$Q2207,2))</f>
        <v>4.24</v>
      </c>
      <c r="Z2202" s="544" t="str">
        <f ca="1">IF(Y2208=1,"SI APLICA",IF(OR($X2202="",$X2202="NO APLICA",$F2202="",$F2202="NO APORTA"),"",IF(ROUND($F2202/Q2207,7)&gt;=0.4,"SI APLICA","NO APLICA")))</f>
        <v>SI APLICA</v>
      </c>
      <c r="AA2202" s="543" t="s">
        <v>413</v>
      </c>
      <c r="AB2202" s="540" t="str">
        <f ca="1">IF(COUNTIF(Z2202:AA2202,"SI APLICA")=2,"SI APLICA","")</f>
        <v>SI APLICA</v>
      </c>
      <c r="AC2202" s="28"/>
    </row>
    <row r="2203" spans="1:29" s="30" customFormat="1" ht="15.75" customHeight="1" thickBot="1">
      <c r="A2203" s="112" t="str">
        <f>"O"&amp;E2181</f>
        <v>O73</v>
      </c>
      <c r="B2203" s="791"/>
      <c r="C2203" s="54">
        <v>2</v>
      </c>
      <c r="D2203" s="100" t="str">
        <f>IF(AND(C2203&lt;=F2200,F2200&lt;&gt;""),VLOOKUP(VALUE(E2181&amp;","&amp;C2203),INTEGRANTES!$D$19:$F$192,2,0),"")</f>
        <v>INFRAING SAS</v>
      </c>
      <c r="E2203" s="107">
        <f>IF(D2203&lt;&gt;"",VLOOKUP(VALUE(E2181&amp;","&amp;C2203),INTEGRANTES!$D$19:$F$192,3,0),"")</f>
        <v>0.5</v>
      </c>
      <c r="F2203" s="380" t="str">
        <f>IF(D2203="","",IF(OR(SUMIF($J2185:$J2194,D2203,$O2185:$O2194)=0,N2203="NO"),"NO APORTA",SUMIF($J2185:$J2194,D2203,$O2185:$O2194)))</f>
        <v>NO APORTA</v>
      </c>
      <c r="G2203" s="380">
        <f ca="1">IF($D2203="","",IF($F2200&lt;=1,"",ROUND(POSMMLV*PORPO,2)))</f>
        <v>150</v>
      </c>
      <c r="H2203" s="765" t="str">
        <f t="shared" ref="H2203:H2206" ca="1" si="440">IF($D2203="","",IF(OR(F2203="NO APORTA",G2203&gt;F2203),"NO CUMPLE","CUMPLE"))</f>
        <v>NO CUMPLE</v>
      </c>
      <c r="I2203" s="766"/>
      <c r="J2203" s="108" t="str">
        <f ca="1">IF(D2203="","",IF(OR(AND(SUMIF($J2185:$J2194,D2203,$O2185:$O2195)&gt;=5%*POSMMLV,N2203="SI"),AND(SUMIF($J2185:$J2194,D2203,$O2185:$O2195)=0,E2203&lt;=5%,N2203="SI")),"CUMPLE","NO CUMPLE"))</f>
        <v>NO CUMPLE</v>
      </c>
      <c r="K2203" s="105" t="str">
        <f ca="1">IF(OR(D2203="",J2203=""),"",IF(AND(J2203="NO CUMPLE",F2203="NO APORTA",E2203&gt;5%),"EXP = 0 y PART &gt; 5%",IF(F2203&lt;5%*Q2207,"EXP &lt; 5%*PO","")))</f>
        <v>EXP = 0 y PART &gt; 5%</v>
      </c>
      <c r="L2203" s="389" t="str">
        <f>IF(OR(D2203="",E2203=""),"",IF(AND(E2203&gt;=0.05,F2203&lt;&gt;"NO APORTA",F2203&gt;=$R2207*0.05),"SI","NO"))</f>
        <v>NO</v>
      </c>
      <c r="M2203" s="389"/>
      <c r="N2203" s="468" t="s">
        <v>385</v>
      </c>
      <c r="O2203" s="396"/>
      <c r="P2203" s="815"/>
      <c r="Q2203" s="815"/>
      <c r="R2203" s="815"/>
      <c r="S2203" s="819"/>
      <c r="T2203" s="785"/>
      <c r="U2203" s="786"/>
      <c r="V2203" s="787"/>
      <c r="W2203" s="283"/>
      <c r="X2203" s="542" t="str">
        <f>IF($F2200=1,"NO APLICA",$D2203)</f>
        <v>INFRAING SAS</v>
      </c>
      <c r="Y2203" s="543" t="str">
        <f>IF(OR($F2203="",$F2203="NO APORTA",$R2207=0,$X2203="NO APLICA"),"",ROUND($F2203/$Q2207,2))</f>
        <v/>
      </c>
      <c r="Z2203" s="544" t="str">
        <f>IF(Y2208=1,"SI APLICA",IF(OR($X2203="",$X2203="NO APLICA",$F2203="",$F2203="NO APORTA"),"",IF(ROUND($F2203/Q2207,7)&gt;=0.4,"SI APLICA","NO APLICA")))</f>
        <v/>
      </c>
      <c r="AA2203" s="543"/>
      <c r="AB2203" s="540" t="str">
        <f t="shared" ref="AB2203" si="441">IF(COUNTIF(Z2203:AA2203,"SI APLICA")=2,"SI APLICA","")</f>
        <v/>
      </c>
      <c r="AC2203" s="28"/>
    </row>
    <row r="2204" spans="1:29" s="30" customFormat="1" ht="15.75" customHeight="1">
      <c r="A2204" s="112" t="str">
        <f>"P"&amp;E2181</f>
        <v>P73</v>
      </c>
      <c r="B2204" s="791"/>
      <c r="C2204" s="54">
        <v>3</v>
      </c>
      <c r="D2204" s="100" t="str">
        <f>IF(AND(C2204&lt;=F2200,F2200&lt;&gt;""),VLOOKUP(VALUE(E2181&amp;","&amp;C2204),INTEGRANTES!$D$19:$F$192,2,0),"")</f>
        <v/>
      </c>
      <c r="E2204" s="107" t="str">
        <f>IF(D2204&lt;&gt;"",VLOOKUP(VALUE(E2181&amp;","&amp;C2204),INTEGRANTES!$D$19:$F$192,3,0),"")</f>
        <v/>
      </c>
      <c r="F2204" s="380" t="str">
        <f>IF(D2204="","",IF(OR(SUMIF($J2188:$J2194,D2204,$O2188:$O2194)=0,N2204="NO"),"NO APORTA",SUMIF($J2188:$J2194,D2204,$O2188:$O2194)))</f>
        <v/>
      </c>
      <c r="G2204" s="380" t="str">
        <f>IF($D2204="","",IF($F2200&lt;=1,"",ROUND(POSMMLV*PORPO,2)))</f>
        <v/>
      </c>
      <c r="H2204" s="765" t="str">
        <f t="shared" si="440"/>
        <v/>
      </c>
      <c r="I2204" s="766"/>
      <c r="J2204" s="108" t="str">
        <f>IF(D2204="","",IF(OR(AND(SUMIF($J2185:$J2194,D2204,$O2185:$O2194)&gt;=5%*POSMMLV,N2204="SI"),AND(SUMIF($J2185:$J2194,D2204,$O2185:$O2194)=0,E2204&lt;=5%,N2204="SI")),"CUMPLE","NO CUMPLE"))</f>
        <v/>
      </c>
      <c r="K2204" s="105" t="str">
        <f>IF(OR(D2204="",J2204=""),"",IF(AND(J2204="NO CUMPLE",F2204="NO APORTA",E2204&gt;5%),"EXP = 0 y PART &gt; 5%",IF(F2204&lt;5%*Q2207,"EXP &lt; 5%*PO","")))</f>
        <v/>
      </c>
      <c r="L2204" s="389" t="str">
        <f>IF(OR(D2204="",E2204=""),"",IF(AND(E2204&gt;=0.25,F2204&lt;&gt;"NO APORTA",F2204&gt;=$R2207*0.25),"SI","NO"))</f>
        <v/>
      </c>
      <c r="M2204" s="389"/>
      <c r="N2204" s="468"/>
      <c r="O2204" s="397"/>
      <c r="P2204" s="816"/>
      <c r="Q2204" s="816"/>
      <c r="R2204" s="816"/>
      <c r="S2204" s="820"/>
      <c r="T2204" s="308"/>
      <c r="U2204" s="308"/>
      <c r="V2204" s="309"/>
      <c r="W2204" s="284"/>
      <c r="X2204" s="542" t="str">
        <f>IF($F2200=1,"NO APLICA",$D2204)</f>
        <v/>
      </c>
      <c r="Y2204" s="543" t="str">
        <f>IF(OR($F2204="",$F2204="NO APORTA",$R2207=0,$X2204="NO APLICA"),"",ROUND($F2204/$Q2207,2))</f>
        <v/>
      </c>
      <c r="Z2204" s="544" t="str">
        <f>IF(Y2208=1,"SI APLICA",IF(OR($X2204="",$X2204="NO APLICA",$F2204="",$F2204="NO APORTA"),"",IF(ROUND($F2204/Q2207,7)&gt;=0.4,"SI APLICA","NO APLICA")))</f>
        <v/>
      </c>
      <c r="AA2204" s="543"/>
      <c r="AB2204" s="540" t="str">
        <f>IF(COUNTIF(Z2204:AA2204,"SI APLICA")=2,"SI APLICA","")</f>
        <v/>
      </c>
      <c r="AC2204" s="28"/>
    </row>
    <row r="2205" spans="1:29" s="30" customFormat="1" ht="15.75" customHeight="1">
      <c r="A2205" s="112" t="str">
        <f>"Q"&amp;E2181</f>
        <v>Q73</v>
      </c>
      <c r="B2205" s="791"/>
      <c r="C2205" s="54">
        <v>4</v>
      </c>
      <c r="D2205" s="100" t="str">
        <f>IF(AND(C2205&lt;=F2200,F2200&lt;&gt;""),VLOOKUP(VALUE(E2181&amp;","&amp;C2205),INTEGRANTES!$D$19:$F$192,2,0),"")</f>
        <v/>
      </c>
      <c r="E2205" s="107" t="str">
        <f>IF(D2205&lt;&gt;"",VLOOKUP(VALUE(E2181&amp;","&amp;C2205),INTEGRANTES!$D$19:$F$192,3,0),"")</f>
        <v/>
      </c>
      <c r="F2205" s="380" t="str">
        <f>IF(D2205="","",IF(OR(SUMIF($J2188:$J2194,D2205,$O2188:$O2194)=0,N2205="NO"),"NO APORTA",SUMIF($J2188:$J2194,D2205,$O2188:$O2194)))</f>
        <v/>
      </c>
      <c r="G2205" s="380" t="str">
        <f>IF($D2205="","",IF($F2200&lt;=1,"",ROUND(POSMMLV*PORPO,2)))</f>
        <v/>
      </c>
      <c r="H2205" s="765" t="str">
        <f t="shared" si="440"/>
        <v/>
      </c>
      <c r="I2205" s="766"/>
      <c r="J2205" s="108" t="str">
        <f>IF(D2205="","",IF(OR(AND(SUMIF($J2185:$J2194,D2205,$O2185:$O2194)&gt;=5%*POSMMLV,N2205="SI"),AND(SUMIF($J2185:$J2194,D2205,$O2185:$O2194)=0,E2205&lt;=5%,N2205="SI")),"CUMPLE","NO CUMPLE"))</f>
        <v/>
      </c>
      <c r="K2205" s="105" t="str">
        <f>IF(OR(D2205="",J2205=""),"",IF(AND(J2205="NO CUMPLE",F2205="NO APORTA",E2205&gt;5%),"EXP = 0 y PART &gt; 5%",IF(F2205&lt;5%*Q2207,"EXP &lt; 5%*PO","")))</f>
        <v/>
      </c>
      <c r="L2205" s="389" t="str">
        <f>IF(OR(D2205="",E2205=""),"",IF(AND(E2205&gt;=0.25,F2205&lt;&gt;"NO APORTA",F2205&gt;=$R2207*0.25),"SI","NO"))</f>
        <v/>
      </c>
      <c r="M2205" s="389"/>
      <c r="N2205" s="468"/>
      <c r="O2205" s="788" t="s">
        <v>414</v>
      </c>
      <c r="P2205" s="769" t="s">
        <v>415</v>
      </c>
      <c r="Q2205" s="770"/>
      <c r="R2205" s="770"/>
      <c r="S2205" s="771"/>
      <c r="T2205" s="284"/>
      <c r="U2205" s="284"/>
      <c r="V2205" s="310"/>
      <c r="W2205" s="284"/>
      <c r="X2205" s="542" t="str">
        <f>IF($F2200=1,"NO APLICA",$D2205)</f>
        <v/>
      </c>
      <c r="Y2205" s="543" t="str">
        <f>IF(OR($F2205="",$F2205="NO APORTA",$R2207=0,$X2205="NO APLICA"),"",ROUND($F2205/$Q2207,2))</f>
        <v/>
      </c>
      <c r="Z2205" s="544" t="str">
        <f>IF(Y2208=1,"SI APLICA",IF(OR($X2205="",$X2205="NO APLICA",$F2205="",$F2205="NO APORTA"),"",IF(ROUND($F2205/Q2207,7)&gt;=0.4,"SI APLICA","NO APLICA")))</f>
        <v/>
      </c>
      <c r="AA2205" s="543"/>
      <c r="AB2205" s="540" t="str">
        <f t="shared" ref="AB2205:AB2206" si="442">IF(COUNTIF(Z2205:AA2205,"SI APLICA")=2,"SI APLICA","")</f>
        <v/>
      </c>
      <c r="AC2205" s="28"/>
    </row>
    <row r="2206" spans="1:29" s="30" customFormat="1" ht="17.25" customHeight="1">
      <c r="A2206" s="112" t="str">
        <f>"R"&amp;E2181</f>
        <v>R73</v>
      </c>
      <c r="B2206" s="791"/>
      <c r="C2206" s="54">
        <v>5</v>
      </c>
      <c r="D2206" s="100" t="str">
        <f>IF(AND(C2206&lt;=F2200,F2200&lt;&gt;""),VLOOKUP(VALUE(E2181&amp;","&amp;C2206),INTEGRANTES!$D$19:$F$192,2,0),"")</f>
        <v/>
      </c>
      <c r="E2206" s="107" t="str">
        <f>IF(D2206&lt;&gt;"",VLOOKUP(VALUE(E2181&amp;","&amp;C2206),INTEGRANTES!$D$19:$F$192,3,0),"")</f>
        <v/>
      </c>
      <c r="F2206" s="380" t="str">
        <f>IF(D2206="","",IF(OR(SUMIF($J2188:$J2194,D2206,$O2188:$O2194)=0,N2206="NO"),"NO APORTA",SUMIF($J2188:$J2194,D2206,$O2188:$O2194)))</f>
        <v/>
      </c>
      <c r="G2206" s="380" t="str">
        <f>IF($D2206="","",IF($F2200&lt;=1,"",ROUND(POSMMLV*PORPO,2)))</f>
        <v/>
      </c>
      <c r="H2206" s="765" t="str">
        <f t="shared" si="440"/>
        <v/>
      </c>
      <c r="I2206" s="766"/>
      <c r="J2206" s="108" t="str">
        <f>IF(D2206="","",IF(OR(AND(SUMIF($J2185:$J2194,D2206,$O2185:$O2194)&gt;=5%*POSMMLV,N2206="SI"),AND(SUMIF($J2185:$J2194,D2206,$O2185:$O2194)=0,E2206&lt;=5%,N2206="SI")),"CUMPLE","NO CUMPLE"))</f>
        <v/>
      </c>
      <c r="K2206" s="105" t="str">
        <f>IF(OR(D2206="",J2206=""),"",IF(AND(J2206="NO CUMPLE",F2206="NO APORTA",E2206&gt;5%),"EXP = 0 y PART &gt; 5%",IF(F2206&lt;5%*Q2207,"EXP &lt; 5%*PO","")))</f>
        <v/>
      </c>
      <c r="L2206" s="389" t="str">
        <f>IF(OR(D2206="",E2206=""),"",IF(AND(E2206&gt;=0.25,F2206&lt;&gt;"NO APORTA",F2206&gt;=$R2207*0.25),"SI","NO"))</f>
        <v/>
      </c>
      <c r="M2206" s="389"/>
      <c r="N2206" s="468"/>
      <c r="O2206" s="789"/>
      <c r="P2206" s="504" t="s">
        <v>416</v>
      </c>
      <c r="Q2206" s="504" t="s">
        <v>417</v>
      </c>
      <c r="R2206" s="793" t="s">
        <v>418</v>
      </c>
      <c r="S2206" s="793"/>
      <c r="T2206" s="284"/>
      <c r="U2206" s="284"/>
      <c r="V2206" s="310"/>
      <c r="W2206" s="284"/>
      <c r="X2206" s="542" t="str">
        <f>IF($F2200=1,"NO APLICA",$D2206)</f>
        <v/>
      </c>
      <c r="Y2206" s="543" t="str">
        <f>IF(OR($F2206="",$F2206="NO APORTA",$R2207=0,$X2206="NO APLICA"),"",ROUND($F2206/$Q2207,2))</f>
        <v/>
      </c>
      <c r="Z2206" s="544" t="str">
        <f>IF(Y2208=1,"SI APLICA",IF(OR($X2206="",$X2206="NO APLICA",$F2206="",$F2206="NO APORTA"),"",IF(ROUND($F2206/Q2207,7)&gt;=0.4,"SI APLICA","NO APLICA")))</f>
        <v/>
      </c>
      <c r="AA2206" s="543"/>
      <c r="AB2206" s="540" t="str">
        <f t="shared" si="442"/>
        <v/>
      </c>
      <c r="AC2206" s="28"/>
    </row>
    <row r="2207" spans="1:29" s="30" customFormat="1" ht="16.5" customHeight="1" thickBot="1">
      <c r="A2207" s="112" t="str">
        <f>"S"&amp;E2181</f>
        <v>S73</v>
      </c>
      <c r="B2207" s="791"/>
      <c r="C2207" s="109">
        <v>6</v>
      </c>
      <c r="D2207" s="110" t="str">
        <f>IF(AND(C2207&lt;=F2200,F2200&lt;&gt;""),VLOOKUP(VALUE(E2181&amp;","&amp;C2207),INTEGRANTES!$D$19:$F$192,2,0),"")</f>
        <v/>
      </c>
      <c r="E2207" s="111" t="str">
        <f>IF(D2207&lt;&gt;"",VLOOKUP(VALUE(E2181&amp;","&amp;C2207),INTEGRANTES!$D$19:$F$192,3,0),"")</f>
        <v/>
      </c>
      <c r="F2207" s="380" t="str">
        <f>IF(D2207="","",IF(OR(SUMIF($J2188:$J2194,D2207,$O2188:$O2194)=0,N2207="NO"),"NO APORTA",SUMIF($J2188:$J2194,D2207,$O2188:$O2194)))</f>
        <v/>
      </c>
      <c r="G2207" s="380" t="str">
        <f>IF($D2207="","",IF($F2200&lt;=1,"",ROUND(POSMMLV*PORPO,2)))</f>
        <v/>
      </c>
      <c r="H2207" s="765" t="str">
        <f>IF($D2207="","",IF(OR(F2207="NO APORTA",G2207&gt;F2207),"NO CUMPLE","CUMPLE"))</f>
        <v/>
      </c>
      <c r="I2207" s="766"/>
      <c r="J2207" s="108" t="str">
        <f>IF(D2207="","",IF(OR(AND(SUMIF($J2185:$J2194,D2207,$O2185:$O2194)&gt;=5%*POSMMLV,N2207="SI"),AND(SUMIF($J2185:$J2194,D2207,$O2185:$O2194)=0,E2207&lt;=5%,N2207="SI")),"CUMPLE","NO CUMPLE"))</f>
        <v/>
      </c>
      <c r="K2207" s="105" t="str">
        <f>IF(OR(D2207="",J2207=""),"",IF(AND(J2207="NO CUMPLE",F2207="NO APORTA",E2207&gt;5%),"EXP = 0 y PART &gt; 5%",IF(F2207&lt;5%*Q2207,"EXP &lt; 5%*PO","")))</f>
        <v/>
      </c>
      <c r="L2207" s="389" t="str">
        <f>IF(OR(D2207="",E2207=""),"",IF(AND(E2207&gt;=0.25,F2207&lt;&gt;"NO APORTA",F2207&gt;=$R2207*0.25),"SI","NO"))</f>
        <v/>
      </c>
      <c r="M2207" s="389"/>
      <c r="N2207" s="468"/>
      <c r="O2207" s="403" t="str">
        <f ca="1">IF(R2207&gt;=Q2207,"CUMPLE","NO CUMPLE")</f>
        <v>CUMPLE</v>
      </c>
      <c r="P2207" s="312">
        <f>NUMMOD</f>
        <v>1</v>
      </c>
      <c r="Q2207" s="313">
        <f ca="1">IF(P2207="","",ROUND(VLOOKUP(P2207,PRESUPUESTOS!$B$16:$L$16,9,FALSE),7))</f>
        <v>300</v>
      </c>
      <c r="R2207" s="834">
        <f>IF(OR(COUNTIF(O2185:O2194,"")&gt;9,S2201&lt;NUMMINCONT),0,SUM(O2185:O2194))</f>
        <v>1273.2750000000001</v>
      </c>
      <c r="S2207" s="834"/>
      <c r="T2207" s="284"/>
      <c r="U2207" s="284"/>
      <c r="V2207" s="310"/>
      <c r="W2207" s="284"/>
      <c r="X2207" s="545" t="str">
        <f>IF($F2200=1,"NO APLICA",$D2207)</f>
        <v/>
      </c>
      <c r="Y2207" s="543" t="str">
        <f>IF(OR($F2207="",$F2207="NO APORTA",$R2207=0,$X2207="NO APLICA"),"",ROUND($F2207/$Q2207,2))</f>
        <v/>
      </c>
      <c r="Z2207" s="544" t="str">
        <f>IF(Y2208=1,"SI APLICA",IF(OR($X2207="",$X2207="NO APLICA",$F2207="",$F2207="NO APORTA"),"",IF(ROUND($F2207/Q2207,7)&gt;=0.4,"SI APLICA","NO APLICA")))</f>
        <v/>
      </c>
      <c r="AA2207" s="546"/>
      <c r="AB2207" s="540" t="str">
        <f>IF(COUNTIF(Z2207:AA2207,"SI APLICA")=2,"SI APLICA","")</f>
        <v/>
      </c>
      <c r="AC2207" s="28"/>
    </row>
    <row r="2208" spans="1:29" s="30" customFormat="1" ht="16.5" customHeight="1" thickBot="1">
      <c r="A2208" s="112" t="str">
        <f>"T"&amp;E2181</f>
        <v>T73</v>
      </c>
      <c r="B2208" s="792"/>
      <c r="C2208" s="821" t="s">
        <v>419</v>
      </c>
      <c r="D2208" s="822"/>
      <c r="E2208" s="822"/>
      <c r="F2208" s="518"/>
      <c r="G2208" s="519"/>
      <c r="H2208" s="794" t="str">
        <f ca="1">IF(OR($F2200="",SUM(E2202:E2207)=0),"",IF(COUNTIF(H2202:H2207,"CUMPLE")&gt;=1,"CUMPLE","NO CUMPLE"))</f>
        <v>CUMPLE</v>
      </c>
      <c r="I2208" s="795"/>
      <c r="J2208" s="314" t="str">
        <f ca="1">IF(COUNTIF(J2202:J2207,"")&gt;5,"",IF(COUNTIF(J2202:J2207,"NO CUMPLE")&gt;0,"NO CUMPLE","CUMPLE"))</f>
        <v>NO CUMPLE</v>
      </c>
      <c r="K2208" s="314" t="str" cm="1">
        <f t="array" aca="1" ref="K2208" ca="1">IF(OR(AND(F2200=1,N2202:N2203="SI"),AND(COUNTIF(H2208:J2208,"CUMPLE")=2)),"CUMPLE","NO CUMPLE")</f>
        <v>NO CUMPLE</v>
      </c>
      <c r="L2208" s="519"/>
      <c r="M2208" s="519"/>
      <c r="N2208" s="519"/>
      <c r="O2208" s="833" t="str">
        <f ca="1">IF(ISNUMBER(F2181),"",IF(AND(O2207="NO CUMPLE",SUM(N2188:N2194)&lt;Q2207),"EL PROPONENTE SE DEBE REQUERIR POR EXPERIENCIA MINIMA EXIGIDA",""))</f>
        <v/>
      </c>
      <c r="P2208" s="833"/>
      <c r="Q2208" s="833"/>
      <c r="R2208" s="833"/>
      <c r="S2208" s="833"/>
      <c r="T2208" s="522"/>
      <c r="U2208" s="523"/>
      <c r="V2208" s="524"/>
      <c r="W2208" s="284"/>
      <c r="X2208" s="364" t="str">
        <f>IF(Y2208=1,"PROPONENTE INDIVIDUAL","PROPONENTE PLURAL")</f>
        <v>PROPONENTE PLURAL</v>
      </c>
      <c r="Y2208" s="276">
        <f>F2200</f>
        <v>2</v>
      </c>
      <c r="Z2208" s="277" t="str">
        <f ca="1">IF(OR(AND(Z2202="SI APLICA",AA2202="SI APLICA"),AND(Z2203="SI APLICA",AA2203="SI APLICA"),AND(Z2204="SI APLICA",AA2204="SI APLICA"),AND(Z2205="SI APLICA",AA2205="SI APLICA"),AND(Z2206="SI APLICA",AA2206="SI APLICA"),AND(Z2207="SI APLICA",AA2207="SI APLICA")),"SI APLICA","NO APLICA")</f>
        <v>SI APLICA</v>
      </c>
      <c r="AA2208" s="278" t="str">
        <f ca="1">IF(OR(AND(AA2202="SI APLICA",AB2202="SI APLICA"),AND(AA2203="SI APLICA",AB2203="SI APLICA"),AND(AA2204="SI APLICA",AB2204="SI APLICA"),AND(AA2205="SI APLICA",AB2205="SI APLICA"),AND(AA2206="SI APLICA",AB2206="SI APLICA"),AND(AA2207="SI APLICA",AB2207="SI APLICA")),"SI APLICA","NO APLICA")</f>
        <v>SI APLICA</v>
      </c>
      <c r="AB2208" s="278" t="str">
        <f ca="1">IF(COUNTIF(AB2202:AB2207,"SI APLICA")&gt;0,"SI APLICA","NO APLICA")</f>
        <v>SI APLICA</v>
      </c>
      <c r="AC2208" s="28"/>
    </row>
    <row r="2209" spans="1:29" ht="24.95" customHeight="1"/>
    <row r="2210" spans="1:29" ht="24.95" customHeight="1"/>
    <row r="2211" spans="1:29" s="41" customFormat="1" ht="24" thickBot="1">
      <c r="A2211" s="34">
        <v>74</v>
      </c>
      <c r="B2211" s="828" t="s">
        <v>355</v>
      </c>
      <c r="C2211" s="828"/>
      <c r="D2211" s="828"/>
      <c r="E2211" s="35">
        <f>VLOOKUP(A2211,PROPONENTES!$B$19:$E$108,2,FALSE)</f>
        <v>74</v>
      </c>
      <c r="F2211" s="36" t="str">
        <f>VLOOKUP(A2211,PROPONENTES!$B$19:$E$108,3,FALSE)</f>
        <v>INGENIERIA CONUSLTORIA Y PLANEACION S.A – INCOPLAN S.A</v>
      </c>
      <c r="G2211" s="37"/>
      <c r="H2211" s="37"/>
      <c r="I2211" s="36"/>
      <c r="J2211" s="36"/>
      <c r="K2211" s="36"/>
      <c r="L2211" s="36"/>
      <c r="M2211" s="38"/>
      <c r="N2211" s="38"/>
      <c r="O2211" s="37"/>
      <c r="P2211" s="37"/>
      <c r="Q2211" s="39"/>
      <c r="R2211" s="39"/>
      <c r="S2211" s="39"/>
      <c r="T2211" s="39"/>
      <c r="U2211" s="40"/>
      <c r="Y2211" s="52"/>
      <c r="Z2211" s="52"/>
      <c r="AA2211" s="52"/>
      <c r="AB2211" s="28"/>
      <c r="AC2211" s="28"/>
    </row>
    <row r="2212" spans="1:29" s="27" customFormat="1" ht="24.75" customHeight="1">
      <c r="A2212" s="22"/>
      <c r="B2212" s="829" t="s">
        <v>356</v>
      </c>
      <c r="C2212" s="501" t="s">
        <v>357</v>
      </c>
      <c r="D2212" s="502" t="s">
        <v>358</v>
      </c>
      <c r="E2212" s="502"/>
      <c r="F2212" s="502" t="s">
        <v>359</v>
      </c>
      <c r="G2212" s="503"/>
      <c r="H2212" s="803" t="s">
        <v>360</v>
      </c>
      <c r="I2212" s="831" t="s">
        <v>361</v>
      </c>
      <c r="J2212" s="803" t="s">
        <v>362</v>
      </c>
      <c r="K2212" s="803" t="s">
        <v>363</v>
      </c>
      <c r="L2212" s="803" t="s">
        <v>364</v>
      </c>
      <c r="M2212" s="803" t="s">
        <v>365</v>
      </c>
      <c r="N2212" s="804" t="s">
        <v>366</v>
      </c>
      <c r="O2212" s="805"/>
      <c r="P2212" s="806" t="s">
        <v>367</v>
      </c>
      <c r="Q2212" s="807"/>
      <c r="R2212" s="784" t="s">
        <v>368</v>
      </c>
      <c r="S2212" s="774"/>
      <c r="T2212" s="798" t="s">
        <v>369</v>
      </c>
      <c r="U2212" s="799"/>
      <c r="V2212" s="800"/>
      <c r="X2212" s="520"/>
      <c r="Y2212" s="520"/>
    </row>
    <row r="2213" spans="1:29" s="27" customFormat="1" ht="94.5" customHeight="1">
      <c r="A2213" s="22"/>
      <c r="B2213" s="830"/>
      <c r="C2213" s="504" t="s">
        <v>370</v>
      </c>
      <c r="D2213" s="505" t="s">
        <v>41</v>
      </c>
      <c r="E2213" s="505" t="s">
        <v>371</v>
      </c>
      <c r="F2213" s="505" t="s">
        <v>372</v>
      </c>
      <c r="G2213" s="506" t="s">
        <v>373</v>
      </c>
      <c r="H2213" s="793"/>
      <c r="I2213" s="832"/>
      <c r="J2213" s="793"/>
      <c r="K2213" s="793"/>
      <c r="L2213" s="793"/>
      <c r="M2213" s="793"/>
      <c r="N2213" s="504" t="s">
        <v>374</v>
      </c>
      <c r="O2213" s="505" t="s">
        <v>375</v>
      </c>
      <c r="P2213" s="801"/>
      <c r="Q2213" s="802"/>
      <c r="R2213" s="796"/>
      <c r="S2213" s="797"/>
      <c r="T2213" s="507" t="s">
        <v>376</v>
      </c>
      <c r="U2213" s="508" t="s">
        <v>377</v>
      </c>
      <c r="V2213" s="509" t="s">
        <v>378</v>
      </c>
      <c r="X2213" s="521" t="s">
        <v>379</v>
      </c>
      <c r="Y2213" s="521" t="s">
        <v>380</v>
      </c>
    </row>
    <row r="2214" spans="1:29" s="27" customFormat="1" ht="15" customHeight="1">
      <c r="A2214" s="22"/>
      <c r="B2214" s="594"/>
      <c r="C2214" s="595">
        <v>3</v>
      </c>
      <c r="D2214" s="595">
        <v>4</v>
      </c>
      <c r="E2214" s="595">
        <v>5</v>
      </c>
      <c r="F2214" s="595">
        <v>6</v>
      </c>
      <c r="G2214" s="595">
        <v>7</v>
      </c>
      <c r="H2214" s="595">
        <v>8</v>
      </c>
      <c r="I2214" s="595">
        <v>9</v>
      </c>
      <c r="J2214" s="595">
        <v>10</v>
      </c>
      <c r="K2214" s="595">
        <v>11</v>
      </c>
      <c r="L2214" s="595">
        <v>12</v>
      </c>
      <c r="M2214" s="595">
        <v>13</v>
      </c>
      <c r="N2214" s="595">
        <v>14</v>
      </c>
      <c r="O2214" s="595">
        <v>15</v>
      </c>
      <c r="P2214" s="596">
        <v>16</v>
      </c>
      <c r="Q2214" s="597">
        <v>17</v>
      </c>
      <c r="R2214" s="596">
        <v>18</v>
      </c>
      <c r="S2214" s="597">
        <v>19</v>
      </c>
      <c r="T2214" s="598">
        <v>20</v>
      </c>
      <c r="U2214" s="255">
        <v>21</v>
      </c>
      <c r="V2214" s="599">
        <v>22</v>
      </c>
      <c r="X2214" s="589"/>
      <c r="Y2214" s="590"/>
    </row>
    <row r="2215" spans="1:29" s="44" customFormat="1" ht="53.25" customHeight="1">
      <c r="A2215" s="42" t="str">
        <f>"A"&amp;E2211</f>
        <v>A74</v>
      </c>
      <c r="B2215" s="605">
        <f>IF(C2215&lt;&gt;"",B2214+1,"")</f>
        <v>1</v>
      </c>
      <c r="C2215" s="581" t="s">
        <v>996</v>
      </c>
      <c r="D2215" s="581" t="s">
        <v>997</v>
      </c>
      <c r="E2215" s="581" t="s">
        <v>998</v>
      </c>
      <c r="F2215" s="581" t="s">
        <v>431</v>
      </c>
      <c r="G2215" s="534">
        <v>0.2</v>
      </c>
      <c r="H2215" s="534" t="s">
        <v>385</v>
      </c>
      <c r="I2215" s="579" t="s">
        <v>384</v>
      </c>
      <c r="J2215" s="580" t="str">
        <f>IF(I2215="","",IF(I2215="I",$F2211,VLOOKUP(I2215,$C2232:$D2237,2,0)))</f>
        <v>INGENIERIA CONUSLTORIA Y PLANEACION S.A – INCOPLAN S.A</v>
      </c>
      <c r="K2215" s="535">
        <v>43437</v>
      </c>
      <c r="L2215" s="535">
        <v>43908</v>
      </c>
      <c r="M2215" s="536">
        <v>1534.86</v>
      </c>
      <c r="N2215" s="232">
        <f t="shared" ref="N2215:N2224" si="443">IF(OR(G2215="",M2215=""),"",M2215*G2215)</f>
        <v>306.97199999999998</v>
      </c>
      <c r="O2215" s="260">
        <f t="shared" ref="O2215:O2224" si="444">IF(OR(H2215="",H2215="NO",K2215&lt;$Q$17,K2215&gt;$R$17,K2215="",M2215="",N2215=""),"",ROUND(N2215,7))</f>
        <v>306.97199999999998</v>
      </c>
      <c r="P2215" s="781"/>
      <c r="Q2215" s="782"/>
      <c r="R2215" s="767"/>
      <c r="S2215" s="768"/>
      <c r="T2215" s="538" t="s">
        <v>385</v>
      </c>
      <c r="U2215" s="539">
        <v>258</v>
      </c>
      <c r="V2215" s="540" t="s">
        <v>385</v>
      </c>
      <c r="X2215" s="541" t="s">
        <v>386</v>
      </c>
      <c r="Y2215" s="541" t="s">
        <v>435</v>
      </c>
    </row>
    <row r="2216" spans="1:29" s="44" customFormat="1" ht="43.5" customHeight="1">
      <c r="A2216" s="42" t="str">
        <f>"B"&amp;E2211</f>
        <v>B74</v>
      </c>
      <c r="B2216" s="605">
        <f t="shared" ref="B2216:B2224" si="445">IF(C2216&lt;&gt;"",B2215+1,"")</f>
        <v>2</v>
      </c>
      <c r="C2216" s="581" t="s">
        <v>999</v>
      </c>
      <c r="D2216" s="581" t="s">
        <v>1000</v>
      </c>
      <c r="E2216" s="581" t="s">
        <v>1001</v>
      </c>
      <c r="F2216" s="581" t="s">
        <v>431</v>
      </c>
      <c r="G2216" s="534">
        <v>0.3</v>
      </c>
      <c r="H2216" s="534" t="s">
        <v>385</v>
      </c>
      <c r="I2216" s="579" t="s">
        <v>384</v>
      </c>
      <c r="J2216" s="580" t="str">
        <f>IF(I2216="","",IF(I2216="I",$F2211,VLOOKUP(I2216,$C2232:$D2237,2,0)))</f>
        <v>INGENIERIA CONUSLTORIA Y PLANEACION S.A – INCOPLAN S.A</v>
      </c>
      <c r="K2216" s="535">
        <v>38665</v>
      </c>
      <c r="L2216" s="535">
        <v>38792</v>
      </c>
      <c r="M2216" s="536">
        <v>97.08</v>
      </c>
      <c r="N2216" s="232">
        <f t="shared" si="443"/>
        <v>29.123999999999999</v>
      </c>
      <c r="O2216" s="260">
        <f t="shared" si="444"/>
        <v>29.123999999999999</v>
      </c>
      <c r="P2216" s="781"/>
      <c r="Q2216" s="782"/>
      <c r="R2216" s="767"/>
      <c r="S2216" s="768"/>
      <c r="T2216" s="538" t="s">
        <v>385</v>
      </c>
      <c r="U2216" s="539">
        <v>93</v>
      </c>
      <c r="V2216" s="540" t="s">
        <v>385</v>
      </c>
      <c r="X2216" s="541" t="s">
        <v>386</v>
      </c>
      <c r="Y2216" s="541" t="s">
        <v>387</v>
      </c>
    </row>
    <row r="2217" spans="1:29" s="44" customFormat="1" ht="48" customHeight="1">
      <c r="A2217" s="42" t="str">
        <f>"C"&amp;E2211</f>
        <v>C74</v>
      </c>
      <c r="B2217" s="605">
        <f t="shared" si="445"/>
        <v>3</v>
      </c>
      <c r="C2217" s="581" t="s">
        <v>1002</v>
      </c>
      <c r="D2217" s="581" t="s">
        <v>1003</v>
      </c>
      <c r="E2217" s="581" t="s">
        <v>1004</v>
      </c>
      <c r="F2217" s="581" t="s">
        <v>431</v>
      </c>
      <c r="G2217" s="534">
        <v>0.5</v>
      </c>
      <c r="H2217" s="534" t="s">
        <v>385</v>
      </c>
      <c r="I2217" s="579" t="s">
        <v>384</v>
      </c>
      <c r="J2217" s="580" t="str">
        <f>IF(I2217="","",IF(I2217="I",$F2211,VLOOKUP(I2217,$C2232:$D2237,2,0)))</f>
        <v>INGENIERIA CONUSLTORIA Y PLANEACION S.A – INCOPLAN S.A</v>
      </c>
      <c r="K2217" s="535">
        <v>40441</v>
      </c>
      <c r="L2217" s="535">
        <v>40713</v>
      </c>
      <c r="M2217" s="536">
        <v>865.51</v>
      </c>
      <c r="N2217" s="232">
        <f t="shared" si="443"/>
        <v>432.755</v>
      </c>
      <c r="O2217" s="260">
        <f t="shared" si="444"/>
        <v>432.755</v>
      </c>
      <c r="P2217" s="781"/>
      <c r="Q2217" s="782"/>
      <c r="R2217" s="767"/>
      <c r="S2217" s="768"/>
      <c r="T2217" s="538" t="s">
        <v>385</v>
      </c>
      <c r="U2217" s="539">
        <v>56</v>
      </c>
      <c r="V2217" s="540" t="s">
        <v>385</v>
      </c>
      <c r="X2217" s="541" t="s">
        <v>386</v>
      </c>
      <c r="Y2217" s="541" t="s">
        <v>387</v>
      </c>
    </row>
    <row r="2218" spans="1:29" s="44" customFormat="1" ht="24.95" customHeight="1">
      <c r="A2218" s="42" t="str">
        <f>"D"&amp;E2211</f>
        <v>D74</v>
      </c>
      <c r="B2218" s="605" t="str">
        <f t="shared" si="445"/>
        <v/>
      </c>
      <c r="C2218" s="581"/>
      <c r="D2218" s="581"/>
      <c r="E2218" s="581"/>
      <c r="F2218" s="581"/>
      <c r="G2218" s="534"/>
      <c r="H2218" s="534"/>
      <c r="I2218" s="579"/>
      <c r="J2218" s="580" t="str">
        <f>IF(I2218="","",IF(I2218="I",$F2211,VLOOKUP(I2218,$C2232:$D2237,2,0)))</f>
        <v/>
      </c>
      <c r="K2218" s="535"/>
      <c r="L2218" s="535"/>
      <c r="M2218" s="536"/>
      <c r="N2218" s="232" t="str">
        <f t="shared" si="443"/>
        <v/>
      </c>
      <c r="O2218" s="260" t="str">
        <f t="shared" si="444"/>
        <v/>
      </c>
      <c r="P2218" s="781"/>
      <c r="Q2218" s="782"/>
      <c r="R2218" s="767"/>
      <c r="S2218" s="768"/>
      <c r="T2218" s="538"/>
      <c r="U2218" s="539"/>
      <c r="V2218" s="540"/>
      <c r="X2218" s="541"/>
      <c r="Y2218" s="541"/>
    </row>
    <row r="2219" spans="1:29" s="44" customFormat="1" ht="24.95" customHeight="1">
      <c r="A2219" s="42" t="str">
        <f>"E"&amp;E2211</f>
        <v>E74</v>
      </c>
      <c r="B2219" s="605" t="str">
        <f t="shared" si="445"/>
        <v/>
      </c>
      <c r="C2219" s="581"/>
      <c r="D2219" s="581"/>
      <c r="E2219" s="581"/>
      <c r="F2219" s="581"/>
      <c r="G2219" s="534"/>
      <c r="H2219" s="534"/>
      <c r="I2219" s="579"/>
      <c r="J2219" s="580" t="str">
        <f>IF(I2219="","",IF(I2219="I",$F2211,VLOOKUP(I2219,$C2232:$D2237,2,0)))</f>
        <v/>
      </c>
      <c r="K2219" s="535"/>
      <c r="L2219" s="535"/>
      <c r="M2219" s="536"/>
      <c r="N2219" s="232" t="str">
        <f t="shared" si="443"/>
        <v/>
      </c>
      <c r="O2219" s="260" t="str">
        <f t="shared" si="444"/>
        <v/>
      </c>
      <c r="P2219" s="781"/>
      <c r="Q2219" s="782"/>
      <c r="R2219" s="767"/>
      <c r="S2219" s="768"/>
      <c r="T2219" s="538"/>
      <c r="U2219" s="539"/>
      <c r="V2219" s="540"/>
      <c r="X2219" s="541"/>
      <c r="Y2219" s="541"/>
    </row>
    <row r="2220" spans="1:29" s="44" customFormat="1" ht="24.95" customHeight="1">
      <c r="A2220" s="42" t="str">
        <f>"F"&amp;E2211</f>
        <v>F74</v>
      </c>
      <c r="B2220" s="605" t="str">
        <f t="shared" si="445"/>
        <v/>
      </c>
      <c r="C2220" s="581"/>
      <c r="D2220" s="581"/>
      <c r="E2220" s="581"/>
      <c r="F2220" s="581"/>
      <c r="G2220" s="534"/>
      <c r="H2220" s="534"/>
      <c r="I2220" s="579"/>
      <c r="J2220" s="580" t="str">
        <f>IF(I2220="","",IF(I2220="I",$F2211,VLOOKUP(I2220,$C2232:$D2237,2,0)))</f>
        <v/>
      </c>
      <c r="K2220" s="535"/>
      <c r="L2220" s="535"/>
      <c r="M2220" s="536"/>
      <c r="N2220" s="232" t="str">
        <f t="shared" si="443"/>
        <v/>
      </c>
      <c r="O2220" s="260" t="str">
        <f t="shared" si="444"/>
        <v/>
      </c>
      <c r="P2220" s="781"/>
      <c r="Q2220" s="782"/>
      <c r="R2220" s="767"/>
      <c r="S2220" s="768"/>
      <c r="T2220" s="538"/>
      <c r="U2220" s="539"/>
      <c r="V2220" s="540"/>
      <c r="X2220" s="541"/>
      <c r="Y2220" s="541"/>
    </row>
    <row r="2221" spans="1:29" s="44" customFormat="1" ht="24.95" customHeight="1">
      <c r="A2221" s="42" t="str">
        <f>"G"&amp;E2211</f>
        <v>G74</v>
      </c>
      <c r="B2221" s="605" t="str">
        <f t="shared" si="445"/>
        <v/>
      </c>
      <c r="C2221" s="581"/>
      <c r="D2221" s="581"/>
      <c r="E2221" s="581"/>
      <c r="F2221" s="581"/>
      <c r="G2221" s="534"/>
      <c r="H2221" s="534"/>
      <c r="I2221" s="579"/>
      <c r="J2221" s="580" t="str">
        <f>IF(I2221="","",IF(I2221="I",$F2211,VLOOKUP(I2221,$C2232:$D2237,2,0)))</f>
        <v/>
      </c>
      <c r="K2221" s="535"/>
      <c r="L2221" s="535"/>
      <c r="M2221" s="536"/>
      <c r="N2221" s="43" t="str">
        <f t="shared" si="443"/>
        <v/>
      </c>
      <c r="O2221" s="260" t="str">
        <f t="shared" si="444"/>
        <v/>
      </c>
      <c r="P2221" s="781"/>
      <c r="Q2221" s="782"/>
      <c r="R2221" s="767"/>
      <c r="S2221" s="768"/>
      <c r="T2221" s="538"/>
      <c r="U2221" s="539"/>
      <c r="V2221" s="540"/>
      <c r="X2221" s="541"/>
      <c r="Y2221" s="541"/>
    </row>
    <row r="2222" spans="1:29" s="44" customFormat="1" ht="24.95" customHeight="1">
      <c r="A2222" s="42" t="str">
        <f>"H"&amp;E2211</f>
        <v>H74</v>
      </c>
      <c r="B2222" s="605" t="str">
        <f t="shared" si="445"/>
        <v/>
      </c>
      <c r="C2222" s="581"/>
      <c r="D2222" s="581"/>
      <c r="E2222" s="581"/>
      <c r="F2222" s="581"/>
      <c r="G2222" s="534"/>
      <c r="H2222" s="534"/>
      <c r="I2222" s="579"/>
      <c r="J2222" s="580" t="str">
        <f>IF(I2222="","",IF(I2222="I",$F2211,VLOOKUP(I2222,$C2232:$D2237,2,0)))</f>
        <v/>
      </c>
      <c r="K2222" s="535"/>
      <c r="L2222" s="535"/>
      <c r="M2222" s="537"/>
      <c r="N2222" s="43" t="str">
        <f t="shared" si="443"/>
        <v/>
      </c>
      <c r="O2222" s="260" t="str">
        <f t="shared" si="444"/>
        <v/>
      </c>
      <c r="P2222" s="781"/>
      <c r="Q2222" s="782"/>
      <c r="R2222" s="767"/>
      <c r="S2222" s="768"/>
      <c r="T2222" s="538"/>
      <c r="U2222" s="539"/>
      <c r="V2222" s="540"/>
      <c r="X2222" s="541"/>
      <c r="Y2222" s="541"/>
    </row>
    <row r="2223" spans="1:29" s="44" customFormat="1" ht="24.95" customHeight="1">
      <c r="A2223" s="42" t="str">
        <f>"I"&amp;E2211</f>
        <v>I74</v>
      </c>
      <c r="B2223" s="605" t="str">
        <f t="shared" si="445"/>
        <v/>
      </c>
      <c r="C2223" s="581"/>
      <c r="D2223" s="581"/>
      <c r="E2223" s="581"/>
      <c r="F2223" s="581"/>
      <c r="G2223" s="534"/>
      <c r="H2223" s="534"/>
      <c r="I2223" s="579"/>
      <c r="J2223" s="580" t="str">
        <f>IF(I2223="","",IF(I2223="I",$F2211,VLOOKUP(I2223,$C2232:$D2237,2,0)))</f>
        <v/>
      </c>
      <c r="K2223" s="535"/>
      <c r="L2223" s="535"/>
      <c r="M2223" s="537"/>
      <c r="N2223" s="43" t="str">
        <f t="shared" si="443"/>
        <v/>
      </c>
      <c r="O2223" s="260" t="str">
        <f t="shared" si="444"/>
        <v/>
      </c>
      <c r="P2223" s="781"/>
      <c r="Q2223" s="782"/>
      <c r="R2223" s="767"/>
      <c r="S2223" s="768"/>
      <c r="T2223" s="538"/>
      <c r="U2223" s="539"/>
      <c r="V2223" s="540"/>
      <c r="X2223" s="541"/>
      <c r="Y2223" s="541"/>
    </row>
    <row r="2224" spans="1:29" s="44" customFormat="1" ht="24.95" customHeight="1" thickBot="1">
      <c r="A2224" s="42" t="str">
        <f>"J"&amp;E2211</f>
        <v>J74</v>
      </c>
      <c r="B2224" s="612" t="str">
        <f t="shared" si="445"/>
        <v/>
      </c>
      <c r="C2224" s="582"/>
      <c r="D2224" s="582"/>
      <c r="E2224" s="582"/>
      <c r="F2224" s="582"/>
      <c r="G2224" s="583"/>
      <c r="H2224" s="583"/>
      <c r="I2224" s="584"/>
      <c r="J2224" s="585" t="str">
        <f>IF(I2224="","",IF(I2224="I",$F2211,VLOOKUP(I2224,$C2232:$D2237,2,0)))</f>
        <v/>
      </c>
      <c r="K2224" s="586"/>
      <c r="L2224" s="586"/>
      <c r="M2224" s="587"/>
      <c r="N2224" s="43" t="str">
        <f t="shared" si="443"/>
        <v/>
      </c>
      <c r="O2224" s="260" t="str">
        <f t="shared" si="444"/>
        <v/>
      </c>
      <c r="P2224" s="781"/>
      <c r="Q2224" s="782"/>
      <c r="R2224" s="767"/>
      <c r="S2224" s="768"/>
      <c r="T2224" s="538"/>
      <c r="U2224" s="539"/>
      <c r="V2224" s="540"/>
      <c r="X2224" s="541"/>
      <c r="Y2224" s="541"/>
    </row>
    <row r="2225" spans="1:29" s="27" customFormat="1" ht="12" customHeight="1" thickBot="1">
      <c r="A2225" s="42"/>
      <c r="B2225" s="45"/>
      <c r="C2225" s="46"/>
      <c r="D2225" s="46"/>
      <c r="E2225" s="46"/>
      <c r="F2225" s="46"/>
      <c r="G2225" s="46"/>
      <c r="H2225" s="606"/>
      <c r="I2225" s="46"/>
      <c r="J2225" s="46"/>
      <c r="K2225" s="46"/>
      <c r="L2225" s="46"/>
      <c r="M2225" s="46"/>
      <c r="N2225" s="46"/>
      <c r="O2225" s="259"/>
      <c r="P2225" s="46"/>
      <c r="Q2225" s="46"/>
      <c r="R2225" s="259"/>
      <c r="S2225" s="46"/>
      <c r="T2225" s="46"/>
      <c r="U2225" s="47"/>
      <c r="V2225" s="48"/>
      <c r="X2225" s="592"/>
      <c r="Y2225" s="593"/>
      <c r="AB2225" s="378"/>
    </row>
    <row r="2226" spans="1:29" s="27" customFormat="1" ht="17.25" customHeight="1" thickBot="1">
      <c r="A2226" s="42" t="str">
        <f>"Z"&amp;E2211</f>
        <v>Z74</v>
      </c>
      <c r="B2226" s="510"/>
      <c r="C2226" s="511"/>
      <c r="D2226" s="511"/>
      <c r="E2226" s="511"/>
      <c r="F2226" s="511"/>
      <c r="G2226" s="511"/>
      <c r="H2226" s="511"/>
      <c r="I2226" s="511"/>
      <c r="J2226" s="511"/>
      <c r="K2226" s="511"/>
      <c r="L2226" s="511"/>
      <c r="M2226" s="511"/>
      <c r="N2226" s="437" t="s">
        <v>388</v>
      </c>
      <c r="O2226" s="438">
        <f>IF(COUNTIF(O2215:O2224,"")&gt;9,0,SUM(O2215:O2224)/(COUNTIF(H2215:H2224,"SI")))</f>
        <v>256.28366666666665</v>
      </c>
      <c r="P2226" s="511"/>
      <c r="Q2226" s="511"/>
      <c r="R2226" s="530"/>
      <c r="S2226" s="530"/>
      <c r="T2226" s="531"/>
      <c r="U2226" s="532"/>
      <c r="V2226" s="533"/>
      <c r="W2226" s="285"/>
      <c r="X2226" s="613" t="e">
        <f>COUNTIF(#REF!,"")-COUNTIF(#REF!,"CUMPLE")-1</f>
        <v>#REF!</v>
      </c>
      <c r="Y2226" s="591"/>
      <c r="AB2226" s="28"/>
    </row>
    <row r="2227" spans="1:29" ht="17.25" customHeight="1">
      <c r="B2227" s="50"/>
      <c r="C2227" s="50"/>
      <c r="D2227" s="50"/>
      <c r="E2227" s="50"/>
      <c r="F2227" s="50"/>
      <c r="G2227" s="51"/>
      <c r="H2227" s="51"/>
      <c r="I2227" s="51"/>
      <c r="J2227" s="51"/>
      <c r="K2227" s="51"/>
      <c r="L2227" s="51"/>
      <c r="M2227" s="51"/>
      <c r="N2227" s="51"/>
      <c r="O2227" s="51"/>
      <c r="P2227" s="51"/>
      <c r="Q2227" s="51"/>
      <c r="R2227" s="51"/>
      <c r="S2227" s="51"/>
      <c r="T2227" s="51"/>
      <c r="U2227" s="51"/>
      <c r="V2227" s="51"/>
      <c r="W2227" s="51"/>
      <c r="X2227" s="608"/>
      <c r="Y2227" s="51"/>
      <c r="Z2227" s="51"/>
      <c r="AA2227" s="51"/>
      <c r="AB2227" s="51"/>
      <c r="AC2227" s="50"/>
    </row>
    <row r="2228" spans="1:29" s="27" customFormat="1" ht="16.5" customHeight="1" thickBot="1">
      <c r="A2228" s="22"/>
      <c r="B2228" s="783" t="s">
        <v>389</v>
      </c>
      <c r="C2228" s="783"/>
      <c r="D2228" s="783"/>
      <c r="E2228" s="783"/>
      <c r="F2228" s="783"/>
      <c r="G2228" s="783"/>
      <c r="H2228" s="783"/>
      <c r="I2228" s="783"/>
      <c r="J2228" s="783"/>
      <c r="K2228" s="783"/>
      <c r="L2228" s="783"/>
      <c r="M2228" s="783"/>
      <c r="N2228" s="783"/>
      <c r="O2228" s="783"/>
      <c r="P2228" s="783"/>
      <c r="Q2228" s="783"/>
      <c r="R2228" s="783"/>
      <c r="S2228" s="783"/>
      <c r="T2228" s="783"/>
      <c r="U2228" s="783"/>
      <c r="V2228" s="783"/>
      <c r="W2228" s="286"/>
      <c r="X2228" s="607"/>
      <c r="Y2228" s="52"/>
      <c r="Z2228" s="52"/>
      <c r="AA2228" s="52"/>
      <c r="AB2228" s="28"/>
      <c r="AC2228" s="28"/>
    </row>
    <row r="2229" spans="1:29" s="30" customFormat="1" ht="22.5" customHeight="1">
      <c r="A2229" s="112" t="str">
        <f>"K"&amp;E2211</f>
        <v>K74</v>
      </c>
      <c r="B2229" s="790" t="s">
        <v>390</v>
      </c>
      <c r="C2229" s="772" t="s">
        <v>391</v>
      </c>
      <c r="D2229" s="773"/>
      <c r="E2229" s="773"/>
      <c r="F2229" s="773"/>
      <c r="G2229" s="773"/>
      <c r="H2229" s="773"/>
      <c r="I2229" s="773"/>
      <c r="J2229" s="773"/>
      <c r="K2229" s="773"/>
      <c r="L2229" s="773"/>
      <c r="M2229" s="774"/>
      <c r="N2229" s="525"/>
      <c r="O2229" s="588"/>
      <c r="P2229" s="772" t="s">
        <v>392</v>
      </c>
      <c r="Q2229" s="773"/>
      <c r="R2229" s="773"/>
      <c r="S2229" s="774"/>
      <c r="T2229" s="784" t="s">
        <v>393</v>
      </c>
      <c r="U2229" s="774"/>
      <c r="V2229" s="811"/>
      <c r="W2229" s="284"/>
      <c r="X2229" s="778" t="s">
        <v>394</v>
      </c>
      <c r="Y2229" s="779"/>
      <c r="Z2229" s="779"/>
      <c r="AA2229" s="779" t="s">
        <v>395</v>
      </c>
      <c r="AB2229" s="808" t="s">
        <v>396</v>
      </c>
      <c r="AC2229" s="28"/>
    </row>
    <row r="2230" spans="1:29" s="30" customFormat="1" ht="22.5" customHeight="1">
      <c r="A2230" s="112" t="str">
        <f>"L"&amp;E2211</f>
        <v>L74</v>
      </c>
      <c r="B2230" s="791"/>
      <c r="C2230" s="769" t="s">
        <v>397</v>
      </c>
      <c r="D2230" s="770"/>
      <c r="E2230" s="771"/>
      <c r="F2230" s="512">
        <f>IF(VLOOKUP(E2211,PROPONENTES!$C$19:$E$108,3,0)="","",VLOOKUP(E2211,PROPONENTES!$C$19:$E$108,3,0))</f>
        <v>1</v>
      </c>
      <c r="G2230" s="824" t="s">
        <v>398</v>
      </c>
      <c r="H2230" s="793" t="s">
        <v>399</v>
      </c>
      <c r="I2230" s="793"/>
      <c r="J2230" s="769" t="s">
        <v>400</v>
      </c>
      <c r="K2230" s="823"/>
      <c r="L2230" s="513" t="s">
        <v>401</v>
      </c>
      <c r="M2230" s="513"/>
      <c r="N2230" s="526"/>
      <c r="O2230" s="527"/>
      <c r="P2230" s="775"/>
      <c r="Q2230" s="776"/>
      <c r="R2230" s="776"/>
      <c r="S2230" s="777"/>
      <c r="T2230" s="796"/>
      <c r="U2230" s="797"/>
      <c r="V2230" s="812"/>
      <c r="W2230" s="284"/>
      <c r="X2230" s="780" t="s">
        <v>402</v>
      </c>
      <c r="Y2230" s="810" t="s">
        <v>403</v>
      </c>
      <c r="Z2230" s="810"/>
      <c r="AA2230" s="810"/>
      <c r="AB2230" s="809"/>
      <c r="AC2230" s="28"/>
    </row>
    <row r="2231" spans="1:29" s="30" customFormat="1" ht="51.75" customHeight="1" thickBot="1">
      <c r="A2231" s="112" t="str">
        <f>"M"&amp;E2211</f>
        <v>M74</v>
      </c>
      <c r="B2231" s="791"/>
      <c r="C2231" s="770" t="s">
        <v>404</v>
      </c>
      <c r="D2231" s="771"/>
      <c r="E2231" s="514" t="s">
        <v>405</v>
      </c>
      <c r="F2231" s="515" t="s">
        <v>406</v>
      </c>
      <c r="G2231" s="824"/>
      <c r="H2231" s="793"/>
      <c r="I2231" s="793"/>
      <c r="J2231" s="504" t="s">
        <v>407</v>
      </c>
      <c r="K2231" s="516" t="s">
        <v>408</v>
      </c>
      <c r="L2231" s="517" t="s">
        <v>785</v>
      </c>
      <c r="M2231" s="517"/>
      <c r="N2231" s="528" t="s">
        <v>410</v>
      </c>
      <c r="O2231" s="529"/>
      <c r="P2231" s="386"/>
      <c r="Q2231" s="387" t="s">
        <v>411</v>
      </c>
      <c r="R2231" s="388"/>
      <c r="S2231" s="113">
        <f>COUNTIFS(H2215:H2224,"SI",O2215:O2224,"&gt;0")</f>
        <v>3</v>
      </c>
      <c r="T2231" s="785"/>
      <c r="U2231" s="787"/>
      <c r="V2231" s="813"/>
      <c r="W2231" s="284"/>
      <c r="X2231" s="780"/>
      <c r="Y2231" s="810"/>
      <c r="Z2231" s="810"/>
      <c r="AA2231" s="810"/>
      <c r="AB2231" s="809"/>
      <c r="AC2231" s="28"/>
    </row>
    <row r="2232" spans="1:29" s="30" customFormat="1" ht="15.75" customHeight="1">
      <c r="A2232" s="112" t="str">
        <f>"N"&amp;E2211</f>
        <v>N74</v>
      </c>
      <c r="B2232" s="791"/>
      <c r="C2232" s="54">
        <v>1</v>
      </c>
      <c r="D2232" s="100" t="str">
        <f>IF(AND(C2232&lt;=F2230,F2230&gt;1,F2230&lt;&gt;""),VLOOKUP(VALUE(E2211&amp;","&amp;C2232),INTEGRANTES!$D$19:$F$192,2,0),"")</f>
        <v/>
      </c>
      <c r="E2232" s="107" t="str">
        <f>IF(D2232&lt;&gt;"",VLOOKUP(VALUE(E2211&amp;","&amp;C2232),INTEGRANTES!$D$19:$F$192,3,0),"")</f>
        <v/>
      </c>
      <c r="F2232" s="380" t="str">
        <f>IF(D2232="","",IF(OR(SUMIF($J2218:$J2224,D2232,$O2218:$O2224)=0,N2232="NO"),"NO APORTA",SUMIF($J2218:$J2224,D2232,$O2218:$O2224)))</f>
        <v/>
      </c>
      <c r="G2232" s="380" t="str">
        <f>IF($D2232="","",IF($F2230&lt;=1,"",ROUND(POSMMLV*PORPO,2)))</f>
        <v/>
      </c>
      <c r="H2232" s="765" t="str">
        <f>IF($D2232="","",IF(OR(F2232="NO APORTA",G2232&gt;F2232),"NO CUMPLE","CUMPLE"))</f>
        <v/>
      </c>
      <c r="I2232" s="766"/>
      <c r="J2232" s="108" t="str">
        <f>IF(D2232="","",IF(OR(AND(SUMIF($J2215:$J2224,D2232,$O2215:$O2224)&gt;=5%*POSMMLV,N2232="SI"),AND(SUMIF($J2215:$J2224,D2232,$O2215:$O2224)=0,E2232&lt;=5%,N2232="SI")),"CUMPLE","NO CUMPLE"))</f>
        <v/>
      </c>
      <c r="K2232" s="105" t="str">
        <f>IF(OR(D2232="",J2232=""),"",IF(AND(J2232="NO CUMPLE",F2232="NO APORTA",E2232&gt;5%),"EXP = 0 y PART &gt; 5%",IF(F2232&lt;5%*Q2237,"EXP &lt; 5%*PO","")))</f>
        <v/>
      </c>
      <c r="L2232" s="389" t="str">
        <f>IF(OR(D2232="",E2232=""),"",IF(AND(E2232&gt;=0.25,F2232&lt;&gt;"NO APORTA",F2232&gt;=$R2237*0.25),"SI","NO"))</f>
        <v/>
      </c>
      <c r="M2232" s="389"/>
      <c r="N2232" s="468" t="s">
        <v>385</v>
      </c>
      <c r="O2232" s="396">
        <f>COUNTIFS(O2215:O2224,"&gt;0",H2215:H2224,"SI")</f>
        <v>3</v>
      </c>
      <c r="P2232" s="814" t="s">
        <v>139</v>
      </c>
      <c r="Q2232" s="814"/>
      <c r="R2232" s="817">
        <f>E2211</f>
        <v>74</v>
      </c>
      <c r="S2232" s="818"/>
      <c r="T2232" s="784" t="s">
        <v>412</v>
      </c>
      <c r="U2232" s="773"/>
      <c r="V2232" s="774"/>
      <c r="W2232" s="283"/>
      <c r="X2232" s="542" t="str">
        <f>IF($F2230=1,"NO APLICA",$D2232)</f>
        <v>NO APLICA</v>
      </c>
      <c r="Y2232" s="543" t="str">
        <f>IF(OR($F2232="",$F2232="NO APORTA",$R2237=0,$X2232="NO APLICA"),"",ROUND($F2232/$Q2237,2))</f>
        <v/>
      </c>
      <c r="Z2232" s="544" t="str">
        <f>IF(Y2238=1,"SI APLICA",IF(OR($X2232="",$X2232="NO APLICA",$F2232="",$F2232="NO APORTA"),"",IF(ROUND($F2232/Q2237,7)&gt;=0.4,"SI APLICA","NO APLICA")))</f>
        <v>SI APLICA</v>
      </c>
      <c r="AA2232" s="543" t="s">
        <v>413</v>
      </c>
      <c r="AB2232" s="540" t="str">
        <f>IF(COUNTIF(Z2232:AA2232,"SI APLICA")=2,"SI APLICA","")</f>
        <v>SI APLICA</v>
      </c>
      <c r="AC2232" s="28"/>
    </row>
    <row r="2233" spans="1:29" s="30" customFormat="1" ht="15.75" customHeight="1" thickBot="1">
      <c r="A2233" s="112" t="str">
        <f>"O"&amp;E2211</f>
        <v>O74</v>
      </c>
      <c r="B2233" s="791"/>
      <c r="C2233" s="54">
        <v>2</v>
      </c>
      <c r="D2233" s="100" t="str">
        <f>IF(AND(C2233&lt;=F2230,F2230&lt;&gt;""),VLOOKUP(VALUE(E2211&amp;","&amp;C2233),INTEGRANTES!$D$19:$F$192,2,0),"")</f>
        <v/>
      </c>
      <c r="E2233" s="107" t="str">
        <f>IF(D2233&lt;&gt;"",VLOOKUP(VALUE(E2211&amp;","&amp;C2233),INTEGRANTES!$D$19:$F$192,3,0),"")</f>
        <v/>
      </c>
      <c r="F2233" s="380" t="str">
        <f>IF(D2233="","",IF(OR(SUMIF($J2218:$J2224,D2233,$O2218:$O2224)=0,N2233="NO"),"NO APORTA",SUMIF($J2218:$J2224,D2233,$O2218:$O2224)))</f>
        <v/>
      </c>
      <c r="G2233" s="380" t="str">
        <f>IF($D2233="","",IF($F2230&lt;=1,"",ROUND(POSMMLV*PORPO,2)))</f>
        <v/>
      </c>
      <c r="H2233" s="765" t="str">
        <f t="shared" ref="H2233:H2236" si="446">IF($D2233="","",IF(OR(F2233="NO APORTA",G2233&gt;F2233),"NO CUMPLE","CUMPLE"))</f>
        <v/>
      </c>
      <c r="I2233" s="766"/>
      <c r="J2233" s="108" t="str">
        <f>IF(D2233="","",IF(OR(AND(SUMIF($J2215:$J2224,D2233,$O2215:$O2224)&gt;=5%*POSMMLV,N2233="SI"),AND(SUMIF($J2215:$J2224,D2233,$O2215:$O2224)=0,E2233&lt;=5%,N2233="SI")),"CUMPLE","NO CUMPLE"))</f>
        <v/>
      </c>
      <c r="K2233" s="105" t="str">
        <f>IF(OR(D2233="",J2233=""),"",IF(AND(J2233="NO CUMPLE",F2233="NO APORTA",E2233&gt;5%),"EXP = 0 y PART &gt; 5%",IF(F2233&lt;5%*Q2237,"EXP &lt; 5%*PO","")))</f>
        <v/>
      </c>
      <c r="L2233" s="389" t="str">
        <f>IF(OR(D2233="",E2233=""),"",IF(AND(E2233&gt;=0.25,F2233&lt;&gt;"NO APORTA",F2233&gt;=$R2237*0.25),"SI","NO"))</f>
        <v/>
      </c>
      <c r="M2233" s="389"/>
      <c r="N2233" s="468" t="s">
        <v>385</v>
      </c>
      <c r="O2233" s="396"/>
      <c r="P2233" s="815"/>
      <c r="Q2233" s="815"/>
      <c r="R2233" s="815"/>
      <c r="S2233" s="819"/>
      <c r="T2233" s="785"/>
      <c r="U2233" s="786"/>
      <c r="V2233" s="787"/>
      <c r="W2233" s="283"/>
      <c r="X2233" s="542" t="str">
        <f>IF($F2230=1,"NO APLICA",$D2233)</f>
        <v>NO APLICA</v>
      </c>
      <c r="Y2233" s="543" t="str">
        <f>IF(OR($F2233="",$F2233="NO APORTA",$R2237=0,$X2233="NO APLICA"),"",ROUND($F2233/$Q2237,2))</f>
        <v/>
      </c>
      <c r="Z2233" s="544"/>
      <c r="AA2233" s="543"/>
      <c r="AB2233" s="540" t="str">
        <f t="shared" ref="AB2233" si="447">IF(COUNTIF(Z2233:AA2233,"SI APLICA")=2,"SI APLICA","")</f>
        <v/>
      </c>
      <c r="AC2233" s="28"/>
    </row>
    <row r="2234" spans="1:29" s="30" customFormat="1" ht="15.75" customHeight="1">
      <c r="A2234" s="112" t="str">
        <f>"P"&amp;E2211</f>
        <v>P74</v>
      </c>
      <c r="B2234" s="791"/>
      <c r="C2234" s="54">
        <v>3</v>
      </c>
      <c r="D2234" s="100" t="str">
        <f>IF(AND(C2234&lt;=F2230,F2230&lt;&gt;""),VLOOKUP(VALUE(E2211&amp;","&amp;C2234),INTEGRANTES!$D$19:$F$192,2,0),"")</f>
        <v/>
      </c>
      <c r="E2234" s="107" t="str">
        <f>IF(D2234&lt;&gt;"",VLOOKUP(VALUE(E2211&amp;","&amp;C2234),INTEGRANTES!$D$19:$F$192,3,0),"")</f>
        <v/>
      </c>
      <c r="F2234" s="380" t="str">
        <f>IF(D2234="","",IF(OR(SUMIF($J2218:$J2224,D2234,$O2218:$O2224)=0,N2234="NO"),"NO APORTA",SUMIF($J2218:$J2224,D2234,$O2218:$O2224)))</f>
        <v/>
      </c>
      <c r="G2234" s="380" t="str">
        <f>IF($D2234="","",IF($F2230&lt;=1,"",ROUND(POSMMLV*PORPO,2)))</f>
        <v/>
      </c>
      <c r="H2234" s="765" t="str">
        <f t="shared" si="446"/>
        <v/>
      </c>
      <c r="I2234" s="766"/>
      <c r="J2234" s="108" t="str">
        <f>IF(D2234="","",IF(OR(AND(SUMIF($J2215:$J2224,D2234,$O2215:$O2224)&gt;=5%*POSMMLV,N2234="SI"),AND(SUMIF($J2215:$J2224,D2234,$O2215:$O2224)=0,E2234&lt;=5%,N2234="SI")),"CUMPLE","NO CUMPLE"))</f>
        <v/>
      </c>
      <c r="K2234" s="105" t="str">
        <f>IF(OR(D2234="",J2234=""),"",IF(AND(J2234="NO CUMPLE",F2234="NO APORTA",E2234&gt;5%),"EXP = 0 y PART &gt; 5%",IF(F2234&lt;5%*Q2237,"EXP &lt; 5%*PO","")))</f>
        <v/>
      </c>
      <c r="L2234" s="389" t="str">
        <f>IF(OR(D2234="",E2234=""),"",IF(AND(E2234&gt;=0.25,F2234&lt;&gt;"NO APORTA",F2234&gt;=$R2237*0.25),"SI","NO"))</f>
        <v/>
      </c>
      <c r="M2234" s="389"/>
      <c r="N2234" s="468"/>
      <c r="O2234" s="397"/>
      <c r="P2234" s="816"/>
      <c r="Q2234" s="816"/>
      <c r="R2234" s="816"/>
      <c r="S2234" s="820"/>
      <c r="T2234" s="308"/>
      <c r="U2234" s="308"/>
      <c r="V2234" s="309"/>
      <c r="W2234" s="284"/>
      <c r="X2234" s="542" t="str">
        <f>IF($F2230=1,"NO APLICA",$D2234)</f>
        <v>NO APLICA</v>
      </c>
      <c r="Y2234" s="543" t="str">
        <f>IF(OR($F2234="",$F2234="NO APORTA",$R2237=0,$X2234="NO APLICA"),"",ROUND($F2234/$Q2237,2))</f>
        <v/>
      </c>
      <c r="Z2234" s="544"/>
      <c r="AA2234" s="543"/>
      <c r="AB2234" s="540" t="str">
        <f>IF(COUNTIF(Z2234:AA2234,"SI APLICA")=2,"SI APLICA","")</f>
        <v/>
      </c>
      <c r="AC2234" s="28"/>
    </row>
    <row r="2235" spans="1:29" s="30" customFormat="1" ht="15.75" customHeight="1">
      <c r="A2235" s="112" t="str">
        <f>"Q"&amp;E2211</f>
        <v>Q74</v>
      </c>
      <c r="B2235" s="791"/>
      <c r="C2235" s="54">
        <v>4</v>
      </c>
      <c r="D2235" s="100" t="str">
        <f>IF(AND(C2235&lt;=F2230,F2230&lt;&gt;""),VLOOKUP(VALUE(E2211&amp;","&amp;C2235),INTEGRANTES!$D$19:$F$192,2,0),"")</f>
        <v/>
      </c>
      <c r="E2235" s="107" t="str">
        <f>IF(D2235&lt;&gt;"",VLOOKUP(VALUE(E2211&amp;","&amp;C2235),INTEGRANTES!$D$19:$F$192,3,0),"")</f>
        <v/>
      </c>
      <c r="F2235" s="380" t="str">
        <f>IF(D2235="","",IF(OR(SUMIF($J2218:$J2224,D2235,$O2218:$O2224)=0,N2235="NO"),"NO APORTA",SUMIF($J2218:$J2224,D2235,$O2218:$O2224)))</f>
        <v/>
      </c>
      <c r="G2235" s="380" t="str">
        <f>IF($D2235="","",IF($F2230&lt;=1,"",ROUND(POSMMLV*PORPO,2)))</f>
        <v/>
      </c>
      <c r="H2235" s="765" t="str">
        <f t="shared" si="446"/>
        <v/>
      </c>
      <c r="I2235" s="766"/>
      <c r="J2235" s="108" t="str">
        <f>IF(D2235="","",IF(OR(AND(SUMIF($J2215:$J2224,D2235,$O2215:$O2224)&gt;=5%*POSMMLV,N2235="SI"),AND(SUMIF($J2215:$J2224,D2235,$O2215:$O2224)=0,E2235&lt;=5%,N2235="SI")),"CUMPLE","NO CUMPLE"))</f>
        <v/>
      </c>
      <c r="K2235" s="105" t="str">
        <f>IF(OR(D2235="",J2235=""),"",IF(AND(J2235="NO CUMPLE",F2235="NO APORTA",E2235&gt;5%),"EXP = 0 y PART &gt; 5%",IF(F2235&lt;5%*Q2237,"EXP &lt; 5%*PO","")))</f>
        <v/>
      </c>
      <c r="L2235" s="389" t="str">
        <f>IF(OR(D2235="",E2235=""),"",IF(AND(E2235&gt;=0.25,F2235&lt;&gt;"NO APORTA",F2235&gt;=$R2237*0.25),"SI","NO"))</f>
        <v/>
      </c>
      <c r="M2235" s="389"/>
      <c r="N2235" s="468"/>
      <c r="O2235" s="788" t="s">
        <v>414</v>
      </c>
      <c r="P2235" s="769" t="s">
        <v>415</v>
      </c>
      <c r="Q2235" s="770"/>
      <c r="R2235" s="770"/>
      <c r="S2235" s="771"/>
      <c r="T2235" s="284"/>
      <c r="U2235" s="284"/>
      <c r="V2235" s="310"/>
      <c r="W2235" s="284"/>
      <c r="X2235" s="542" t="str">
        <f>IF($F2230=1,"NO APLICA",$D2235)</f>
        <v>NO APLICA</v>
      </c>
      <c r="Y2235" s="543" t="str">
        <f>IF(OR($F2235="",$F2235="NO APORTA",$R2237=0,$X2235="NO APLICA"),"",ROUND($F2235/$Q2237,2))</f>
        <v/>
      </c>
      <c r="Z2235" s="544"/>
      <c r="AA2235" s="543"/>
      <c r="AB2235" s="540" t="str">
        <f t="shared" ref="AB2235:AB2236" si="448">IF(COUNTIF(Z2235:AA2235,"SI APLICA")=2,"SI APLICA","")</f>
        <v/>
      </c>
      <c r="AC2235" s="28"/>
    </row>
    <row r="2236" spans="1:29" s="30" customFormat="1" ht="17.25" customHeight="1">
      <c r="A2236" s="112" t="str">
        <f>"R"&amp;E2211</f>
        <v>R74</v>
      </c>
      <c r="B2236" s="791"/>
      <c r="C2236" s="54">
        <v>5</v>
      </c>
      <c r="D2236" s="100" t="str">
        <f>IF(AND(C2236&lt;=F2230,F2230&lt;&gt;""),VLOOKUP(VALUE(E2211&amp;","&amp;C2236),INTEGRANTES!$D$19:$F$192,2,0),"")</f>
        <v/>
      </c>
      <c r="E2236" s="107" t="str">
        <f>IF(D2236&lt;&gt;"",VLOOKUP(VALUE(E2211&amp;","&amp;C2236),INTEGRANTES!$D$19:$F$192,3,0),"")</f>
        <v/>
      </c>
      <c r="F2236" s="380" t="str">
        <f>IF(D2236="","",IF(OR(SUMIF($J2218:$J2224,D2236,$O2218:$O2224)=0,N2236="NO"),"NO APORTA",SUMIF($J2218:$J2224,D2236,$O2218:$O2224)))</f>
        <v/>
      </c>
      <c r="G2236" s="380" t="str">
        <f>IF($D2236="","",IF($F2230&lt;=1,"",ROUND(POSMMLV*PORPO,2)))</f>
        <v/>
      </c>
      <c r="H2236" s="765" t="str">
        <f t="shared" si="446"/>
        <v/>
      </c>
      <c r="I2236" s="766"/>
      <c r="J2236" s="108" t="str">
        <f>IF(D2236="","",IF(OR(AND(SUMIF($J2215:$J2224,D2236,$O2215:$O2224)&gt;=5%*POSMMLV,N2236="SI"),AND(SUMIF($J2215:$J2224,D2236,$O2215:$O2224)=0,E2236&lt;=5%,N2236="SI")),"CUMPLE","NO CUMPLE"))</f>
        <v/>
      </c>
      <c r="K2236" s="105" t="str">
        <f>IF(OR(D2236="",J2236=""),"",IF(AND(J2236="NO CUMPLE",F2236="NO APORTA",E2236&gt;5%),"EXP = 0 y PART &gt; 5%",IF(F2236&lt;5%*Q2237,"EXP &lt; 5%*PO","")))</f>
        <v/>
      </c>
      <c r="L2236" s="389" t="str">
        <f>IF(OR(D2236="",E2236=""),"",IF(AND(E2236&gt;=0.25,F2236&lt;&gt;"NO APORTA",F2236&gt;=$R2237*0.25),"SI","NO"))</f>
        <v/>
      </c>
      <c r="M2236" s="389"/>
      <c r="N2236" s="468"/>
      <c r="O2236" s="789"/>
      <c r="P2236" s="504" t="s">
        <v>416</v>
      </c>
      <c r="Q2236" s="504" t="s">
        <v>417</v>
      </c>
      <c r="R2236" s="793" t="s">
        <v>418</v>
      </c>
      <c r="S2236" s="793"/>
      <c r="T2236" s="284"/>
      <c r="U2236" s="284"/>
      <c r="V2236" s="310"/>
      <c r="W2236" s="284"/>
      <c r="X2236" s="542" t="str">
        <f>IF($F2230=1,"NO APLICA",$D2236)</f>
        <v>NO APLICA</v>
      </c>
      <c r="Y2236" s="543" t="str">
        <f>IF(OR($F2236="",$F2236="NO APORTA",$R2237=0,$X2236="NO APLICA"),"",ROUND($F2236/$Q2237,2))</f>
        <v/>
      </c>
      <c r="Z2236" s="544"/>
      <c r="AA2236" s="543"/>
      <c r="AB2236" s="540" t="str">
        <f t="shared" si="448"/>
        <v/>
      </c>
      <c r="AC2236" s="28"/>
    </row>
    <row r="2237" spans="1:29" s="30" customFormat="1" ht="16.5" customHeight="1" thickBot="1">
      <c r="A2237" s="112" t="str">
        <f>"S"&amp;E2211</f>
        <v>S74</v>
      </c>
      <c r="B2237" s="791"/>
      <c r="C2237" s="109">
        <v>6</v>
      </c>
      <c r="D2237" s="110" t="str">
        <f>IF(AND(C2237&lt;=F2230,F2230&lt;&gt;""),VLOOKUP(VALUE(E2211&amp;","&amp;C2237),INTEGRANTES!$D$19:$F$192,2,0),"")</f>
        <v/>
      </c>
      <c r="E2237" s="111" t="str">
        <f>IF(D2237&lt;&gt;"",VLOOKUP(VALUE(E2211&amp;","&amp;C2237),INTEGRANTES!$D$19:$F$192,3,0),"")</f>
        <v/>
      </c>
      <c r="F2237" s="380" t="str">
        <f>IF(D2237="","",IF(OR(SUMIF($J2218:$J2224,D2237,$O2218:$O2224)=0,N2237="NO"),"NO APORTA",SUMIF($J2218:$J2224,D2237,$O2218:$O2224)))</f>
        <v/>
      </c>
      <c r="G2237" s="380" t="str">
        <f>IF($D2237="","",IF($F2230&lt;=1,"",ROUND(POSMMLV*PORPO,2)))</f>
        <v/>
      </c>
      <c r="H2237" s="765" t="str">
        <f>IF($D2237="","",IF(OR(F2237="NO APORTA",G2237&gt;F2237),"NO CUMPLE","CUMPLE"))</f>
        <v/>
      </c>
      <c r="I2237" s="766"/>
      <c r="J2237" s="108" t="str">
        <f>IF(D2237="","",IF(OR(AND(SUMIF($J2215:$J2224,D2237,$O2215:$O2224)&gt;=5%*POSMMLV,N2237="SI"),AND(SUMIF($J2215:$J2224,D2237,$O2215:$O2224)=0,E2237&lt;=5%,N2237="SI")),"CUMPLE","NO CUMPLE"))</f>
        <v/>
      </c>
      <c r="K2237" s="105" t="str">
        <f>IF(OR(D2237="",J2237=""),"",IF(AND(J2237="NO CUMPLE",F2237="NO APORTA",E2237&gt;5%),"EXP = 0 y PART &gt; 5%",IF(F2237&lt;5%*Q2237,"EXP &lt; 5%*PO","")))</f>
        <v/>
      </c>
      <c r="L2237" s="389" t="str">
        <f>IF(OR(D2237="",E2237=""),"",IF(AND(E2237&gt;=0.25,F2237&lt;&gt;"NO APORTA",F2237&gt;=$R2237*0.25),"SI","NO"))</f>
        <v/>
      </c>
      <c r="M2237" s="389"/>
      <c r="N2237" s="468"/>
      <c r="O2237" s="403" t="str">
        <f ca="1">IF(R2237&gt;=Q2237,"CUMPLE","NO CUMPLE")</f>
        <v>CUMPLE</v>
      </c>
      <c r="P2237" s="312">
        <f>NUMMOD</f>
        <v>1</v>
      </c>
      <c r="Q2237" s="313">
        <f ca="1">IF(P2237="","",ROUND(VLOOKUP(P2237,PRESUPUESTOS!$B$16:$L$16,9,FALSE),7))</f>
        <v>300</v>
      </c>
      <c r="R2237" s="834">
        <f>IF(OR(COUNTIF(O2215:O2224,"")&gt;9,S2231&lt;NUMMINCONT),0,SUM(O2215:O2224))</f>
        <v>768.851</v>
      </c>
      <c r="S2237" s="834"/>
      <c r="T2237" s="284"/>
      <c r="U2237" s="284"/>
      <c r="V2237" s="310"/>
      <c r="W2237" s="284"/>
      <c r="X2237" s="545" t="str">
        <f>IF($F2230=1,"NO APLICA",$D2237)</f>
        <v>NO APLICA</v>
      </c>
      <c r="Y2237" s="543" t="str">
        <f>IF(OR($F2237="",$F2237="NO APORTA",$R2237=0,$X2237="NO APLICA"),"",ROUND($F2237/$Q2237,2))</f>
        <v/>
      </c>
      <c r="Z2237" s="544"/>
      <c r="AA2237" s="546"/>
      <c r="AB2237" s="540" t="str">
        <f>IF(COUNTIF(Z2237:AA2237,"SI APLICA")=2,"SI APLICA","")</f>
        <v/>
      </c>
      <c r="AC2237" s="28"/>
    </row>
    <row r="2238" spans="1:29" s="30" customFormat="1" ht="16.5" customHeight="1" thickBot="1">
      <c r="A2238" s="112" t="str">
        <f>"T"&amp;E2211</f>
        <v>T74</v>
      </c>
      <c r="B2238" s="792"/>
      <c r="C2238" s="821" t="s">
        <v>419</v>
      </c>
      <c r="D2238" s="822"/>
      <c r="E2238" s="822"/>
      <c r="F2238" s="518"/>
      <c r="G2238" s="519"/>
      <c r="H2238" s="794" t="str">
        <f>IF(OR($F2230="",SUM(E2232:E2237)=0),"",IF(COUNTIF(H2232:H2237,"CUMPLE")&gt;=1,"CUMPLE","NO CUMPLE"))</f>
        <v/>
      </c>
      <c r="I2238" s="795"/>
      <c r="J2238" s="314" t="str">
        <f>IF(COUNTIF(J2232:J2237,"")&gt;5,"",IF(COUNTIF(J2232:J2237,"NO CUMPLE")&gt;0,"NO CUMPLE","CUMPLE"))</f>
        <v/>
      </c>
      <c r="K2238" s="314" t="str">
        <f>IF(OR(AND(F2230=1,N2232="SI"),AND(COUNTIF(H2238:J2238,"CUMPLE")=2)),"CUMPLE","NO CUMPLE")</f>
        <v>CUMPLE</v>
      </c>
      <c r="L2238" s="519"/>
      <c r="M2238" s="519"/>
      <c r="N2238" s="519"/>
      <c r="O2238" s="833" t="str">
        <f ca="1">IF(ISNUMBER(F2211),"",IF(AND(O2237="NO CUMPLE",SUM(N2218:N2224)&lt;Q2237),"EL PROPONENTE SE DEBE REQUERIR POR EXPERIENCIA MINIMA EXIGIDA",""))</f>
        <v/>
      </c>
      <c r="P2238" s="833"/>
      <c r="Q2238" s="833"/>
      <c r="R2238" s="833"/>
      <c r="S2238" s="833"/>
      <c r="T2238" s="522"/>
      <c r="U2238" s="523"/>
      <c r="V2238" s="524"/>
      <c r="W2238" s="284"/>
      <c r="X2238" s="364" t="str">
        <f>IF(Y2238=1,"PROPONENTE INDIVIDUAL","PROPONENTE PLURAL")</f>
        <v>PROPONENTE INDIVIDUAL</v>
      </c>
      <c r="Y2238" s="276">
        <f>F2230</f>
        <v>1</v>
      </c>
      <c r="Z2238" s="277" t="str">
        <f>IF(OR(AND(Z2232="SI APLICA",AA2232="SI APLICA"),AND(Z2233="SI APLICA",AA2233="SI APLICA"),AND(Z2234="SI APLICA",AA2234="SI APLICA"),AND(Z2235="SI APLICA",AA2235="SI APLICA"),AND(Z2236="SI APLICA",AA2236="SI APLICA"),AND(Z2237="SI APLICA",AA2237="SI APLICA")),"SI APLICA","NO APLICA")</f>
        <v>SI APLICA</v>
      </c>
      <c r="AA2238" s="278" t="str">
        <f>IF(OR(AND(AA2232="SI APLICA",AB2232="SI APLICA"),AND(AA2233="SI APLICA",AB2233="SI APLICA"),AND(AA2234="SI APLICA",AB2234="SI APLICA"),AND(AA2235="SI APLICA",AB2235="SI APLICA"),AND(AA2236="SI APLICA",AB2236="SI APLICA"),AND(AA2237="SI APLICA",AB2237="SI APLICA")),"SI APLICA","NO APLICA")</f>
        <v>SI APLICA</v>
      </c>
      <c r="AB2238" s="278" t="str">
        <f>IF(COUNTIF(AB2232:AB2237,"SI APLICA")&gt;0,"SI APLICA","NO APLICA")</f>
        <v>SI APLICA</v>
      </c>
      <c r="AC2238" s="28"/>
    </row>
    <row r="2239" spans="1:29" ht="24.95" customHeight="1"/>
    <row r="2240" spans="1:29" ht="24.95" customHeight="1"/>
    <row r="2241" spans="1:29" s="41" customFormat="1" ht="24" thickBot="1">
      <c r="A2241" s="34">
        <v>75</v>
      </c>
      <c r="B2241" s="828" t="s">
        <v>355</v>
      </c>
      <c r="C2241" s="828"/>
      <c r="D2241" s="828"/>
      <c r="E2241" s="35">
        <f>VLOOKUP(A2241,PROPONENTES!$B$19:$E$108,2,FALSE)</f>
        <v>75</v>
      </c>
      <c r="F2241" s="36" t="str">
        <f>VLOOKUP(A2241,PROPONENTES!$B$19:$E$108,3,FALSE)</f>
        <v>JAIME MORENO ESPAÑA</v>
      </c>
      <c r="G2241" s="37"/>
      <c r="H2241" s="37"/>
      <c r="I2241" s="36"/>
      <c r="J2241" s="36"/>
      <c r="K2241" s="36"/>
      <c r="L2241" s="36"/>
      <c r="M2241" s="38"/>
      <c r="N2241" s="38"/>
      <c r="O2241" s="37"/>
      <c r="P2241" s="37"/>
      <c r="Q2241" s="39"/>
      <c r="R2241" s="39"/>
      <c r="S2241" s="39"/>
      <c r="T2241" s="39"/>
      <c r="U2241" s="40"/>
      <c r="Y2241" s="52"/>
      <c r="Z2241" s="52"/>
      <c r="AA2241" s="52"/>
      <c r="AB2241" s="28"/>
      <c r="AC2241" s="28"/>
    </row>
    <row r="2242" spans="1:29" s="27" customFormat="1" ht="24.75" customHeight="1">
      <c r="A2242" s="22"/>
      <c r="B2242" s="829" t="s">
        <v>356</v>
      </c>
      <c r="C2242" s="501" t="s">
        <v>357</v>
      </c>
      <c r="D2242" s="502" t="s">
        <v>358</v>
      </c>
      <c r="E2242" s="502"/>
      <c r="F2242" s="502" t="s">
        <v>359</v>
      </c>
      <c r="G2242" s="503"/>
      <c r="H2242" s="803" t="s">
        <v>360</v>
      </c>
      <c r="I2242" s="831" t="s">
        <v>361</v>
      </c>
      <c r="J2242" s="803" t="s">
        <v>362</v>
      </c>
      <c r="K2242" s="803" t="s">
        <v>363</v>
      </c>
      <c r="L2242" s="803" t="s">
        <v>364</v>
      </c>
      <c r="M2242" s="803" t="s">
        <v>365</v>
      </c>
      <c r="N2242" s="804" t="s">
        <v>366</v>
      </c>
      <c r="O2242" s="805"/>
      <c r="P2242" s="806" t="s">
        <v>367</v>
      </c>
      <c r="Q2242" s="807"/>
      <c r="R2242" s="784" t="s">
        <v>368</v>
      </c>
      <c r="S2242" s="774"/>
      <c r="T2242" s="798" t="s">
        <v>369</v>
      </c>
      <c r="U2242" s="799"/>
      <c r="V2242" s="800"/>
      <c r="X2242" s="520"/>
      <c r="Y2242" s="520"/>
    </row>
    <row r="2243" spans="1:29" s="27" customFormat="1" ht="94.5" customHeight="1">
      <c r="A2243" s="22"/>
      <c r="B2243" s="830"/>
      <c r="C2243" s="504" t="s">
        <v>370</v>
      </c>
      <c r="D2243" s="505" t="s">
        <v>41</v>
      </c>
      <c r="E2243" s="505" t="s">
        <v>371</v>
      </c>
      <c r="F2243" s="505" t="s">
        <v>372</v>
      </c>
      <c r="G2243" s="506" t="s">
        <v>373</v>
      </c>
      <c r="H2243" s="793"/>
      <c r="I2243" s="832"/>
      <c r="J2243" s="793"/>
      <c r="K2243" s="793"/>
      <c r="L2243" s="793"/>
      <c r="M2243" s="793"/>
      <c r="N2243" s="504" t="s">
        <v>374</v>
      </c>
      <c r="O2243" s="505" t="s">
        <v>375</v>
      </c>
      <c r="P2243" s="801"/>
      <c r="Q2243" s="802"/>
      <c r="R2243" s="796"/>
      <c r="S2243" s="797"/>
      <c r="T2243" s="507" t="s">
        <v>376</v>
      </c>
      <c r="U2243" s="508" t="s">
        <v>377</v>
      </c>
      <c r="V2243" s="509" t="s">
        <v>378</v>
      </c>
      <c r="X2243" s="521" t="s">
        <v>379</v>
      </c>
      <c r="Y2243" s="521" t="s">
        <v>380</v>
      </c>
    </row>
    <row r="2244" spans="1:29" s="27" customFormat="1" ht="15" customHeight="1">
      <c r="A2244" s="22"/>
      <c r="B2244" s="594"/>
      <c r="C2244" s="595">
        <v>3</v>
      </c>
      <c r="D2244" s="595">
        <v>4</v>
      </c>
      <c r="E2244" s="595">
        <v>5</v>
      </c>
      <c r="F2244" s="595">
        <v>6</v>
      </c>
      <c r="G2244" s="595">
        <v>7</v>
      </c>
      <c r="H2244" s="595">
        <v>8</v>
      </c>
      <c r="I2244" s="595">
        <v>9</v>
      </c>
      <c r="J2244" s="595">
        <v>10</v>
      </c>
      <c r="K2244" s="595">
        <v>11</v>
      </c>
      <c r="L2244" s="595">
        <v>12</v>
      </c>
      <c r="M2244" s="595">
        <v>13</v>
      </c>
      <c r="N2244" s="595">
        <v>14</v>
      </c>
      <c r="O2244" s="595">
        <v>15</v>
      </c>
      <c r="P2244" s="596">
        <v>16</v>
      </c>
      <c r="Q2244" s="597">
        <v>17</v>
      </c>
      <c r="R2244" s="596">
        <v>18</v>
      </c>
      <c r="S2244" s="597">
        <v>19</v>
      </c>
      <c r="T2244" s="598">
        <v>20</v>
      </c>
      <c r="U2244" s="255">
        <v>21</v>
      </c>
      <c r="V2244" s="599">
        <v>22</v>
      </c>
      <c r="X2244" s="589"/>
      <c r="Y2244" s="590"/>
    </row>
    <row r="2245" spans="1:29" s="44" customFormat="1" ht="47.25" customHeight="1">
      <c r="A2245" s="42" t="str">
        <f>"A"&amp;E2241</f>
        <v>A75</v>
      </c>
      <c r="B2245" s="605">
        <f>IF(C2245&lt;&gt;"",B2244+1,"")</f>
        <v>1</v>
      </c>
      <c r="C2245" s="581" t="s">
        <v>443</v>
      </c>
      <c r="D2245" s="581" t="s">
        <v>1005</v>
      </c>
      <c r="E2245" s="581" t="s">
        <v>1006</v>
      </c>
      <c r="F2245" s="581" t="s">
        <v>431</v>
      </c>
      <c r="G2245" s="534">
        <v>0.5</v>
      </c>
      <c r="H2245" s="534" t="s">
        <v>385</v>
      </c>
      <c r="I2245" s="579" t="s">
        <v>384</v>
      </c>
      <c r="J2245" s="580" t="str">
        <f>IF(I2245="","",IF(I2245="I",$F2241,VLOOKUP(I2245,$C2262:$D2267,2,0)))</f>
        <v>JAIME MORENO ESPAÑA</v>
      </c>
      <c r="K2245" s="535">
        <v>42228</v>
      </c>
      <c r="L2245" s="535">
        <v>42319</v>
      </c>
      <c r="M2245" s="536">
        <v>99.47</v>
      </c>
      <c r="N2245" s="232">
        <f t="shared" ref="N2245:N2254" si="449">IF(OR(G2245="",M2245=""),"",M2245*G2245)</f>
        <v>49.734999999999999</v>
      </c>
      <c r="O2245" s="260">
        <f t="shared" ref="O2245:O2254" si="450">IF(OR(H2245="",H2245="NO",K2245&lt;$Q$17,K2245&gt;$R$17,K2245="",M2245="",N2245=""),"",ROUND(N2245,7))</f>
        <v>49.734999999999999</v>
      </c>
      <c r="P2245" s="781"/>
      <c r="Q2245" s="782"/>
      <c r="R2245" s="767"/>
      <c r="S2245" s="768"/>
      <c r="T2245" s="538" t="s">
        <v>385</v>
      </c>
      <c r="U2245" s="539">
        <v>59</v>
      </c>
      <c r="V2245" s="540" t="s">
        <v>385</v>
      </c>
      <c r="X2245" s="541" t="s">
        <v>423</v>
      </c>
      <c r="Y2245" s="541" t="s">
        <v>435</v>
      </c>
    </row>
    <row r="2246" spans="1:29" s="44" customFormat="1" ht="38.25" customHeight="1">
      <c r="A2246" s="42" t="str">
        <f>"B"&amp;E2241</f>
        <v>B75</v>
      </c>
      <c r="B2246" s="605">
        <f t="shared" ref="B2246:B2254" si="451">IF(C2246&lt;&gt;"",B2245+1,"")</f>
        <v>2</v>
      </c>
      <c r="C2246" s="581" t="s">
        <v>443</v>
      </c>
      <c r="D2246" s="581" t="s">
        <v>1007</v>
      </c>
      <c r="E2246" s="581" t="s">
        <v>1008</v>
      </c>
      <c r="F2246" s="581" t="s">
        <v>431</v>
      </c>
      <c r="G2246" s="534">
        <v>0.2</v>
      </c>
      <c r="H2246" s="534" t="s">
        <v>385</v>
      </c>
      <c r="I2246" s="579" t="s">
        <v>384</v>
      </c>
      <c r="J2246" s="580" t="str">
        <f>IF(I2246="","",IF(I2246="I",$F2241,VLOOKUP(I2246,$C2262:$D2267,2,0)))</f>
        <v>JAIME MORENO ESPAÑA</v>
      </c>
      <c r="K2246" s="535">
        <v>42972</v>
      </c>
      <c r="L2246" s="535">
        <v>43124</v>
      </c>
      <c r="M2246" s="536">
        <v>381.54</v>
      </c>
      <c r="N2246" s="232">
        <f t="shared" si="449"/>
        <v>76.308000000000007</v>
      </c>
      <c r="O2246" s="260">
        <f t="shared" si="450"/>
        <v>76.308000000000007</v>
      </c>
      <c r="P2246" s="781" t="s">
        <v>1009</v>
      </c>
      <c r="Q2246" s="782"/>
      <c r="R2246" s="767"/>
      <c r="S2246" s="768"/>
      <c r="T2246" s="538" t="s">
        <v>385</v>
      </c>
      <c r="U2246" s="539">
        <v>69</v>
      </c>
      <c r="V2246" s="540" t="s">
        <v>385</v>
      </c>
      <c r="X2246" s="541" t="s">
        <v>449</v>
      </c>
      <c r="Y2246" s="541" t="s">
        <v>387</v>
      </c>
    </row>
    <row r="2247" spans="1:29" s="44" customFormat="1" ht="24.95" customHeight="1">
      <c r="A2247" s="42" t="str">
        <f>"C"&amp;E2241</f>
        <v>C75</v>
      </c>
      <c r="B2247" s="605">
        <f t="shared" si="451"/>
        <v>3</v>
      </c>
      <c r="C2247" s="581" t="s">
        <v>443</v>
      </c>
      <c r="D2247" s="581" t="s">
        <v>1010</v>
      </c>
      <c r="E2247" s="581" t="s">
        <v>1011</v>
      </c>
      <c r="F2247" s="581" t="s">
        <v>384</v>
      </c>
      <c r="G2247" s="534">
        <v>1</v>
      </c>
      <c r="H2247" s="534" t="s">
        <v>385</v>
      </c>
      <c r="I2247" s="579" t="s">
        <v>384</v>
      </c>
      <c r="J2247" s="580" t="str">
        <f>IF(I2247="","",IF(I2247="I",$F2241,VLOOKUP(I2247,$C2262:$D2267,2,0)))</f>
        <v>JAIME MORENO ESPAÑA</v>
      </c>
      <c r="K2247" s="535">
        <v>36396</v>
      </c>
      <c r="L2247" s="535">
        <v>36441</v>
      </c>
      <c r="M2247" s="536">
        <v>56.56</v>
      </c>
      <c r="N2247" s="232">
        <f t="shared" si="449"/>
        <v>56.56</v>
      </c>
      <c r="O2247" s="260">
        <f t="shared" si="450"/>
        <v>56.56</v>
      </c>
      <c r="P2247" s="781"/>
      <c r="Q2247" s="782"/>
      <c r="R2247" s="767"/>
      <c r="S2247" s="768"/>
      <c r="T2247" s="538" t="s">
        <v>385</v>
      </c>
      <c r="U2247" s="539">
        <v>18</v>
      </c>
      <c r="V2247" s="540" t="s">
        <v>385</v>
      </c>
      <c r="X2247" s="541" t="s">
        <v>449</v>
      </c>
      <c r="Y2247" s="541" t="s">
        <v>387</v>
      </c>
    </row>
    <row r="2248" spans="1:29" s="44" customFormat="1" ht="42" customHeight="1">
      <c r="A2248" s="42" t="str">
        <f>"D"&amp;E2241</f>
        <v>D75</v>
      </c>
      <c r="B2248" s="605">
        <f t="shared" si="451"/>
        <v>4</v>
      </c>
      <c r="C2248" s="581" t="s">
        <v>443</v>
      </c>
      <c r="D2248" s="581" t="s">
        <v>1012</v>
      </c>
      <c r="E2248" s="581" t="s">
        <v>1013</v>
      </c>
      <c r="F2248" s="581" t="s">
        <v>384</v>
      </c>
      <c r="G2248" s="534">
        <v>1</v>
      </c>
      <c r="H2248" s="534" t="s">
        <v>385</v>
      </c>
      <c r="I2248" s="579" t="s">
        <v>384</v>
      </c>
      <c r="J2248" s="580" t="str">
        <f>IF(I2248="","",IF(I2248="I",$F2241,VLOOKUP(I2248,$C2262:$D2267,2,0)))</f>
        <v>JAIME MORENO ESPAÑA</v>
      </c>
      <c r="K2248" s="535">
        <v>40087</v>
      </c>
      <c r="L2248" s="535">
        <v>40209</v>
      </c>
      <c r="M2248" s="536">
        <v>74.37</v>
      </c>
      <c r="N2248" s="232">
        <f t="shared" si="449"/>
        <v>74.37</v>
      </c>
      <c r="O2248" s="260">
        <f t="shared" si="450"/>
        <v>74.37</v>
      </c>
      <c r="P2248" s="781"/>
      <c r="Q2248" s="782"/>
      <c r="R2248" s="767"/>
      <c r="S2248" s="768"/>
      <c r="T2248" s="538" t="s">
        <v>385</v>
      </c>
      <c r="U2248" s="539">
        <v>37</v>
      </c>
      <c r="V2248" s="540" t="s">
        <v>385</v>
      </c>
      <c r="X2248" s="541" t="s">
        <v>423</v>
      </c>
      <c r="Y2248" s="541" t="s">
        <v>387</v>
      </c>
    </row>
    <row r="2249" spans="1:29" s="44" customFormat="1" ht="55.5" customHeight="1">
      <c r="A2249" s="42" t="str">
        <f>"E"&amp;E2241</f>
        <v>E75</v>
      </c>
      <c r="B2249" s="605">
        <f t="shared" si="451"/>
        <v>5</v>
      </c>
      <c r="C2249" s="581" t="s">
        <v>443</v>
      </c>
      <c r="D2249" s="581" t="s">
        <v>1014</v>
      </c>
      <c r="E2249" s="581" t="s">
        <v>1015</v>
      </c>
      <c r="F2249" s="581" t="s">
        <v>384</v>
      </c>
      <c r="G2249" s="534">
        <v>1</v>
      </c>
      <c r="H2249" s="534" t="s">
        <v>385</v>
      </c>
      <c r="I2249" s="579" t="s">
        <v>384</v>
      </c>
      <c r="J2249" s="580" t="str">
        <f>IF(I2249="","",IF(I2249="I",$F2241,VLOOKUP(I2249,$C2262:$D2267,2,0)))</f>
        <v>JAIME MORENO ESPAÑA</v>
      </c>
      <c r="K2249" s="535">
        <v>41969</v>
      </c>
      <c r="L2249" s="535">
        <v>42061</v>
      </c>
      <c r="M2249" s="536">
        <v>58.75</v>
      </c>
      <c r="N2249" s="232">
        <f t="shared" si="449"/>
        <v>58.75</v>
      </c>
      <c r="O2249" s="260">
        <f t="shared" si="450"/>
        <v>58.75</v>
      </c>
      <c r="P2249" s="781"/>
      <c r="Q2249" s="782"/>
      <c r="R2249" s="767"/>
      <c r="S2249" s="768"/>
      <c r="T2249" s="538" t="s">
        <v>385</v>
      </c>
      <c r="U2249" s="539">
        <v>57</v>
      </c>
      <c r="V2249" s="540" t="s">
        <v>385</v>
      </c>
      <c r="X2249" s="541" t="s">
        <v>423</v>
      </c>
      <c r="Y2249" s="541" t="s">
        <v>435</v>
      </c>
    </row>
    <row r="2250" spans="1:29" s="44" customFormat="1" ht="24.95" customHeight="1">
      <c r="A2250" s="42" t="str">
        <f>"F"&amp;E2241</f>
        <v>F75</v>
      </c>
      <c r="B2250" s="605" t="str">
        <f t="shared" si="451"/>
        <v/>
      </c>
      <c r="C2250" s="581"/>
      <c r="D2250" s="581"/>
      <c r="E2250" s="581"/>
      <c r="F2250" s="581"/>
      <c r="G2250" s="534"/>
      <c r="H2250" s="534"/>
      <c r="I2250" s="579"/>
      <c r="J2250" s="580" t="str">
        <f>IF(I2250="","",IF(I2250="I",$F2241,VLOOKUP(I2250,$C2262:$D2267,2,0)))</f>
        <v/>
      </c>
      <c r="K2250" s="535"/>
      <c r="L2250" s="535"/>
      <c r="M2250" s="536"/>
      <c r="N2250" s="232" t="str">
        <f t="shared" si="449"/>
        <v/>
      </c>
      <c r="O2250" s="260" t="str">
        <f t="shared" si="450"/>
        <v/>
      </c>
      <c r="P2250" s="781"/>
      <c r="Q2250" s="782"/>
      <c r="R2250" s="767"/>
      <c r="S2250" s="768"/>
      <c r="T2250" s="538"/>
      <c r="U2250" s="539"/>
      <c r="V2250" s="540"/>
      <c r="X2250" s="541"/>
      <c r="Y2250" s="541"/>
    </row>
    <row r="2251" spans="1:29" s="44" customFormat="1" ht="24.95" customHeight="1">
      <c r="A2251" s="42" t="str">
        <f>"G"&amp;E2241</f>
        <v>G75</v>
      </c>
      <c r="B2251" s="605" t="str">
        <f t="shared" si="451"/>
        <v/>
      </c>
      <c r="C2251" s="581"/>
      <c r="D2251" s="581"/>
      <c r="E2251" s="581"/>
      <c r="F2251" s="581"/>
      <c r="G2251" s="534"/>
      <c r="H2251" s="534"/>
      <c r="I2251" s="579"/>
      <c r="J2251" s="580" t="str">
        <f>IF(I2251="","",IF(I2251="I",$F2241,VLOOKUP(I2251,$C2262:$D2267,2,0)))</f>
        <v/>
      </c>
      <c r="K2251" s="535"/>
      <c r="L2251" s="535"/>
      <c r="M2251" s="536"/>
      <c r="N2251" s="43" t="str">
        <f t="shared" si="449"/>
        <v/>
      </c>
      <c r="O2251" s="260" t="str">
        <f t="shared" si="450"/>
        <v/>
      </c>
      <c r="P2251" s="781"/>
      <c r="Q2251" s="782"/>
      <c r="R2251" s="767"/>
      <c r="S2251" s="768"/>
      <c r="T2251" s="538"/>
      <c r="U2251" s="539"/>
      <c r="V2251" s="540"/>
      <c r="X2251" s="541"/>
      <c r="Y2251" s="541"/>
    </row>
    <row r="2252" spans="1:29" s="44" customFormat="1" ht="24.95" customHeight="1">
      <c r="A2252" s="42" t="str">
        <f>"H"&amp;E2241</f>
        <v>H75</v>
      </c>
      <c r="B2252" s="605" t="str">
        <f t="shared" si="451"/>
        <v/>
      </c>
      <c r="C2252" s="581"/>
      <c r="D2252" s="581"/>
      <c r="E2252" s="581"/>
      <c r="F2252" s="581"/>
      <c r="G2252" s="534"/>
      <c r="H2252" s="534"/>
      <c r="I2252" s="579"/>
      <c r="J2252" s="580" t="str">
        <f>IF(I2252="","",IF(I2252="I",$F2241,VLOOKUP(I2252,$C2262:$D2267,2,0)))</f>
        <v/>
      </c>
      <c r="K2252" s="535"/>
      <c r="L2252" s="535"/>
      <c r="M2252" s="537"/>
      <c r="N2252" s="43" t="str">
        <f t="shared" si="449"/>
        <v/>
      </c>
      <c r="O2252" s="260" t="str">
        <f t="shared" si="450"/>
        <v/>
      </c>
      <c r="P2252" s="781"/>
      <c r="Q2252" s="782"/>
      <c r="R2252" s="767"/>
      <c r="S2252" s="768"/>
      <c r="T2252" s="538"/>
      <c r="U2252" s="539"/>
      <c r="V2252" s="540"/>
      <c r="X2252" s="541"/>
      <c r="Y2252" s="541"/>
    </row>
    <row r="2253" spans="1:29" s="44" customFormat="1" ht="24.95" customHeight="1">
      <c r="A2253" s="42" t="str">
        <f>"I"&amp;E2241</f>
        <v>I75</v>
      </c>
      <c r="B2253" s="605" t="str">
        <f t="shared" si="451"/>
        <v/>
      </c>
      <c r="C2253" s="581"/>
      <c r="D2253" s="581"/>
      <c r="E2253" s="581"/>
      <c r="F2253" s="581"/>
      <c r="G2253" s="534"/>
      <c r="H2253" s="534"/>
      <c r="I2253" s="579"/>
      <c r="J2253" s="580" t="str">
        <f>IF(I2253="","",IF(I2253="I",$F2241,VLOOKUP(I2253,$C2262:$D2267,2,0)))</f>
        <v/>
      </c>
      <c r="K2253" s="535"/>
      <c r="L2253" s="535"/>
      <c r="M2253" s="537"/>
      <c r="N2253" s="43" t="str">
        <f t="shared" si="449"/>
        <v/>
      </c>
      <c r="O2253" s="260" t="str">
        <f t="shared" si="450"/>
        <v/>
      </c>
      <c r="P2253" s="781"/>
      <c r="Q2253" s="782"/>
      <c r="R2253" s="767"/>
      <c r="S2253" s="768"/>
      <c r="T2253" s="538"/>
      <c r="U2253" s="539"/>
      <c r="V2253" s="540"/>
      <c r="X2253" s="541"/>
      <c r="Y2253" s="541"/>
    </row>
    <row r="2254" spans="1:29" s="44" customFormat="1" ht="24.95" customHeight="1" thickBot="1">
      <c r="A2254" s="42" t="str">
        <f>"J"&amp;E2241</f>
        <v>J75</v>
      </c>
      <c r="B2254" s="612" t="str">
        <f t="shared" si="451"/>
        <v/>
      </c>
      <c r="C2254" s="582"/>
      <c r="D2254" s="582"/>
      <c r="E2254" s="582"/>
      <c r="F2254" s="582"/>
      <c r="G2254" s="583"/>
      <c r="H2254" s="583"/>
      <c r="I2254" s="584"/>
      <c r="J2254" s="585" t="str">
        <f>IF(I2254="","",IF(I2254="I",$F2241,VLOOKUP(I2254,$C2262:$D2267,2,0)))</f>
        <v/>
      </c>
      <c r="K2254" s="586"/>
      <c r="L2254" s="586"/>
      <c r="M2254" s="587"/>
      <c r="N2254" s="43" t="str">
        <f t="shared" si="449"/>
        <v/>
      </c>
      <c r="O2254" s="260" t="str">
        <f t="shared" si="450"/>
        <v/>
      </c>
      <c r="P2254" s="781"/>
      <c r="Q2254" s="782"/>
      <c r="R2254" s="767"/>
      <c r="S2254" s="768"/>
      <c r="T2254" s="538"/>
      <c r="U2254" s="539"/>
      <c r="V2254" s="540"/>
      <c r="X2254" s="541"/>
      <c r="Y2254" s="541"/>
    </row>
    <row r="2255" spans="1:29" s="27" customFormat="1" ht="12" customHeight="1" thickBot="1">
      <c r="A2255" s="42"/>
      <c r="B2255" s="45"/>
      <c r="C2255" s="46"/>
      <c r="D2255" s="46"/>
      <c r="E2255" s="46"/>
      <c r="F2255" s="46"/>
      <c r="G2255" s="46"/>
      <c r="H2255" s="606"/>
      <c r="I2255" s="46"/>
      <c r="J2255" s="46"/>
      <c r="K2255" s="46"/>
      <c r="L2255" s="46"/>
      <c r="M2255" s="46"/>
      <c r="N2255" s="46"/>
      <c r="O2255" s="259"/>
      <c r="P2255" s="46"/>
      <c r="Q2255" s="46"/>
      <c r="R2255" s="259"/>
      <c r="S2255" s="46"/>
      <c r="T2255" s="46"/>
      <c r="U2255" s="47"/>
      <c r="V2255" s="48"/>
      <c r="X2255" s="592"/>
      <c r="Y2255" s="593"/>
      <c r="AB2255" s="378"/>
    </row>
    <row r="2256" spans="1:29" s="27" customFormat="1" ht="17.25" customHeight="1" thickBot="1">
      <c r="A2256" s="42" t="str">
        <f>"Z"&amp;E2241</f>
        <v>Z75</v>
      </c>
      <c r="B2256" s="510"/>
      <c r="C2256" s="511"/>
      <c r="D2256" s="511"/>
      <c r="E2256" s="511"/>
      <c r="F2256" s="511"/>
      <c r="G2256" s="511"/>
      <c r="H2256" s="511"/>
      <c r="I2256" s="511"/>
      <c r="J2256" s="511"/>
      <c r="K2256" s="511"/>
      <c r="L2256" s="511"/>
      <c r="M2256" s="511"/>
      <c r="N2256" s="437" t="s">
        <v>388</v>
      </c>
      <c r="O2256" s="438">
        <f>IF(COUNTIF(O2245:O2254,"")&gt;9,0,SUM(O2245:O2254)/(COUNTIF(H2245:H2254,"SI")))</f>
        <v>63.144600000000004</v>
      </c>
      <c r="P2256" s="511"/>
      <c r="Q2256" s="511"/>
      <c r="R2256" s="530"/>
      <c r="S2256" s="530"/>
      <c r="T2256" s="531"/>
      <c r="U2256" s="532"/>
      <c r="V2256" s="533"/>
      <c r="W2256" s="285"/>
      <c r="X2256" s="613" t="e">
        <f>COUNTIF(#REF!,"")-COUNTIF(#REF!,"CUMPLE")-1</f>
        <v>#REF!</v>
      </c>
      <c r="Y2256" s="591"/>
      <c r="AB2256" s="28"/>
    </row>
    <row r="2257" spans="1:29" ht="17.25" customHeight="1">
      <c r="B2257" s="50"/>
      <c r="C2257" s="50"/>
      <c r="D2257" s="50"/>
      <c r="E2257" s="50"/>
      <c r="F2257" s="50"/>
      <c r="G2257" s="51"/>
      <c r="H2257" s="51"/>
      <c r="I2257" s="51"/>
      <c r="J2257" s="51"/>
      <c r="K2257" s="51"/>
      <c r="L2257" s="51"/>
      <c r="M2257" s="51"/>
      <c r="N2257" s="51"/>
      <c r="O2257" s="51"/>
      <c r="P2257" s="51"/>
      <c r="Q2257" s="51"/>
      <c r="R2257" s="51"/>
      <c r="S2257" s="51"/>
      <c r="T2257" s="51"/>
      <c r="U2257" s="51"/>
      <c r="V2257" s="51"/>
      <c r="W2257" s="51"/>
      <c r="X2257" s="608"/>
      <c r="Y2257" s="51"/>
      <c r="Z2257" s="51"/>
      <c r="AA2257" s="51"/>
      <c r="AB2257" s="51"/>
      <c r="AC2257" s="50"/>
    </row>
    <row r="2258" spans="1:29" s="27" customFormat="1" ht="16.5" customHeight="1" thickBot="1">
      <c r="A2258" s="22"/>
      <c r="B2258" s="783" t="s">
        <v>389</v>
      </c>
      <c r="C2258" s="783"/>
      <c r="D2258" s="783"/>
      <c r="E2258" s="783"/>
      <c r="F2258" s="783"/>
      <c r="G2258" s="783"/>
      <c r="H2258" s="783"/>
      <c r="I2258" s="783"/>
      <c r="J2258" s="783"/>
      <c r="K2258" s="783"/>
      <c r="L2258" s="783"/>
      <c r="M2258" s="783"/>
      <c r="N2258" s="783"/>
      <c r="O2258" s="783"/>
      <c r="P2258" s="783"/>
      <c r="Q2258" s="783"/>
      <c r="R2258" s="783"/>
      <c r="S2258" s="783"/>
      <c r="T2258" s="783"/>
      <c r="U2258" s="783"/>
      <c r="V2258" s="783"/>
      <c r="W2258" s="286"/>
      <c r="X2258" s="607"/>
      <c r="Y2258" s="52"/>
      <c r="Z2258" s="52"/>
      <c r="AA2258" s="52"/>
      <c r="AB2258" s="28"/>
      <c r="AC2258" s="28"/>
    </row>
    <row r="2259" spans="1:29" s="30" customFormat="1" ht="22.5" customHeight="1">
      <c r="A2259" s="112" t="str">
        <f>"K"&amp;E2241</f>
        <v>K75</v>
      </c>
      <c r="B2259" s="790" t="s">
        <v>390</v>
      </c>
      <c r="C2259" s="772" t="s">
        <v>391</v>
      </c>
      <c r="D2259" s="773"/>
      <c r="E2259" s="773"/>
      <c r="F2259" s="773"/>
      <c r="G2259" s="773"/>
      <c r="H2259" s="773"/>
      <c r="I2259" s="773"/>
      <c r="J2259" s="773"/>
      <c r="K2259" s="773"/>
      <c r="L2259" s="773"/>
      <c r="M2259" s="774"/>
      <c r="N2259" s="525"/>
      <c r="O2259" s="588"/>
      <c r="P2259" s="772" t="s">
        <v>392</v>
      </c>
      <c r="Q2259" s="773"/>
      <c r="R2259" s="773"/>
      <c r="S2259" s="774"/>
      <c r="T2259" s="784" t="s">
        <v>393</v>
      </c>
      <c r="U2259" s="774"/>
      <c r="V2259" s="811"/>
      <c r="W2259" s="284"/>
      <c r="X2259" s="778" t="s">
        <v>394</v>
      </c>
      <c r="Y2259" s="779"/>
      <c r="Z2259" s="779"/>
      <c r="AA2259" s="779" t="s">
        <v>395</v>
      </c>
      <c r="AB2259" s="808" t="s">
        <v>396</v>
      </c>
      <c r="AC2259" s="28"/>
    </row>
    <row r="2260" spans="1:29" s="30" customFormat="1" ht="22.5" customHeight="1">
      <c r="A2260" s="112" t="str">
        <f>"L"&amp;E2241</f>
        <v>L75</v>
      </c>
      <c r="B2260" s="791"/>
      <c r="C2260" s="769" t="s">
        <v>397</v>
      </c>
      <c r="D2260" s="770"/>
      <c r="E2260" s="771"/>
      <c r="F2260" s="512">
        <f>IF(VLOOKUP(E2241,PROPONENTES!$C$19:$E$108,3,0)="","",VLOOKUP(E2241,PROPONENTES!$C$19:$E$108,3,0))</f>
        <v>1</v>
      </c>
      <c r="G2260" s="824" t="s">
        <v>398</v>
      </c>
      <c r="H2260" s="793" t="s">
        <v>399</v>
      </c>
      <c r="I2260" s="793"/>
      <c r="J2260" s="769" t="s">
        <v>400</v>
      </c>
      <c r="K2260" s="823"/>
      <c r="L2260" s="513" t="s">
        <v>401</v>
      </c>
      <c r="M2260" s="513"/>
      <c r="N2260" s="526"/>
      <c r="O2260" s="527"/>
      <c r="P2260" s="775"/>
      <c r="Q2260" s="776"/>
      <c r="R2260" s="776"/>
      <c r="S2260" s="777"/>
      <c r="T2260" s="796"/>
      <c r="U2260" s="797"/>
      <c r="V2260" s="812"/>
      <c r="W2260" s="284"/>
      <c r="X2260" s="780" t="s">
        <v>402</v>
      </c>
      <c r="Y2260" s="810" t="s">
        <v>403</v>
      </c>
      <c r="Z2260" s="810"/>
      <c r="AA2260" s="810"/>
      <c r="AB2260" s="809"/>
      <c r="AC2260" s="28"/>
    </row>
    <row r="2261" spans="1:29" s="30" customFormat="1" ht="51.75" customHeight="1" thickBot="1">
      <c r="A2261" s="112" t="str">
        <f>"M"&amp;E2241</f>
        <v>M75</v>
      </c>
      <c r="B2261" s="791"/>
      <c r="C2261" s="770" t="s">
        <v>404</v>
      </c>
      <c r="D2261" s="771"/>
      <c r="E2261" s="514" t="s">
        <v>405</v>
      </c>
      <c r="F2261" s="515" t="s">
        <v>406</v>
      </c>
      <c r="G2261" s="824"/>
      <c r="H2261" s="793"/>
      <c r="I2261" s="793"/>
      <c r="J2261" s="504" t="s">
        <v>407</v>
      </c>
      <c r="K2261" s="516" t="s">
        <v>408</v>
      </c>
      <c r="L2261" s="517" t="s">
        <v>785</v>
      </c>
      <c r="M2261" s="517"/>
      <c r="N2261" s="528" t="s">
        <v>410</v>
      </c>
      <c r="O2261" s="529"/>
      <c r="P2261" s="386"/>
      <c r="Q2261" s="387" t="s">
        <v>411</v>
      </c>
      <c r="R2261" s="388"/>
      <c r="S2261" s="113">
        <f>COUNTIFS(H2245:H2254,"SI",O2245:O2254,"&gt;0")</f>
        <v>5</v>
      </c>
      <c r="T2261" s="785"/>
      <c r="U2261" s="787"/>
      <c r="V2261" s="813"/>
      <c r="W2261" s="284"/>
      <c r="X2261" s="780"/>
      <c r="Y2261" s="810"/>
      <c r="Z2261" s="810"/>
      <c r="AA2261" s="810"/>
      <c r="AB2261" s="809"/>
      <c r="AC2261" s="28"/>
    </row>
    <row r="2262" spans="1:29" s="30" customFormat="1" ht="15.75" customHeight="1">
      <c r="A2262" s="112" t="str">
        <f>"N"&amp;E2241</f>
        <v>N75</v>
      </c>
      <c r="B2262" s="791"/>
      <c r="C2262" s="54">
        <v>1</v>
      </c>
      <c r="D2262" s="100" t="str">
        <f>IF(AND(C2262&lt;=F2260,F2260&gt;1,F2260&lt;&gt;""),VLOOKUP(VALUE(E2241&amp;","&amp;C2262),INTEGRANTES!$D$19:$F$192,2,0),"")</f>
        <v/>
      </c>
      <c r="E2262" s="107" t="str">
        <f>IF(D2262&lt;&gt;"",VLOOKUP(VALUE(E2241&amp;","&amp;C2262),INTEGRANTES!$D$19:$F$192,3,0),"")</f>
        <v/>
      </c>
      <c r="F2262" s="380" t="str">
        <f>IF(D2262="","",IF(OR(SUMIF($J2248:$J2254,D2262,$O2248:$O2254)=0,N2262="NO"),"NO APORTA",SUMIF($J2248:$J2254,D2262,$O2248:$O2254)))</f>
        <v/>
      </c>
      <c r="G2262" s="380" t="str">
        <f>IF($D2262="","",IF($F2260&lt;=1,"",ROUND(POSMMLV*PORPO,2)))</f>
        <v/>
      </c>
      <c r="H2262" s="765" t="str">
        <f>IF($D2262="","",IF(OR(F2262="NO APORTA",G2262&gt;F2262),"NO CUMPLE","CUMPLE"))</f>
        <v/>
      </c>
      <c r="I2262" s="766"/>
      <c r="J2262" s="108" t="str">
        <f>IF(D2262="","",IF(OR(AND(SUMIF($J2245:$J2254,D2262,$O2245:$O2254)&gt;=5%*POSMMLV,N2262="SI"),AND(SUMIF($J2245:$J2254,D2262,$O2245:$O2254)=0,E2262&lt;=5%,N2262="SI")),"CUMPLE","NO CUMPLE"))</f>
        <v/>
      </c>
      <c r="K2262" s="105" t="str">
        <f>IF(OR(D2262="",J2262=""),"",IF(AND(J2262="NO CUMPLE",F2262="NO APORTA",E2262&gt;5%),"EXP = 0 y PART &gt; 5%",IF(F2262&lt;5%*Q2267,"EXP &lt; 5%*PO","")))</f>
        <v/>
      </c>
      <c r="L2262" s="389" t="str">
        <f>IF(OR(D2262="",E2262=""),"",IF(AND(E2262&gt;=0.25,F2262&lt;&gt;"NO APORTA",F2262&gt;=$R2267*0.25),"SI","NO"))</f>
        <v/>
      </c>
      <c r="M2262" s="389"/>
      <c r="N2262" s="468" t="s">
        <v>385</v>
      </c>
      <c r="O2262" s="396">
        <f>COUNTIFS(O2245:O2254,"&gt;0",H2245:H2254,"SI")</f>
        <v>5</v>
      </c>
      <c r="P2262" s="814" t="s">
        <v>139</v>
      </c>
      <c r="Q2262" s="814"/>
      <c r="R2262" s="817">
        <f>E2241</f>
        <v>75</v>
      </c>
      <c r="S2262" s="818"/>
      <c r="T2262" s="784" t="s">
        <v>412</v>
      </c>
      <c r="U2262" s="773"/>
      <c r="V2262" s="774"/>
      <c r="W2262" s="283"/>
      <c r="X2262" s="542" t="str">
        <f>IF($F2260=1,"NO APLICA",$D2262)</f>
        <v>NO APLICA</v>
      </c>
      <c r="Y2262" s="543" t="str">
        <f>IF(OR($F2262="",$F2262="NO APORTA",$R2267=0,$X2262="NO APLICA"),"",ROUND($F2262/$Q2267,2))</f>
        <v/>
      </c>
      <c r="Z2262" s="544" t="str">
        <f>IF(Y2268=1,"SI APLICA",IF(OR($X2262="",$X2262="NO APLICA",$F2262="",$F2262="NO APORTA"),"",IF(ROUND($F2262/Q2267,7)&gt;=0.4,"SI APLICA","NO APLICA")))</f>
        <v>SI APLICA</v>
      </c>
      <c r="AA2262" s="543" t="s">
        <v>516</v>
      </c>
      <c r="AB2262" s="540" t="str">
        <f>IF(COUNTIF(Z2262:AA2262,"SI APLICA")=2,"SI APLICA","")</f>
        <v/>
      </c>
      <c r="AC2262" s="28"/>
    </row>
    <row r="2263" spans="1:29" s="30" customFormat="1" ht="15.75" customHeight="1" thickBot="1">
      <c r="A2263" s="112" t="str">
        <f>"O"&amp;E2241</f>
        <v>O75</v>
      </c>
      <c r="B2263" s="791"/>
      <c r="C2263" s="54">
        <v>2</v>
      </c>
      <c r="D2263" s="100" t="str">
        <f>IF(AND(C2263&lt;=F2260,F2260&lt;&gt;""),VLOOKUP(VALUE(E2241&amp;","&amp;C2263),INTEGRANTES!$D$19:$F$192,2,0),"")</f>
        <v/>
      </c>
      <c r="E2263" s="107" t="str">
        <f>IF(D2263&lt;&gt;"",VLOOKUP(VALUE(E2241&amp;","&amp;C2263),INTEGRANTES!$D$19:$F$192,3,0),"")</f>
        <v/>
      </c>
      <c r="F2263" s="380" t="str">
        <f>IF(D2263="","",IF(OR(SUMIF($J2248:$J2254,D2263,$O2248:$O2254)=0,N2263="NO"),"NO APORTA",SUMIF($J2248:$J2254,D2263,$O2248:$O2254)))</f>
        <v/>
      </c>
      <c r="G2263" s="380" t="str">
        <f>IF($D2263="","",IF($F2260&lt;=1,"",ROUND(POSMMLV*PORPO,2)))</f>
        <v/>
      </c>
      <c r="H2263" s="765" t="str">
        <f t="shared" ref="H2263:H2266" si="452">IF($D2263="","",IF(OR(F2263="NO APORTA",G2263&gt;F2263),"NO CUMPLE","CUMPLE"))</f>
        <v/>
      </c>
      <c r="I2263" s="766"/>
      <c r="J2263" s="108" t="str">
        <f>IF(D2263="","",IF(OR(AND(SUMIF($J2245:$J2254,D2263,$O2245:$O2254)&gt;=5%*POSMMLV,N2263="SI"),AND(SUMIF($J2245:$J2254,D2263,$O2245:$O2254)=0,E2263&lt;=5%,N2263="SI")),"CUMPLE","NO CUMPLE"))</f>
        <v/>
      </c>
      <c r="K2263" s="105" t="str">
        <f>IF(OR(D2263="",J2263=""),"",IF(AND(J2263="NO CUMPLE",F2263="NO APORTA",E2263&gt;5%),"EXP = 0 y PART &gt; 5%",IF(F2263&lt;5%*Q2267,"EXP &lt; 5%*PO","")))</f>
        <v/>
      </c>
      <c r="L2263" s="389" t="str">
        <f>IF(OR(D2263="",E2263=""),"",IF(AND(E2263&gt;=0.25,F2263&lt;&gt;"NO APORTA",F2263&gt;=$R2267*0.25),"SI","NO"))</f>
        <v/>
      </c>
      <c r="M2263" s="389"/>
      <c r="N2263" s="468" t="s">
        <v>385</v>
      </c>
      <c r="O2263" s="396"/>
      <c r="P2263" s="815"/>
      <c r="Q2263" s="815"/>
      <c r="R2263" s="815"/>
      <c r="S2263" s="819"/>
      <c r="T2263" s="785"/>
      <c r="U2263" s="786"/>
      <c r="V2263" s="787"/>
      <c r="W2263" s="283"/>
      <c r="X2263" s="542" t="str">
        <f>IF($F2260=1,"NO APLICA",$D2263)</f>
        <v>NO APLICA</v>
      </c>
      <c r="Y2263" s="543" t="str">
        <f>IF(OR($F2263="",$F2263="NO APORTA",$R2267=0,$X2263="NO APLICA"),"",ROUND($F2263/$Q2267,2))</f>
        <v/>
      </c>
      <c r="Z2263" s="544"/>
      <c r="AA2263" s="543"/>
      <c r="AB2263" s="540" t="str">
        <f t="shared" ref="AB2263" si="453">IF(COUNTIF(Z2263:AA2263,"SI APLICA")=2,"SI APLICA","")</f>
        <v/>
      </c>
      <c r="AC2263" s="28"/>
    </row>
    <row r="2264" spans="1:29" s="30" customFormat="1" ht="15.75" customHeight="1">
      <c r="A2264" s="112" t="str">
        <f>"P"&amp;E2241</f>
        <v>P75</v>
      </c>
      <c r="B2264" s="791"/>
      <c r="C2264" s="54">
        <v>3</v>
      </c>
      <c r="D2264" s="100" t="str">
        <f>IF(AND(C2264&lt;=F2260,F2260&lt;&gt;""),VLOOKUP(VALUE(E2241&amp;","&amp;C2264),INTEGRANTES!$D$19:$F$192,2,0),"")</f>
        <v/>
      </c>
      <c r="E2264" s="107" t="str">
        <f>IF(D2264&lt;&gt;"",VLOOKUP(VALUE(E2241&amp;","&amp;C2264),INTEGRANTES!$D$19:$F$192,3,0),"")</f>
        <v/>
      </c>
      <c r="F2264" s="380" t="str">
        <f>IF(D2264="","",IF(OR(SUMIF($J2248:$J2254,D2264,$O2248:$O2254)=0,N2264="NO"),"NO APORTA",SUMIF($J2248:$J2254,D2264,$O2248:$O2254)))</f>
        <v/>
      </c>
      <c r="G2264" s="380" t="str">
        <f>IF($D2264="","",IF($F2260&lt;=1,"",ROUND(POSMMLV*PORPO,2)))</f>
        <v/>
      </c>
      <c r="H2264" s="765" t="str">
        <f t="shared" si="452"/>
        <v/>
      </c>
      <c r="I2264" s="766"/>
      <c r="J2264" s="108" t="str">
        <f>IF(D2264="","",IF(OR(AND(SUMIF($J2245:$J2254,D2264,$O2245:$O2254)&gt;=5%*POSMMLV,N2264="SI"),AND(SUMIF($J2245:$J2254,D2264,$O2245:$O2254)=0,E2264&lt;=5%,N2264="SI")),"CUMPLE","NO CUMPLE"))</f>
        <v/>
      </c>
      <c r="K2264" s="105" t="str">
        <f>IF(OR(D2264="",J2264=""),"",IF(AND(J2264="NO CUMPLE",F2264="NO APORTA",E2264&gt;5%),"EXP = 0 y PART &gt; 5%",IF(F2264&lt;5%*Q2267,"EXP &lt; 5%*PO","")))</f>
        <v/>
      </c>
      <c r="L2264" s="389" t="str">
        <f>IF(OR(D2264="",E2264=""),"",IF(AND(E2264&gt;=0.25,F2264&lt;&gt;"NO APORTA",F2264&gt;=$R2267*0.25),"SI","NO"))</f>
        <v/>
      </c>
      <c r="M2264" s="389"/>
      <c r="N2264" s="468"/>
      <c r="O2264" s="397"/>
      <c r="P2264" s="816"/>
      <c r="Q2264" s="816"/>
      <c r="R2264" s="816"/>
      <c r="S2264" s="820"/>
      <c r="T2264" s="308"/>
      <c r="U2264" s="308"/>
      <c r="V2264" s="309"/>
      <c r="W2264" s="284"/>
      <c r="X2264" s="542" t="str">
        <f>IF($F2260=1,"NO APLICA",$D2264)</f>
        <v>NO APLICA</v>
      </c>
      <c r="Y2264" s="543" t="str">
        <f>IF(OR($F2264="",$F2264="NO APORTA",$R2267=0,$X2264="NO APLICA"),"",ROUND($F2264/$Q2267,2))</f>
        <v/>
      </c>
      <c r="Z2264" s="544"/>
      <c r="AA2264" s="543"/>
      <c r="AB2264" s="540" t="str">
        <f>IF(COUNTIF(Z2264:AA2264,"SI APLICA")=2,"SI APLICA","")</f>
        <v/>
      </c>
      <c r="AC2264" s="28"/>
    </row>
    <row r="2265" spans="1:29" s="30" customFormat="1" ht="15.75" customHeight="1">
      <c r="A2265" s="112" t="str">
        <f>"Q"&amp;E2241</f>
        <v>Q75</v>
      </c>
      <c r="B2265" s="791"/>
      <c r="C2265" s="54">
        <v>4</v>
      </c>
      <c r="D2265" s="100" t="str">
        <f>IF(AND(C2265&lt;=F2260,F2260&lt;&gt;""),VLOOKUP(VALUE(E2241&amp;","&amp;C2265),INTEGRANTES!$D$19:$F$192,2,0),"")</f>
        <v/>
      </c>
      <c r="E2265" s="107" t="str">
        <f>IF(D2265&lt;&gt;"",VLOOKUP(VALUE(E2241&amp;","&amp;C2265),INTEGRANTES!$D$19:$F$192,3,0),"")</f>
        <v/>
      </c>
      <c r="F2265" s="380" t="str">
        <f>IF(D2265="","",IF(OR(SUMIF($J2248:$J2254,D2265,$O2248:$O2254)=0,N2265="NO"),"NO APORTA",SUMIF($J2248:$J2254,D2265,$O2248:$O2254)))</f>
        <v/>
      </c>
      <c r="G2265" s="380" t="str">
        <f>IF($D2265="","",IF($F2260&lt;=1,"",ROUND(POSMMLV*PORPO,2)))</f>
        <v/>
      </c>
      <c r="H2265" s="765" t="str">
        <f t="shared" si="452"/>
        <v/>
      </c>
      <c r="I2265" s="766"/>
      <c r="J2265" s="108" t="str">
        <f>IF(D2265="","",IF(OR(AND(SUMIF($J2245:$J2254,D2265,$O2245:$O2254)&gt;=5%*POSMMLV,N2265="SI"),AND(SUMIF($J2245:$J2254,D2265,$O2245:$O2254)=0,E2265&lt;=5%,N2265="SI")),"CUMPLE","NO CUMPLE"))</f>
        <v/>
      </c>
      <c r="K2265" s="105" t="str">
        <f>IF(OR(D2265="",J2265=""),"",IF(AND(J2265="NO CUMPLE",F2265="NO APORTA",E2265&gt;5%),"EXP = 0 y PART &gt; 5%",IF(F2265&lt;5%*Q2267,"EXP &lt; 5%*PO","")))</f>
        <v/>
      </c>
      <c r="L2265" s="389" t="str">
        <f>IF(OR(D2265="",E2265=""),"",IF(AND(E2265&gt;=0.25,F2265&lt;&gt;"NO APORTA",F2265&gt;=$R2267*0.25),"SI","NO"))</f>
        <v/>
      </c>
      <c r="M2265" s="389"/>
      <c r="N2265" s="468"/>
      <c r="O2265" s="788" t="s">
        <v>414</v>
      </c>
      <c r="P2265" s="769" t="s">
        <v>415</v>
      </c>
      <c r="Q2265" s="770"/>
      <c r="R2265" s="770"/>
      <c r="S2265" s="771"/>
      <c r="T2265" s="284"/>
      <c r="U2265" s="284"/>
      <c r="V2265" s="310"/>
      <c r="W2265" s="284"/>
      <c r="X2265" s="542" t="str">
        <f>IF($F2260=1,"NO APLICA",$D2265)</f>
        <v>NO APLICA</v>
      </c>
      <c r="Y2265" s="543" t="str">
        <f>IF(OR($F2265="",$F2265="NO APORTA",$R2267=0,$X2265="NO APLICA"),"",ROUND($F2265/$Q2267,2))</f>
        <v/>
      </c>
      <c r="Z2265" s="544"/>
      <c r="AA2265" s="543"/>
      <c r="AB2265" s="540" t="str">
        <f t="shared" ref="AB2265:AB2266" si="454">IF(COUNTIF(Z2265:AA2265,"SI APLICA")=2,"SI APLICA","")</f>
        <v/>
      </c>
      <c r="AC2265" s="28"/>
    </row>
    <row r="2266" spans="1:29" s="30" customFormat="1" ht="17.25" customHeight="1">
      <c r="A2266" s="112" t="str">
        <f>"R"&amp;E2241</f>
        <v>R75</v>
      </c>
      <c r="B2266" s="791"/>
      <c r="C2266" s="54">
        <v>5</v>
      </c>
      <c r="D2266" s="100" t="str">
        <f>IF(AND(C2266&lt;=F2260,F2260&lt;&gt;""),VLOOKUP(VALUE(E2241&amp;","&amp;C2266),INTEGRANTES!$D$19:$F$192,2,0),"")</f>
        <v/>
      </c>
      <c r="E2266" s="107" t="str">
        <f>IF(D2266&lt;&gt;"",VLOOKUP(VALUE(E2241&amp;","&amp;C2266),INTEGRANTES!$D$19:$F$192,3,0),"")</f>
        <v/>
      </c>
      <c r="F2266" s="380" t="str">
        <f>IF(D2266="","",IF(OR(SUMIF($J2248:$J2254,D2266,$O2248:$O2254)=0,N2266="NO"),"NO APORTA",SUMIF($J2248:$J2254,D2266,$O2248:$O2254)))</f>
        <v/>
      </c>
      <c r="G2266" s="380" t="str">
        <f>IF($D2266="","",IF($F2260&lt;=1,"",ROUND(POSMMLV*PORPO,2)))</f>
        <v/>
      </c>
      <c r="H2266" s="765" t="str">
        <f t="shared" si="452"/>
        <v/>
      </c>
      <c r="I2266" s="766"/>
      <c r="J2266" s="108" t="str">
        <f>IF(D2266="","",IF(OR(AND(SUMIF($J2245:$J2254,D2266,$O2245:$O2254)&gt;=5%*POSMMLV,N2266="SI"),AND(SUMIF($J2245:$J2254,D2266,$O2245:$O2254)=0,E2266&lt;=5%,N2266="SI")),"CUMPLE","NO CUMPLE"))</f>
        <v/>
      </c>
      <c r="K2266" s="105" t="str">
        <f>IF(OR(D2266="",J2266=""),"",IF(AND(J2266="NO CUMPLE",F2266="NO APORTA",E2266&gt;5%),"EXP = 0 y PART &gt; 5%",IF(F2266&lt;5%*Q2267,"EXP &lt; 5%*PO","")))</f>
        <v/>
      </c>
      <c r="L2266" s="389" t="str">
        <f>IF(OR(D2266="",E2266=""),"",IF(AND(E2266&gt;=0.25,F2266&lt;&gt;"NO APORTA",F2266&gt;=$R2267*0.25),"SI","NO"))</f>
        <v/>
      </c>
      <c r="M2266" s="389"/>
      <c r="N2266" s="468"/>
      <c r="O2266" s="789"/>
      <c r="P2266" s="504" t="s">
        <v>416</v>
      </c>
      <c r="Q2266" s="504" t="s">
        <v>417</v>
      </c>
      <c r="R2266" s="793" t="s">
        <v>418</v>
      </c>
      <c r="S2266" s="793"/>
      <c r="T2266" s="284"/>
      <c r="U2266" s="284"/>
      <c r="V2266" s="310"/>
      <c r="W2266" s="284"/>
      <c r="X2266" s="542" t="str">
        <f>IF($F2260=1,"NO APLICA",$D2266)</f>
        <v>NO APLICA</v>
      </c>
      <c r="Y2266" s="543" t="str">
        <f>IF(OR($F2266="",$F2266="NO APORTA",$R2267=0,$X2266="NO APLICA"),"",ROUND($F2266/$Q2267,2))</f>
        <v/>
      </c>
      <c r="Z2266" s="544"/>
      <c r="AA2266" s="543"/>
      <c r="AB2266" s="540" t="str">
        <f t="shared" si="454"/>
        <v/>
      </c>
      <c r="AC2266" s="28"/>
    </row>
    <row r="2267" spans="1:29" s="30" customFormat="1" ht="16.5" customHeight="1" thickBot="1">
      <c r="A2267" s="112" t="str">
        <f>"S"&amp;E2241</f>
        <v>S75</v>
      </c>
      <c r="B2267" s="791"/>
      <c r="C2267" s="109">
        <v>6</v>
      </c>
      <c r="D2267" s="110" t="str">
        <f>IF(AND(C2267&lt;=F2260,F2260&lt;&gt;""),VLOOKUP(VALUE(E2241&amp;","&amp;C2267),INTEGRANTES!$D$19:$F$192,2,0),"")</f>
        <v/>
      </c>
      <c r="E2267" s="111" t="str">
        <f>IF(D2267&lt;&gt;"",VLOOKUP(VALUE(E2241&amp;","&amp;C2267),INTEGRANTES!$D$19:$F$192,3,0),"")</f>
        <v/>
      </c>
      <c r="F2267" s="380" t="str">
        <f>IF(D2267="","",IF(OR(SUMIF($J2248:$J2254,D2267,$O2248:$O2254)=0,N2267="NO"),"NO APORTA",SUMIF($J2248:$J2254,D2267,$O2248:$O2254)))</f>
        <v/>
      </c>
      <c r="G2267" s="380" t="str">
        <f>IF($D2267="","",IF($F2260&lt;=1,"",ROUND(POSMMLV*PORPO,2)))</f>
        <v/>
      </c>
      <c r="H2267" s="765" t="str">
        <f>IF($D2267="","",IF(OR(F2267="NO APORTA",G2267&gt;F2267),"NO CUMPLE","CUMPLE"))</f>
        <v/>
      </c>
      <c r="I2267" s="766"/>
      <c r="J2267" s="108" t="str">
        <f>IF(D2267="","",IF(OR(AND(SUMIF($J2245:$J2254,D2267,$O2245:$O2254)&gt;=5%*POSMMLV,N2267="SI"),AND(SUMIF($J2245:$J2254,D2267,$O2245:$O2254)=0,E2267&lt;=5%,N2267="SI")),"CUMPLE","NO CUMPLE"))</f>
        <v/>
      </c>
      <c r="K2267" s="105" t="str">
        <f>IF(OR(D2267="",J2267=""),"",IF(AND(J2267="NO CUMPLE",F2267="NO APORTA",E2267&gt;5%),"EXP = 0 y PART &gt; 5%",IF(F2267&lt;5%*Q2267,"EXP &lt; 5%*PO","")))</f>
        <v/>
      </c>
      <c r="L2267" s="389" t="str">
        <f>IF(OR(D2267="",E2267=""),"",IF(AND(E2267&gt;=0.25,F2267&lt;&gt;"NO APORTA",F2267&gt;=$R2267*0.25),"SI","NO"))</f>
        <v/>
      </c>
      <c r="M2267" s="389"/>
      <c r="N2267" s="468"/>
      <c r="O2267" s="403" t="str">
        <f ca="1">IF(R2267&gt;=Q2267,"CUMPLE","NO CUMPLE")</f>
        <v>CUMPLE</v>
      </c>
      <c r="P2267" s="312">
        <f>NUMMOD</f>
        <v>1</v>
      </c>
      <c r="Q2267" s="313">
        <f ca="1">IF(P2267="","",ROUND(VLOOKUP(P2267,PRESUPUESTOS!$B$16:$L$16,9,FALSE),7))</f>
        <v>300</v>
      </c>
      <c r="R2267" s="834">
        <f>IF(OR(COUNTIF(O2245:O2254,"")&gt;9,S2261&lt;NUMMINCONT),0,SUM(O2245:O2254))</f>
        <v>315.72300000000001</v>
      </c>
      <c r="S2267" s="834"/>
      <c r="T2267" s="284"/>
      <c r="U2267" s="284"/>
      <c r="V2267" s="310"/>
      <c r="W2267" s="284"/>
      <c r="X2267" s="545" t="str">
        <f>IF($F2260=1,"NO APLICA",$D2267)</f>
        <v>NO APLICA</v>
      </c>
      <c r="Y2267" s="543" t="str">
        <f>IF(OR($F2267="",$F2267="NO APORTA",$R2267=0,$X2267="NO APLICA"),"",ROUND($F2267/$Q2267,2))</f>
        <v/>
      </c>
      <c r="Z2267" s="544"/>
      <c r="AA2267" s="546"/>
      <c r="AB2267" s="540" t="str">
        <f>IF(COUNTIF(Z2267:AA2267,"SI APLICA")=2,"SI APLICA","")</f>
        <v/>
      </c>
      <c r="AC2267" s="28"/>
    </row>
    <row r="2268" spans="1:29" s="30" customFormat="1" ht="16.5" customHeight="1" thickBot="1">
      <c r="A2268" s="112" t="str">
        <f>"T"&amp;E2241</f>
        <v>T75</v>
      </c>
      <c r="B2268" s="792"/>
      <c r="C2268" s="821" t="s">
        <v>419</v>
      </c>
      <c r="D2268" s="822"/>
      <c r="E2268" s="822"/>
      <c r="F2268" s="518"/>
      <c r="G2268" s="519"/>
      <c r="H2268" s="794" t="str">
        <f>IF(OR($F2260="",SUM(E2262:E2267)=0),"",IF(COUNTIF(H2262:H2267,"CUMPLE")&gt;=1,"CUMPLE","NO CUMPLE"))</f>
        <v/>
      </c>
      <c r="I2268" s="795"/>
      <c r="J2268" s="314" t="str">
        <f>IF(COUNTIF(J2262:J2267,"")&gt;5,"",IF(COUNTIF(J2262:J2267,"NO CUMPLE")&gt;0,"NO CUMPLE","CUMPLE"))</f>
        <v/>
      </c>
      <c r="K2268" s="314" t="str">
        <f>IF(OR(AND(F2260=1,N2262="SI"),AND(COUNTIF(H2268:J2268,"CUMPLE")=2)),"CUMPLE","NO CUMPLE")</f>
        <v>CUMPLE</v>
      </c>
      <c r="L2268" s="519"/>
      <c r="M2268" s="519"/>
      <c r="N2268" s="519"/>
      <c r="O2268" s="833" t="str">
        <f ca="1">IF(ISNUMBER(F2241),"",IF(AND(O2267="NO CUMPLE",SUM(N2248:N2254)&lt;Q2267),"EL PROPONENTE SE DEBE REQUERIR POR EXPERIENCIA MINIMA EXIGIDA",""))</f>
        <v/>
      </c>
      <c r="P2268" s="833"/>
      <c r="Q2268" s="833"/>
      <c r="R2268" s="833"/>
      <c r="S2268" s="833"/>
      <c r="T2268" s="522"/>
      <c r="U2268" s="523"/>
      <c r="V2268" s="524"/>
      <c r="W2268" s="284"/>
      <c r="X2268" s="364" t="str">
        <f>IF(Y2268=1,"PROPONENTE INDIVIDUAL","PROPONENTE PLURAL")</f>
        <v>PROPONENTE INDIVIDUAL</v>
      </c>
      <c r="Y2268" s="276">
        <f>F2260</f>
        <v>1</v>
      </c>
      <c r="Z2268" s="277" t="str">
        <f>IF(OR(AND(Z2262="SI APLICA",AA2262="SI APLICA"),AND(Z2263="SI APLICA",AA2263="SI APLICA"),AND(Z2264="SI APLICA",AA2264="SI APLICA"),AND(Z2265="SI APLICA",AA2265="SI APLICA"),AND(Z2266="SI APLICA",AA2266="SI APLICA"),AND(Z2267="SI APLICA",AA2267="SI APLICA")),"SI APLICA","NO APLICA")</f>
        <v>NO APLICA</v>
      </c>
      <c r="AA2268" s="278" t="str">
        <f>IF(OR(AND(AA2262="SI APLICA",AB2262="SI APLICA"),AND(AA2263="SI APLICA",AB2263="SI APLICA"),AND(AA2264="SI APLICA",AB2264="SI APLICA"),AND(AA2265="SI APLICA",AB2265="SI APLICA"),AND(AA2266="SI APLICA",AB2266="SI APLICA"),AND(AA2267="SI APLICA",AB2267="SI APLICA")),"SI APLICA","NO APLICA")</f>
        <v>NO APLICA</v>
      </c>
      <c r="AB2268" s="278" t="str">
        <f>IF(COUNTIF(AB2262:AB2267,"SI APLICA")&gt;0,"SI APLICA","NO APLICA")</f>
        <v>NO APLICA</v>
      </c>
      <c r="AC2268" s="28"/>
    </row>
    <row r="2269" spans="1:29" ht="24.95" customHeight="1"/>
    <row r="2270" spans="1:29" ht="24.95" customHeight="1"/>
    <row r="2271" spans="1:29" s="41" customFormat="1" ht="24" thickBot="1">
      <c r="A2271" s="34">
        <v>76</v>
      </c>
      <c r="B2271" s="828" t="s">
        <v>355</v>
      </c>
      <c r="C2271" s="828"/>
      <c r="D2271" s="828"/>
      <c r="E2271" s="35">
        <f>VLOOKUP(A2271,PROPONENTES!$B$19:$E$108,2,FALSE)</f>
        <v>76</v>
      </c>
      <c r="F2271" s="36" t="str">
        <f>VLOOKUP(A2271,PROPONENTES!$B$19:$E$108,3,FALSE)</f>
        <v>CONSORCIO DIN ISUTECH</v>
      </c>
      <c r="G2271" s="37"/>
      <c r="H2271" s="37"/>
      <c r="I2271" s="36"/>
      <c r="J2271" s="36"/>
      <c r="K2271" s="36"/>
      <c r="L2271" s="36"/>
      <c r="M2271" s="38"/>
      <c r="N2271" s="38"/>
      <c r="O2271" s="37"/>
      <c r="P2271" s="37"/>
      <c r="Q2271" s="39"/>
      <c r="R2271" s="39"/>
      <c r="S2271" s="39"/>
      <c r="T2271" s="39"/>
      <c r="U2271" s="40"/>
      <c r="Y2271" s="52"/>
      <c r="Z2271" s="52"/>
      <c r="AA2271" s="52"/>
      <c r="AB2271" s="28"/>
      <c r="AC2271" s="28"/>
    </row>
    <row r="2272" spans="1:29" s="27" customFormat="1" ht="24.75" customHeight="1">
      <c r="A2272" s="22"/>
      <c r="B2272" s="829" t="s">
        <v>356</v>
      </c>
      <c r="C2272" s="501" t="s">
        <v>357</v>
      </c>
      <c r="D2272" s="502" t="s">
        <v>358</v>
      </c>
      <c r="E2272" s="502"/>
      <c r="F2272" s="502" t="s">
        <v>359</v>
      </c>
      <c r="G2272" s="503"/>
      <c r="H2272" s="803" t="s">
        <v>360</v>
      </c>
      <c r="I2272" s="831" t="s">
        <v>361</v>
      </c>
      <c r="J2272" s="803" t="s">
        <v>362</v>
      </c>
      <c r="K2272" s="803" t="s">
        <v>363</v>
      </c>
      <c r="L2272" s="803" t="s">
        <v>364</v>
      </c>
      <c r="M2272" s="803" t="s">
        <v>365</v>
      </c>
      <c r="N2272" s="804" t="s">
        <v>366</v>
      </c>
      <c r="O2272" s="805"/>
      <c r="P2272" s="806" t="s">
        <v>367</v>
      </c>
      <c r="Q2272" s="807"/>
      <c r="R2272" s="784" t="s">
        <v>368</v>
      </c>
      <c r="S2272" s="774"/>
      <c r="T2272" s="798" t="s">
        <v>369</v>
      </c>
      <c r="U2272" s="799"/>
      <c r="V2272" s="800"/>
      <c r="X2272" s="520"/>
      <c r="Y2272" s="520"/>
    </row>
    <row r="2273" spans="1:29" s="27" customFormat="1" ht="94.5" customHeight="1">
      <c r="A2273" s="22"/>
      <c r="B2273" s="830"/>
      <c r="C2273" s="504" t="s">
        <v>370</v>
      </c>
      <c r="D2273" s="505" t="s">
        <v>41</v>
      </c>
      <c r="E2273" s="505" t="s">
        <v>371</v>
      </c>
      <c r="F2273" s="505" t="s">
        <v>372</v>
      </c>
      <c r="G2273" s="506" t="s">
        <v>373</v>
      </c>
      <c r="H2273" s="793"/>
      <c r="I2273" s="832"/>
      <c r="J2273" s="793"/>
      <c r="K2273" s="793"/>
      <c r="L2273" s="793"/>
      <c r="M2273" s="793"/>
      <c r="N2273" s="504" t="s">
        <v>374</v>
      </c>
      <c r="O2273" s="505" t="s">
        <v>375</v>
      </c>
      <c r="P2273" s="801"/>
      <c r="Q2273" s="802"/>
      <c r="R2273" s="796"/>
      <c r="S2273" s="797"/>
      <c r="T2273" s="507" t="s">
        <v>376</v>
      </c>
      <c r="U2273" s="508" t="s">
        <v>377</v>
      </c>
      <c r="V2273" s="509" t="s">
        <v>378</v>
      </c>
      <c r="X2273" s="521" t="s">
        <v>379</v>
      </c>
      <c r="Y2273" s="521" t="s">
        <v>380</v>
      </c>
    </row>
    <row r="2274" spans="1:29" s="27" customFormat="1" ht="15" customHeight="1">
      <c r="A2274" s="22"/>
      <c r="B2274" s="594"/>
      <c r="C2274" s="595">
        <v>3</v>
      </c>
      <c r="D2274" s="595">
        <v>4</v>
      </c>
      <c r="E2274" s="595">
        <v>5</v>
      </c>
      <c r="F2274" s="595">
        <v>6</v>
      </c>
      <c r="G2274" s="595">
        <v>7</v>
      </c>
      <c r="H2274" s="595">
        <v>8</v>
      </c>
      <c r="I2274" s="595">
        <v>9</v>
      </c>
      <c r="J2274" s="595">
        <v>10</v>
      </c>
      <c r="K2274" s="595">
        <v>11</v>
      </c>
      <c r="L2274" s="595">
        <v>12</v>
      </c>
      <c r="M2274" s="595">
        <v>13</v>
      </c>
      <c r="N2274" s="595">
        <v>14</v>
      </c>
      <c r="O2274" s="595">
        <v>15</v>
      </c>
      <c r="P2274" s="596">
        <v>16</v>
      </c>
      <c r="Q2274" s="597">
        <v>17</v>
      </c>
      <c r="R2274" s="596">
        <v>18</v>
      </c>
      <c r="S2274" s="597">
        <v>19</v>
      </c>
      <c r="T2274" s="598">
        <v>20</v>
      </c>
      <c r="U2274" s="255">
        <v>21</v>
      </c>
      <c r="V2274" s="599">
        <v>22</v>
      </c>
      <c r="X2274" s="589"/>
      <c r="Y2274" s="590"/>
    </row>
    <row r="2275" spans="1:29" s="44" customFormat="1" ht="24.95" customHeight="1">
      <c r="A2275" s="42" t="str">
        <f>"A"&amp;E2271</f>
        <v>A76</v>
      </c>
      <c r="B2275" s="605">
        <f>IF(C2275&lt;&gt;"",B2274+1,"")</f>
        <v>1</v>
      </c>
      <c r="C2275" s="581" t="s">
        <v>1016</v>
      </c>
      <c r="D2275" s="581" t="s">
        <v>1017</v>
      </c>
      <c r="E2275" s="581" t="s">
        <v>1018</v>
      </c>
      <c r="F2275" s="581" t="s">
        <v>431</v>
      </c>
      <c r="G2275" s="534">
        <v>1</v>
      </c>
      <c r="H2275" s="534" t="s">
        <v>385</v>
      </c>
      <c r="I2275" s="579">
        <v>1</v>
      </c>
      <c r="J2275" s="580" t="str">
        <f>IF(I2275="","",IF(I2275="I",$F2271,VLOOKUP(I2275,$C2292:$D2297,2,0)))</f>
        <v>DESARROLLO EN INGENIERIA  DIN SAS</v>
      </c>
      <c r="K2275" s="535">
        <v>37131</v>
      </c>
      <c r="L2275" s="535">
        <v>37271</v>
      </c>
      <c r="M2275" s="536">
        <v>445.08</v>
      </c>
      <c r="N2275" s="232">
        <f t="shared" ref="N2275:N2284" si="455">IF(OR(G2275="",M2275=""),"",M2275*G2275)</f>
        <v>445.08</v>
      </c>
      <c r="O2275" s="260">
        <f t="shared" ref="O2275:O2284" si="456">IF(OR(H2275="",H2275="NO",K2275&lt;$Q$17,K2275&gt;$R$17,K2275="",M2275="",N2275=""),"",ROUND(N2275,7))</f>
        <v>445.08</v>
      </c>
      <c r="P2275" s="781" t="s">
        <v>1019</v>
      </c>
      <c r="Q2275" s="782"/>
      <c r="R2275" s="767"/>
      <c r="S2275" s="768"/>
      <c r="T2275" s="538" t="s">
        <v>385</v>
      </c>
      <c r="U2275" s="539">
        <v>7</v>
      </c>
      <c r="V2275" s="540" t="s">
        <v>385</v>
      </c>
      <c r="X2275" s="541" t="s">
        <v>449</v>
      </c>
      <c r="Y2275" s="541" t="s">
        <v>387</v>
      </c>
    </row>
    <row r="2276" spans="1:29" s="44" customFormat="1" ht="24.95" customHeight="1">
      <c r="A2276" s="42" t="str">
        <f>"B"&amp;E2271</f>
        <v>B76</v>
      </c>
      <c r="B2276" s="605">
        <f t="shared" ref="B2276:B2284" si="457">IF(C2276&lt;&gt;"",B2275+1,"")</f>
        <v>2</v>
      </c>
      <c r="C2276" s="581" t="s">
        <v>1016</v>
      </c>
      <c r="D2276" s="581" t="s">
        <v>1020</v>
      </c>
      <c r="E2276" s="581" t="s">
        <v>1021</v>
      </c>
      <c r="F2276" s="581" t="s">
        <v>431</v>
      </c>
      <c r="G2276" s="534">
        <v>1</v>
      </c>
      <c r="H2276" s="534" t="s">
        <v>385</v>
      </c>
      <c r="I2276" s="579">
        <v>1</v>
      </c>
      <c r="J2276" s="580" t="str">
        <f>IF(I2276="","",IF(I2276="I",$F2271,VLOOKUP(I2276,$C2292:$D2297,2,0)))</f>
        <v>DESARROLLO EN INGENIERIA  DIN SAS</v>
      </c>
      <c r="K2276" s="535">
        <v>37648</v>
      </c>
      <c r="L2276" s="535">
        <v>37762</v>
      </c>
      <c r="M2276" s="536">
        <v>337.92</v>
      </c>
      <c r="N2276" s="232">
        <f t="shared" si="455"/>
        <v>337.92</v>
      </c>
      <c r="O2276" s="260">
        <f t="shared" si="456"/>
        <v>337.92</v>
      </c>
      <c r="P2276" s="781"/>
      <c r="Q2276" s="782"/>
      <c r="R2276" s="767"/>
      <c r="S2276" s="768"/>
      <c r="T2276" s="538" t="s">
        <v>385</v>
      </c>
      <c r="U2276" s="539">
        <v>9</v>
      </c>
      <c r="V2276" s="540" t="s">
        <v>385</v>
      </c>
      <c r="X2276" s="541" t="s">
        <v>449</v>
      </c>
      <c r="Y2276" s="541" t="s">
        <v>435</v>
      </c>
    </row>
    <row r="2277" spans="1:29" s="44" customFormat="1" ht="34.5" customHeight="1">
      <c r="A2277" s="42" t="str">
        <f>"C"&amp;E2271</f>
        <v>C76</v>
      </c>
      <c r="B2277" s="605">
        <f t="shared" si="457"/>
        <v>3</v>
      </c>
      <c r="C2277" s="581" t="s">
        <v>1022</v>
      </c>
      <c r="D2277" s="581" t="s">
        <v>1023</v>
      </c>
      <c r="E2277" s="581" t="s">
        <v>1024</v>
      </c>
      <c r="F2277" s="581" t="s">
        <v>431</v>
      </c>
      <c r="G2277" s="534">
        <v>1</v>
      </c>
      <c r="H2277" s="534" t="s">
        <v>385</v>
      </c>
      <c r="I2277" s="579">
        <v>1</v>
      </c>
      <c r="J2277" s="580" t="str">
        <f>IF(I2277="","",IF(I2277="I",$F2271,VLOOKUP(I2277,$C2292:$D2297,2,0)))</f>
        <v>DESARROLLO EN INGENIERIA  DIN SAS</v>
      </c>
      <c r="K2277" s="535">
        <v>38637</v>
      </c>
      <c r="L2277" s="535">
        <v>38913</v>
      </c>
      <c r="M2277" s="536">
        <v>480.21</v>
      </c>
      <c r="N2277" s="232">
        <f t="shared" si="455"/>
        <v>480.21</v>
      </c>
      <c r="O2277" s="260">
        <f t="shared" si="456"/>
        <v>480.21</v>
      </c>
      <c r="P2277" s="781"/>
      <c r="Q2277" s="782"/>
      <c r="R2277" s="767"/>
      <c r="S2277" s="768"/>
      <c r="T2277" s="538" t="s">
        <v>385</v>
      </c>
      <c r="U2277" s="539">
        <v>34</v>
      </c>
      <c r="V2277" s="540" t="s">
        <v>385</v>
      </c>
      <c r="X2277" s="541" t="s">
        <v>446</v>
      </c>
      <c r="Y2277" s="541" t="s">
        <v>439</v>
      </c>
    </row>
    <row r="2278" spans="1:29" s="44" customFormat="1" ht="24.95" customHeight="1">
      <c r="A2278" s="42" t="str">
        <f>"D"&amp;E2271</f>
        <v>D76</v>
      </c>
      <c r="B2278" s="605" t="str">
        <f t="shared" si="457"/>
        <v/>
      </c>
      <c r="C2278" s="581"/>
      <c r="D2278" s="581"/>
      <c r="E2278" s="581"/>
      <c r="F2278" s="581"/>
      <c r="G2278" s="534"/>
      <c r="H2278" s="534"/>
      <c r="I2278" s="579"/>
      <c r="J2278" s="580" t="str">
        <f>IF(I2278="","",IF(I2278="I",$F2271,VLOOKUP(I2278,$C2292:$D2297,2,0)))</f>
        <v/>
      </c>
      <c r="K2278" s="535"/>
      <c r="L2278" s="535"/>
      <c r="M2278" s="536"/>
      <c r="N2278" s="232" t="str">
        <f t="shared" si="455"/>
        <v/>
      </c>
      <c r="O2278" s="260" t="str">
        <f t="shared" si="456"/>
        <v/>
      </c>
      <c r="P2278" s="781"/>
      <c r="Q2278" s="782"/>
      <c r="R2278" s="767"/>
      <c r="S2278" s="768"/>
      <c r="T2278" s="538"/>
      <c r="U2278" s="539"/>
      <c r="V2278" s="540"/>
      <c r="X2278" s="541"/>
      <c r="Y2278" s="541"/>
    </row>
    <row r="2279" spans="1:29" s="44" customFormat="1" ht="24.95" customHeight="1">
      <c r="A2279" s="42" t="str">
        <f>"E"&amp;E2271</f>
        <v>E76</v>
      </c>
      <c r="B2279" s="605" t="str">
        <f t="shared" si="457"/>
        <v/>
      </c>
      <c r="C2279" s="581"/>
      <c r="D2279" s="581"/>
      <c r="E2279" s="581"/>
      <c r="F2279" s="581"/>
      <c r="G2279" s="534"/>
      <c r="H2279" s="534"/>
      <c r="I2279" s="579"/>
      <c r="J2279" s="580" t="str">
        <f>IF(I2279="","",IF(I2279="I",$F2271,VLOOKUP(I2279,$C2292:$D2297,2,0)))</f>
        <v/>
      </c>
      <c r="K2279" s="535"/>
      <c r="L2279" s="535"/>
      <c r="M2279" s="536"/>
      <c r="N2279" s="232" t="str">
        <f t="shared" si="455"/>
        <v/>
      </c>
      <c r="O2279" s="260" t="str">
        <f t="shared" si="456"/>
        <v/>
      </c>
      <c r="P2279" s="781"/>
      <c r="Q2279" s="782"/>
      <c r="R2279" s="767"/>
      <c r="S2279" s="768"/>
      <c r="T2279" s="538"/>
      <c r="U2279" s="539"/>
      <c r="V2279" s="540"/>
      <c r="X2279" s="541"/>
      <c r="Y2279" s="541"/>
    </row>
    <row r="2280" spans="1:29" s="44" customFormat="1" ht="24.95" customHeight="1">
      <c r="A2280" s="42" t="str">
        <f>"F"&amp;E2271</f>
        <v>F76</v>
      </c>
      <c r="B2280" s="605" t="str">
        <f t="shared" si="457"/>
        <v/>
      </c>
      <c r="C2280" s="581"/>
      <c r="D2280" s="581"/>
      <c r="E2280" s="581"/>
      <c r="F2280" s="581"/>
      <c r="G2280" s="534"/>
      <c r="H2280" s="534"/>
      <c r="I2280" s="579"/>
      <c r="J2280" s="580" t="str">
        <f>IF(I2280="","",IF(I2280="I",$F2271,VLOOKUP(I2280,$C2292:$D2297,2,0)))</f>
        <v/>
      </c>
      <c r="K2280" s="535"/>
      <c r="L2280" s="535"/>
      <c r="M2280" s="536"/>
      <c r="N2280" s="232" t="str">
        <f t="shared" si="455"/>
        <v/>
      </c>
      <c r="O2280" s="260" t="str">
        <f t="shared" si="456"/>
        <v/>
      </c>
      <c r="P2280" s="781"/>
      <c r="Q2280" s="782"/>
      <c r="R2280" s="767"/>
      <c r="S2280" s="768"/>
      <c r="T2280" s="538"/>
      <c r="U2280" s="539"/>
      <c r="V2280" s="540"/>
      <c r="X2280" s="541"/>
      <c r="Y2280" s="541"/>
    </row>
    <row r="2281" spans="1:29" s="44" customFormat="1" ht="24.95" customHeight="1">
      <c r="A2281" s="42" t="str">
        <f>"G"&amp;E2271</f>
        <v>G76</v>
      </c>
      <c r="B2281" s="605" t="str">
        <f t="shared" si="457"/>
        <v/>
      </c>
      <c r="C2281" s="581"/>
      <c r="D2281" s="581"/>
      <c r="E2281" s="581"/>
      <c r="F2281" s="581"/>
      <c r="G2281" s="534"/>
      <c r="H2281" s="534"/>
      <c r="I2281" s="579"/>
      <c r="J2281" s="580" t="str">
        <f>IF(I2281="","",IF(I2281="I",$F2271,VLOOKUP(I2281,$C2292:$D2297,2,0)))</f>
        <v/>
      </c>
      <c r="K2281" s="535"/>
      <c r="L2281" s="535"/>
      <c r="M2281" s="536"/>
      <c r="N2281" s="43" t="str">
        <f t="shared" si="455"/>
        <v/>
      </c>
      <c r="O2281" s="260" t="str">
        <f t="shared" si="456"/>
        <v/>
      </c>
      <c r="P2281" s="781"/>
      <c r="Q2281" s="782"/>
      <c r="R2281" s="767"/>
      <c r="S2281" s="768"/>
      <c r="T2281" s="538"/>
      <c r="U2281" s="539"/>
      <c r="V2281" s="540"/>
      <c r="X2281" s="541"/>
      <c r="Y2281" s="541"/>
    </row>
    <row r="2282" spans="1:29" s="44" customFormat="1" ht="24.95" customHeight="1">
      <c r="A2282" s="42" t="str">
        <f>"H"&amp;E2271</f>
        <v>H76</v>
      </c>
      <c r="B2282" s="605" t="str">
        <f t="shared" si="457"/>
        <v/>
      </c>
      <c r="C2282" s="581"/>
      <c r="D2282" s="581"/>
      <c r="E2282" s="581"/>
      <c r="F2282" s="581"/>
      <c r="G2282" s="534"/>
      <c r="H2282" s="534"/>
      <c r="I2282" s="579"/>
      <c r="J2282" s="580" t="str">
        <f>IF(I2282="","",IF(I2282="I",$F2271,VLOOKUP(I2282,$C2292:$D2297,2,0)))</f>
        <v/>
      </c>
      <c r="K2282" s="535"/>
      <c r="L2282" s="535"/>
      <c r="M2282" s="537"/>
      <c r="N2282" s="43" t="str">
        <f t="shared" si="455"/>
        <v/>
      </c>
      <c r="O2282" s="260" t="str">
        <f t="shared" si="456"/>
        <v/>
      </c>
      <c r="P2282" s="781"/>
      <c r="Q2282" s="782"/>
      <c r="R2282" s="767"/>
      <c r="S2282" s="768"/>
      <c r="T2282" s="538"/>
      <c r="U2282" s="539"/>
      <c r="V2282" s="540"/>
      <c r="X2282" s="541"/>
      <c r="Y2282" s="541"/>
    </row>
    <row r="2283" spans="1:29" s="44" customFormat="1" ht="24.95" customHeight="1">
      <c r="A2283" s="42" t="str">
        <f>"I"&amp;E2271</f>
        <v>I76</v>
      </c>
      <c r="B2283" s="605" t="str">
        <f t="shared" si="457"/>
        <v/>
      </c>
      <c r="C2283" s="581"/>
      <c r="D2283" s="581"/>
      <c r="E2283" s="581"/>
      <c r="F2283" s="581"/>
      <c r="G2283" s="534"/>
      <c r="H2283" s="534"/>
      <c r="I2283" s="579"/>
      <c r="J2283" s="580" t="str">
        <f>IF(I2283="","",IF(I2283="I",$F2271,VLOOKUP(I2283,$C2292:$D2297,2,0)))</f>
        <v/>
      </c>
      <c r="K2283" s="535"/>
      <c r="L2283" s="535"/>
      <c r="M2283" s="537"/>
      <c r="N2283" s="43" t="str">
        <f t="shared" si="455"/>
        <v/>
      </c>
      <c r="O2283" s="260" t="str">
        <f t="shared" si="456"/>
        <v/>
      </c>
      <c r="P2283" s="781"/>
      <c r="Q2283" s="782"/>
      <c r="R2283" s="767"/>
      <c r="S2283" s="768"/>
      <c r="T2283" s="538"/>
      <c r="U2283" s="539"/>
      <c r="V2283" s="540"/>
      <c r="X2283" s="541"/>
      <c r="Y2283" s="541"/>
    </row>
    <row r="2284" spans="1:29" s="44" customFormat="1" ht="24.95" customHeight="1" thickBot="1">
      <c r="A2284" s="42" t="str">
        <f>"J"&amp;E2271</f>
        <v>J76</v>
      </c>
      <c r="B2284" s="612" t="str">
        <f t="shared" si="457"/>
        <v/>
      </c>
      <c r="C2284" s="582"/>
      <c r="D2284" s="582"/>
      <c r="E2284" s="582"/>
      <c r="F2284" s="582"/>
      <c r="G2284" s="583"/>
      <c r="H2284" s="583"/>
      <c r="I2284" s="584"/>
      <c r="J2284" s="585" t="str">
        <f>IF(I2284="","",IF(I2284="I",$F2271,VLOOKUP(I2284,$C2292:$D2297,2,0)))</f>
        <v/>
      </c>
      <c r="K2284" s="586"/>
      <c r="L2284" s="586"/>
      <c r="M2284" s="587"/>
      <c r="N2284" s="43" t="str">
        <f t="shared" si="455"/>
        <v/>
      </c>
      <c r="O2284" s="260" t="str">
        <f t="shared" si="456"/>
        <v/>
      </c>
      <c r="P2284" s="781"/>
      <c r="Q2284" s="782"/>
      <c r="R2284" s="767"/>
      <c r="S2284" s="768"/>
      <c r="T2284" s="538"/>
      <c r="U2284" s="539"/>
      <c r="V2284" s="540"/>
      <c r="X2284" s="541"/>
      <c r="Y2284" s="541"/>
    </row>
    <row r="2285" spans="1:29" s="27" customFormat="1" ht="12" customHeight="1" thickBot="1">
      <c r="A2285" s="42"/>
      <c r="B2285" s="45"/>
      <c r="C2285" s="46"/>
      <c r="D2285" s="46"/>
      <c r="E2285" s="46"/>
      <c r="F2285" s="46"/>
      <c r="G2285" s="46"/>
      <c r="H2285" s="606"/>
      <c r="I2285" s="46"/>
      <c r="J2285" s="46"/>
      <c r="K2285" s="46"/>
      <c r="L2285" s="46"/>
      <c r="M2285" s="46"/>
      <c r="N2285" s="46"/>
      <c r="O2285" s="259"/>
      <c r="P2285" s="46"/>
      <c r="Q2285" s="46"/>
      <c r="R2285" s="259"/>
      <c r="S2285" s="46"/>
      <c r="T2285" s="46"/>
      <c r="U2285" s="47"/>
      <c r="V2285" s="48"/>
      <c r="X2285" s="592"/>
      <c r="Y2285" s="593"/>
      <c r="AB2285" s="378"/>
    </row>
    <row r="2286" spans="1:29" s="27" customFormat="1" ht="17.25" customHeight="1" thickBot="1">
      <c r="A2286" s="42" t="str">
        <f>"Z"&amp;E2271</f>
        <v>Z76</v>
      </c>
      <c r="B2286" s="510"/>
      <c r="C2286" s="511"/>
      <c r="D2286" s="511"/>
      <c r="E2286" s="511"/>
      <c r="F2286" s="511"/>
      <c r="G2286" s="511"/>
      <c r="H2286" s="511"/>
      <c r="I2286" s="511"/>
      <c r="J2286" s="511"/>
      <c r="K2286" s="511"/>
      <c r="L2286" s="511"/>
      <c r="M2286" s="511"/>
      <c r="N2286" s="437" t="s">
        <v>388</v>
      </c>
      <c r="O2286" s="438">
        <f>IF(COUNTIF(O2275:O2284,"")&gt;9,0,SUM(O2275:O2284)/(COUNTIF(H2275:H2284,"SI")))</f>
        <v>421.07</v>
      </c>
      <c r="P2286" s="511"/>
      <c r="Q2286" s="511"/>
      <c r="R2286" s="530"/>
      <c r="S2286" s="530"/>
      <c r="T2286" s="531"/>
      <c r="U2286" s="532"/>
      <c r="V2286" s="533"/>
      <c r="W2286" s="285"/>
      <c r="X2286" s="613" t="e">
        <f>COUNTIF(#REF!,"")-COUNTIF(#REF!,"CUMPLE")-1</f>
        <v>#REF!</v>
      </c>
      <c r="Y2286" s="591"/>
      <c r="AB2286" s="28"/>
    </row>
    <row r="2287" spans="1:29" ht="17.25" customHeight="1">
      <c r="B2287" s="50"/>
      <c r="C2287" s="50"/>
      <c r="D2287" s="50"/>
      <c r="E2287" s="50"/>
      <c r="F2287" s="50"/>
      <c r="G2287" s="51"/>
      <c r="H2287" s="51"/>
      <c r="I2287" s="51"/>
      <c r="J2287" s="51"/>
      <c r="K2287" s="51"/>
      <c r="L2287" s="51"/>
      <c r="M2287" s="51"/>
      <c r="N2287" s="51"/>
      <c r="O2287" s="51"/>
      <c r="P2287" s="51"/>
      <c r="Q2287" s="51"/>
      <c r="R2287" s="51"/>
      <c r="S2287" s="51"/>
      <c r="T2287" s="51"/>
      <c r="U2287" s="51"/>
      <c r="V2287" s="51"/>
      <c r="W2287" s="51"/>
      <c r="X2287" s="608"/>
      <c r="Y2287" s="51"/>
      <c r="Z2287" s="51"/>
      <c r="AA2287" s="51"/>
      <c r="AB2287" s="51"/>
      <c r="AC2287" s="50"/>
    </row>
    <row r="2288" spans="1:29" s="27" customFormat="1" ht="16.5" customHeight="1" thickBot="1">
      <c r="A2288" s="22"/>
      <c r="B2288" s="783" t="s">
        <v>389</v>
      </c>
      <c r="C2288" s="783"/>
      <c r="D2288" s="783"/>
      <c r="E2288" s="783"/>
      <c r="F2288" s="783"/>
      <c r="G2288" s="783"/>
      <c r="H2288" s="783"/>
      <c r="I2288" s="783"/>
      <c r="J2288" s="783"/>
      <c r="K2288" s="783"/>
      <c r="L2288" s="783"/>
      <c r="M2288" s="783"/>
      <c r="N2288" s="783"/>
      <c r="O2288" s="783"/>
      <c r="P2288" s="783"/>
      <c r="Q2288" s="783"/>
      <c r="R2288" s="783"/>
      <c r="S2288" s="783"/>
      <c r="T2288" s="783"/>
      <c r="U2288" s="783"/>
      <c r="V2288" s="783"/>
      <c r="W2288" s="286"/>
      <c r="X2288" s="607"/>
      <c r="Y2288" s="52"/>
      <c r="Z2288" s="52"/>
      <c r="AA2288" s="52"/>
      <c r="AB2288" s="28"/>
      <c r="AC2288" s="28"/>
    </row>
    <row r="2289" spans="1:29" s="30" customFormat="1" ht="22.5" customHeight="1">
      <c r="A2289" s="112" t="str">
        <f>"K"&amp;E2271</f>
        <v>K76</v>
      </c>
      <c r="B2289" s="790" t="s">
        <v>390</v>
      </c>
      <c r="C2289" s="772" t="s">
        <v>391</v>
      </c>
      <c r="D2289" s="773"/>
      <c r="E2289" s="773"/>
      <c r="F2289" s="773"/>
      <c r="G2289" s="773"/>
      <c r="H2289" s="773"/>
      <c r="I2289" s="773"/>
      <c r="J2289" s="773"/>
      <c r="K2289" s="773"/>
      <c r="L2289" s="773"/>
      <c r="M2289" s="774"/>
      <c r="N2289" s="525"/>
      <c r="O2289" s="588"/>
      <c r="P2289" s="772" t="s">
        <v>392</v>
      </c>
      <c r="Q2289" s="773"/>
      <c r="R2289" s="773"/>
      <c r="S2289" s="774"/>
      <c r="T2289" s="784" t="s">
        <v>393</v>
      </c>
      <c r="U2289" s="774"/>
      <c r="V2289" s="811"/>
      <c r="W2289" s="284"/>
      <c r="X2289" s="778" t="s">
        <v>394</v>
      </c>
      <c r="Y2289" s="779"/>
      <c r="Z2289" s="779"/>
      <c r="AA2289" s="779" t="s">
        <v>395</v>
      </c>
      <c r="AB2289" s="808" t="s">
        <v>396</v>
      </c>
      <c r="AC2289" s="28"/>
    </row>
    <row r="2290" spans="1:29" s="30" customFormat="1" ht="22.5" customHeight="1">
      <c r="A2290" s="112" t="str">
        <f>"L"&amp;E2271</f>
        <v>L76</v>
      </c>
      <c r="B2290" s="791"/>
      <c r="C2290" s="769" t="s">
        <v>397</v>
      </c>
      <c r="D2290" s="770"/>
      <c r="E2290" s="771"/>
      <c r="F2290" s="512">
        <f>IF(VLOOKUP(E2271,PROPONENTES!$C$19:$E$108,3,0)="","",VLOOKUP(E2271,PROPONENTES!$C$19:$E$108,3,0))</f>
        <v>2</v>
      </c>
      <c r="G2290" s="824" t="s">
        <v>398</v>
      </c>
      <c r="H2290" s="793" t="s">
        <v>399</v>
      </c>
      <c r="I2290" s="793"/>
      <c r="J2290" s="769" t="s">
        <v>400</v>
      </c>
      <c r="K2290" s="823"/>
      <c r="L2290" s="513" t="s">
        <v>401</v>
      </c>
      <c r="M2290" s="513"/>
      <c r="N2290" s="526"/>
      <c r="O2290" s="527"/>
      <c r="P2290" s="775"/>
      <c r="Q2290" s="776"/>
      <c r="R2290" s="776"/>
      <c r="S2290" s="777"/>
      <c r="T2290" s="796"/>
      <c r="U2290" s="797"/>
      <c r="V2290" s="812"/>
      <c r="W2290" s="284"/>
      <c r="X2290" s="780" t="s">
        <v>402</v>
      </c>
      <c r="Y2290" s="810" t="s">
        <v>403</v>
      </c>
      <c r="Z2290" s="810"/>
      <c r="AA2290" s="810"/>
      <c r="AB2290" s="809"/>
      <c r="AC2290" s="28"/>
    </row>
    <row r="2291" spans="1:29" s="30" customFormat="1" ht="51.75" customHeight="1" thickBot="1">
      <c r="A2291" s="112" t="str">
        <f>"M"&amp;E2271</f>
        <v>M76</v>
      </c>
      <c r="B2291" s="791"/>
      <c r="C2291" s="770" t="s">
        <v>404</v>
      </c>
      <c r="D2291" s="771"/>
      <c r="E2291" s="514" t="s">
        <v>405</v>
      </c>
      <c r="F2291" s="515" t="s">
        <v>406</v>
      </c>
      <c r="G2291" s="824"/>
      <c r="H2291" s="793"/>
      <c r="I2291" s="793"/>
      <c r="J2291" s="504" t="s">
        <v>407</v>
      </c>
      <c r="K2291" s="516" t="s">
        <v>408</v>
      </c>
      <c r="L2291" s="517" t="s">
        <v>785</v>
      </c>
      <c r="M2291" s="517"/>
      <c r="N2291" s="528" t="s">
        <v>410</v>
      </c>
      <c r="O2291" s="529"/>
      <c r="P2291" s="386"/>
      <c r="Q2291" s="387" t="s">
        <v>411</v>
      </c>
      <c r="R2291" s="388"/>
      <c r="S2291" s="113">
        <f>COUNTIFS(H2275:H2284,"SI",O2275:O2284,"&gt;0")</f>
        <v>3</v>
      </c>
      <c r="T2291" s="785"/>
      <c r="U2291" s="787"/>
      <c r="V2291" s="813"/>
      <c r="W2291" s="284"/>
      <c r="X2291" s="780"/>
      <c r="Y2291" s="810"/>
      <c r="Z2291" s="810"/>
      <c r="AA2291" s="810"/>
      <c r="AB2291" s="809"/>
      <c r="AC2291" s="28"/>
    </row>
    <row r="2292" spans="1:29" s="30" customFormat="1" ht="24" customHeight="1">
      <c r="A2292" s="112" t="str">
        <f>"N"&amp;E2271</f>
        <v>N76</v>
      </c>
      <c r="B2292" s="791"/>
      <c r="C2292" s="54">
        <v>1</v>
      </c>
      <c r="D2292" s="100" t="str">
        <f>IF(AND(C2292&lt;=F2290,F2290&gt;1,F2290&lt;&gt;""),VLOOKUP(VALUE(E2271&amp;","&amp;C2292),INTEGRANTES!$D$19:$F$192,2,0),"")</f>
        <v>DESARROLLO EN INGENIERIA  DIN SAS</v>
      </c>
      <c r="E2292" s="107">
        <f>IF(D2292&lt;&gt;"",VLOOKUP(VALUE(E2271&amp;","&amp;C2292),INTEGRANTES!$D$19:$F$192,3,0),"")</f>
        <v>0.95</v>
      </c>
      <c r="F2292" s="380">
        <f>IF(D2292="","",IF(OR(SUMIF($J2275:$J2284,D2292,$O2275:$O2284)=0,N2292="NO"),"NO APORTA",SUMIF($J2275:$J2284,D2292,$O2275:$O2284)))</f>
        <v>1263.21</v>
      </c>
      <c r="G2292" s="380">
        <f ca="1">IF($D2292="","",IF($F2290&lt;=1,"",ROUND(POSMMLV*PORPO,2)))</f>
        <v>150</v>
      </c>
      <c r="H2292" s="765" t="str">
        <f ca="1">IF($D2292="","",IF(OR(F2292="NO APORTA",G2292&gt;F2292),"NO CUMPLE","CUMPLE"))</f>
        <v>CUMPLE</v>
      </c>
      <c r="I2292" s="766"/>
      <c r="J2292" s="108" t="str">
        <f ca="1">IF(D2292="","",IF(OR(AND(SUMIF($J2275:$J2284,D2292,$O2275:$O2284)&gt;=5%*POSMMLV,N2292="SI"),AND(SUMIF($J2275:$J2284,D2292,$O2275:$O2284)=0,E2292&lt;=5%,N2292="SI")),"CUMPLE","NO CUMPLE"))</f>
        <v>CUMPLE</v>
      </c>
      <c r="K2292" s="105" t="str">
        <f ca="1">IF(OR(D2292="",J2292=""),"",IF(AND(J2292="NO CUMPLE",F2292="NO APORTA",E2292&gt;5%),"EXP = 0 y PART &gt; 5%",IF(F2292&lt;5%*Q2297,"EXP &lt; 5%*PO","")))</f>
        <v/>
      </c>
      <c r="L2292" s="389" t="str">
        <f>IF(OR(D2292="",E2292=""),"",IF(AND(E2292&gt;=0.055,F2292&lt;&gt;"NO APORTA",F2292&gt;=$R2297*0.05),"SI","NO"))</f>
        <v>SI</v>
      </c>
      <c r="M2292" s="389"/>
      <c r="N2292" s="468" t="s">
        <v>385</v>
      </c>
      <c r="O2292" s="396">
        <f>COUNTIFS(O2275:O2284,"&gt;0",H2275:H2284,"SI")</f>
        <v>3</v>
      </c>
      <c r="P2292" s="814" t="s">
        <v>139</v>
      </c>
      <c r="Q2292" s="814"/>
      <c r="R2292" s="817">
        <f>E2271</f>
        <v>76</v>
      </c>
      <c r="S2292" s="818"/>
      <c r="T2292" s="784" t="s">
        <v>412</v>
      </c>
      <c r="U2292" s="773"/>
      <c r="V2292" s="774"/>
      <c r="W2292" s="283"/>
      <c r="X2292" s="542" t="str">
        <f>IF($F2290=1,"NO APLICA",$D2292)</f>
        <v>DESARROLLO EN INGENIERIA  DIN SAS</v>
      </c>
      <c r="Y2292" s="543">
        <f ca="1">IF(OR($F2292="",$F2292="NO APORTA",$R2297=0,$X2292="NO APLICA"),"",ROUND($F2292/$Q2297,2))</f>
        <v>4.21</v>
      </c>
      <c r="Z2292" s="544" t="str">
        <f ca="1">IF(Y2298=1,"SI APLICA",IF(OR($X2292="",$X2292="NO APLICA",$F2292="",$F2292="NO APORTA"),"",IF(ROUND($F2292/Q2297,7)&gt;=0.4,"SI APLICA","NO APLICA")))</f>
        <v>SI APLICA</v>
      </c>
      <c r="AA2292" s="543" t="s">
        <v>413</v>
      </c>
      <c r="AB2292" s="540" t="str">
        <f ca="1">IF(COUNTIF(Z2292:AA2292,"SI APLICA")=2,"SI APLICA","")</f>
        <v>SI APLICA</v>
      </c>
      <c r="AC2292" s="28"/>
    </row>
    <row r="2293" spans="1:29" s="30" customFormat="1" ht="24.75" customHeight="1" thickBot="1">
      <c r="A2293" s="112" t="str">
        <f>"O"&amp;E2271</f>
        <v>O76</v>
      </c>
      <c r="B2293" s="791"/>
      <c r="C2293" s="54">
        <v>2</v>
      </c>
      <c r="D2293" s="100" t="str">
        <f>IF(AND(C2293&lt;=F2290,F2290&lt;&gt;""),VLOOKUP(VALUE(E2271&amp;","&amp;C2293),INTEGRANTES!$D$19:$F$192,2,0),"")</f>
        <v>ISUTECH INGENIERÍA Y CONSTRUCCIONES S.A.S</v>
      </c>
      <c r="E2293" s="107">
        <f>IF(D2293&lt;&gt;"",VLOOKUP(VALUE(E2271&amp;","&amp;C2293),INTEGRANTES!$D$19:$F$192,3,0),"")</f>
        <v>0.05</v>
      </c>
      <c r="F2293" s="380" t="str">
        <f>IF(D2293="","",IF(OR(SUMIF($J2275:$J2284,D2293,$O2275:$O2284)=0,N2293="NO"),"NO APORTA",SUMIF($J2275:$J2284,D2293,$O2275:$O2284)))</f>
        <v>NO APORTA</v>
      </c>
      <c r="G2293" s="380">
        <f ca="1">IF($D2293="","",IF($F2290&lt;=1,"",ROUND(POSMMLV*PORPO,2)))</f>
        <v>150</v>
      </c>
      <c r="H2293" s="765" t="str">
        <f ca="1">IF($D2293="","",IF(OR(F2293="NO APORTA",G2293&gt;F2293),"NO CUMPLE","CUMPLE"))</f>
        <v>NO CUMPLE</v>
      </c>
      <c r="I2293" s="766"/>
      <c r="J2293" s="108" t="str">
        <f ca="1">IF(D2293="","",IF(OR(AND(SUMIF($J2275:$J2284,D2293,$O2275:$O2285)&gt;=5%*POSMMLV,N2293="SI"),AND(SUMIF($J2275:$J2284,D2293,$O2275:$O2285)=0,E2293&lt;=5%,N2293="SI")),"CUMPLE","NO CUMPLE"))</f>
        <v>CUMPLE</v>
      </c>
      <c r="K2293" s="105" t="str">
        <f ca="1">IF(OR(D2293="",J2293=""),"",IF(AND(J2293="NO CUMPLE",F2293="NO APORTA",E2293&gt;5%),"EXP = 0 y PART &gt; 5%",IF(F2293&lt;5%*Q2297,"EXP &lt; 5%*PO","")))</f>
        <v/>
      </c>
      <c r="L2293" s="389" t="str">
        <f>IF(OR(D2293="",E2293=""),"",IF(AND(E2293&gt;=0.05,F2293&lt;&gt;"NO APORTA",F2293&gt;=$R2297*0.05),"SI","NO"))</f>
        <v>NO</v>
      </c>
      <c r="M2293" s="389"/>
      <c r="N2293" s="468" t="s">
        <v>385</v>
      </c>
      <c r="O2293" s="396"/>
      <c r="P2293" s="815"/>
      <c r="Q2293" s="815"/>
      <c r="R2293" s="815"/>
      <c r="S2293" s="819"/>
      <c r="T2293" s="785"/>
      <c r="U2293" s="786"/>
      <c r="V2293" s="787"/>
      <c r="W2293" s="283"/>
      <c r="X2293" s="542" t="str">
        <f>IF($F2290=1,"NO APLICA",$D2293)</f>
        <v>ISUTECH INGENIERÍA Y CONSTRUCCIONES S.A.S</v>
      </c>
      <c r="Y2293" s="543" t="str">
        <f>IF(OR($F2293="",$F2293="NO APORTA",$R2297=0,$X2293="NO APLICA"),"",ROUND($F2293/$Q2297,2))</f>
        <v/>
      </c>
      <c r="Z2293" s="544" t="str">
        <f>IF(Y2298=1,"SI APLICA",IF(OR($X2293="",$X2293="NO APLICA",$F2293="",$F2293="NO APORTA"),"",IF(ROUND($F2293/Q2297,7)&gt;=0.4,"SI APLICA","NO APLICA")))</f>
        <v/>
      </c>
      <c r="AA2293" s="543"/>
      <c r="AB2293" s="540" t="str">
        <f t="shared" ref="AB2293" si="458">IF(COUNTIF(Z2293:AA2293,"SI APLICA")=2,"SI APLICA","")</f>
        <v/>
      </c>
      <c r="AC2293" s="28"/>
    </row>
    <row r="2294" spans="1:29" s="30" customFormat="1" ht="15.75" customHeight="1">
      <c r="A2294" s="112" t="str">
        <f>"P"&amp;E2271</f>
        <v>P76</v>
      </c>
      <c r="B2294" s="791"/>
      <c r="C2294" s="54">
        <v>3</v>
      </c>
      <c r="D2294" s="100" t="str">
        <f>IF(AND(C2294&lt;=F2290,F2290&lt;&gt;""),VLOOKUP(VALUE(E2271&amp;","&amp;C2294),INTEGRANTES!$D$19:$F$192,2,0),"")</f>
        <v/>
      </c>
      <c r="E2294" s="107" t="str">
        <f>IF(D2294&lt;&gt;"",VLOOKUP(VALUE(E2271&amp;","&amp;C2294),INTEGRANTES!$D$19:$F$192,3,0),"")</f>
        <v/>
      </c>
      <c r="F2294" s="380" t="str">
        <f>IF(D2294="","",IF(OR(SUMIF($J2278:$J2284,D2294,$O2278:$O2284)=0,N2294="NO"),"NO APORTA",SUMIF($J2278:$J2284,D2294,$O2278:$O2284)))</f>
        <v/>
      </c>
      <c r="G2294" s="380" t="str">
        <f>IF($D2294="","",IF($F2290&lt;=1,"",ROUND(POSMMLV*PORPO,2)))</f>
        <v/>
      </c>
      <c r="H2294" s="765" t="str">
        <f t="shared" ref="H2294:H2296" si="459">IF($D2294="","",IF(OR(F2294="NO APORTA",G2294&gt;F2294),"NO CUMPLE","CUMPLE"))</f>
        <v/>
      </c>
      <c r="I2294" s="766"/>
      <c r="J2294" s="108" t="str">
        <f>IF(D2294="","",IF(OR(AND(SUMIF($J2275:$J2284,D2294,$O2275:$O2284)&gt;=5%*POSMMLV,N2294="SI"),AND(SUMIF($J2275:$J2284,D2294,$O2275:$O2284)=0,E2294&lt;=5%,N2294="SI")),"CUMPLE","NO CUMPLE"))</f>
        <v/>
      </c>
      <c r="K2294" s="105" t="str">
        <f>IF(OR(D2294="",J2294=""),"",IF(AND(J2294="NO CUMPLE",F2294="NO APORTA",E2294&gt;5%),"EXP = 0 y PART &gt; 5%",IF(F2294&lt;5%*Q2297,"EXP &lt; 5%*PO","")))</f>
        <v/>
      </c>
      <c r="L2294" s="389" t="str">
        <f>IF(OR(D2294="",E2294=""),"",IF(AND(E2294&gt;=0.25,F2294&lt;&gt;"NO APORTA",F2294&gt;=$R2297*0.25),"SI","NO"))</f>
        <v/>
      </c>
      <c r="M2294" s="389"/>
      <c r="N2294" s="468"/>
      <c r="O2294" s="397"/>
      <c r="P2294" s="816"/>
      <c r="Q2294" s="816"/>
      <c r="R2294" s="816"/>
      <c r="S2294" s="820"/>
      <c r="T2294" s="308"/>
      <c r="U2294" s="308"/>
      <c r="V2294" s="309"/>
      <c r="W2294" s="284"/>
      <c r="X2294" s="542" t="str">
        <f>IF($F2290=1,"NO APLICA",$D2294)</f>
        <v/>
      </c>
      <c r="Y2294" s="543" t="str">
        <f>IF(OR($F2294="",$F2294="NO APORTA",$R2297=0,$X2294="NO APLICA"),"",ROUND($F2294/$Q2297,2))</f>
        <v/>
      </c>
      <c r="Z2294" s="544" t="str">
        <f>IF(Y2298=1,"SI APLICA",IF(OR($X2294="",$X2294="NO APLICA",$F2294="",$F2294="NO APORTA"),"",IF(ROUND($F2294/Q2297,7)&gt;=0.4,"SI APLICA","NO APLICA")))</f>
        <v/>
      </c>
      <c r="AA2294" s="543"/>
      <c r="AB2294" s="540" t="str">
        <f>IF(COUNTIF(Z2294:AA2294,"SI APLICA")=2,"SI APLICA","")</f>
        <v/>
      </c>
      <c r="AC2294" s="28"/>
    </row>
    <row r="2295" spans="1:29" s="30" customFormat="1" ht="15.75" customHeight="1">
      <c r="A2295" s="112" t="str">
        <f>"Q"&amp;E2271</f>
        <v>Q76</v>
      </c>
      <c r="B2295" s="791"/>
      <c r="C2295" s="54">
        <v>4</v>
      </c>
      <c r="D2295" s="100" t="str">
        <f>IF(AND(C2295&lt;=F2290,F2290&lt;&gt;""),VLOOKUP(VALUE(E2271&amp;","&amp;C2295),INTEGRANTES!$D$19:$F$192,2,0),"")</f>
        <v/>
      </c>
      <c r="E2295" s="107" t="str">
        <f>IF(D2295&lt;&gt;"",VLOOKUP(VALUE(E2271&amp;","&amp;C2295),INTEGRANTES!$D$19:$F$192,3,0),"")</f>
        <v/>
      </c>
      <c r="F2295" s="380" t="str">
        <f>IF(D2295="","",IF(OR(SUMIF($J2278:$J2284,D2295,$O2278:$O2284)=0,N2295="NO"),"NO APORTA",SUMIF($J2278:$J2284,D2295,$O2278:$O2284)))</f>
        <v/>
      </c>
      <c r="G2295" s="380" t="str">
        <f>IF($D2295="","",IF($F2290&lt;=1,"",ROUND(POSMMLV*PORPO,2)))</f>
        <v/>
      </c>
      <c r="H2295" s="765" t="str">
        <f t="shared" si="459"/>
        <v/>
      </c>
      <c r="I2295" s="766"/>
      <c r="J2295" s="108" t="str">
        <f>IF(D2295="","",IF(OR(AND(SUMIF($J2275:$J2284,D2295,$O2275:$O2284)&gt;=5%*POSMMLV,N2295="SI"),AND(SUMIF($J2275:$J2284,D2295,$O2275:$O2284)=0,E2295&lt;=5%,N2295="SI")),"CUMPLE","NO CUMPLE"))</f>
        <v/>
      </c>
      <c r="K2295" s="105" t="str">
        <f>IF(OR(D2295="",J2295=""),"",IF(AND(J2295="NO CUMPLE",F2295="NO APORTA",E2295&gt;5%),"EXP = 0 y PART &gt; 5%",IF(F2295&lt;5%*Q2297,"EXP &lt; 5%*PO","")))</f>
        <v/>
      </c>
      <c r="L2295" s="389" t="str">
        <f>IF(OR(D2295="",E2295=""),"",IF(AND(E2295&gt;=0.25,F2295&lt;&gt;"NO APORTA",F2295&gt;=$R2297*0.25),"SI","NO"))</f>
        <v/>
      </c>
      <c r="M2295" s="389"/>
      <c r="N2295" s="468"/>
      <c r="O2295" s="788" t="s">
        <v>414</v>
      </c>
      <c r="P2295" s="769" t="s">
        <v>415</v>
      </c>
      <c r="Q2295" s="770"/>
      <c r="R2295" s="770"/>
      <c r="S2295" s="771"/>
      <c r="T2295" s="284"/>
      <c r="U2295" s="284"/>
      <c r="V2295" s="310"/>
      <c r="W2295" s="284"/>
      <c r="X2295" s="542" t="str">
        <f>IF($F2290=1,"NO APLICA",$D2295)</f>
        <v/>
      </c>
      <c r="Y2295" s="543" t="str">
        <f>IF(OR($F2295="",$F2295="NO APORTA",$R2297=0,$X2295="NO APLICA"),"",ROUND($F2295/$Q2297,2))</f>
        <v/>
      </c>
      <c r="Z2295" s="544" t="str">
        <f>IF(Y2298=1,"SI APLICA",IF(OR($X2295="",$X2295="NO APLICA",$F2295="",$F2295="NO APORTA"),"",IF(ROUND($F2295/Q2297,7)&gt;=0.4,"SI APLICA","NO APLICA")))</f>
        <v/>
      </c>
      <c r="AA2295" s="543"/>
      <c r="AB2295" s="540" t="str">
        <f t="shared" ref="AB2295:AB2296" si="460">IF(COUNTIF(Z2295:AA2295,"SI APLICA")=2,"SI APLICA","")</f>
        <v/>
      </c>
      <c r="AC2295" s="28"/>
    </row>
    <row r="2296" spans="1:29" s="30" customFormat="1" ht="17.25" customHeight="1">
      <c r="A2296" s="112" t="str">
        <f>"R"&amp;E2271</f>
        <v>R76</v>
      </c>
      <c r="B2296" s="791"/>
      <c r="C2296" s="54">
        <v>5</v>
      </c>
      <c r="D2296" s="100" t="str">
        <f>IF(AND(C2296&lt;=F2290,F2290&lt;&gt;""),VLOOKUP(VALUE(E2271&amp;","&amp;C2296),INTEGRANTES!$D$19:$F$192,2,0),"")</f>
        <v/>
      </c>
      <c r="E2296" s="107" t="str">
        <f>IF(D2296&lt;&gt;"",VLOOKUP(VALUE(E2271&amp;","&amp;C2296),INTEGRANTES!$D$19:$F$192,3,0),"")</f>
        <v/>
      </c>
      <c r="F2296" s="380" t="str">
        <f>IF(D2296="","",IF(OR(SUMIF($J2278:$J2284,D2296,$O2278:$O2284)=0,N2296="NO"),"NO APORTA",SUMIF($J2278:$J2284,D2296,$O2278:$O2284)))</f>
        <v/>
      </c>
      <c r="G2296" s="380" t="str">
        <f>IF($D2296="","",IF($F2290&lt;=1,"",ROUND(POSMMLV*PORPO,2)))</f>
        <v/>
      </c>
      <c r="H2296" s="765" t="str">
        <f t="shared" si="459"/>
        <v/>
      </c>
      <c r="I2296" s="766"/>
      <c r="J2296" s="108" t="str">
        <f>IF(D2296="","",IF(OR(AND(SUMIF($J2275:$J2284,D2296,$O2275:$O2284)&gt;=5%*POSMMLV,N2296="SI"),AND(SUMIF($J2275:$J2284,D2296,$O2275:$O2284)=0,E2296&lt;=5%,N2296="SI")),"CUMPLE","NO CUMPLE"))</f>
        <v/>
      </c>
      <c r="K2296" s="105" t="str">
        <f>IF(OR(D2296="",J2296=""),"",IF(AND(J2296="NO CUMPLE",F2296="NO APORTA",E2296&gt;5%),"EXP = 0 y PART &gt; 5%",IF(F2296&lt;5%*Q2297,"EXP &lt; 5%*PO","")))</f>
        <v/>
      </c>
      <c r="L2296" s="389" t="str">
        <f>IF(OR(D2296="",E2296=""),"",IF(AND(E2296&gt;=0.25,F2296&lt;&gt;"NO APORTA",F2296&gt;=$R2297*0.25),"SI","NO"))</f>
        <v/>
      </c>
      <c r="M2296" s="389"/>
      <c r="N2296" s="468"/>
      <c r="O2296" s="789"/>
      <c r="P2296" s="504" t="s">
        <v>416</v>
      </c>
      <c r="Q2296" s="504" t="s">
        <v>417</v>
      </c>
      <c r="R2296" s="793" t="s">
        <v>418</v>
      </c>
      <c r="S2296" s="793"/>
      <c r="T2296" s="284"/>
      <c r="U2296" s="284"/>
      <c r="V2296" s="310"/>
      <c r="W2296" s="284"/>
      <c r="X2296" s="542" t="str">
        <f>IF($F2290=1,"NO APLICA",$D2296)</f>
        <v/>
      </c>
      <c r="Y2296" s="543" t="str">
        <f>IF(OR($F2296="",$F2296="NO APORTA",$R2297=0,$X2296="NO APLICA"),"",ROUND($F2296/$Q2297,2))</f>
        <v/>
      </c>
      <c r="Z2296" s="544" t="str">
        <f>IF(Y2298=1,"SI APLICA",IF(OR($X2296="",$X2296="NO APLICA",$F2296="",$F2296="NO APORTA"),"",IF(ROUND($F2296/Q2297,7)&gt;=0.4,"SI APLICA","NO APLICA")))</f>
        <v/>
      </c>
      <c r="AA2296" s="543"/>
      <c r="AB2296" s="540" t="str">
        <f t="shared" si="460"/>
        <v/>
      </c>
      <c r="AC2296" s="28"/>
    </row>
    <row r="2297" spans="1:29" s="30" customFormat="1" ht="16.5" customHeight="1" thickBot="1">
      <c r="A2297" s="112" t="str">
        <f>"S"&amp;E2271</f>
        <v>S76</v>
      </c>
      <c r="B2297" s="791"/>
      <c r="C2297" s="109">
        <v>6</v>
      </c>
      <c r="D2297" s="110" t="str">
        <f>IF(AND(C2297&lt;=F2290,F2290&lt;&gt;""),VLOOKUP(VALUE(E2271&amp;","&amp;C2297),INTEGRANTES!$D$19:$F$192,2,0),"")</f>
        <v/>
      </c>
      <c r="E2297" s="111" t="str">
        <f>IF(D2297&lt;&gt;"",VLOOKUP(VALUE(E2271&amp;","&amp;C2297),INTEGRANTES!$D$19:$F$192,3,0),"")</f>
        <v/>
      </c>
      <c r="F2297" s="380" t="str">
        <f>IF(D2297="","",IF(OR(SUMIF($J2278:$J2284,D2297,$O2278:$O2284)=0,N2297="NO"),"NO APORTA",SUMIF($J2278:$J2284,D2297,$O2278:$O2284)))</f>
        <v/>
      </c>
      <c r="G2297" s="380" t="str">
        <f>IF($D2297="","",IF($F2290&lt;=1,"",ROUND(POSMMLV*PORPO,2)))</f>
        <v/>
      </c>
      <c r="H2297" s="765" t="str">
        <f>IF($D2297="","",IF(OR(F2297="NO APORTA",G2297&gt;F2297),"NO CUMPLE","CUMPLE"))</f>
        <v/>
      </c>
      <c r="I2297" s="766"/>
      <c r="J2297" s="108" t="str">
        <f>IF(D2297="","",IF(OR(AND(SUMIF($J2275:$J2284,D2297,$O2275:$O2284)&gt;=5%*POSMMLV,N2297="SI"),AND(SUMIF($J2275:$J2284,D2297,$O2275:$O2284)=0,E2297&lt;=5%,N2297="SI")),"CUMPLE","NO CUMPLE"))</f>
        <v/>
      </c>
      <c r="K2297" s="105" t="str">
        <f>IF(OR(D2297="",J2297=""),"",IF(AND(J2297="NO CUMPLE",F2297="NO APORTA",E2297&gt;5%),"EXP = 0 y PART &gt; 5%",IF(F2297&lt;5%*Q2297,"EXP &lt; 5%*PO","")))</f>
        <v/>
      </c>
      <c r="L2297" s="389" t="str">
        <f>IF(OR(D2297="",E2297=""),"",IF(AND(E2297&gt;=0.25,F2297&lt;&gt;"NO APORTA",F2297&gt;=$R2297*0.25),"SI","NO"))</f>
        <v/>
      </c>
      <c r="M2297" s="389"/>
      <c r="N2297" s="468"/>
      <c r="O2297" s="403" t="str">
        <f ca="1">IF(R2297&gt;=Q2297,"CUMPLE","NO CUMPLE")</f>
        <v>CUMPLE</v>
      </c>
      <c r="P2297" s="312">
        <f>NUMMOD</f>
        <v>1</v>
      </c>
      <c r="Q2297" s="313">
        <f ca="1">IF(P2297="","",ROUND(VLOOKUP(P2297,PRESUPUESTOS!$B$16:$L$16,9,FALSE),7))</f>
        <v>300</v>
      </c>
      <c r="R2297" s="834">
        <f>IF(OR(COUNTIF(O2275:O2284,"")&gt;9,S2291&lt;NUMMINCONT),0,SUM(O2275:O2284))</f>
        <v>1263.21</v>
      </c>
      <c r="S2297" s="834"/>
      <c r="T2297" s="284"/>
      <c r="U2297" s="284"/>
      <c r="V2297" s="310"/>
      <c r="W2297" s="284"/>
      <c r="X2297" s="545" t="str">
        <f>IF($F2290=1,"NO APLICA",$D2297)</f>
        <v/>
      </c>
      <c r="Y2297" s="543" t="str">
        <f>IF(OR($F2297="",$F2297="NO APORTA",$R2297=0,$X2297="NO APLICA"),"",ROUND($F2297/$Q2297,2))</f>
        <v/>
      </c>
      <c r="Z2297" s="544" t="str">
        <f>IF(Y2298=1,"SI APLICA",IF(OR($X2297="",$X2297="NO APLICA",$F2297="",$F2297="NO APORTA"),"",IF(ROUND($F2297/Q2297,7)&gt;=0.4,"SI APLICA","NO APLICA")))</f>
        <v/>
      </c>
      <c r="AA2297" s="546"/>
      <c r="AB2297" s="540" t="str">
        <f>IF(COUNTIF(Z2297:AA2297,"SI APLICA")=2,"SI APLICA","")</f>
        <v/>
      </c>
      <c r="AC2297" s="28"/>
    </row>
    <row r="2298" spans="1:29" s="30" customFormat="1" ht="16.5" customHeight="1" thickBot="1">
      <c r="A2298" s="112" t="str">
        <f>"T"&amp;E2271</f>
        <v>T76</v>
      </c>
      <c r="B2298" s="792"/>
      <c r="C2298" s="821" t="s">
        <v>419</v>
      </c>
      <c r="D2298" s="822"/>
      <c r="E2298" s="822"/>
      <c r="F2298" s="518"/>
      <c r="G2298" s="519"/>
      <c r="H2298" s="794" t="str">
        <f ca="1">IF(OR($F2290="",SUM(E2292:E2297)=0),"",IF(COUNTIF(H2292:H2297,"CUMPLE")&gt;=1,"CUMPLE","NO CUMPLE"))</f>
        <v>CUMPLE</v>
      </c>
      <c r="I2298" s="795"/>
      <c r="J2298" s="642" t="str">
        <f ca="1">IF(COUNTIF(J2292:J2297,"")&gt;5,"",IF(COUNTIF(J2292:J2297,"NO CUMPLE")&gt;0,"NO CUMPLE","CUMPLE"))</f>
        <v>CUMPLE</v>
      </c>
      <c r="K2298" s="314" t="str" cm="1">
        <f t="array" aca="1" ref="K2298" ca="1">IF(OR(AND(F2290=1,N2292:N2293="SI"),AND(COUNTIF(H2298:J2298,"CUMPLE")=2)),"CUMPLE","NO CUMPLE")</f>
        <v>CUMPLE</v>
      </c>
      <c r="L2298" s="519"/>
      <c r="M2298" s="519"/>
      <c r="N2298" s="519"/>
      <c r="O2298" s="833" t="str">
        <f ca="1">IF(ISNUMBER(F2271),"",IF(AND(O2297="NO CUMPLE",SUM(N2278:N2284)&lt;Q2297),"EL PROPONENTE SE DEBE REQUERIR POR EXPERIENCIA MINIMA EXIGIDA",""))</f>
        <v/>
      </c>
      <c r="P2298" s="833"/>
      <c r="Q2298" s="833"/>
      <c r="R2298" s="833"/>
      <c r="S2298" s="833"/>
      <c r="T2298" s="522"/>
      <c r="U2298" s="523"/>
      <c r="V2298" s="524"/>
      <c r="W2298" s="284"/>
      <c r="X2298" s="364" t="str">
        <f>IF(Y2298=1,"PROPONENTE INDIVIDUAL","PROPONENTE PLURAL")</f>
        <v>PROPONENTE PLURAL</v>
      </c>
      <c r="Y2298" s="276">
        <f>F2290</f>
        <v>2</v>
      </c>
      <c r="Z2298" s="277" t="str">
        <f ca="1">IF(OR(AND(Z2292="SI APLICA",AA2292="SI APLICA"),AND(Z2293="SI APLICA",AA2293="SI APLICA"),AND(Z2294="SI APLICA",AA2294="SI APLICA"),AND(Z2295="SI APLICA",AA2295="SI APLICA"),AND(Z2296="SI APLICA",AA2296="SI APLICA"),AND(Z2297="SI APLICA",AA2297="SI APLICA")),"SI APLICA","NO APLICA")</f>
        <v>SI APLICA</v>
      </c>
      <c r="AA2298" s="278" t="str">
        <f ca="1">IF(OR(AND(AA2292="SI APLICA",AB2292="SI APLICA"),AND(AA2293="SI APLICA",AB2293="SI APLICA"),AND(AA2294="SI APLICA",AB2294="SI APLICA"),AND(AA2295="SI APLICA",AB2295="SI APLICA"),AND(AA2296="SI APLICA",AB2296="SI APLICA"),AND(AA2297="SI APLICA",AB2297="SI APLICA")),"SI APLICA","NO APLICA")</f>
        <v>SI APLICA</v>
      </c>
      <c r="AB2298" s="278" t="str">
        <f ca="1">IF(COUNTIF(AB2292:AB2297,"SI APLICA")&gt;0,"SI APLICA","NO APLICA")</f>
        <v>SI APLICA</v>
      </c>
      <c r="AC2298" s="28"/>
    </row>
    <row r="2299" spans="1:29" ht="24.95" customHeight="1"/>
    <row r="2300" spans="1:29" ht="24.95" customHeight="1"/>
    <row r="2301" spans="1:29" s="41" customFormat="1" ht="24" thickBot="1">
      <c r="A2301" s="34">
        <v>77</v>
      </c>
      <c r="B2301" s="828" t="s">
        <v>355</v>
      </c>
      <c r="C2301" s="828"/>
      <c r="D2301" s="828"/>
      <c r="E2301" s="35">
        <f>VLOOKUP(A2301,PROPONENTES!$B$19:$E$108,2,FALSE)</f>
        <v>77</v>
      </c>
      <c r="F2301" s="36" t="str">
        <f>VLOOKUP(A2301,PROPONENTES!$B$19:$E$108,3,FALSE)</f>
        <v>CONSORCIO CASTORES – INGES INVIAS 2022</v>
      </c>
      <c r="G2301" s="37"/>
      <c r="H2301" s="37"/>
      <c r="I2301" s="36"/>
      <c r="J2301" s="36"/>
      <c r="K2301" s="36"/>
      <c r="L2301" s="36"/>
      <c r="M2301" s="38"/>
      <c r="N2301" s="38"/>
      <c r="O2301" s="37"/>
      <c r="P2301" s="37"/>
      <c r="Q2301" s="39"/>
      <c r="R2301" s="39"/>
      <c r="S2301" s="39"/>
      <c r="T2301" s="39"/>
      <c r="U2301" s="40"/>
      <c r="Y2301" s="52"/>
      <c r="Z2301" s="52"/>
      <c r="AA2301" s="52"/>
      <c r="AB2301" s="28"/>
      <c r="AC2301" s="28"/>
    </row>
    <row r="2302" spans="1:29" s="27" customFormat="1" ht="24.75" customHeight="1">
      <c r="A2302" s="22"/>
      <c r="B2302" s="829" t="s">
        <v>356</v>
      </c>
      <c r="C2302" s="501" t="s">
        <v>357</v>
      </c>
      <c r="D2302" s="502" t="s">
        <v>358</v>
      </c>
      <c r="E2302" s="502"/>
      <c r="F2302" s="502" t="s">
        <v>359</v>
      </c>
      <c r="G2302" s="503"/>
      <c r="H2302" s="803" t="s">
        <v>360</v>
      </c>
      <c r="I2302" s="831" t="s">
        <v>361</v>
      </c>
      <c r="J2302" s="803" t="s">
        <v>362</v>
      </c>
      <c r="K2302" s="803" t="s">
        <v>363</v>
      </c>
      <c r="L2302" s="803" t="s">
        <v>364</v>
      </c>
      <c r="M2302" s="803" t="s">
        <v>365</v>
      </c>
      <c r="N2302" s="804" t="s">
        <v>366</v>
      </c>
      <c r="O2302" s="805"/>
      <c r="P2302" s="806" t="s">
        <v>367</v>
      </c>
      <c r="Q2302" s="807"/>
      <c r="R2302" s="784" t="s">
        <v>368</v>
      </c>
      <c r="S2302" s="774"/>
      <c r="T2302" s="798" t="s">
        <v>369</v>
      </c>
      <c r="U2302" s="799"/>
      <c r="V2302" s="800"/>
      <c r="X2302" s="520"/>
      <c r="Y2302" s="520"/>
    </row>
    <row r="2303" spans="1:29" s="27" customFormat="1" ht="94.5" customHeight="1">
      <c r="A2303" s="22"/>
      <c r="B2303" s="830"/>
      <c r="C2303" s="504" t="s">
        <v>370</v>
      </c>
      <c r="D2303" s="505" t="s">
        <v>41</v>
      </c>
      <c r="E2303" s="505" t="s">
        <v>371</v>
      </c>
      <c r="F2303" s="505" t="s">
        <v>372</v>
      </c>
      <c r="G2303" s="506" t="s">
        <v>373</v>
      </c>
      <c r="H2303" s="793"/>
      <c r="I2303" s="832"/>
      <c r="J2303" s="793"/>
      <c r="K2303" s="793"/>
      <c r="L2303" s="793"/>
      <c r="M2303" s="793"/>
      <c r="N2303" s="504" t="s">
        <v>374</v>
      </c>
      <c r="O2303" s="505" t="s">
        <v>375</v>
      </c>
      <c r="P2303" s="801"/>
      <c r="Q2303" s="802"/>
      <c r="R2303" s="796"/>
      <c r="S2303" s="797"/>
      <c r="T2303" s="507" t="s">
        <v>376</v>
      </c>
      <c r="U2303" s="508" t="s">
        <v>377</v>
      </c>
      <c r="V2303" s="509" t="s">
        <v>378</v>
      </c>
      <c r="X2303" s="521" t="s">
        <v>379</v>
      </c>
      <c r="Y2303" s="521" t="s">
        <v>380</v>
      </c>
    </row>
    <row r="2304" spans="1:29" s="27" customFormat="1" ht="15" customHeight="1">
      <c r="A2304" s="22"/>
      <c r="B2304" s="594"/>
      <c r="C2304" s="595">
        <v>3</v>
      </c>
      <c r="D2304" s="595">
        <v>4</v>
      </c>
      <c r="E2304" s="595">
        <v>5</v>
      </c>
      <c r="F2304" s="595">
        <v>6</v>
      </c>
      <c r="G2304" s="595">
        <v>7</v>
      </c>
      <c r="H2304" s="595">
        <v>8</v>
      </c>
      <c r="I2304" s="595">
        <v>9</v>
      </c>
      <c r="J2304" s="595">
        <v>10</v>
      </c>
      <c r="K2304" s="595">
        <v>11</v>
      </c>
      <c r="L2304" s="595">
        <v>12</v>
      </c>
      <c r="M2304" s="595">
        <v>13</v>
      </c>
      <c r="N2304" s="595">
        <v>14</v>
      </c>
      <c r="O2304" s="595">
        <v>15</v>
      </c>
      <c r="P2304" s="596">
        <v>16</v>
      </c>
      <c r="Q2304" s="597">
        <v>17</v>
      </c>
      <c r="R2304" s="596">
        <v>18</v>
      </c>
      <c r="S2304" s="597">
        <v>19</v>
      </c>
      <c r="T2304" s="598">
        <v>20</v>
      </c>
      <c r="U2304" s="255">
        <v>21</v>
      </c>
      <c r="V2304" s="599">
        <v>22</v>
      </c>
      <c r="X2304" s="589"/>
      <c r="Y2304" s="590"/>
    </row>
    <row r="2305" spans="1:29" s="44" customFormat="1" ht="43.5" customHeight="1">
      <c r="A2305" s="42" t="str">
        <f>"A"&amp;E2301</f>
        <v>A77</v>
      </c>
      <c r="B2305" s="605">
        <f>IF(C2305&lt;&gt;"",B2304+1,"")</f>
        <v>1</v>
      </c>
      <c r="C2305" s="581" t="s">
        <v>688</v>
      </c>
      <c r="D2305" s="581" t="s">
        <v>1025</v>
      </c>
      <c r="E2305" s="581" t="s">
        <v>1026</v>
      </c>
      <c r="F2305" s="581" t="s">
        <v>384</v>
      </c>
      <c r="G2305" s="534">
        <v>1</v>
      </c>
      <c r="H2305" s="534" t="s">
        <v>385</v>
      </c>
      <c r="I2305" s="579">
        <v>2</v>
      </c>
      <c r="J2305" s="580" t="str">
        <f>IF(I2305="","",IF(I2305="I",$F2301,VLOOKUP(I2305,$C2322:$D2327,2,0)))</f>
        <v>INGESTRUCTURAS INGENIERO SAS</v>
      </c>
      <c r="K2305" s="535">
        <v>38229</v>
      </c>
      <c r="L2305" s="535">
        <v>38423</v>
      </c>
      <c r="M2305" s="536">
        <v>115.78</v>
      </c>
      <c r="N2305" s="232">
        <f t="shared" ref="N2305:N2314" si="461">IF(OR(G2305="",M2305=""),"",M2305*G2305)</f>
        <v>115.78</v>
      </c>
      <c r="O2305" s="260">
        <f t="shared" ref="O2305:O2314" si="462">IF(OR(H2305="",H2305="NO",K2305&lt;$Q$17,K2305&gt;$R$17,K2305="",M2305="",N2305=""),"",ROUND(N2305,7))</f>
        <v>115.78</v>
      </c>
      <c r="P2305" s="781" t="s">
        <v>1027</v>
      </c>
      <c r="Q2305" s="782"/>
      <c r="R2305" s="767"/>
      <c r="S2305" s="768"/>
      <c r="T2305" s="538" t="s">
        <v>385</v>
      </c>
      <c r="U2305" s="539">
        <v>2</v>
      </c>
      <c r="V2305" s="540" t="s">
        <v>385</v>
      </c>
      <c r="X2305" s="541" t="s">
        <v>386</v>
      </c>
      <c r="Y2305" s="541" t="s">
        <v>435</v>
      </c>
    </row>
    <row r="2306" spans="1:29" s="44" customFormat="1" ht="24.95" customHeight="1">
      <c r="A2306" s="42" t="str">
        <f>"B"&amp;E2301</f>
        <v>B77</v>
      </c>
      <c r="B2306" s="605">
        <f t="shared" ref="B2306:B2307" si="463">IF(C2306&lt;&gt;"",B2305+1,"")</f>
        <v>2</v>
      </c>
      <c r="C2306" s="581" t="s">
        <v>941</v>
      </c>
      <c r="D2306" s="581" t="s">
        <v>1028</v>
      </c>
      <c r="E2306" s="581" t="s">
        <v>1029</v>
      </c>
      <c r="F2306" s="581" t="s">
        <v>384</v>
      </c>
      <c r="G2306" s="534">
        <v>1</v>
      </c>
      <c r="H2306" s="534" t="s">
        <v>385</v>
      </c>
      <c r="I2306" s="579">
        <v>1</v>
      </c>
      <c r="J2306" s="580" t="str">
        <f>IF(I2306="","",IF(I2306="I",$F2301,VLOOKUP(I2306,$C2322:$D2327,2,0)))</f>
        <v>LOS CASTORES CONSTRUCTORES SAS</v>
      </c>
      <c r="K2306" s="535">
        <v>40203</v>
      </c>
      <c r="L2306" s="535">
        <v>40599</v>
      </c>
      <c r="M2306" s="536">
        <v>653</v>
      </c>
      <c r="N2306" s="232">
        <v>653.03</v>
      </c>
      <c r="O2306" s="260">
        <f t="shared" si="462"/>
        <v>653.03</v>
      </c>
      <c r="P2306" s="781"/>
      <c r="Q2306" s="782"/>
      <c r="R2306" s="767"/>
      <c r="S2306" s="768"/>
      <c r="T2306" s="538" t="s">
        <v>385</v>
      </c>
      <c r="U2306" s="539">
        <v>61</v>
      </c>
      <c r="V2306" s="540" t="s">
        <v>385</v>
      </c>
      <c r="X2306" s="541" t="s">
        <v>446</v>
      </c>
      <c r="Y2306" s="541" t="s">
        <v>387</v>
      </c>
    </row>
    <row r="2307" spans="1:29" s="44" customFormat="1" ht="24.95" customHeight="1">
      <c r="A2307" s="42" t="str">
        <f>"C"&amp;E2301</f>
        <v>C77</v>
      </c>
      <c r="B2307" s="605" t="str">
        <f t="shared" si="463"/>
        <v/>
      </c>
      <c r="C2307" s="581"/>
      <c r="D2307" s="581"/>
      <c r="E2307" s="581"/>
      <c r="F2307" s="581"/>
      <c r="G2307" s="534"/>
      <c r="H2307" s="534"/>
      <c r="I2307" s="579"/>
      <c r="J2307" s="580" t="str">
        <f>IF(I2307="","",IF(I2307="I",$F2301,VLOOKUP(I2307,$C2322:$D2327,2,0)))</f>
        <v/>
      </c>
      <c r="K2307" s="535"/>
      <c r="L2307" s="535"/>
      <c r="M2307" s="536"/>
      <c r="N2307" s="232" t="str">
        <f t="shared" si="461"/>
        <v/>
      </c>
      <c r="O2307" s="260" t="str">
        <f t="shared" si="462"/>
        <v/>
      </c>
      <c r="P2307" s="781" t="s">
        <v>1030</v>
      </c>
      <c r="Q2307" s="782"/>
      <c r="R2307" s="767"/>
      <c r="S2307" s="768"/>
      <c r="T2307" s="538"/>
      <c r="U2307" s="539"/>
      <c r="V2307" s="540"/>
      <c r="X2307" s="541"/>
      <c r="Y2307" s="541"/>
    </row>
    <row r="2308" spans="1:29" s="44" customFormat="1" ht="24.95" customHeight="1">
      <c r="A2308" s="42" t="str">
        <f>"D"&amp;E2301</f>
        <v>D77</v>
      </c>
      <c r="B2308" s="605" t="str">
        <f t="shared" ref="B2308:B2314" si="464">IF(C2308&lt;&gt;"",B2307+1,"")</f>
        <v/>
      </c>
      <c r="C2308" s="581"/>
      <c r="D2308" s="581"/>
      <c r="E2308" s="581"/>
      <c r="F2308" s="581"/>
      <c r="G2308" s="534"/>
      <c r="H2308" s="534"/>
      <c r="I2308" s="579"/>
      <c r="J2308" s="580" t="str">
        <f>IF(I2308="","",IF(I2308="I",$F2301,VLOOKUP(I2308,$C2322:$D2327,2,0)))</f>
        <v/>
      </c>
      <c r="K2308" s="535"/>
      <c r="L2308" s="535"/>
      <c r="M2308" s="536"/>
      <c r="N2308" s="232" t="str">
        <f t="shared" si="461"/>
        <v/>
      </c>
      <c r="O2308" s="260" t="str">
        <f t="shared" si="462"/>
        <v/>
      </c>
      <c r="P2308" s="781"/>
      <c r="Q2308" s="782"/>
      <c r="R2308" s="767"/>
      <c r="S2308" s="768"/>
      <c r="T2308" s="538"/>
      <c r="U2308" s="539"/>
      <c r="V2308" s="540"/>
      <c r="X2308" s="541"/>
      <c r="Y2308" s="541"/>
    </row>
    <row r="2309" spans="1:29" s="44" customFormat="1" ht="24.95" customHeight="1">
      <c r="A2309" s="42" t="str">
        <f>"E"&amp;E2301</f>
        <v>E77</v>
      </c>
      <c r="B2309" s="605" t="str">
        <f t="shared" si="464"/>
        <v/>
      </c>
      <c r="C2309" s="581"/>
      <c r="D2309" s="581"/>
      <c r="E2309" s="581"/>
      <c r="F2309" s="581"/>
      <c r="G2309" s="534"/>
      <c r="H2309" s="534"/>
      <c r="I2309" s="579"/>
      <c r="J2309" s="580" t="str">
        <f>IF(I2309="","",IF(I2309="I",$F2301,VLOOKUP(I2309,$C2322:$D2327,2,0)))</f>
        <v/>
      </c>
      <c r="K2309" s="535"/>
      <c r="L2309" s="535"/>
      <c r="M2309" s="536"/>
      <c r="N2309" s="232" t="str">
        <f t="shared" si="461"/>
        <v/>
      </c>
      <c r="O2309" s="260" t="str">
        <f t="shared" si="462"/>
        <v/>
      </c>
      <c r="P2309" s="781"/>
      <c r="Q2309" s="782"/>
      <c r="R2309" s="767"/>
      <c r="S2309" s="768"/>
      <c r="T2309" s="538"/>
      <c r="U2309" s="539"/>
      <c r="V2309" s="540"/>
      <c r="X2309" s="541"/>
      <c r="Y2309" s="541"/>
    </row>
    <row r="2310" spans="1:29" s="44" customFormat="1" ht="24.95" customHeight="1">
      <c r="A2310" s="42" t="str">
        <f>"F"&amp;E2301</f>
        <v>F77</v>
      </c>
      <c r="B2310" s="605" t="str">
        <f t="shared" si="464"/>
        <v/>
      </c>
      <c r="C2310" s="581"/>
      <c r="D2310" s="581"/>
      <c r="E2310" s="581"/>
      <c r="F2310" s="581"/>
      <c r="G2310" s="534"/>
      <c r="H2310" s="534"/>
      <c r="I2310" s="579"/>
      <c r="J2310" s="580" t="str">
        <f>IF(I2310="","",IF(I2310="I",$F2301,VLOOKUP(I2310,$C2322:$D2327,2,0)))</f>
        <v/>
      </c>
      <c r="K2310" s="535"/>
      <c r="L2310" s="535"/>
      <c r="M2310" s="536"/>
      <c r="N2310" s="232" t="str">
        <f t="shared" si="461"/>
        <v/>
      </c>
      <c r="O2310" s="260" t="str">
        <f t="shared" si="462"/>
        <v/>
      </c>
      <c r="P2310" s="781"/>
      <c r="Q2310" s="782"/>
      <c r="R2310" s="767"/>
      <c r="S2310" s="768"/>
      <c r="T2310" s="538"/>
      <c r="U2310" s="539"/>
      <c r="V2310" s="540"/>
      <c r="X2310" s="541"/>
      <c r="Y2310" s="541"/>
    </row>
    <row r="2311" spans="1:29" s="44" customFormat="1" ht="24.95" customHeight="1">
      <c r="A2311" s="42" t="str">
        <f>"G"&amp;E2301</f>
        <v>G77</v>
      </c>
      <c r="B2311" s="605" t="str">
        <f t="shared" si="464"/>
        <v/>
      </c>
      <c r="C2311" s="581"/>
      <c r="D2311" s="581"/>
      <c r="E2311" s="581"/>
      <c r="F2311" s="581"/>
      <c r="G2311" s="534"/>
      <c r="H2311" s="534"/>
      <c r="I2311" s="579"/>
      <c r="J2311" s="580" t="str">
        <f>IF(I2311="","",IF(I2311="I",$F2301,VLOOKUP(I2311,$C2322:$D2327,2,0)))</f>
        <v/>
      </c>
      <c r="K2311" s="535"/>
      <c r="L2311" s="535"/>
      <c r="M2311" s="536"/>
      <c r="N2311" s="43" t="str">
        <f t="shared" si="461"/>
        <v/>
      </c>
      <c r="O2311" s="260" t="str">
        <f t="shared" si="462"/>
        <v/>
      </c>
      <c r="P2311" s="781"/>
      <c r="Q2311" s="782"/>
      <c r="R2311" s="767"/>
      <c r="S2311" s="768"/>
      <c r="T2311" s="538"/>
      <c r="U2311" s="539"/>
      <c r="V2311" s="540"/>
      <c r="X2311" s="541"/>
      <c r="Y2311" s="541"/>
    </row>
    <row r="2312" spans="1:29" s="44" customFormat="1" ht="24.95" customHeight="1">
      <c r="A2312" s="42" t="str">
        <f>"H"&amp;E2301</f>
        <v>H77</v>
      </c>
      <c r="B2312" s="605" t="str">
        <f t="shared" si="464"/>
        <v/>
      </c>
      <c r="C2312" s="581"/>
      <c r="D2312" s="581"/>
      <c r="E2312" s="581"/>
      <c r="F2312" s="581"/>
      <c r="G2312" s="534"/>
      <c r="H2312" s="534"/>
      <c r="I2312" s="579"/>
      <c r="J2312" s="580" t="str">
        <f>IF(I2312="","",IF(I2312="I",$F2301,VLOOKUP(I2312,$C2322:$D2327,2,0)))</f>
        <v/>
      </c>
      <c r="K2312" s="535"/>
      <c r="L2312" s="535"/>
      <c r="M2312" s="537"/>
      <c r="N2312" s="43" t="str">
        <f t="shared" si="461"/>
        <v/>
      </c>
      <c r="O2312" s="260" t="str">
        <f t="shared" si="462"/>
        <v/>
      </c>
      <c r="P2312" s="781"/>
      <c r="Q2312" s="782"/>
      <c r="R2312" s="767"/>
      <c r="S2312" s="768"/>
      <c r="T2312" s="538"/>
      <c r="U2312" s="539"/>
      <c r="V2312" s="540"/>
      <c r="X2312" s="541"/>
      <c r="Y2312" s="541"/>
    </row>
    <row r="2313" spans="1:29" s="44" customFormat="1" ht="24.95" customHeight="1">
      <c r="A2313" s="42" t="str">
        <f>"I"&amp;E2301</f>
        <v>I77</v>
      </c>
      <c r="B2313" s="605" t="str">
        <f t="shared" si="464"/>
        <v/>
      </c>
      <c r="C2313" s="581"/>
      <c r="D2313" s="581"/>
      <c r="E2313" s="581"/>
      <c r="F2313" s="581"/>
      <c r="G2313" s="534"/>
      <c r="H2313" s="534"/>
      <c r="I2313" s="579"/>
      <c r="J2313" s="580" t="str">
        <f>IF(I2313="","",IF(I2313="I",$F2301,VLOOKUP(I2313,$C2322:$D2327,2,0)))</f>
        <v/>
      </c>
      <c r="K2313" s="535"/>
      <c r="L2313" s="535"/>
      <c r="M2313" s="537"/>
      <c r="N2313" s="43" t="str">
        <f t="shared" si="461"/>
        <v/>
      </c>
      <c r="O2313" s="260" t="str">
        <f t="shared" si="462"/>
        <v/>
      </c>
      <c r="P2313" s="781"/>
      <c r="Q2313" s="782"/>
      <c r="R2313" s="767"/>
      <c r="S2313" s="768"/>
      <c r="T2313" s="538"/>
      <c r="U2313" s="539"/>
      <c r="V2313" s="540"/>
      <c r="X2313" s="541"/>
      <c r="Y2313" s="541"/>
    </row>
    <row r="2314" spans="1:29" s="44" customFormat="1" ht="24.95" customHeight="1" thickBot="1">
      <c r="A2314" s="42" t="str">
        <f>"J"&amp;E2301</f>
        <v>J77</v>
      </c>
      <c r="B2314" s="612" t="str">
        <f t="shared" si="464"/>
        <v/>
      </c>
      <c r="C2314" s="582"/>
      <c r="D2314" s="582"/>
      <c r="E2314" s="582"/>
      <c r="F2314" s="582"/>
      <c r="G2314" s="583"/>
      <c r="H2314" s="583"/>
      <c r="I2314" s="584"/>
      <c r="J2314" s="585" t="str">
        <f>IF(I2314="","",IF(I2314="I",$F2301,VLOOKUP(I2314,$C2322:$D2327,2,0)))</f>
        <v/>
      </c>
      <c r="K2314" s="586"/>
      <c r="L2314" s="586"/>
      <c r="M2314" s="587"/>
      <c r="N2314" s="43" t="str">
        <f t="shared" si="461"/>
        <v/>
      </c>
      <c r="O2314" s="260" t="str">
        <f t="shared" si="462"/>
        <v/>
      </c>
      <c r="P2314" s="781"/>
      <c r="Q2314" s="782"/>
      <c r="R2314" s="767"/>
      <c r="S2314" s="768"/>
      <c r="T2314" s="538"/>
      <c r="U2314" s="539"/>
      <c r="V2314" s="540"/>
      <c r="X2314" s="541"/>
      <c r="Y2314" s="541"/>
    </row>
    <row r="2315" spans="1:29" s="27" customFormat="1" ht="12" customHeight="1" thickBot="1">
      <c r="A2315" s="42"/>
      <c r="B2315" s="45"/>
      <c r="C2315" s="46"/>
      <c r="D2315" s="46"/>
      <c r="E2315" s="46"/>
      <c r="F2315" s="46"/>
      <c r="G2315" s="46"/>
      <c r="H2315" s="606"/>
      <c r="I2315" s="46"/>
      <c r="J2315" s="46"/>
      <c r="K2315" s="46"/>
      <c r="L2315" s="46"/>
      <c r="M2315" s="46"/>
      <c r="N2315" s="46"/>
      <c r="O2315" s="259"/>
      <c r="P2315" s="46"/>
      <c r="Q2315" s="46"/>
      <c r="R2315" s="259"/>
      <c r="S2315" s="46"/>
      <c r="T2315" s="46"/>
      <c r="U2315" s="47"/>
      <c r="V2315" s="48"/>
      <c r="X2315" s="592"/>
      <c r="Y2315" s="593"/>
      <c r="AB2315" s="378"/>
    </row>
    <row r="2316" spans="1:29" s="27" customFormat="1" ht="17.25" customHeight="1" thickBot="1">
      <c r="A2316" s="42" t="str">
        <f>"Z"&amp;E2301</f>
        <v>Z77</v>
      </c>
      <c r="B2316" s="510"/>
      <c r="C2316" s="511"/>
      <c r="D2316" s="511"/>
      <c r="E2316" s="511"/>
      <c r="F2316" s="511"/>
      <c r="G2316" s="511"/>
      <c r="H2316" s="511"/>
      <c r="I2316" s="511"/>
      <c r="J2316" s="511"/>
      <c r="K2316" s="511"/>
      <c r="L2316" s="511"/>
      <c r="M2316" s="511"/>
      <c r="N2316" s="437" t="s">
        <v>388</v>
      </c>
      <c r="O2316" s="438">
        <f>IF(COUNTIF(O2305:O2314,"")&gt;9,0,SUM(O2305:O2314)/(COUNTIF(H2305:H2314,"SI")))</f>
        <v>384.40499999999997</v>
      </c>
      <c r="P2316" s="511"/>
      <c r="Q2316" s="511"/>
      <c r="R2316" s="530"/>
      <c r="S2316" s="530"/>
      <c r="T2316" s="531"/>
      <c r="U2316" s="532"/>
      <c r="V2316" s="533"/>
      <c r="W2316" s="285"/>
      <c r="X2316" s="613" t="e">
        <f>COUNTIF(#REF!,"")-COUNTIF(#REF!,"CUMPLE")-1</f>
        <v>#REF!</v>
      </c>
      <c r="Y2316" s="591"/>
      <c r="AB2316" s="28"/>
    </row>
    <row r="2317" spans="1:29" ht="17.25" customHeight="1">
      <c r="B2317" s="50"/>
      <c r="C2317" s="50"/>
      <c r="D2317" s="50"/>
      <c r="E2317" s="50"/>
      <c r="F2317" s="50"/>
      <c r="G2317" s="51"/>
      <c r="H2317" s="51"/>
      <c r="I2317" s="51"/>
      <c r="J2317" s="51"/>
      <c r="K2317" s="51"/>
      <c r="L2317" s="51"/>
      <c r="M2317" s="51"/>
      <c r="N2317" s="51"/>
      <c r="O2317" s="51"/>
      <c r="P2317" s="51"/>
      <c r="Q2317" s="51"/>
      <c r="R2317" s="51"/>
      <c r="S2317" s="51"/>
      <c r="T2317" s="51"/>
      <c r="U2317" s="51"/>
      <c r="V2317" s="51"/>
      <c r="W2317" s="51"/>
      <c r="X2317" s="608"/>
      <c r="Y2317" s="51"/>
      <c r="Z2317" s="51"/>
      <c r="AA2317" s="51"/>
      <c r="AB2317" s="51"/>
      <c r="AC2317" s="50"/>
    </row>
    <row r="2318" spans="1:29" s="27" customFormat="1" ht="16.5" customHeight="1" thickBot="1">
      <c r="A2318" s="22"/>
      <c r="B2318" s="783" t="s">
        <v>389</v>
      </c>
      <c r="C2318" s="783"/>
      <c r="D2318" s="783"/>
      <c r="E2318" s="783"/>
      <c r="F2318" s="783"/>
      <c r="G2318" s="783"/>
      <c r="H2318" s="783"/>
      <c r="I2318" s="783"/>
      <c r="J2318" s="783"/>
      <c r="K2318" s="783"/>
      <c r="L2318" s="783"/>
      <c r="M2318" s="783"/>
      <c r="N2318" s="783"/>
      <c r="O2318" s="783"/>
      <c r="P2318" s="783"/>
      <c r="Q2318" s="783"/>
      <c r="R2318" s="783"/>
      <c r="S2318" s="783"/>
      <c r="T2318" s="783"/>
      <c r="U2318" s="783"/>
      <c r="V2318" s="783"/>
      <c r="W2318" s="286"/>
      <c r="X2318" s="607"/>
      <c r="Y2318" s="52"/>
      <c r="Z2318" s="52"/>
      <c r="AA2318" s="52"/>
      <c r="AB2318" s="28"/>
      <c r="AC2318" s="28"/>
    </row>
    <row r="2319" spans="1:29" s="30" customFormat="1" ht="22.5" customHeight="1">
      <c r="A2319" s="112" t="str">
        <f>"K"&amp;E2301</f>
        <v>K77</v>
      </c>
      <c r="B2319" s="790" t="s">
        <v>390</v>
      </c>
      <c r="C2319" s="772" t="s">
        <v>391</v>
      </c>
      <c r="D2319" s="773"/>
      <c r="E2319" s="773"/>
      <c r="F2319" s="773"/>
      <c r="G2319" s="773"/>
      <c r="H2319" s="773"/>
      <c r="I2319" s="773"/>
      <c r="J2319" s="773"/>
      <c r="K2319" s="773"/>
      <c r="L2319" s="773"/>
      <c r="M2319" s="774"/>
      <c r="N2319" s="525"/>
      <c r="O2319" s="588"/>
      <c r="P2319" s="772" t="s">
        <v>392</v>
      </c>
      <c r="Q2319" s="773"/>
      <c r="R2319" s="773"/>
      <c r="S2319" s="774"/>
      <c r="T2319" s="784" t="s">
        <v>393</v>
      </c>
      <c r="U2319" s="774"/>
      <c r="V2319" s="811"/>
      <c r="W2319" s="284"/>
      <c r="X2319" s="778" t="s">
        <v>394</v>
      </c>
      <c r="Y2319" s="779"/>
      <c r="Z2319" s="779"/>
      <c r="AA2319" s="779" t="s">
        <v>395</v>
      </c>
      <c r="AB2319" s="808" t="s">
        <v>396</v>
      </c>
      <c r="AC2319" s="28"/>
    </row>
    <row r="2320" spans="1:29" s="30" customFormat="1" ht="22.5" customHeight="1">
      <c r="A2320" s="112" t="str">
        <f>"L"&amp;E2301</f>
        <v>L77</v>
      </c>
      <c r="B2320" s="791"/>
      <c r="C2320" s="769" t="s">
        <v>397</v>
      </c>
      <c r="D2320" s="770"/>
      <c r="E2320" s="771"/>
      <c r="F2320" s="512">
        <f>IF(VLOOKUP(E2301,PROPONENTES!$C$19:$E$108,3,0)="","",VLOOKUP(E2301,PROPONENTES!$C$19:$E$108,3,0))</f>
        <v>2</v>
      </c>
      <c r="G2320" s="824" t="s">
        <v>398</v>
      </c>
      <c r="H2320" s="793" t="s">
        <v>399</v>
      </c>
      <c r="I2320" s="793"/>
      <c r="J2320" s="769" t="s">
        <v>400</v>
      </c>
      <c r="K2320" s="823"/>
      <c r="L2320" s="513" t="s">
        <v>401</v>
      </c>
      <c r="M2320" s="513"/>
      <c r="N2320" s="526"/>
      <c r="O2320" s="527"/>
      <c r="P2320" s="775"/>
      <c r="Q2320" s="776"/>
      <c r="R2320" s="776"/>
      <c r="S2320" s="777"/>
      <c r="T2320" s="796"/>
      <c r="U2320" s="797"/>
      <c r="V2320" s="812"/>
      <c r="W2320" s="284"/>
      <c r="X2320" s="780" t="s">
        <v>402</v>
      </c>
      <c r="Y2320" s="810" t="s">
        <v>403</v>
      </c>
      <c r="Z2320" s="810"/>
      <c r="AA2320" s="810"/>
      <c r="AB2320" s="809"/>
      <c r="AC2320" s="28"/>
    </row>
    <row r="2321" spans="1:29" s="30" customFormat="1" ht="51.75" customHeight="1" thickBot="1">
      <c r="A2321" s="112" t="str">
        <f>"M"&amp;E2301</f>
        <v>M77</v>
      </c>
      <c r="B2321" s="791"/>
      <c r="C2321" s="770" t="s">
        <v>404</v>
      </c>
      <c r="D2321" s="771"/>
      <c r="E2321" s="514" t="s">
        <v>405</v>
      </c>
      <c r="F2321" s="515" t="s">
        <v>406</v>
      </c>
      <c r="G2321" s="824"/>
      <c r="H2321" s="793"/>
      <c r="I2321" s="793"/>
      <c r="J2321" s="504" t="s">
        <v>407</v>
      </c>
      <c r="K2321" s="516" t="s">
        <v>408</v>
      </c>
      <c r="L2321" s="517" t="s">
        <v>785</v>
      </c>
      <c r="M2321" s="517"/>
      <c r="N2321" s="528" t="s">
        <v>410</v>
      </c>
      <c r="O2321" s="529"/>
      <c r="P2321" s="386"/>
      <c r="Q2321" s="387" t="s">
        <v>411</v>
      </c>
      <c r="R2321" s="388"/>
      <c r="S2321" s="113">
        <f>COUNTIFS(H2305:H2314,"SI",O2305:O2314,"&gt;0")</f>
        <v>2</v>
      </c>
      <c r="T2321" s="785"/>
      <c r="U2321" s="787"/>
      <c r="V2321" s="813"/>
      <c r="W2321" s="284"/>
      <c r="X2321" s="780"/>
      <c r="Y2321" s="810"/>
      <c r="Z2321" s="810"/>
      <c r="AA2321" s="810"/>
      <c r="AB2321" s="809"/>
      <c r="AC2321" s="28"/>
    </row>
    <row r="2322" spans="1:29" s="30" customFormat="1" ht="25.5" customHeight="1">
      <c r="A2322" s="112" t="str">
        <f>"N"&amp;E2301</f>
        <v>N77</v>
      </c>
      <c r="B2322" s="791"/>
      <c r="C2322" s="54">
        <v>1</v>
      </c>
      <c r="D2322" s="100" t="str">
        <f>IF(AND(C2322&lt;=F2320,F2320&gt;1,F2320&lt;&gt;""),VLOOKUP(VALUE(E2301&amp;","&amp;C2322),INTEGRANTES!$D$19:$F$192,2,0),"")</f>
        <v>LOS CASTORES CONSTRUCTORES SAS</v>
      </c>
      <c r="E2322" s="107">
        <f>IF(D2322&lt;&gt;"",VLOOKUP(VALUE(E2301&amp;","&amp;C2322),INTEGRANTES!$D$19:$F$192,3,0),"")</f>
        <v>0.5</v>
      </c>
      <c r="F2322" s="380">
        <f>IF(D2322="","",IF(OR(SUMIF($J2305:$J2314,D2322,$O2305:$O2314)=0,N2322="NO"),"NO APORTA",SUMIF($J2305:$J2314,D2322,$O2305:$O2314)))</f>
        <v>653.03</v>
      </c>
      <c r="G2322" s="380">
        <f ca="1">IF($D2322="","",IF($F2320&lt;=1,"",ROUND(POSMMLV*PORPO,2)))</f>
        <v>150</v>
      </c>
      <c r="H2322" s="765" t="str">
        <f ca="1">IF($D2322="","",IF(OR(F2322="NO APORTA",G2322&gt;F2322),"NO CUMPLE","CUMPLE"))</f>
        <v>CUMPLE</v>
      </c>
      <c r="I2322" s="766"/>
      <c r="J2322" s="108" t="str">
        <f ca="1">IF(D2322="","",IF(OR(AND(SUMIF($J2305:$J2314,D2322,$O2305:$O2314)&gt;=5%*POSMMLV,N2322="SI"),AND(SUMIF($J2305:$J2314,D2322,$O2305:$O2314)=0,E2322&lt;=5%,N2322="SI")),"CUMPLE","NO CUMPLE"))</f>
        <v>CUMPLE</v>
      </c>
      <c r="K2322" s="105" t="str">
        <f ca="1">IF(OR(D2322="",J2322=""),"",IF(AND(J2322="NO CUMPLE",F2322="NO APORTA",E2322&gt;5%),"EXP = 0 y PART &gt; 5%",IF(F2322&lt;5%*Q2327,"EXP &lt; 5%*PO","")))</f>
        <v/>
      </c>
      <c r="L2322" s="389" t="str">
        <f>IF(OR(D2322="",E2322=""),"",IF(AND(E2322&gt;=0.05,F2322&lt;&gt;"NO APORTA",F2322&gt;=$R2327*0.05),"SI","NO"))</f>
        <v>SI</v>
      </c>
      <c r="M2322" s="389"/>
      <c r="N2322" s="468" t="s">
        <v>385</v>
      </c>
      <c r="O2322" s="396">
        <f>COUNTIFS(O2305:O2314,"&gt;0",H2305:H2314,"SI")</f>
        <v>2</v>
      </c>
      <c r="P2322" s="814" t="s">
        <v>139</v>
      </c>
      <c r="Q2322" s="814"/>
      <c r="R2322" s="817">
        <f>E2301</f>
        <v>77</v>
      </c>
      <c r="S2322" s="818"/>
      <c r="T2322" s="784" t="s">
        <v>412</v>
      </c>
      <c r="U2322" s="773"/>
      <c r="V2322" s="774"/>
      <c r="W2322" s="283"/>
      <c r="X2322" s="542" t="str">
        <f>IF($F2320=1,"NO APLICA",$D2322)</f>
        <v>LOS CASTORES CONSTRUCTORES SAS</v>
      </c>
      <c r="Y2322" s="543">
        <f ca="1">IF(OR($F2322="",$F2322="NO APORTA",$R2327=0,$X2322="NO APLICA"),"",ROUND($F2322/$Q2327,2))</f>
        <v>2.1800000000000002</v>
      </c>
      <c r="Z2322" s="544" t="str">
        <f ca="1">IF(Y2328=1,"SI APLICA",IF(OR($X2322="",$X2322="NO APLICA",$F2322="",$F2322="NO APORTA"),"",IF(ROUND($F2322/Q2327,7)&gt;=0.4,"SI APLICA","NO APLICA")))</f>
        <v>SI APLICA</v>
      </c>
      <c r="AA2322" s="543" t="s">
        <v>413</v>
      </c>
      <c r="AB2322" s="540" t="str">
        <f ca="1">IF(COUNTIF(Z2322:AA2322,"SI APLICA")=2,"SI APLICA","")</f>
        <v>SI APLICA</v>
      </c>
      <c r="AC2322" s="28"/>
    </row>
    <row r="2323" spans="1:29" s="30" customFormat="1" ht="28.5" customHeight="1" thickBot="1">
      <c r="A2323" s="112" t="str">
        <f>"O"&amp;E2301</f>
        <v>O77</v>
      </c>
      <c r="B2323" s="791"/>
      <c r="C2323" s="54">
        <v>2</v>
      </c>
      <c r="D2323" s="100" t="str">
        <f>IF(AND(C2323&lt;=F2320,F2320&lt;&gt;""),VLOOKUP(VALUE(E2301&amp;","&amp;C2323),INTEGRANTES!$D$19:$F$192,2,0),"")</f>
        <v>INGESTRUCTURAS INGENIERO SAS</v>
      </c>
      <c r="E2323" s="107">
        <f>IF(D2323&lt;&gt;"",VLOOKUP(VALUE(E2301&amp;","&amp;C2323),INTEGRANTES!$D$19:$F$192,3,0),"")</f>
        <v>0.5</v>
      </c>
      <c r="F2323" s="380">
        <f>IF(D2323="","",IF(OR(SUMIF($J2305:$J2314,D2323,$O2305:$O2314)=0,N2323="NO"),"NO APORTA",SUMIF($J2305:$J2314,D2323,$O2305:$O2314)))</f>
        <v>115.78</v>
      </c>
      <c r="G2323" s="380">
        <f ca="1">IF($D2323="","",IF($F2320&lt;=1,"",ROUND(POSMMLV*PORPO,2)))</f>
        <v>150</v>
      </c>
      <c r="H2323" s="765" t="str">
        <f t="shared" ref="H2323:H2326" ca="1" si="465">IF($D2323="","",IF(OR(F2323="NO APORTA",G2323&gt;F2323),"NO CUMPLE","CUMPLE"))</f>
        <v>NO CUMPLE</v>
      </c>
      <c r="I2323" s="766"/>
      <c r="J2323" s="108" t="str">
        <f ca="1">IF(D2323="","",IF(OR(AND(SUMIF($J2305:$J2314,D2323,$O2305:$O2314)&gt;=5%*POSMMLV,N2323="SI"),AND(SUMIF($J2305:$J2314,D2323,$O2305:$O2314)=0,E2323&lt;=5%,N2323="SI")),"CUMPLE","NO CUMPLE"))</f>
        <v>CUMPLE</v>
      </c>
      <c r="K2323" s="105" t="str">
        <f ca="1">IF(OR(D2323="",J2323=""),"",IF(AND(J2323="NO CUMPLE",F2323="NO APORTA",E2323&gt;5%),"EXP = 0 y PART &gt; 5%",IF(F2323&lt;5%*Q2327,"EXP &lt; 5%*PO","")))</f>
        <v/>
      </c>
      <c r="L2323" s="389" t="str">
        <f>IF(OR(D2323="",E2323=""),"",IF(AND(E2323&gt;=0.05,F2323&lt;&gt;"NO APORTA",F2323&gt;=$R2327*0.05),"SI","NO"))</f>
        <v>SI</v>
      </c>
      <c r="M2323" s="389"/>
      <c r="N2323" s="468" t="s">
        <v>385</v>
      </c>
      <c r="O2323" s="396"/>
      <c r="P2323" s="815"/>
      <c r="Q2323" s="815"/>
      <c r="R2323" s="815"/>
      <c r="S2323" s="819"/>
      <c r="T2323" s="785"/>
      <c r="U2323" s="786"/>
      <c r="V2323" s="787"/>
      <c r="W2323" s="283"/>
      <c r="X2323" s="542" t="str">
        <f>IF($F2320=1,"NO APLICA",$D2323)</f>
        <v>INGESTRUCTURAS INGENIERO SAS</v>
      </c>
      <c r="Y2323" s="543">
        <f ca="1">IF(OR($F2323="",$F2323="NO APORTA",$R2327=0,$X2323="NO APLICA"),"",ROUND($F2323/$Q2327,2))</f>
        <v>0.39</v>
      </c>
      <c r="Z2323" s="544" t="str">
        <f ca="1">IF(Y2328=1,"SI APLICA",IF(OR($X2323="",$X2323="NO APLICA",$F2323="",$F2323="NO APORTA"),"",IF(ROUND($F2323/Q2327,7)&gt;=0.4,"SI APLICA","NO APLICA")))</f>
        <v>NO APLICA</v>
      </c>
      <c r="AA2323" s="543" t="s">
        <v>516</v>
      </c>
      <c r="AB2323" s="540" t="str">
        <f t="shared" ref="AB2323" ca="1" si="466">IF(COUNTIF(Z2323:AA2323,"SI APLICA")=2,"SI APLICA","")</f>
        <v/>
      </c>
      <c r="AC2323" s="28"/>
    </row>
    <row r="2324" spans="1:29" s="30" customFormat="1" ht="15.75" customHeight="1">
      <c r="A2324" s="112" t="str">
        <f>"P"&amp;E2301</f>
        <v>P77</v>
      </c>
      <c r="B2324" s="791"/>
      <c r="C2324" s="54">
        <v>3</v>
      </c>
      <c r="D2324" s="100" t="str">
        <f>IF(AND(C2324&lt;=F2320,F2320&lt;&gt;""),VLOOKUP(VALUE(E2301&amp;","&amp;C2324),INTEGRANTES!$D$19:$F$192,2,0),"")</f>
        <v/>
      </c>
      <c r="E2324" s="107" t="str">
        <f>IF(D2324&lt;&gt;"",VLOOKUP(VALUE(E2301&amp;","&amp;C2324),INTEGRANTES!$D$19:$F$192,3,0),"")</f>
        <v/>
      </c>
      <c r="F2324" s="380" t="str">
        <f>IF(D2324="","",IF(OR(SUMIF($J2308:$J2314,D2324,$O2308:$O2314)=0,N2324="NO"),"NO APORTA",SUMIF($J2308:$J2314,D2324,$O2308:$O2314)))</f>
        <v/>
      </c>
      <c r="G2324" s="380" t="str">
        <f>IF($D2324="","",IF($F2320&lt;=1,"",ROUND(POSMMLV*PORPO,2)))</f>
        <v/>
      </c>
      <c r="H2324" s="765" t="str">
        <f t="shared" si="465"/>
        <v/>
      </c>
      <c r="I2324" s="766"/>
      <c r="J2324" s="108" t="str">
        <f>IF(D2324="","",IF(OR(AND(SUMIF($J2305:$J2314,D2324,$O2305:$O2314)&gt;=5%*POSMMLV,N2324="SI"),AND(SUMIF($J2305:$J2314,D2324,$O2305:$O2314)=0,E2324&lt;=5%,N2324="SI")),"CUMPLE","NO CUMPLE"))</f>
        <v/>
      </c>
      <c r="K2324" s="105" t="str">
        <f>IF(OR(D2324="",J2324=""),"",IF(AND(J2324="NO CUMPLE",F2324="NO APORTA",E2324&gt;5%),"EXP = 0 y PART &gt; 5%",IF(F2324&lt;5%*Q2327,"EXP &lt; 5%*PO","")))</f>
        <v/>
      </c>
      <c r="L2324" s="389" t="str">
        <f>IF(OR(D2324="",E2324=""),"",IF(AND(E2324&gt;=0.25,F2324&lt;&gt;"NO APORTA",F2324&gt;=$R2327*0.25),"SI","NO"))</f>
        <v/>
      </c>
      <c r="M2324" s="389"/>
      <c r="N2324" s="468"/>
      <c r="O2324" s="397"/>
      <c r="P2324" s="816"/>
      <c r="Q2324" s="816"/>
      <c r="R2324" s="816"/>
      <c r="S2324" s="820"/>
      <c r="T2324" s="308"/>
      <c r="U2324" s="308"/>
      <c r="V2324" s="309"/>
      <c r="W2324" s="284"/>
      <c r="X2324" s="542" t="str">
        <f>IF($F2320=1,"NO APLICA",$D2324)</f>
        <v/>
      </c>
      <c r="Y2324" s="543" t="str">
        <f>IF(OR($F2324="",$F2324="NO APORTA",$R2327=0,$X2324="NO APLICA"),"",ROUND($F2324/$Q2327,2))</f>
        <v/>
      </c>
      <c r="Z2324" s="544" t="str">
        <f>IF(Y2328=1,"SI APLICA",IF(OR($X2324="",$X2324="NO APLICA",$F2324="",$F2324="NO APORTA"),"",IF(ROUND($F2324/Q2327,7)&gt;=0.4,"SI APLICA","NO APLICA")))</f>
        <v/>
      </c>
      <c r="AA2324" s="543"/>
      <c r="AB2324" s="540" t="str">
        <f>IF(COUNTIF(Z2324:AA2324,"SI APLICA")=2,"SI APLICA","")</f>
        <v/>
      </c>
      <c r="AC2324" s="28"/>
    </row>
    <row r="2325" spans="1:29" s="30" customFormat="1" ht="15.75" customHeight="1">
      <c r="A2325" s="112" t="str">
        <f>"Q"&amp;E2301</f>
        <v>Q77</v>
      </c>
      <c r="B2325" s="791"/>
      <c r="C2325" s="54">
        <v>4</v>
      </c>
      <c r="D2325" s="100" t="str">
        <f>IF(AND(C2325&lt;=F2320,F2320&lt;&gt;""),VLOOKUP(VALUE(E2301&amp;","&amp;C2325),INTEGRANTES!$D$19:$F$192,2,0),"")</f>
        <v/>
      </c>
      <c r="E2325" s="107" t="str">
        <f>IF(D2325&lt;&gt;"",VLOOKUP(VALUE(E2301&amp;","&amp;C2325),INTEGRANTES!$D$19:$F$192,3,0),"")</f>
        <v/>
      </c>
      <c r="F2325" s="380" t="str">
        <f>IF(D2325="","",IF(OR(SUMIF($J2308:$J2314,D2325,$O2308:$O2314)=0,N2325="NO"),"NO APORTA",SUMIF($J2308:$J2314,D2325,$O2308:$O2314)))</f>
        <v/>
      </c>
      <c r="G2325" s="380" t="str">
        <f>IF($D2325="","",IF($F2320&lt;=1,"",ROUND(POSMMLV*PORPO,2)))</f>
        <v/>
      </c>
      <c r="H2325" s="765" t="str">
        <f t="shared" si="465"/>
        <v/>
      </c>
      <c r="I2325" s="766"/>
      <c r="J2325" s="108" t="str">
        <f>IF(D2325="","",IF(OR(AND(SUMIF($J2305:$J2314,D2325,$O2305:$O2314)&gt;=5%*POSMMLV,N2325="SI"),AND(SUMIF($J2305:$J2314,D2325,$O2305:$O2314)=0,E2325&lt;=5%,N2325="SI")),"CUMPLE","NO CUMPLE"))</f>
        <v/>
      </c>
      <c r="K2325" s="105" t="str">
        <f>IF(OR(D2325="",J2325=""),"",IF(AND(J2325="NO CUMPLE",F2325="NO APORTA",E2325&gt;5%),"EXP = 0 y PART &gt; 5%",IF(F2325&lt;5%*Q2327,"EXP &lt; 5%*PO","")))</f>
        <v/>
      </c>
      <c r="L2325" s="389" t="str">
        <f>IF(OR(D2325="",E2325=""),"",IF(AND(E2325&gt;=0.25,F2325&lt;&gt;"NO APORTA",F2325&gt;=$R2327*0.25),"SI","NO"))</f>
        <v/>
      </c>
      <c r="M2325" s="389"/>
      <c r="N2325" s="468"/>
      <c r="O2325" s="788" t="s">
        <v>414</v>
      </c>
      <c r="P2325" s="769" t="s">
        <v>415</v>
      </c>
      <c r="Q2325" s="770"/>
      <c r="R2325" s="770"/>
      <c r="S2325" s="771"/>
      <c r="T2325" s="284"/>
      <c r="U2325" s="284"/>
      <c r="V2325" s="310"/>
      <c r="W2325" s="284"/>
      <c r="X2325" s="542" t="str">
        <f>IF($F2320=1,"NO APLICA",$D2325)</f>
        <v/>
      </c>
      <c r="Y2325" s="543" t="str">
        <f>IF(OR($F2325="",$F2325="NO APORTA",$R2327=0,$X2325="NO APLICA"),"",ROUND($F2325/$Q2327,2))</f>
        <v/>
      </c>
      <c r="Z2325" s="544" t="str">
        <f>IF(Y2328=1,"SI APLICA",IF(OR($X2325="",$X2325="NO APLICA",$F2325="",$F2325="NO APORTA"),"",IF(ROUND($F2325/Q2327,7)&gt;=0.4,"SI APLICA","NO APLICA")))</f>
        <v/>
      </c>
      <c r="AA2325" s="543"/>
      <c r="AB2325" s="540" t="str">
        <f t="shared" ref="AB2325:AB2326" si="467">IF(COUNTIF(Z2325:AA2325,"SI APLICA")=2,"SI APLICA","")</f>
        <v/>
      </c>
      <c r="AC2325" s="28"/>
    </row>
    <row r="2326" spans="1:29" s="30" customFormat="1" ht="17.25" customHeight="1">
      <c r="A2326" s="112" t="str">
        <f>"R"&amp;E2301</f>
        <v>R77</v>
      </c>
      <c r="B2326" s="791"/>
      <c r="C2326" s="54">
        <v>5</v>
      </c>
      <c r="D2326" s="100" t="str">
        <f>IF(AND(C2326&lt;=F2320,F2320&lt;&gt;""),VLOOKUP(VALUE(E2301&amp;","&amp;C2326),INTEGRANTES!$D$19:$F$192,2,0),"")</f>
        <v/>
      </c>
      <c r="E2326" s="107" t="str">
        <f>IF(D2326&lt;&gt;"",VLOOKUP(VALUE(E2301&amp;","&amp;C2326),INTEGRANTES!$D$19:$F$192,3,0),"")</f>
        <v/>
      </c>
      <c r="F2326" s="380" t="str">
        <f>IF(D2326="","",IF(OR(SUMIF($J2308:$J2314,D2326,$O2308:$O2314)=0,N2326="NO"),"NO APORTA",SUMIF($J2308:$J2314,D2326,$O2308:$O2314)))</f>
        <v/>
      </c>
      <c r="G2326" s="380" t="str">
        <f>IF($D2326="","",IF($F2320&lt;=1,"",ROUND(POSMMLV*PORPO,2)))</f>
        <v/>
      </c>
      <c r="H2326" s="765" t="str">
        <f t="shared" si="465"/>
        <v/>
      </c>
      <c r="I2326" s="766"/>
      <c r="J2326" s="108" t="str">
        <f>IF(D2326="","",IF(OR(AND(SUMIF($J2305:$J2314,D2326,$O2305:$O2314)&gt;=5%*POSMMLV,N2326="SI"),AND(SUMIF($J2305:$J2314,D2326,$O2305:$O2314)=0,E2326&lt;=5%,N2326="SI")),"CUMPLE","NO CUMPLE"))</f>
        <v/>
      </c>
      <c r="K2326" s="105" t="str">
        <f>IF(OR(D2326="",J2326=""),"",IF(AND(J2326="NO CUMPLE",F2326="NO APORTA",E2326&gt;5%),"EXP = 0 y PART &gt; 5%",IF(F2326&lt;5%*Q2327,"EXP &lt; 5%*PO","")))</f>
        <v/>
      </c>
      <c r="L2326" s="389" t="str">
        <f>IF(OR(D2326="",E2326=""),"",IF(AND(E2326&gt;=0.25,F2326&lt;&gt;"NO APORTA",F2326&gt;=$R2327*0.25),"SI","NO"))</f>
        <v/>
      </c>
      <c r="M2326" s="389"/>
      <c r="N2326" s="468"/>
      <c r="O2326" s="789"/>
      <c r="P2326" s="504" t="s">
        <v>416</v>
      </c>
      <c r="Q2326" s="504" t="s">
        <v>417</v>
      </c>
      <c r="R2326" s="793" t="s">
        <v>418</v>
      </c>
      <c r="S2326" s="793"/>
      <c r="T2326" s="284"/>
      <c r="U2326" s="284"/>
      <c r="V2326" s="310"/>
      <c r="W2326" s="284"/>
      <c r="X2326" s="542" t="str">
        <f>IF($F2320=1,"NO APLICA",$D2326)</f>
        <v/>
      </c>
      <c r="Y2326" s="543" t="str">
        <f>IF(OR($F2326="",$F2326="NO APORTA",$R2327=0,$X2326="NO APLICA"),"",ROUND($F2326/$Q2327,2))</f>
        <v/>
      </c>
      <c r="Z2326" s="544" t="str">
        <f>IF(Y2328=1,"SI APLICA",IF(OR($X2326="",$X2326="NO APLICA",$F2326="",$F2326="NO APORTA"),"",IF(ROUND($F2326/Q2327,7)&gt;=0.4,"SI APLICA","NO APLICA")))</f>
        <v/>
      </c>
      <c r="AA2326" s="543"/>
      <c r="AB2326" s="540" t="str">
        <f t="shared" si="467"/>
        <v/>
      </c>
      <c r="AC2326" s="28"/>
    </row>
    <row r="2327" spans="1:29" s="30" customFormat="1" ht="16.5" customHeight="1" thickBot="1">
      <c r="A2327" s="112" t="str">
        <f>"S"&amp;E2301</f>
        <v>S77</v>
      </c>
      <c r="B2327" s="791"/>
      <c r="C2327" s="109">
        <v>6</v>
      </c>
      <c r="D2327" s="110" t="str">
        <f>IF(AND(C2327&lt;=F2320,F2320&lt;&gt;""),VLOOKUP(VALUE(E2301&amp;","&amp;C2327),INTEGRANTES!$D$19:$F$192,2,0),"")</f>
        <v/>
      </c>
      <c r="E2327" s="111" t="str">
        <f>IF(D2327&lt;&gt;"",VLOOKUP(VALUE(E2301&amp;","&amp;C2327),INTEGRANTES!$D$19:$F$192,3,0),"")</f>
        <v/>
      </c>
      <c r="F2327" s="380" t="str">
        <f>IF(D2327="","",IF(OR(SUMIF($J2308:$J2314,D2327,$O2308:$O2314)=0,N2327="NO"),"NO APORTA",SUMIF($J2308:$J2314,D2327,$O2308:$O2314)))</f>
        <v/>
      </c>
      <c r="G2327" s="380" t="str">
        <f>IF($D2327="","",IF($F2320&lt;=1,"",ROUND(POSMMLV*PORPO,2)))</f>
        <v/>
      </c>
      <c r="H2327" s="765" t="str">
        <f>IF($D2327="","",IF(OR(F2327="NO APORTA",G2327&gt;F2327),"NO CUMPLE","CUMPLE"))</f>
        <v/>
      </c>
      <c r="I2327" s="766"/>
      <c r="J2327" s="108" t="str">
        <f>IF(D2327="","",IF(OR(AND(SUMIF($J2305:$J2314,D2327,$O2305:$O2314)&gt;=5%*POSMMLV,N2327="SI"),AND(SUMIF($J2305:$J2314,D2327,$O2305:$O2314)=0,E2327&lt;=5%,N2327="SI")),"CUMPLE","NO CUMPLE"))</f>
        <v/>
      </c>
      <c r="K2327" s="105" t="str">
        <f>IF(OR(D2327="",J2327=""),"",IF(AND(J2327="NO CUMPLE",F2327="NO APORTA",E2327&gt;5%),"EXP = 0 y PART &gt; 5%",IF(F2327&lt;5%*Q2327,"EXP &lt; 5%*PO","")))</f>
        <v/>
      </c>
      <c r="L2327" s="389" t="str">
        <f>IF(OR(D2327="",E2327=""),"",IF(AND(E2327&gt;=0.25,F2327&lt;&gt;"NO APORTA",F2327&gt;=$R2327*0.25),"SI","NO"))</f>
        <v/>
      </c>
      <c r="M2327" s="389"/>
      <c r="N2327" s="468"/>
      <c r="O2327" s="403" t="str">
        <f ca="1">IF(R2327&gt;=Q2327,"CUMPLE","NO CUMPLE")</f>
        <v>CUMPLE</v>
      </c>
      <c r="P2327" s="312">
        <f>NUMMOD</f>
        <v>1</v>
      </c>
      <c r="Q2327" s="313">
        <f ca="1">IF(P2327="","",ROUND(VLOOKUP(P2327,PRESUPUESTOS!$B$16:$L$16,9,FALSE),7))</f>
        <v>300</v>
      </c>
      <c r="R2327" s="834">
        <f>IF(OR(COUNTIF(O2305:O2314,"")&gt;9,S2321&lt;NUMMINCONT),0,SUM(O2305:O2314))</f>
        <v>768.81</v>
      </c>
      <c r="S2327" s="834"/>
      <c r="T2327" s="284"/>
      <c r="U2327" s="284"/>
      <c r="V2327" s="310"/>
      <c r="W2327" s="284"/>
      <c r="X2327" s="545" t="str">
        <f>IF($F2320=1,"NO APLICA",$D2327)</f>
        <v/>
      </c>
      <c r="Y2327" s="543" t="str">
        <f>IF(OR($F2327="",$F2327="NO APORTA",$R2327=0,$X2327="NO APLICA"),"",ROUND($F2327/$Q2327,2))</f>
        <v/>
      </c>
      <c r="Z2327" s="544" t="str">
        <f>IF(Y2328=1,"SI APLICA",IF(OR($X2327="",$X2327="NO APLICA",$F2327="",$F2327="NO APORTA"),"",IF(ROUND($F2327/Q2327,7)&gt;=0.4,"SI APLICA","NO APLICA")))</f>
        <v/>
      </c>
      <c r="AA2327" s="546"/>
      <c r="AB2327" s="540" t="str">
        <f>IF(COUNTIF(Z2327:AA2327,"SI APLICA")=2,"SI APLICA","")</f>
        <v/>
      </c>
      <c r="AC2327" s="28"/>
    </row>
    <row r="2328" spans="1:29" s="30" customFormat="1" ht="16.5" customHeight="1" thickBot="1">
      <c r="A2328" s="112" t="str">
        <f>"T"&amp;E2301</f>
        <v>T77</v>
      </c>
      <c r="B2328" s="792"/>
      <c r="C2328" s="821" t="s">
        <v>419</v>
      </c>
      <c r="D2328" s="822"/>
      <c r="E2328" s="822"/>
      <c r="F2328" s="518"/>
      <c r="G2328" s="519"/>
      <c r="H2328" s="794" t="str">
        <f ca="1">IF(OR($F2320="",SUM(E2322:E2327)=0),"",IF(COUNTIF(H2322:H2327,"CUMPLE")&gt;=1,"CUMPLE","NO CUMPLE"))</f>
        <v>CUMPLE</v>
      </c>
      <c r="I2328" s="795"/>
      <c r="J2328" s="314" t="str">
        <f ca="1">IF(COUNTIF(J2322:J2327,"")&gt;5,"",IF(COUNTIF(J2322:J2327,"NO CUMPLE")&gt;0,"NO CUMPLE","CUMPLE"))</f>
        <v>CUMPLE</v>
      </c>
      <c r="K2328" s="314" t="str" cm="1">
        <f t="array" aca="1" ref="K2328" ca="1">IF(OR(AND(F2320=1,N2322:N2323="SI"),AND(COUNTIF(H2328:J2328,"CUMPLE")=2)),"CUMPLE","NO CUMPLE")</f>
        <v>CUMPLE</v>
      </c>
      <c r="L2328" s="519"/>
      <c r="M2328" s="519"/>
      <c r="N2328" s="519"/>
      <c r="O2328" s="833" t="str">
        <f ca="1">IF(ISNUMBER(F2301),"",IF(AND(O2327="NO CUMPLE",SUM(N2308:N2314)&lt;Q2327),"EL PROPONENTE SE DEBE REQUERIR POR EXPERIENCIA MINIMA EXIGIDA",""))</f>
        <v/>
      </c>
      <c r="P2328" s="833"/>
      <c r="Q2328" s="833"/>
      <c r="R2328" s="833"/>
      <c r="S2328" s="833"/>
      <c r="T2328" s="522"/>
      <c r="U2328" s="523"/>
      <c r="V2328" s="524"/>
      <c r="W2328" s="284"/>
      <c r="X2328" s="364" t="str">
        <f>IF(Y2328=1,"PROPONENTE INDIVIDUAL","PROPONENTE PLURAL")</f>
        <v>PROPONENTE PLURAL</v>
      </c>
      <c r="Y2328" s="276">
        <f>F2320</f>
        <v>2</v>
      </c>
      <c r="Z2328" s="277" t="str">
        <f ca="1">IF(OR(AND(Z2322="SI APLICA",AA2322="SI APLICA"),AND(Z2323="SI APLICA",AA2323="SI APLICA"),AND(Z2324="SI APLICA",AA2324="SI APLICA"),AND(Z2325="SI APLICA",AA2325="SI APLICA"),AND(Z2326="SI APLICA",AA2326="SI APLICA"),AND(Z2327="SI APLICA",AA2327="SI APLICA")),"SI APLICA","NO APLICA")</f>
        <v>SI APLICA</v>
      </c>
      <c r="AA2328" s="278" t="str">
        <f ca="1">IF(OR(AND(AA2322="SI APLICA",AB2322="SI APLICA"),AND(AA2323="SI APLICA",AB2323="SI APLICA"),AND(AA2324="SI APLICA",AB2324="SI APLICA"),AND(AA2325="SI APLICA",AB2325="SI APLICA"),AND(AA2326="SI APLICA",AB2326="SI APLICA"),AND(AA2327="SI APLICA",AB2327="SI APLICA")),"SI APLICA","NO APLICA")</f>
        <v>SI APLICA</v>
      </c>
      <c r="AB2328" s="278" t="str">
        <f ca="1">IF(COUNTIF(AB2322:AB2327,"SI APLICA")&gt;0,"SI APLICA","NO APLICA")</f>
        <v>SI APLICA</v>
      </c>
      <c r="AC2328" s="28"/>
    </row>
    <row r="2329" spans="1:29" ht="24.95" customHeight="1"/>
    <row r="2330" spans="1:29" ht="24.95" customHeight="1"/>
    <row r="2331" spans="1:29" s="41" customFormat="1" ht="24" thickBot="1">
      <c r="A2331" s="34">
        <v>78</v>
      </c>
      <c r="B2331" s="828" t="s">
        <v>355</v>
      </c>
      <c r="C2331" s="828"/>
      <c r="D2331" s="828"/>
      <c r="E2331" s="35">
        <f>VLOOKUP(A2331,PROPONENTES!$B$19:$E$108,2,FALSE)</f>
        <v>78</v>
      </c>
      <c r="F2331" s="36" t="str">
        <f>VLOOKUP(A2331,PROPONENTES!$B$19:$E$108,3,FALSE)</f>
        <v>NUBIA ISABEL QUEVEDO ÁNGEL</v>
      </c>
      <c r="G2331" s="37"/>
      <c r="H2331" s="37"/>
      <c r="I2331" s="36"/>
      <c r="J2331" s="36"/>
      <c r="K2331" s="36"/>
      <c r="L2331" s="36"/>
      <c r="M2331" s="38"/>
      <c r="N2331" s="38"/>
      <c r="O2331" s="37"/>
      <c r="P2331" s="37"/>
      <c r="Q2331" s="39"/>
      <c r="R2331" s="39"/>
      <c r="S2331" s="39"/>
      <c r="T2331" s="39"/>
      <c r="U2331" s="40"/>
      <c r="Y2331" s="52"/>
      <c r="Z2331" s="52"/>
      <c r="AA2331" s="52"/>
      <c r="AB2331" s="28"/>
      <c r="AC2331" s="28"/>
    </row>
    <row r="2332" spans="1:29" s="27" customFormat="1" ht="24.75" customHeight="1">
      <c r="A2332" s="22"/>
      <c r="B2332" s="829" t="s">
        <v>356</v>
      </c>
      <c r="C2332" s="501" t="s">
        <v>357</v>
      </c>
      <c r="D2332" s="502" t="s">
        <v>358</v>
      </c>
      <c r="E2332" s="502"/>
      <c r="F2332" s="502" t="s">
        <v>359</v>
      </c>
      <c r="G2332" s="503"/>
      <c r="H2332" s="803" t="s">
        <v>360</v>
      </c>
      <c r="I2332" s="831" t="s">
        <v>361</v>
      </c>
      <c r="J2332" s="803" t="s">
        <v>362</v>
      </c>
      <c r="K2332" s="803" t="s">
        <v>363</v>
      </c>
      <c r="L2332" s="803" t="s">
        <v>364</v>
      </c>
      <c r="M2332" s="803" t="s">
        <v>365</v>
      </c>
      <c r="N2332" s="804" t="s">
        <v>366</v>
      </c>
      <c r="O2332" s="805"/>
      <c r="P2332" s="806" t="s">
        <v>367</v>
      </c>
      <c r="Q2332" s="807"/>
      <c r="R2332" s="784" t="s">
        <v>368</v>
      </c>
      <c r="S2332" s="774"/>
      <c r="T2332" s="798" t="s">
        <v>369</v>
      </c>
      <c r="U2332" s="799"/>
      <c r="V2332" s="800"/>
      <c r="X2332" s="520"/>
      <c r="Y2332" s="520"/>
    </row>
    <row r="2333" spans="1:29" s="27" customFormat="1" ht="94.5" customHeight="1">
      <c r="A2333" s="22"/>
      <c r="B2333" s="830"/>
      <c r="C2333" s="504" t="s">
        <v>370</v>
      </c>
      <c r="D2333" s="505" t="s">
        <v>41</v>
      </c>
      <c r="E2333" s="505" t="s">
        <v>371</v>
      </c>
      <c r="F2333" s="505" t="s">
        <v>372</v>
      </c>
      <c r="G2333" s="506" t="s">
        <v>373</v>
      </c>
      <c r="H2333" s="793"/>
      <c r="I2333" s="832"/>
      <c r="J2333" s="793"/>
      <c r="K2333" s="793"/>
      <c r="L2333" s="793"/>
      <c r="M2333" s="793"/>
      <c r="N2333" s="504" t="s">
        <v>374</v>
      </c>
      <c r="O2333" s="505" t="s">
        <v>375</v>
      </c>
      <c r="P2333" s="801"/>
      <c r="Q2333" s="802"/>
      <c r="R2333" s="796"/>
      <c r="S2333" s="797"/>
      <c r="T2333" s="507" t="s">
        <v>376</v>
      </c>
      <c r="U2333" s="508" t="s">
        <v>377</v>
      </c>
      <c r="V2333" s="509" t="s">
        <v>378</v>
      </c>
      <c r="X2333" s="521" t="s">
        <v>379</v>
      </c>
      <c r="Y2333" s="521" t="s">
        <v>380</v>
      </c>
    </row>
    <row r="2334" spans="1:29" s="27" customFormat="1" ht="15" customHeight="1">
      <c r="A2334" s="22"/>
      <c r="B2334" s="594"/>
      <c r="C2334" s="595">
        <v>3</v>
      </c>
      <c r="D2334" s="595">
        <v>4</v>
      </c>
      <c r="E2334" s="595">
        <v>5</v>
      </c>
      <c r="F2334" s="595">
        <v>6</v>
      </c>
      <c r="G2334" s="595">
        <v>7</v>
      </c>
      <c r="H2334" s="595">
        <v>8</v>
      </c>
      <c r="I2334" s="595">
        <v>9</v>
      </c>
      <c r="J2334" s="595">
        <v>10</v>
      </c>
      <c r="K2334" s="595">
        <v>11</v>
      </c>
      <c r="L2334" s="595">
        <v>12</v>
      </c>
      <c r="M2334" s="595">
        <v>13</v>
      </c>
      <c r="N2334" s="595">
        <v>14</v>
      </c>
      <c r="O2334" s="595">
        <v>15</v>
      </c>
      <c r="P2334" s="596">
        <v>16</v>
      </c>
      <c r="Q2334" s="597">
        <v>17</v>
      </c>
      <c r="R2334" s="596">
        <v>18</v>
      </c>
      <c r="S2334" s="597">
        <v>19</v>
      </c>
      <c r="T2334" s="598">
        <v>20</v>
      </c>
      <c r="U2334" s="255">
        <v>21</v>
      </c>
      <c r="V2334" s="599">
        <v>22</v>
      </c>
      <c r="X2334" s="589"/>
      <c r="Y2334" s="590"/>
    </row>
    <row r="2335" spans="1:29" s="44" customFormat="1" ht="44.25" customHeight="1">
      <c r="A2335" s="42" t="str">
        <f>"A"&amp;E2331</f>
        <v>A78</v>
      </c>
      <c r="B2335" s="605">
        <f>IF(C2335&lt;&gt;"",B2334+1,"")</f>
        <v>1</v>
      </c>
      <c r="C2335" s="581" t="s">
        <v>1031</v>
      </c>
      <c r="D2335" s="581" t="s">
        <v>1032</v>
      </c>
      <c r="E2335" s="581" t="s">
        <v>1033</v>
      </c>
      <c r="F2335" s="581" t="s">
        <v>384</v>
      </c>
      <c r="G2335" s="534">
        <v>1</v>
      </c>
      <c r="H2335" s="534" t="s">
        <v>385</v>
      </c>
      <c r="I2335" s="579" t="s">
        <v>384</v>
      </c>
      <c r="J2335" s="580" t="str">
        <f>IF(I2335="","",IF(I2335="I",$F2331,VLOOKUP(I2335,$C2352:$D2357,2,0)))</f>
        <v>NUBIA ISABEL QUEVEDO ÁNGEL</v>
      </c>
      <c r="K2335" s="535">
        <v>41680</v>
      </c>
      <c r="L2335" s="535">
        <v>42041</v>
      </c>
      <c r="M2335" s="536">
        <v>411.02</v>
      </c>
      <c r="N2335" s="232">
        <f t="shared" ref="N2335:N2344" si="468">IF(OR(G2335="",M2335=""),"",M2335*G2335)</f>
        <v>411.02</v>
      </c>
      <c r="O2335" s="260">
        <f t="shared" ref="O2335:O2344" si="469">IF(OR(H2335="",H2335="NO",K2335&lt;$Q$17,K2335&gt;$R$17,K2335="",M2335="",N2335=""),"",ROUND(N2335,7))</f>
        <v>411.02</v>
      </c>
      <c r="P2335" s="781"/>
      <c r="Q2335" s="782"/>
      <c r="R2335" s="767"/>
      <c r="S2335" s="768"/>
      <c r="T2335" s="538" t="s">
        <v>385</v>
      </c>
      <c r="U2335" s="539">
        <v>99</v>
      </c>
      <c r="V2335" s="540" t="s">
        <v>385</v>
      </c>
      <c r="X2335" s="541" t="s">
        <v>386</v>
      </c>
      <c r="Y2335" s="541" t="s">
        <v>435</v>
      </c>
    </row>
    <row r="2336" spans="1:29" s="44" customFormat="1" ht="24.95" customHeight="1">
      <c r="A2336" s="42" t="str">
        <f>"B"&amp;E2331</f>
        <v>B78</v>
      </c>
      <c r="B2336" s="605" t="str">
        <f t="shared" ref="B2336:B2344" si="470">IF(C2336&lt;&gt;"",B2335+1,"")</f>
        <v/>
      </c>
      <c r="C2336" s="581"/>
      <c r="D2336" s="581"/>
      <c r="E2336" s="581"/>
      <c r="F2336" s="581"/>
      <c r="G2336" s="534"/>
      <c r="H2336" s="534"/>
      <c r="I2336" s="579"/>
      <c r="J2336" s="580" t="str">
        <f>IF(I2336="","",IF(I2336="I",$F2331,VLOOKUP(I2336,$C2352:$D2357,2,0)))</f>
        <v/>
      </c>
      <c r="K2336" s="535"/>
      <c r="L2336" s="535"/>
      <c r="M2336" s="536"/>
      <c r="N2336" s="232" t="str">
        <f t="shared" si="468"/>
        <v/>
      </c>
      <c r="O2336" s="260" t="str">
        <f t="shared" si="469"/>
        <v/>
      </c>
      <c r="P2336" s="781"/>
      <c r="Q2336" s="782"/>
      <c r="R2336" s="767"/>
      <c r="S2336" s="768"/>
      <c r="T2336" s="538"/>
      <c r="U2336" s="539"/>
      <c r="V2336" s="540"/>
      <c r="X2336" s="541"/>
      <c r="Y2336" s="541"/>
    </row>
    <row r="2337" spans="1:29" s="44" customFormat="1" ht="24.95" customHeight="1">
      <c r="A2337" s="42" t="str">
        <f>"C"&amp;E2331</f>
        <v>C78</v>
      </c>
      <c r="B2337" s="605" t="str">
        <f t="shared" si="470"/>
        <v/>
      </c>
      <c r="C2337" s="581"/>
      <c r="D2337" s="581"/>
      <c r="E2337" s="581"/>
      <c r="F2337" s="581"/>
      <c r="G2337" s="534"/>
      <c r="H2337" s="534"/>
      <c r="I2337" s="579"/>
      <c r="J2337" s="580" t="str">
        <f>IF(I2337="","",IF(I2337="I",$F2331,VLOOKUP(I2337,$C2352:$D2357,2,0)))</f>
        <v/>
      </c>
      <c r="K2337" s="535"/>
      <c r="L2337" s="535"/>
      <c r="M2337" s="536"/>
      <c r="N2337" s="232" t="str">
        <f t="shared" si="468"/>
        <v/>
      </c>
      <c r="O2337" s="260" t="str">
        <f t="shared" si="469"/>
        <v/>
      </c>
      <c r="P2337" s="781"/>
      <c r="Q2337" s="782"/>
      <c r="R2337" s="767"/>
      <c r="S2337" s="768"/>
      <c r="T2337" s="538"/>
      <c r="U2337" s="539"/>
      <c r="V2337" s="540"/>
      <c r="X2337" s="541"/>
      <c r="Y2337" s="541"/>
    </row>
    <row r="2338" spans="1:29" s="44" customFormat="1" ht="24.95" customHeight="1">
      <c r="A2338" s="42" t="str">
        <f>"D"&amp;E2331</f>
        <v>D78</v>
      </c>
      <c r="B2338" s="605" t="str">
        <f t="shared" si="470"/>
        <v/>
      </c>
      <c r="C2338" s="581"/>
      <c r="D2338" s="581"/>
      <c r="E2338" s="581"/>
      <c r="F2338" s="581"/>
      <c r="G2338" s="534"/>
      <c r="H2338" s="534"/>
      <c r="I2338" s="579"/>
      <c r="J2338" s="580" t="str">
        <f>IF(I2338="","",IF(I2338="I",$F2331,VLOOKUP(I2338,$C2352:$D2357,2,0)))</f>
        <v/>
      </c>
      <c r="K2338" s="535"/>
      <c r="L2338" s="535"/>
      <c r="M2338" s="536"/>
      <c r="N2338" s="232" t="str">
        <f t="shared" si="468"/>
        <v/>
      </c>
      <c r="O2338" s="260" t="str">
        <f t="shared" si="469"/>
        <v/>
      </c>
      <c r="P2338" s="781"/>
      <c r="Q2338" s="782"/>
      <c r="R2338" s="767"/>
      <c r="S2338" s="768"/>
      <c r="T2338" s="538"/>
      <c r="U2338" s="539"/>
      <c r="V2338" s="540"/>
      <c r="X2338" s="541"/>
      <c r="Y2338" s="541"/>
    </row>
    <row r="2339" spans="1:29" s="44" customFormat="1" ht="24.95" customHeight="1">
      <c r="A2339" s="42" t="str">
        <f>"E"&amp;E2331</f>
        <v>E78</v>
      </c>
      <c r="B2339" s="605" t="str">
        <f t="shared" si="470"/>
        <v/>
      </c>
      <c r="C2339" s="581"/>
      <c r="D2339" s="581"/>
      <c r="E2339" s="581"/>
      <c r="F2339" s="581"/>
      <c r="G2339" s="534"/>
      <c r="H2339" s="534"/>
      <c r="I2339" s="579"/>
      <c r="J2339" s="580" t="str">
        <f>IF(I2339="","",IF(I2339="I",$F2331,VLOOKUP(I2339,$C2352:$D2357,2,0)))</f>
        <v/>
      </c>
      <c r="K2339" s="535"/>
      <c r="L2339" s="535"/>
      <c r="M2339" s="536"/>
      <c r="N2339" s="232" t="str">
        <f t="shared" si="468"/>
        <v/>
      </c>
      <c r="O2339" s="260" t="str">
        <f t="shared" si="469"/>
        <v/>
      </c>
      <c r="P2339" s="781"/>
      <c r="Q2339" s="782"/>
      <c r="R2339" s="767"/>
      <c r="S2339" s="768"/>
      <c r="T2339" s="538"/>
      <c r="U2339" s="539"/>
      <c r="V2339" s="540"/>
      <c r="X2339" s="541"/>
      <c r="Y2339" s="541"/>
    </row>
    <row r="2340" spans="1:29" s="44" customFormat="1" ht="24.95" customHeight="1">
      <c r="A2340" s="42" t="str">
        <f>"F"&amp;E2331</f>
        <v>F78</v>
      </c>
      <c r="B2340" s="605" t="str">
        <f t="shared" si="470"/>
        <v/>
      </c>
      <c r="C2340" s="581"/>
      <c r="D2340" s="581"/>
      <c r="E2340" s="581"/>
      <c r="F2340" s="581"/>
      <c r="G2340" s="534"/>
      <c r="H2340" s="534"/>
      <c r="I2340" s="579"/>
      <c r="J2340" s="580" t="str">
        <f>IF(I2340="","",IF(I2340="I",$F2331,VLOOKUP(I2340,$C2352:$D2357,2,0)))</f>
        <v/>
      </c>
      <c r="K2340" s="535"/>
      <c r="L2340" s="535"/>
      <c r="M2340" s="536"/>
      <c r="N2340" s="232" t="str">
        <f t="shared" si="468"/>
        <v/>
      </c>
      <c r="O2340" s="260" t="str">
        <f t="shared" si="469"/>
        <v/>
      </c>
      <c r="P2340" s="781"/>
      <c r="Q2340" s="782"/>
      <c r="R2340" s="767"/>
      <c r="S2340" s="768"/>
      <c r="T2340" s="538"/>
      <c r="U2340" s="539"/>
      <c r="V2340" s="540"/>
      <c r="X2340" s="541"/>
      <c r="Y2340" s="541"/>
    </row>
    <row r="2341" spans="1:29" s="44" customFormat="1" ht="24.95" customHeight="1">
      <c r="A2341" s="42" t="str">
        <f>"G"&amp;E2331</f>
        <v>G78</v>
      </c>
      <c r="B2341" s="605" t="str">
        <f t="shared" si="470"/>
        <v/>
      </c>
      <c r="C2341" s="581"/>
      <c r="D2341" s="581"/>
      <c r="E2341" s="581"/>
      <c r="F2341" s="581"/>
      <c r="G2341" s="534"/>
      <c r="H2341" s="534"/>
      <c r="I2341" s="579"/>
      <c r="J2341" s="580" t="str">
        <f>IF(I2341="","",IF(I2341="I",$F2331,VLOOKUP(I2341,$C2352:$D2357,2,0)))</f>
        <v/>
      </c>
      <c r="K2341" s="535"/>
      <c r="L2341" s="535"/>
      <c r="M2341" s="536"/>
      <c r="N2341" s="43" t="str">
        <f t="shared" si="468"/>
        <v/>
      </c>
      <c r="O2341" s="260" t="str">
        <f t="shared" si="469"/>
        <v/>
      </c>
      <c r="P2341" s="781"/>
      <c r="Q2341" s="782"/>
      <c r="R2341" s="767"/>
      <c r="S2341" s="768"/>
      <c r="T2341" s="538"/>
      <c r="U2341" s="539"/>
      <c r="V2341" s="540"/>
      <c r="X2341" s="541"/>
      <c r="Y2341" s="541"/>
    </row>
    <row r="2342" spans="1:29" s="44" customFormat="1" ht="24.95" customHeight="1">
      <c r="A2342" s="42" t="str">
        <f>"H"&amp;E2331</f>
        <v>H78</v>
      </c>
      <c r="B2342" s="605" t="str">
        <f t="shared" si="470"/>
        <v/>
      </c>
      <c r="C2342" s="581"/>
      <c r="D2342" s="581"/>
      <c r="E2342" s="581"/>
      <c r="F2342" s="581"/>
      <c r="G2342" s="534"/>
      <c r="H2342" s="534"/>
      <c r="I2342" s="579"/>
      <c r="J2342" s="580" t="str">
        <f>IF(I2342="","",IF(I2342="I",$F2331,VLOOKUP(I2342,$C2352:$D2357,2,0)))</f>
        <v/>
      </c>
      <c r="K2342" s="535"/>
      <c r="L2342" s="535"/>
      <c r="M2342" s="537"/>
      <c r="N2342" s="43" t="str">
        <f t="shared" si="468"/>
        <v/>
      </c>
      <c r="O2342" s="260" t="str">
        <f t="shared" si="469"/>
        <v/>
      </c>
      <c r="P2342" s="781"/>
      <c r="Q2342" s="782"/>
      <c r="R2342" s="767"/>
      <c r="S2342" s="768"/>
      <c r="T2342" s="538"/>
      <c r="U2342" s="539"/>
      <c r="V2342" s="540"/>
      <c r="X2342" s="541"/>
      <c r="Y2342" s="541"/>
    </row>
    <row r="2343" spans="1:29" s="44" customFormat="1" ht="24.95" customHeight="1">
      <c r="A2343" s="42" t="str">
        <f>"I"&amp;E2331</f>
        <v>I78</v>
      </c>
      <c r="B2343" s="605" t="str">
        <f t="shared" si="470"/>
        <v/>
      </c>
      <c r="C2343" s="581"/>
      <c r="D2343" s="581"/>
      <c r="E2343" s="581"/>
      <c r="F2343" s="581"/>
      <c r="G2343" s="534"/>
      <c r="H2343" s="534"/>
      <c r="I2343" s="579"/>
      <c r="J2343" s="580" t="str">
        <f>IF(I2343="","",IF(I2343="I",$F2331,VLOOKUP(I2343,$C2352:$D2357,2,0)))</f>
        <v/>
      </c>
      <c r="K2343" s="535"/>
      <c r="L2343" s="535"/>
      <c r="M2343" s="537"/>
      <c r="N2343" s="43" t="str">
        <f t="shared" si="468"/>
        <v/>
      </c>
      <c r="O2343" s="260" t="str">
        <f t="shared" si="469"/>
        <v/>
      </c>
      <c r="P2343" s="781"/>
      <c r="Q2343" s="782"/>
      <c r="R2343" s="767"/>
      <c r="S2343" s="768"/>
      <c r="T2343" s="538"/>
      <c r="U2343" s="539"/>
      <c r="V2343" s="540"/>
      <c r="X2343" s="541"/>
      <c r="Y2343" s="541"/>
    </row>
    <row r="2344" spans="1:29" s="44" customFormat="1" ht="24.95" customHeight="1" thickBot="1">
      <c r="A2344" s="42" t="str">
        <f>"J"&amp;E2331</f>
        <v>J78</v>
      </c>
      <c r="B2344" s="612" t="str">
        <f t="shared" si="470"/>
        <v/>
      </c>
      <c r="C2344" s="582"/>
      <c r="D2344" s="582"/>
      <c r="E2344" s="582"/>
      <c r="F2344" s="582"/>
      <c r="G2344" s="583"/>
      <c r="H2344" s="583"/>
      <c r="I2344" s="584"/>
      <c r="J2344" s="585" t="str">
        <f>IF(I2344="","",IF(I2344="I",$F2331,VLOOKUP(I2344,$C2352:$D2357,2,0)))</f>
        <v/>
      </c>
      <c r="K2344" s="586"/>
      <c r="L2344" s="586"/>
      <c r="M2344" s="587"/>
      <c r="N2344" s="43" t="str">
        <f t="shared" si="468"/>
        <v/>
      </c>
      <c r="O2344" s="260" t="str">
        <f t="shared" si="469"/>
        <v/>
      </c>
      <c r="P2344" s="781"/>
      <c r="Q2344" s="782"/>
      <c r="R2344" s="767"/>
      <c r="S2344" s="768"/>
      <c r="T2344" s="538"/>
      <c r="U2344" s="539"/>
      <c r="V2344" s="540"/>
      <c r="X2344" s="541"/>
      <c r="Y2344" s="541"/>
    </row>
    <row r="2345" spans="1:29" s="27" customFormat="1" ht="12" customHeight="1" thickBot="1">
      <c r="A2345" s="42"/>
      <c r="B2345" s="45"/>
      <c r="C2345" s="46"/>
      <c r="D2345" s="46"/>
      <c r="E2345" s="46"/>
      <c r="F2345" s="46"/>
      <c r="G2345" s="46"/>
      <c r="H2345" s="606"/>
      <c r="I2345" s="46"/>
      <c r="J2345" s="46"/>
      <c r="K2345" s="46"/>
      <c r="L2345" s="46"/>
      <c r="M2345" s="46"/>
      <c r="N2345" s="46"/>
      <c r="O2345" s="259"/>
      <c r="P2345" s="46"/>
      <c r="Q2345" s="46"/>
      <c r="R2345" s="259"/>
      <c r="S2345" s="46"/>
      <c r="T2345" s="46"/>
      <c r="U2345" s="47"/>
      <c r="V2345" s="48"/>
      <c r="X2345" s="592"/>
      <c r="Y2345" s="593"/>
      <c r="AB2345" s="378"/>
    </row>
    <row r="2346" spans="1:29" s="27" customFormat="1" ht="17.25" customHeight="1" thickBot="1">
      <c r="A2346" s="42" t="str">
        <f>"Z"&amp;E2331</f>
        <v>Z78</v>
      </c>
      <c r="B2346" s="510"/>
      <c r="C2346" s="511"/>
      <c r="D2346" s="511"/>
      <c r="E2346" s="511"/>
      <c r="F2346" s="511"/>
      <c r="G2346" s="511"/>
      <c r="H2346" s="511"/>
      <c r="I2346" s="511"/>
      <c r="J2346" s="511"/>
      <c r="K2346" s="511"/>
      <c r="L2346" s="511"/>
      <c r="M2346" s="511"/>
      <c r="N2346" s="437" t="s">
        <v>388</v>
      </c>
      <c r="O2346" s="438">
        <f>IF(COUNTIF(O2335:O2344,"")&gt;9,0,SUM(O2335:O2344)/(COUNTIF(H2335:H2344,"SI")))</f>
        <v>411.02</v>
      </c>
      <c r="P2346" s="511"/>
      <c r="Q2346" s="511"/>
      <c r="R2346" s="530"/>
      <c r="S2346" s="530"/>
      <c r="T2346" s="531"/>
      <c r="U2346" s="532"/>
      <c r="V2346" s="533"/>
      <c r="W2346" s="285"/>
      <c r="X2346" s="613" t="e">
        <f>COUNTIF(#REF!,"")-COUNTIF(#REF!,"CUMPLE")-1</f>
        <v>#REF!</v>
      </c>
      <c r="Y2346" s="591"/>
      <c r="AB2346" s="28"/>
    </row>
    <row r="2347" spans="1:29" ht="17.25" customHeight="1">
      <c r="B2347" s="50"/>
      <c r="C2347" s="50"/>
      <c r="D2347" s="50"/>
      <c r="E2347" s="50"/>
      <c r="F2347" s="50"/>
      <c r="G2347" s="51"/>
      <c r="H2347" s="51"/>
      <c r="I2347" s="51"/>
      <c r="J2347" s="51"/>
      <c r="K2347" s="51"/>
      <c r="L2347" s="51"/>
      <c r="M2347" s="51"/>
      <c r="N2347" s="51"/>
      <c r="O2347" s="51"/>
      <c r="P2347" s="51"/>
      <c r="Q2347" s="51"/>
      <c r="R2347" s="51"/>
      <c r="S2347" s="51"/>
      <c r="T2347" s="51"/>
      <c r="U2347" s="51"/>
      <c r="V2347" s="51"/>
      <c r="W2347" s="51"/>
      <c r="X2347" s="608"/>
      <c r="Y2347" s="51"/>
      <c r="Z2347" s="51"/>
      <c r="AA2347" s="51"/>
      <c r="AB2347" s="51"/>
      <c r="AC2347" s="50"/>
    </row>
    <row r="2348" spans="1:29" s="27" customFormat="1" ht="16.5" customHeight="1" thickBot="1">
      <c r="A2348" s="22"/>
      <c r="B2348" s="783" t="s">
        <v>389</v>
      </c>
      <c r="C2348" s="783"/>
      <c r="D2348" s="783"/>
      <c r="E2348" s="783"/>
      <c r="F2348" s="783"/>
      <c r="G2348" s="783"/>
      <c r="H2348" s="783"/>
      <c r="I2348" s="783"/>
      <c r="J2348" s="783"/>
      <c r="K2348" s="783"/>
      <c r="L2348" s="783"/>
      <c r="M2348" s="783"/>
      <c r="N2348" s="783"/>
      <c r="O2348" s="783"/>
      <c r="P2348" s="783"/>
      <c r="Q2348" s="783"/>
      <c r="R2348" s="783"/>
      <c r="S2348" s="783"/>
      <c r="T2348" s="783"/>
      <c r="U2348" s="783"/>
      <c r="V2348" s="783"/>
      <c r="W2348" s="286"/>
      <c r="X2348" s="607"/>
      <c r="Y2348" s="52"/>
      <c r="Z2348" s="52"/>
      <c r="AA2348" s="52"/>
      <c r="AB2348" s="28"/>
      <c r="AC2348" s="28"/>
    </row>
    <row r="2349" spans="1:29" s="30" customFormat="1" ht="22.5" customHeight="1">
      <c r="A2349" s="112" t="str">
        <f>"K"&amp;E2331</f>
        <v>K78</v>
      </c>
      <c r="B2349" s="790" t="s">
        <v>390</v>
      </c>
      <c r="C2349" s="772" t="s">
        <v>391</v>
      </c>
      <c r="D2349" s="773"/>
      <c r="E2349" s="773"/>
      <c r="F2349" s="773"/>
      <c r="G2349" s="773"/>
      <c r="H2349" s="773"/>
      <c r="I2349" s="773"/>
      <c r="J2349" s="773"/>
      <c r="K2349" s="773"/>
      <c r="L2349" s="773"/>
      <c r="M2349" s="774"/>
      <c r="N2349" s="525"/>
      <c r="O2349" s="588"/>
      <c r="P2349" s="772" t="s">
        <v>392</v>
      </c>
      <c r="Q2349" s="773"/>
      <c r="R2349" s="773"/>
      <c r="S2349" s="774"/>
      <c r="T2349" s="784" t="s">
        <v>393</v>
      </c>
      <c r="U2349" s="774"/>
      <c r="V2349" s="811"/>
      <c r="W2349" s="284"/>
      <c r="X2349" s="778" t="s">
        <v>394</v>
      </c>
      <c r="Y2349" s="779"/>
      <c r="Z2349" s="779"/>
      <c r="AA2349" s="779" t="s">
        <v>395</v>
      </c>
      <c r="AB2349" s="808" t="s">
        <v>396</v>
      </c>
      <c r="AC2349" s="28"/>
    </row>
    <row r="2350" spans="1:29" s="30" customFormat="1" ht="22.5" customHeight="1">
      <c r="A2350" s="112" t="str">
        <f>"L"&amp;E2331</f>
        <v>L78</v>
      </c>
      <c r="B2350" s="791"/>
      <c r="C2350" s="769" t="s">
        <v>397</v>
      </c>
      <c r="D2350" s="770"/>
      <c r="E2350" s="771"/>
      <c r="F2350" s="512">
        <f>IF(VLOOKUP(E2331,PROPONENTES!$C$19:$E$108,3,0)="","",VLOOKUP(E2331,PROPONENTES!$C$19:$E$108,3,0))</f>
        <v>1</v>
      </c>
      <c r="G2350" s="824" t="s">
        <v>398</v>
      </c>
      <c r="H2350" s="793" t="s">
        <v>399</v>
      </c>
      <c r="I2350" s="793"/>
      <c r="J2350" s="769" t="s">
        <v>400</v>
      </c>
      <c r="K2350" s="823"/>
      <c r="L2350" s="513" t="s">
        <v>401</v>
      </c>
      <c r="M2350" s="513"/>
      <c r="N2350" s="526"/>
      <c r="O2350" s="527"/>
      <c r="P2350" s="775"/>
      <c r="Q2350" s="776"/>
      <c r="R2350" s="776"/>
      <c r="S2350" s="777"/>
      <c r="T2350" s="796"/>
      <c r="U2350" s="797"/>
      <c r="V2350" s="812"/>
      <c r="W2350" s="284"/>
      <c r="X2350" s="780" t="s">
        <v>402</v>
      </c>
      <c r="Y2350" s="810" t="s">
        <v>403</v>
      </c>
      <c r="Z2350" s="810"/>
      <c r="AA2350" s="810"/>
      <c r="AB2350" s="809"/>
      <c r="AC2350" s="28"/>
    </row>
    <row r="2351" spans="1:29" s="30" customFormat="1" ht="51.75" customHeight="1" thickBot="1">
      <c r="A2351" s="112" t="str">
        <f>"M"&amp;E2331</f>
        <v>M78</v>
      </c>
      <c r="B2351" s="791"/>
      <c r="C2351" s="770" t="s">
        <v>404</v>
      </c>
      <c r="D2351" s="771"/>
      <c r="E2351" s="514" t="s">
        <v>405</v>
      </c>
      <c r="F2351" s="515" t="s">
        <v>406</v>
      </c>
      <c r="G2351" s="824"/>
      <c r="H2351" s="793"/>
      <c r="I2351" s="793"/>
      <c r="J2351" s="504" t="s">
        <v>407</v>
      </c>
      <c r="K2351" s="516" t="s">
        <v>408</v>
      </c>
      <c r="L2351" s="517" t="s">
        <v>785</v>
      </c>
      <c r="M2351" s="517"/>
      <c r="N2351" s="528" t="s">
        <v>410</v>
      </c>
      <c r="O2351" s="529"/>
      <c r="P2351" s="386"/>
      <c r="Q2351" s="387" t="s">
        <v>411</v>
      </c>
      <c r="R2351" s="388"/>
      <c r="S2351" s="113">
        <f>COUNTIFS(H2335:H2344,"SI",O2335:O2344,"&gt;0")</f>
        <v>1</v>
      </c>
      <c r="T2351" s="785"/>
      <c r="U2351" s="787"/>
      <c r="V2351" s="813"/>
      <c r="W2351" s="284"/>
      <c r="X2351" s="780"/>
      <c r="Y2351" s="810"/>
      <c r="Z2351" s="810"/>
      <c r="AA2351" s="810"/>
      <c r="AB2351" s="809"/>
      <c r="AC2351" s="28"/>
    </row>
    <row r="2352" spans="1:29" s="30" customFormat="1" ht="15.75" customHeight="1">
      <c r="A2352" s="112" t="str">
        <f>"N"&amp;E2331</f>
        <v>N78</v>
      </c>
      <c r="B2352" s="791"/>
      <c r="C2352" s="54">
        <v>1</v>
      </c>
      <c r="D2352" s="100" t="str">
        <f>IF(AND(C2352&lt;=F2350,F2350&gt;1,F2350&lt;&gt;""),VLOOKUP(VALUE(E2331&amp;","&amp;C2352),INTEGRANTES!$D$19:$F$192,2,0),"")</f>
        <v/>
      </c>
      <c r="E2352" s="107" t="str">
        <f>IF(D2352&lt;&gt;"",VLOOKUP(VALUE(E2331&amp;","&amp;C2352),INTEGRANTES!$D$19:$F$192,3,0),"")</f>
        <v/>
      </c>
      <c r="F2352" s="380" t="str">
        <f>IF(D2352="","",IF(OR(SUMIF($J2338:$J2344,D2352,$O2338:$O2344)=0,N2352="NO"),"NO APORTA",SUMIF($J2338:$J2344,D2352,$O2338:$O2344)))</f>
        <v/>
      </c>
      <c r="G2352" s="380" t="str">
        <f>IF($D2352="","",IF($F2350&lt;=1,"",ROUND(POSMMLV*PORPO,2)))</f>
        <v/>
      </c>
      <c r="H2352" s="765" t="str">
        <f>IF($D2352="","",IF(OR(F2352="NO APORTA",G2352&gt;F2352),"NO CUMPLE","CUMPLE"))</f>
        <v/>
      </c>
      <c r="I2352" s="766"/>
      <c r="J2352" s="108" t="str">
        <f>IF(D2352="","",IF(OR(AND(SUMIF($J2335:$J2344,D2352,$O2335:$O2344)&gt;=5%*POSMMLV,N2352="SI"),AND(SUMIF($J2335:$J2344,D2352,$O2335:$O2344)=0,E2352&lt;=5%,N2352="SI")),"CUMPLE","NO CUMPLE"))</f>
        <v/>
      </c>
      <c r="K2352" s="105" t="str">
        <f>IF(OR(D2352="",J2352=""),"",IF(AND(J2352="NO CUMPLE",F2352="NO APORTA",E2352&gt;5%),"EXP = 0 y PART &gt; 5%",IF(F2352&lt;5%*Q2357,"EXP &lt; 5%*PO","")))</f>
        <v/>
      </c>
      <c r="L2352" s="389" t="str">
        <f>IF(OR(D2352="",E2352=""),"",IF(AND(E2352&gt;=0.25,F2352&lt;&gt;"NO APORTA",F2352&gt;=$R2357*0.25),"SI","NO"))</f>
        <v/>
      </c>
      <c r="M2352" s="389"/>
      <c r="N2352" s="468" t="s">
        <v>385</v>
      </c>
      <c r="O2352" s="396">
        <f>COUNTIFS(O2335:O2344,"&gt;0",H2335:H2344,"SI")</f>
        <v>1</v>
      </c>
      <c r="P2352" s="814" t="s">
        <v>139</v>
      </c>
      <c r="Q2352" s="814"/>
      <c r="R2352" s="817">
        <f>E2331</f>
        <v>78</v>
      </c>
      <c r="S2352" s="818"/>
      <c r="T2352" s="784" t="s">
        <v>412</v>
      </c>
      <c r="U2352" s="773"/>
      <c r="V2352" s="774"/>
      <c r="W2352" s="283"/>
      <c r="X2352" s="542" t="str">
        <f>IF($F2350=1,"NO APLICA",$D2352)</f>
        <v>NO APLICA</v>
      </c>
      <c r="Y2352" s="543" t="str">
        <f>IF(OR($F2352="",$F2352="NO APORTA",$R2357=0,$X2352="NO APLICA"),"",ROUND($F2352/$Q2357,2))</f>
        <v/>
      </c>
      <c r="Z2352" s="544" t="str">
        <f>IF(Y2358=1,"SI APLICA",IF(OR($X2352="",$X2352="NO APLICA",$F2352="",$F2352="NO APORTA"),"",IF(ROUND($F2352/Q2357,7)&gt;=0.4,"SI APLICA","NO APLICA")))</f>
        <v>SI APLICA</v>
      </c>
      <c r="AA2352" s="543" t="s">
        <v>413</v>
      </c>
      <c r="AB2352" s="540" t="str">
        <f>IF(COUNTIF(Z2352:AA2352,"SI APLICA")=2,"SI APLICA","")</f>
        <v>SI APLICA</v>
      </c>
      <c r="AC2352" s="28"/>
    </row>
    <row r="2353" spans="1:29" s="30" customFormat="1" ht="15.75" customHeight="1" thickBot="1">
      <c r="A2353" s="112" t="str">
        <f>"O"&amp;E2331</f>
        <v>O78</v>
      </c>
      <c r="B2353" s="791"/>
      <c r="C2353" s="54">
        <v>2</v>
      </c>
      <c r="D2353" s="100" t="str">
        <f>IF(AND(C2353&lt;=F2350,F2350&lt;&gt;""),VLOOKUP(VALUE(E2331&amp;","&amp;C2353),INTEGRANTES!$D$19:$F$192,2,0),"")</f>
        <v/>
      </c>
      <c r="E2353" s="107" t="str">
        <f>IF(D2353&lt;&gt;"",VLOOKUP(VALUE(E2331&amp;","&amp;C2353),INTEGRANTES!$D$19:$F$192,3,0),"")</f>
        <v/>
      </c>
      <c r="F2353" s="380" t="str">
        <f>IF(D2353="","",IF(OR(SUMIF($J2338:$J2344,D2353,$O2338:$O2344)=0,N2353="NO"),"NO APORTA",SUMIF($J2338:$J2344,D2353,$O2338:$O2344)))</f>
        <v/>
      </c>
      <c r="G2353" s="380" t="str">
        <f>IF($D2353="","",IF($F2350&lt;=1,"",ROUND(POSMMLV*PORPO,2)))</f>
        <v/>
      </c>
      <c r="H2353" s="765" t="str">
        <f t="shared" ref="H2353:H2356" si="471">IF($D2353="","",IF(OR(F2353="NO APORTA",G2353&gt;F2353),"NO CUMPLE","CUMPLE"))</f>
        <v/>
      </c>
      <c r="I2353" s="766"/>
      <c r="J2353" s="108" t="str">
        <f>IF(D2353="","",IF(OR(AND(SUMIF($J2335:$J2344,D2353,$O2335:$O2344)&gt;=5%*POSMMLV,N2353="SI"),AND(SUMIF($J2335:$J2344,D2353,$O2335:$O2344)=0,E2353&lt;=5%,N2353="SI")),"CUMPLE","NO CUMPLE"))</f>
        <v/>
      </c>
      <c r="K2353" s="105" t="str">
        <f>IF(OR(D2353="",J2353=""),"",IF(AND(J2353="NO CUMPLE",F2353="NO APORTA",E2353&gt;5%),"EXP = 0 y PART &gt; 5%",IF(F2353&lt;5%*Q2357,"EXP &lt; 5%*PO","")))</f>
        <v/>
      </c>
      <c r="L2353" s="389" t="str">
        <f>IF(OR(D2353="",E2353=""),"",IF(AND(E2353&gt;=0.25,F2353&lt;&gt;"NO APORTA",F2353&gt;=$R2357*0.25),"SI","NO"))</f>
        <v/>
      </c>
      <c r="M2353" s="389"/>
      <c r="N2353" s="468" t="s">
        <v>385</v>
      </c>
      <c r="O2353" s="396"/>
      <c r="P2353" s="815"/>
      <c r="Q2353" s="815"/>
      <c r="R2353" s="815"/>
      <c r="S2353" s="819"/>
      <c r="T2353" s="785"/>
      <c r="U2353" s="786"/>
      <c r="V2353" s="787"/>
      <c r="W2353" s="283"/>
      <c r="X2353" s="542" t="str">
        <f>IF($F2350=1,"NO APLICA",$D2353)</f>
        <v>NO APLICA</v>
      </c>
      <c r="Y2353" s="543" t="str">
        <f>IF(OR($F2353="",$F2353="NO APORTA",$R2357=0,$X2353="NO APLICA"),"",ROUND($F2353/$Q2357,2))</f>
        <v/>
      </c>
      <c r="Z2353" s="544"/>
      <c r="AA2353" s="543"/>
      <c r="AB2353" s="540" t="str">
        <f t="shared" ref="AB2353" si="472">IF(COUNTIF(Z2353:AA2353,"SI APLICA")=2,"SI APLICA","")</f>
        <v/>
      </c>
      <c r="AC2353" s="28"/>
    </row>
    <row r="2354" spans="1:29" s="30" customFormat="1" ht="15.75" customHeight="1">
      <c r="A2354" s="112" t="str">
        <f>"P"&amp;E2331</f>
        <v>P78</v>
      </c>
      <c r="B2354" s="791"/>
      <c r="C2354" s="54">
        <v>3</v>
      </c>
      <c r="D2354" s="100" t="str">
        <f>IF(AND(C2354&lt;=F2350,F2350&lt;&gt;""),VLOOKUP(VALUE(E2331&amp;","&amp;C2354),INTEGRANTES!$D$19:$F$192,2,0),"")</f>
        <v/>
      </c>
      <c r="E2354" s="107" t="str">
        <f>IF(D2354&lt;&gt;"",VLOOKUP(VALUE(E2331&amp;","&amp;C2354),INTEGRANTES!$D$19:$F$192,3,0),"")</f>
        <v/>
      </c>
      <c r="F2354" s="380" t="str">
        <f>IF(D2354="","",IF(OR(SUMIF($J2338:$J2344,D2354,$O2338:$O2344)=0,N2354="NO"),"NO APORTA",SUMIF($J2338:$J2344,D2354,$O2338:$O2344)))</f>
        <v/>
      </c>
      <c r="G2354" s="380" t="str">
        <f>IF($D2354="","",IF($F2350&lt;=1,"",ROUND(POSMMLV*PORPO,2)))</f>
        <v/>
      </c>
      <c r="H2354" s="765" t="str">
        <f t="shared" si="471"/>
        <v/>
      </c>
      <c r="I2354" s="766"/>
      <c r="J2354" s="108" t="str">
        <f>IF(D2354="","",IF(OR(AND(SUMIF($J2335:$J2344,D2354,$O2335:$O2344)&gt;=5%*POSMMLV,N2354="SI"),AND(SUMIF($J2335:$J2344,D2354,$O2335:$O2344)=0,E2354&lt;=5%,N2354="SI")),"CUMPLE","NO CUMPLE"))</f>
        <v/>
      </c>
      <c r="K2354" s="105" t="str">
        <f>IF(OR(D2354="",J2354=""),"",IF(AND(J2354="NO CUMPLE",F2354="NO APORTA",E2354&gt;5%),"EXP = 0 y PART &gt; 5%",IF(F2354&lt;5%*Q2357,"EXP &lt; 5%*PO","")))</f>
        <v/>
      </c>
      <c r="L2354" s="389" t="str">
        <f>IF(OR(D2354="",E2354=""),"",IF(AND(E2354&gt;=0.25,F2354&lt;&gt;"NO APORTA",F2354&gt;=$R2357*0.25),"SI","NO"))</f>
        <v/>
      </c>
      <c r="M2354" s="389"/>
      <c r="N2354" s="468"/>
      <c r="O2354" s="397"/>
      <c r="P2354" s="816"/>
      <c r="Q2354" s="816"/>
      <c r="R2354" s="816"/>
      <c r="S2354" s="820"/>
      <c r="T2354" s="308"/>
      <c r="U2354" s="308"/>
      <c r="V2354" s="309"/>
      <c r="W2354" s="284"/>
      <c r="X2354" s="542" t="str">
        <f>IF($F2350=1,"NO APLICA",$D2354)</f>
        <v>NO APLICA</v>
      </c>
      <c r="Y2354" s="543" t="str">
        <f>IF(OR($F2354="",$F2354="NO APORTA",$R2357=0,$X2354="NO APLICA"),"",ROUND($F2354/$Q2357,2))</f>
        <v/>
      </c>
      <c r="Z2354" s="544"/>
      <c r="AA2354" s="543"/>
      <c r="AB2354" s="540" t="str">
        <f>IF(COUNTIF(Z2354:AA2354,"SI APLICA")=2,"SI APLICA","")</f>
        <v/>
      </c>
      <c r="AC2354" s="28"/>
    </row>
    <row r="2355" spans="1:29" s="30" customFormat="1" ht="15.75" customHeight="1">
      <c r="A2355" s="112" t="str">
        <f>"Q"&amp;E2331</f>
        <v>Q78</v>
      </c>
      <c r="B2355" s="791"/>
      <c r="C2355" s="54">
        <v>4</v>
      </c>
      <c r="D2355" s="100" t="str">
        <f>IF(AND(C2355&lt;=F2350,F2350&lt;&gt;""),VLOOKUP(VALUE(E2331&amp;","&amp;C2355),INTEGRANTES!$D$19:$F$192,2,0),"")</f>
        <v/>
      </c>
      <c r="E2355" s="107" t="str">
        <f>IF(D2355&lt;&gt;"",VLOOKUP(VALUE(E2331&amp;","&amp;C2355),INTEGRANTES!$D$19:$F$192,3,0),"")</f>
        <v/>
      </c>
      <c r="F2355" s="380" t="str">
        <f>IF(D2355="","",IF(OR(SUMIF($J2338:$J2344,D2355,$O2338:$O2344)=0,N2355="NO"),"NO APORTA",SUMIF($J2338:$J2344,D2355,$O2338:$O2344)))</f>
        <v/>
      </c>
      <c r="G2355" s="380" t="str">
        <f>IF($D2355="","",IF($F2350&lt;=1,"",ROUND(POSMMLV*PORPO,2)))</f>
        <v/>
      </c>
      <c r="H2355" s="765" t="str">
        <f t="shared" si="471"/>
        <v/>
      </c>
      <c r="I2355" s="766"/>
      <c r="J2355" s="108" t="str">
        <f>IF(D2355="","",IF(OR(AND(SUMIF($J2335:$J2344,D2355,$O2335:$O2344)&gt;=5%*POSMMLV,N2355="SI"),AND(SUMIF($J2335:$J2344,D2355,$O2335:$O2344)=0,E2355&lt;=5%,N2355="SI")),"CUMPLE","NO CUMPLE"))</f>
        <v/>
      </c>
      <c r="K2355" s="105" t="str">
        <f>IF(OR(D2355="",J2355=""),"",IF(AND(J2355="NO CUMPLE",F2355="NO APORTA",E2355&gt;5%),"EXP = 0 y PART &gt; 5%",IF(F2355&lt;5%*Q2357,"EXP &lt; 5%*PO","")))</f>
        <v/>
      </c>
      <c r="L2355" s="389" t="str">
        <f>IF(OR(D2355="",E2355=""),"",IF(AND(E2355&gt;=0.25,F2355&lt;&gt;"NO APORTA",F2355&gt;=$R2357*0.25),"SI","NO"))</f>
        <v/>
      </c>
      <c r="M2355" s="389"/>
      <c r="N2355" s="468"/>
      <c r="O2355" s="788" t="s">
        <v>414</v>
      </c>
      <c r="P2355" s="769" t="s">
        <v>415</v>
      </c>
      <c r="Q2355" s="770"/>
      <c r="R2355" s="770"/>
      <c r="S2355" s="771"/>
      <c r="T2355" s="284"/>
      <c r="U2355" s="284"/>
      <c r="V2355" s="310"/>
      <c r="W2355" s="284"/>
      <c r="X2355" s="542" t="str">
        <f>IF($F2350=1,"NO APLICA",$D2355)</f>
        <v>NO APLICA</v>
      </c>
      <c r="Y2355" s="543" t="str">
        <f>IF(OR($F2355="",$F2355="NO APORTA",$R2357=0,$X2355="NO APLICA"),"",ROUND($F2355/$Q2357,2))</f>
        <v/>
      </c>
      <c r="Z2355" s="544"/>
      <c r="AA2355" s="543"/>
      <c r="AB2355" s="540" t="str">
        <f t="shared" ref="AB2355:AB2356" si="473">IF(COUNTIF(Z2355:AA2355,"SI APLICA")=2,"SI APLICA","")</f>
        <v/>
      </c>
      <c r="AC2355" s="28"/>
    </row>
    <row r="2356" spans="1:29" s="30" customFormat="1" ht="17.25" customHeight="1">
      <c r="A2356" s="112" t="str">
        <f>"R"&amp;E2331</f>
        <v>R78</v>
      </c>
      <c r="B2356" s="791"/>
      <c r="C2356" s="54">
        <v>5</v>
      </c>
      <c r="D2356" s="100" t="str">
        <f>IF(AND(C2356&lt;=F2350,F2350&lt;&gt;""),VLOOKUP(VALUE(E2331&amp;","&amp;C2356),INTEGRANTES!$D$19:$F$192,2,0),"")</f>
        <v/>
      </c>
      <c r="E2356" s="107" t="str">
        <f>IF(D2356&lt;&gt;"",VLOOKUP(VALUE(E2331&amp;","&amp;C2356),INTEGRANTES!$D$19:$F$192,3,0),"")</f>
        <v/>
      </c>
      <c r="F2356" s="380" t="str">
        <f>IF(D2356="","",IF(OR(SUMIF($J2338:$J2344,D2356,$O2338:$O2344)=0,N2356="NO"),"NO APORTA",SUMIF($J2338:$J2344,D2356,$O2338:$O2344)))</f>
        <v/>
      </c>
      <c r="G2356" s="380" t="str">
        <f>IF($D2356="","",IF($F2350&lt;=1,"",ROUND(POSMMLV*PORPO,2)))</f>
        <v/>
      </c>
      <c r="H2356" s="765" t="str">
        <f t="shared" si="471"/>
        <v/>
      </c>
      <c r="I2356" s="766"/>
      <c r="J2356" s="108" t="str">
        <f>IF(D2356="","",IF(OR(AND(SUMIF($J2335:$J2344,D2356,$O2335:$O2344)&gt;=5%*POSMMLV,N2356="SI"),AND(SUMIF($J2335:$J2344,D2356,$O2335:$O2344)=0,E2356&lt;=5%,N2356="SI")),"CUMPLE","NO CUMPLE"))</f>
        <v/>
      </c>
      <c r="K2356" s="105" t="str">
        <f>IF(OR(D2356="",J2356=""),"",IF(AND(J2356="NO CUMPLE",F2356="NO APORTA",E2356&gt;5%),"EXP = 0 y PART &gt; 5%",IF(F2356&lt;5%*Q2357,"EXP &lt; 5%*PO","")))</f>
        <v/>
      </c>
      <c r="L2356" s="389" t="str">
        <f>IF(OR(D2356="",E2356=""),"",IF(AND(E2356&gt;=0.25,F2356&lt;&gt;"NO APORTA",F2356&gt;=$R2357*0.25),"SI","NO"))</f>
        <v/>
      </c>
      <c r="M2356" s="389"/>
      <c r="N2356" s="468"/>
      <c r="O2356" s="789"/>
      <c r="P2356" s="504" t="s">
        <v>416</v>
      </c>
      <c r="Q2356" s="504" t="s">
        <v>417</v>
      </c>
      <c r="R2356" s="793" t="s">
        <v>418</v>
      </c>
      <c r="S2356" s="793"/>
      <c r="T2356" s="284"/>
      <c r="U2356" s="284"/>
      <c r="V2356" s="310"/>
      <c r="W2356" s="284"/>
      <c r="X2356" s="542" t="str">
        <f>IF($F2350=1,"NO APLICA",$D2356)</f>
        <v>NO APLICA</v>
      </c>
      <c r="Y2356" s="543" t="str">
        <f>IF(OR($F2356="",$F2356="NO APORTA",$R2357=0,$X2356="NO APLICA"),"",ROUND($F2356/$Q2357,2))</f>
        <v/>
      </c>
      <c r="Z2356" s="544"/>
      <c r="AA2356" s="543"/>
      <c r="AB2356" s="540" t="str">
        <f t="shared" si="473"/>
        <v/>
      </c>
      <c r="AC2356" s="28"/>
    </row>
    <row r="2357" spans="1:29" s="30" customFormat="1" ht="16.5" customHeight="1" thickBot="1">
      <c r="A2357" s="112" t="str">
        <f>"S"&amp;E2331</f>
        <v>S78</v>
      </c>
      <c r="B2357" s="791"/>
      <c r="C2357" s="109">
        <v>6</v>
      </c>
      <c r="D2357" s="110" t="str">
        <f>IF(AND(C2357&lt;=F2350,F2350&lt;&gt;""),VLOOKUP(VALUE(E2331&amp;","&amp;C2357),INTEGRANTES!$D$19:$F$192,2,0),"")</f>
        <v/>
      </c>
      <c r="E2357" s="111" t="str">
        <f>IF(D2357&lt;&gt;"",VLOOKUP(VALUE(E2331&amp;","&amp;C2357),INTEGRANTES!$D$19:$F$192,3,0),"")</f>
        <v/>
      </c>
      <c r="F2357" s="380" t="str">
        <f>IF(D2357="","",IF(OR(SUMIF($J2338:$J2344,D2357,$O2338:$O2344)=0,N2357="NO"),"NO APORTA",SUMIF($J2338:$J2344,D2357,$O2338:$O2344)))</f>
        <v/>
      </c>
      <c r="G2357" s="380" t="str">
        <f>IF($D2357="","",IF($F2350&lt;=1,"",ROUND(POSMMLV*PORPO,2)))</f>
        <v/>
      </c>
      <c r="H2357" s="765" t="str">
        <f>IF($D2357="","",IF(OR(F2357="NO APORTA",G2357&gt;F2357),"NO CUMPLE","CUMPLE"))</f>
        <v/>
      </c>
      <c r="I2357" s="766"/>
      <c r="J2357" s="108" t="str">
        <f>IF(D2357="","",IF(OR(AND(SUMIF($J2335:$J2344,D2357,$O2335:$O2344)&gt;=5%*POSMMLV,N2357="SI"),AND(SUMIF($J2335:$J2344,D2357,$O2335:$O2344)=0,E2357&lt;=5%,N2357="SI")),"CUMPLE","NO CUMPLE"))</f>
        <v/>
      </c>
      <c r="K2357" s="105" t="str">
        <f>IF(OR(D2357="",J2357=""),"",IF(AND(J2357="NO CUMPLE",F2357="NO APORTA",E2357&gt;5%),"EXP = 0 y PART &gt; 5%",IF(F2357&lt;5%*Q2357,"EXP &lt; 5%*PO","")))</f>
        <v/>
      </c>
      <c r="L2357" s="389" t="str">
        <f>IF(OR(D2357="",E2357=""),"",IF(AND(E2357&gt;=0.25,F2357&lt;&gt;"NO APORTA",F2357&gt;=$R2357*0.25),"SI","NO"))</f>
        <v/>
      </c>
      <c r="M2357" s="389"/>
      <c r="N2357" s="468"/>
      <c r="O2357" s="403" t="str">
        <f ca="1">IF(R2357&gt;=Q2357,"CUMPLE","NO CUMPLE")</f>
        <v>CUMPLE</v>
      </c>
      <c r="P2357" s="312">
        <f>NUMMOD</f>
        <v>1</v>
      </c>
      <c r="Q2357" s="313">
        <f ca="1">IF(P2357="","",ROUND(VLOOKUP(P2357,PRESUPUESTOS!$B$16:$L$16,9,FALSE),7))</f>
        <v>300</v>
      </c>
      <c r="R2357" s="834">
        <f>IF(OR(COUNTIF(O2335:O2344,"")&gt;9,S2351&lt;NUMMINCONT),0,SUM(O2335:O2344))</f>
        <v>411.02</v>
      </c>
      <c r="S2357" s="834"/>
      <c r="T2357" s="284"/>
      <c r="U2357" s="284"/>
      <c r="V2357" s="310"/>
      <c r="W2357" s="284"/>
      <c r="X2357" s="545" t="str">
        <f>IF($F2350=1,"NO APLICA",$D2357)</f>
        <v>NO APLICA</v>
      </c>
      <c r="Y2357" s="543" t="str">
        <f>IF(OR($F2357="",$F2357="NO APORTA",$R2357=0,$X2357="NO APLICA"),"",ROUND($F2357/$Q2357,2))</f>
        <v/>
      </c>
      <c r="Z2357" s="544"/>
      <c r="AA2357" s="546"/>
      <c r="AB2357" s="540" t="str">
        <f>IF(COUNTIF(Z2357:AA2357,"SI APLICA")=2,"SI APLICA","")</f>
        <v/>
      </c>
      <c r="AC2357" s="28"/>
    </row>
    <row r="2358" spans="1:29" s="30" customFormat="1" ht="16.5" customHeight="1" thickBot="1">
      <c r="A2358" s="112" t="str">
        <f>"T"&amp;E2331</f>
        <v>T78</v>
      </c>
      <c r="B2358" s="792"/>
      <c r="C2358" s="821" t="s">
        <v>419</v>
      </c>
      <c r="D2358" s="822"/>
      <c r="E2358" s="822"/>
      <c r="F2358" s="518"/>
      <c r="G2358" s="519"/>
      <c r="H2358" s="794" t="str">
        <f>IF(OR($F2350="",SUM(E2352:E2357)=0),"",IF(COUNTIF(H2352:H2357,"CUMPLE")&gt;=1,"CUMPLE","NO CUMPLE"))</f>
        <v/>
      </c>
      <c r="I2358" s="795"/>
      <c r="J2358" s="314" t="str">
        <f>IF(COUNTIF(J2352:J2357,"")&gt;5,"",IF(COUNTIF(J2352:J2357,"NO CUMPLE")&gt;0,"NO CUMPLE","CUMPLE"))</f>
        <v/>
      </c>
      <c r="K2358" s="314" t="str">
        <f>IF(OR(AND(F2350=1,N2352="SI"),AND(COUNTIF(H2358:J2358,"CUMPLE")=2)),"CUMPLE","NO CUMPLE")</f>
        <v>CUMPLE</v>
      </c>
      <c r="L2358" s="519"/>
      <c r="M2358" s="519"/>
      <c r="N2358" s="519"/>
      <c r="O2358" s="833" t="str">
        <f ca="1">IF(ISNUMBER(F2331),"",IF(AND(O2357="NO CUMPLE",SUM(N2338:N2344)&lt;Q2357),"EL PROPONENTE SE DEBE REQUERIR POR EXPERIENCIA MINIMA EXIGIDA",""))</f>
        <v/>
      </c>
      <c r="P2358" s="833"/>
      <c r="Q2358" s="833"/>
      <c r="R2358" s="833"/>
      <c r="S2358" s="833"/>
      <c r="T2358" s="522"/>
      <c r="U2358" s="523"/>
      <c r="V2358" s="524"/>
      <c r="W2358" s="284"/>
      <c r="X2358" s="364" t="str">
        <f>IF(Y2358=1,"PROPONENTE INDIVIDUAL","PROPONENTE PLURAL")</f>
        <v>PROPONENTE INDIVIDUAL</v>
      </c>
      <c r="Y2358" s="276">
        <f>F2350</f>
        <v>1</v>
      </c>
      <c r="Z2358" s="277" t="str">
        <f>IF(OR(AND(Z2352="SI APLICA",AA2352="SI APLICA"),AND(Z2353="SI APLICA",AA2353="SI APLICA"),AND(Z2354="SI APLICA",AA2354="SI APLICA"),AND(Z2355="SI APLICA",AA2355="SI APLICA"),AND(Z2356="SI APLICA",AA2356="SI APLICA"),AND(Z2357="SI APLICA",AA2357="SI APLICA")),"SI APLICA","NO APLICA")</f>
        <v>SI APLICA</v>
      </c>
      <c r="AA2358" s="278" t="str">
        <f>IF(OR(AND(AA2352="SI APLICA",AB2352="SI APLICA"),AND(AA2353="SI APLICA",AB2353="SI APLICA"),AND(AA2354="SI APLICA",AB2354="SI APLICA"),AND(AA2355="SI APLICA",AB2355="SI APLICA"),AND(AA2356="SI APLICA",AB2356="SI APLICA"),AND(AA2357="SI APLICA",AB2357="SI APLICA")),"SI APLICA","NO APLICA")</f>
        <v>SI APLICA</v>
      </c>
      <c r="AB2358" s="278" t="str">
        <f>IF(COUNTIF(AB2352:AB2357,"SI APLICA")&gt;0,"SI APLICA","NO APLICA")</f>
        <v>SI APLICA</v>
      </c>
      <c r="AC2358" s="28"/>
    </row>
    <row r="2359" spans="1:29" ht="24.95" customHeight="1"/>
    <row r="2360" spans="1:29" ht="24.95" customHeight="1"/>
    <row r="2361" spans="1:29" s="41" customFormat="1" ht="24" thickBot="1">
      <c r="A2361" s="34">
        <v>79</v>
      </c>
      <c r="B2361" s="828" t="s">
        <v>355</v>
      </c>
      <c r="C2361" s="828"/>
      <c r="D2361" s="828"/>
      <c r="E2361" s="35">
        <f>VLOOKUP(A2361,PROPONENTES!$B$19:$E$108,2,FALSE)</f>
        <v>79</v>
      </c>
      <c r="F2361" s="36" t="str">
        <f>VLOOKUP(A2361,PROPONENTES!$B$19:$E$108,3,FALSE)</f>
        <v>CONSORCIO TOLIMA BD</v>
      </c>
      <c r="G2361" s="37"/>
      <c r="H2361" s="37"/>
      <c r="I2361" s="36"/>
      <c r="J2361" s="36"/>
      <c r="K2361" s="36"/>
      <c r="L2361" s="36"/>
      <c r="M2361" s="38"/>
      <c r="N2361" s="38"/>
      <c r="O2361" s="37"/>
      <c r="P2361" s="37"/>
      <c r="Q2361" s="39"/>
      <c r="R2361" s="39"/>
      <c r="S2361" s="39"/>
      <c r="T2361" s="39"/>
      <c r="U2361" s="40"/>
      <c r="Y2361" s="52"/>
      <c r="Z2361" s="52"/>
      <c r="AA2361" s="52"/>
      <c r="AB2361" s="28"/>
      <c r="AC2361" s="28"/>
    </row>
    <row r="2362" spans="1:29" s="27" customFormat="1" ht="24.75" customHeight="1">
      <c r="A2362" s="22"/>
      <c r="B2362" s="829" t="s">
        <v>356</v>
      </c>
      <c r="C2362" s="501" t="s">
        <v>357</v>
      </c>
      <c r="D2362" s="502" t="s">
        <v>358</v>
      </c>
      <c r="E2362" s="502"/>
      <c r="F2362" s="502" t="s">
        <v>359</v>
      </c>
      <c r="G2362" s="503"/>
      <c r="H2362" s="803" t="s">
        <v>360</v>
      </c>
      <c r="I2362" s="831" t="s">
        <v>361</v>
      </c>
      <c r="J2362" s="803" t="s">
        <v>362</v>
      </c>
      <c r="K2362" s="803" t="s">
        <v>363</v>
      </c>
      <c r="L2362" s="803" t="s">
        <v>364</v>
      </c>
      <c r="M2362" s="803" t="s">
        <v>365</v>
      </c>
      <c r="N2362" s="804" t="s">
        <v>366</v>
      </c>
      <c r="O2362" s="805"/>
      <c r="P2362" s="806" t="s">
        <v>367</v>
      </c>
      <c r="Q2362" s="807"/>
      <c r="R2362" s="784" t="s">
        <v>368</v>
      </c>
      <c r="S2362" s="774"/>
      <c r="T2362" s="798" t="s">
        <v>369</v>
      </c>
      <c r="U2362" s="799"/>
      <c r="V2362" s="800"/>
      <c r="X2362" s="520"/>
      <c r="Y2362" s="520"/>
    </row>
    <row r="2363" spans="1:29" s="27" customFormat="1" ht="94.5" customHeight="1">
      <c r="A2363" s="22"/>
      <c r="B2363" s="830"/>
      <c r="C2363" s="504" t="s">
        <v>370</v>
      </c>
      <c r="D2363" s="505" t="s">
        <v>41</v>
      </c>
      <c r="E2363" s="505" t="s">
        <v>371</v>
      </c>
      <c r="F2363" s="505" t="s">
        <v>372</v>
      </c>
      <c r="G2363" s="506" t="s">
        <v>373</v>
      </c>
      <c r="H2363" s="793"/>
      <c r="I2363" s="832"/>
      <c r="J2363" s="793"/>
      <c r="K2363" s="793"/>
      <c r="L2363" s="793"/>
      <c r="M2363" s="793"/>
      <c r="N2363" s="504" t="s">
        <v>374</v>
      </c>
      <c r="O2363" s="505" t="s">
        <v>375</v>
      </c>
      <c r="P2363" s="801"/>
      <c r="Q2363" s="802"/>
      <c r="R2363" s="796"/>
      <c r="S2363" s="797"/>
      <c r="T2363" s="507" t="s">
        <v>376</v>
      </c>
      <c r="U2363" s="508" t="s">
        <v>377</v>
      </c>
      <c r="V2363" s="509" t="s">
        <v>378</v>
      </c>
      <c r="X2363" s="521" t="s">
        <v>379</v>
      </c>
      <c r="Y2363" s="521" t="s">
        <v>380</v>
      </c>
    </row>
    <row r="2364" spans="1:29" s="27" customFormat="1" ht="15" customHeight="1">
      <c r="A2364" s="22"/>
      <c r="B2364" s="594"/>
      <c r="C2364" s="595">
        <v>3</v>
      </c>
      <c r="D2364" s="595">
        <v>4</v>
      </c>
      <c r="E2364" s="595">
        <v>5</v>
      </c>
      <c r="F2364" s="595">
        <v>6</v>
      </c>
      <c r="G2364" s="595">
        <v>7</v>
      </c>
      <c r="H2364" s="595">
        <v>8</v>
      </c>
      <c r="I2364" s="595">
        <v>9</v>
      </c>
      <c r="J2364" s="595">
        <v>10</v>
      </c>
      <c r="K2364" s="595">
        <v>11</v>
      </c>
      <c r="L2364" s="595">
        <v>12</v>
      </c>
      <c r="M2364" s="595">
        <v>13</v>
      </c>
      <c r="N2364" s="595">
        <v>14</v>
      </c>
      <c r="O2364" s="595">
        <v>15</v>
      </c>
      <c r="P2364" s="596">
        <v>16</v>
      </c>
      <c r="Q2364" s="597">
        <v>17</v>
      </c>
      <c r="R2364" s="596">
        <v>18</v>
      </c>
      <c r="S2364" s="597">
        <v>19</v>
      </c>
      <c r="T2364" s="598">
        <v>20</v>
      </c>
      <c r="U2364" s="255">
        <v>21</v>
      </c>
      <c r="V2364" s="599">
        <v>22</v>
      </c>
      <c r="X2364" s="589"/>
      <c r="Y2364" s="590"/>
    </row>
    <row r="2365" spans="1:29" s="44" customFormat="1" ht="49.5" customHeight="1">
      <c r="A2365" s="42" t="str">
        <f>"A"&amp;E2361</f>
        <v>A79</v>
      </c>
      <c r="B2365" s="605">
        <f>IF(C2365&lt;&gt;"",B2364+1,"")</f>
        <v>1</v>
      </c>
      <c r="C2365" s="581" t="s">
        <v>1034</v>
      </c>
      <c r="D2365" s="581">
        <v>1457</v>
      </c>
      <c r="E2365" s="581" t="s">
        <v>1035</v>
      </c>
      <c r="F2365" s="581" t="s">
        <v>431</v>
      </c>
      <c r="G2365" s="534">
        <v>0.49</v>
      </c>
      <c r="H2365" s="534" t="s">
        <v>385</v>
      </c>
      <c r="I2365" s="579">
        <v>2</v>
      </c>
      <c r="J2365" s="580" t="str">
        <f>IF(I2365="","",IF(I2365="I",$F2361,VLOOKUP(I2365,$C2382:$D2387,2,0)))</f>
        <v>DAIMCO S.A.S.</v>
      </c>
      <c r="K2365" s="535">
        <v>42779</v>
      </c>
      <c r="L2365" s="535">
        <v>43318</v>
      </c>
      <c r="M2365" s="536">
        <v>237.73</v>
      </c>
      <c r="N2365" s="232">
        <f t="shared" ref="N2365:N2374" si="474">IF(OR(G2365="",M2365=""),"",M2365*G2365)</f>
        <v>116.48769999999999</v>
      </c>
      <c r="O2365" s="260">
        <f t="shared" ref="O2365:O2374" si="475">IF(OR(H2365="",H2365="NO",K2365&lt;$Q$17,K2365&gt;$R$17,K2365="",M2365="",N2365=""),"",ROUND(N2365,7))</f>
        <v>116.4877</v>
      </c>
      <c r="P2365" s="781"/>
      <c r="Q2365" s="782"/>
      <c r="R2365" s="767"/>
      <c r="S2365" s="768"/>
      <c r="T2365" s="538" t="s">
        <v>385</v>
      </c>
      <c r="U2365" s="539">
        <v>167</v>
      </c>
      <c r="V2365" s="540" t="s">
        <v>385</v>
      </c>
      <c r="X2365" s="541" t="s">
        <v>386</v>
      </c>
      <c r="Y2365" s="541" t="s">
        <v>439</v>
      </c>
    </row>
    <row r="2366" spans="1:29" s="44" customFormat="1" ht="47.25" customHeight="1">
      <c r="A2366" s="42" t="str">
        <f>"B"&amp;E2361</f>
        <v>B79</v>
      </c>
      <c r="B2366" s="605">
        <f t="shared" ref="B2366:B2374" si="476">IF(C2366&lt;&gt;"",B2365+1,"")</f>
        <v>2</v>
      </c>
      <c r="C2366" s="581" t="s">
        <v>440</v>
      </c>
      <c r="D2366" s="581" t="s">
        <v>1036</v>
      </c>
      <c r="E2366" s="581" t="s">
        <v>1037</v>
      </c>
      <c r="F2366" s="581" t="s">
        <v>431</v>
      </c>
      <c r="G2366" s="534">
        <v>0.5</v>
      </c>
      <c r="H2366" s="534" t="s">
        <v>385</v>
      </c>
      <c r="I2366" s="579">
        <v>1</v>
      </c>
      <c r="J2366" s="580" t="str">
        <f>IF(I2366="","",IF(I2366="I",$F2361,VLOOKUP(I2366,$C2382:$D2387,2,0)))</f>
        <v>BERAKAH INGENIERIA S.A.S.</v>
      </c>
      <c r="K2366" s="535">
        <v>43879</v>
      </c>
      <c r="L2366" s="535">
        <v>44362</v>
      </c>
      <c r="M2366" s="536">
        <v>2118.88</v>
      </c>
      <c r="N2366" s="232">
        <f t="shared" si="474"/>
        <v>1059.44</v>
      </c>
      <c r="O2366" s="260">
        <f t="shared" si="475"/>
        <v>1059.44</v>
      </c>
      <c r="P2366" s="781"/>
      <c r="Q2366" s="782"/>
      <c r="R2366" s="767"/>
      <c r="S2366" s="768"/>
      <c r="T2366" s="538" t="s">
        <v>385</v>
      </c>
      <c r="U2366" s="539">
        <v>34</v>
      </c>
      <c r="V2366" s="540" t="s">
        <v>385</v>
      </c>
      <c r="X2366" s="541" t="s">
        <v>386</v>
      </c>
      <c r="Y2366" s="541" t="s">
        <v>387</v>
      </c>
    </row>
    <row r="2367" spans="1:29" s="44" customFormat="1" ht="24.95" customHeight="1">
      <c r="A2367" s="42" t="str">
        <f>"C"&amp;E2361</f>
        <v>C79</v>
      </c>
      <c r="B2367" s="605" t="str">
        <f t="shared" si="476"/>
        <v/>
      </c>
      <c r="C2367" s="581"/>
      <c r="D2367" s="581"/>
      <c r="E2367" s="581"/>
      <c r="F2367" s="581"/>
      <c r="G2367" s="534"/>
      <c r="H2367" s="534"/>
      <c r="I2367" s="579"/>
      <c r="J2367" s="580" t="str">
        <f>IF(I2367="","",IF(I2367="I",$F2361,VLOOKUP(I2367,$C2382:$D2387,2,0)))</f>
        <v/>
      </c>
      <c r="K2367" s="535"/>
      <c r="L2367" s="535"/>
      <c r="M2367" s="536"/>
      <c r="N2367" s="232" t="str">
        <f t="shared" si="474"/>
        <v/>
      </c>
      <c r="O2367" s="260" t="str">
        <f t="shared" si="475"/>
        <v/>
      </c>
      <c r="P2367" s="781"/>
      <c r="Q2367" s="782"/>
      <c r="R2367" s="767"/>
      <c r="S2367" s="768"/>
      <c r="T2367" s="538"/>
      <c r="U2367" s="539"/>
      <c r="V2367" s="540"/>
      <c r="X2367" s="541"/>
      <c r="Y2367" s="541"/>
    </row>
    <row r="2368" spans="1:29" s="44" customFormat="1" ht="24.95" customHeight="1">
      <c r="A2368" s="42" t="str">
        <f>"D"&amp;E2361</f>
        <v>D79</v>
      </c>
      <c r="B2368" s="605" t="str">
        <f t="shared" si="476"/>
        <v/>
      </c>
      <c r="C2368" s="581"/>
      <c r="D2368" s="581"/>
      <c r="E2368" s="581"/>
      <c r="F2368" s="581"/>
      <c r="G2368" s="534"/>
      <c r="H2368" s="534"/>
      <c r="I2368" s="579"/>
      <c r="J2368" s="580" t="str">
        <f>IF(I2368="","",IF(I2368="I",$F2361,VLOOKUP(I2368,$C2382:$D2387,2,0)))</f>
        <v/>
      </c>
      <c r="K2368" s="535"/>
      <c r="L2368" s="535"/>
      <c r="M2368" s="536"/>
      <c r="N2368" s="232" t="str">
        <f t="shared" si="474"/>
        <v/>
      </c>
      <c r="O2368" s="260" t="str">
        <f t="shared" si="475"/>
        <v/>
      </c>
      <c r="P2368" s="781"/>
      <c r="Q2368" s="782"/>
      <c r="R2368" s="767"/>
      <c r="S2368" s="768"/>
      <c r="T2368" s="538"/>
      <c r="U2368" s="539"/>
      <c r="V2368" s="540"/>
      <c r="X2368" s="541"/>
      <c r="Y2368" s="541"/>
    </row>
    <row r="2369" spans="1:29" s="44" customFormat="1" ht="24.95" customHeight="1">
      <c r="A2369" s="42" t="str">
        <f>"E"&amp;E2361</f>
        <v>E79</v>
      </c>
      <c r="B2369" s="605" t="str">
        <f t="shared" si="476"/>
        <v/>
      </c>
      <c r="C2369" s="581"/>
      <c r="D2369" s="581"/>
      <c r="E2369" s="581"/>
      <c r="F2369" s="581"/>
      <c r="G2369" s="534"/>
      <c r="H2369" s="534"/>
      <c r="I2369" s="579"/>
      <c r="J2369" s="580" t="str">
        <f>IF(I2369="","",IF(I2369="I",$F2361,VLOOKUP(I2369,$C2382:$D2387,2,0)))</f>
        <v/>
      </c>
      <c r="K2369" s="535"/>
      <c r="L2369" s="535"/>
      <c r="M2369" s="536"/>
      <c r="N2369" s="232" t="str">
        <f t="shared" si="474"/>
        <v/>
      </c>
      <c r="O2369" s="260" t="str">
        <f t="shared" si="475"/>
        <v/>
      </c>
      <c r="P2369" s="781"/>
      <c r="Q2369" s="782"/>
      <c r="R2369" s="767"/>
      <c r="S2369" s="768"/>
      <c r="T2369" s="538"/>
      <c r="U2369" s="539"/>
      <c r="V2369" s="540"/>
      <c r="X2369" s="541"/>
      <c r="Y2369" s="541"/>
    </row>
    <row r="2370" spans="1:29" s="44" customFormat="1" ht="24.95" customHeight="1">
      <c r="A2370" s="42" t="str">
        <f>"F"&amp;E2361</f>
        <v>F79</v>
      </c>
      <c r="B2370" s="605" t="str">
        <f t="shared" si="476"/>
        <v/>
      </c>
      <c r="C2370" s="581"/>
      <c r="D2370" s="581"/>
      <c r="E2370" s="581"/>
      <c r="F2370" s="581"/>
      <c r="G2370" s="534"/>
      <c r="H2370" s="534"/>
      <c r="I2370" s="579"/>
      <c r="J2370" s="580" t="str">
        <f>IF(I2370="","",IF(I2370="I",$F2361,VLOOKUP(I2370,$C2382:$D2387,2,0)))</f>
        <v/>
      </c>
      <c r="K2370" s="535"/>
      <c r="L2370" s="535"/>
      <c r="M2370" s="536"/>
      <c r="N2370" s="232" t="str">
        <f t="shared" si="474"/>
        <v/>
      </c>
      <c r="O2370" s="260" t="str">
        <f t="shared" si="475"/>
        <v/>
      </c>
      <c r="P2370" s="781"/>
      <c r="Q2370" s="782"/>
      <c r="R2370" s="767"/>
      <c r="S2370" s="768"/>
      <c r="T2370" s="538"/>
      <c r="U2370" s="539"/>
      <c r="V2370" s="540"/>
      <c r="X2370" s="541"/>
      <c r="Y2370" s="541"/>
    </row>
    <row r="2371" spans="1:29" s="44" customFormat="1" ht="24.95" customHeight="1">
      <c r="A2371" s="42" t="str">
        <f>"G"&amp;E2361</f>
        <v>G79</v>
      </c>
      <c r="B2371" s="605" t="str">
        <f t="shared" si="476"/>
        <v/>
      </c>
      <c r="C2371" s="581"/>
      <c r="D2371" s="581"/>
      <c r="E2371" s="581"/>
      <c r="F2371" s="581"/>
      <c r="G2371" s="534"/>
      <c r="H2371" s="534"/>
      <c r="I2371" s="579"/>
      <c r="J2371" s="580" t="str">
        <f>IF(I2371="","",IF(I2371="I",$F2361,VLOOKUP(I2371,$C2382:$D2387,2,0)))</f>
        <v/>
      </c>
      <c r="K2371" s="535"/>
      <c r="L2371" s="535"/>
      <c r="M2371" s="536"/>
      <c r="N2371" s="43" t="str">
        <f t="shared" si="474"/>
        <v/>
      </c>
      <c r="O2371" s="260" t="str">
        <f t="shared" si="475"/>
        <v/>
      </c>
      <c r="P2371" s="781"/>
      <c r="Q2371" s="782"/>
      <c r="R2371" s="767"/>
      <c r="S2371" s="768"/>
      <c r="T2371" s="538"/>
      <c r="U2371" s="539"/>
      <c r="V2371" s="540"/>
      <c r="X2371" s="541"/>
      <c r="Y2371" s="541"/>
    </row>
    <row r="2372" spans="1:29" s="44" customFormat="1" ht="24.95" customHeight="1">
      <c r="A2372" s="42" t="str">
        <f>"H"&amp;E2361</f>
        <v>H79</v>
      </c>
      <c r="B2372" s="605" t="str">
        <f t="shared" si="476"/>
        <v/>
      </c>
      <c r="C2372" s="581"/>
      <c r="D2372" s="581"/>
      <c r="E2372" s="581"/>
      <c r="F2372" s="581"/>
      <c r="G2372" s="534"/>
      <c r="H2372" s="534"/>
      <c r="I2372" s="579"/>
      <c r="J2372" s="580" t="str">
        <f>IF(I2372="","",IF(I2372="I",$F2361,VLOOKUP(I2372,$C2382:$D2387,2,0)))</f>
        <v/>
      </c>
      <c r="K2372" s="535"/>
      <c r="L2372" s="535"/>
      <c r="M2372" s="537"/>
      <c r="N2372" s="43" t="str">
        <f t="shared" si="474"/>
        <v/>
      </c>
      <c r="O2372" s="260" t="str">
        <f t="shared" si="475"/>
        <v/>
      </c>
      <c r="P2372" s="781"/>
      <c r="Q2372" s="782"/>
      <c r="R2372" s="767"/>
      <c r="S2372" s="768"/>
      <c r="T2372" s="538"/>
      <c r="U2372" s="539"/>
      <c r="V2372" s="540"/>
      <c r="X2372" s="541"/>
      <c r="Y2372" s="541"/>
    </row>
    <row r="2373" spans="1:29" s="44" customFormat="1" ht="24.95" customHeight="1">
      <c r="A2373" s="42" t="str">
        <f>"I"&amp;E2361</f>
        <v>I79</v>
      </c>
      <c r="B2373" s="605" t="str">
        <f t="shared" si="476"/>
        <v/>
      </c>
      <c r="C2373" s="581"/>
      <c r="D2373" s="581"/>
      <c r="E2373" s="581"/>
      <c r="F2373" s="581"/>
      <c r="G2373" s="534"/>
      <c r="H2373" s="534"/>
      <c r="I2373" s="579"/>
      <c r="J2373" s="580" t="str">
        <f>IF(I2373="","",IF(I2373="I",$F2361,VLOOKUP(I2373,$C2382:$D2387,2,0)))</f>
        <v/>
      </c>
      <c r="K2373" s="535"/>
      <c r="L2373" s="535"/>
      <c r="M2373" s="537"/>
      <c r="N2373" s="43" t="str">
        <f t="shared" si="474"/>
        <v/>
      </c>
      <c r="O2373" s="260" t="str">
        <f t="shared" si="475"/>
        <v/>
      </c>
      <c r="P2373" s="781"/>
      <c r="Q2373" s="782"/>
      <c r="R2373" s="767"/>
      <c r="S2373" s="768"/>
      <c r="T2373" s="538"/>
      <c r="U2373" s="539"/>
      <c r="V2373" s="540"/>
      <c r="X2373" s="541"/>
      <c r="Y2373" s="541"/>
    </row>
    <row r="2374" spans="1:29" s="44" customFormat="1" ht="24.95" customHeight="1" thickBot="1">
      <c r="A2374" s="42" t="str">
        <f>"J"&amp;E2361</f>
        <v>J79</v>
      </c>
      <c r="B2374" s="612" t="str">
        <f t="shared" si="476"/>
        <v/>
      </c>
      <c r="C2374" s="582"/>
      <c r="D2374" s="582"/>
      <c r="E2374" s="582"/>
      <c r="F2374" s="582"/>
      <c r="G2374" s="583"/>
      <c r="H2374" s="583"/>
      <c r="I2374" s="584"/>
      <c r="J2374" s="585" t="str">
        <f>IF(I2374="","",IF(I2374="I",$F2361,VLOOKUP(I2374,$C2382:$D2387,2,0)))</f>
        <v/>
      </c>
      <c r="K2374" s="586"/>
      <c r="L2374" s="586"/>
      <c r="M2374" s="587"/>
      <c r="N2374" s="43" t="str">
        <f t="shared" si="474"/>
        <v/>
      </c>
      <c r="O2374" s="260" t="str">
        <f t="shared" si="475"/>
        <v/>
      </c>
      <c r="P2374" s="781"/>
      <c r="Q2374" s="782"/>
      <c r="R2374" s="767"/>
      <c r="S2374" s="768"/>
      <c r="T2374" s="538"/>
      <c r="U2374" s="539"/>
      <c r="V2374" s="540"/>
      <c r="X2374" s="541"/>
      <c r="Y2374" s="541"/>
    </row>
    <row r="2375" spans="1:29" s="27" customFormat="1" ht="12" customHeight="1" thickBot="1">
      <c r="A2375" s="42"/>
      <c r="B2375" s="45"/>
      <c r="C2375" s="46"/>
      <c r="D2375" s="46"/>
      <c r="E2375" s="46"/>
      <c r="F2375" s="46"/>
      <c r="G2375" s="46"/>
      <c r="H2375" s="606"/>
      <c r="I2375" s="46"/>
      <c r="J2375" s="46"/>
      <c r="K2375" s="46"/>
      <c r="L2375" s="46"/>
      <c r="M2375" s="46"/>
      <c r="N2375" s="46"/>
      <c r="O2375" s="259"/>
      <c r="P2375" s="46"/>
      <c r="Q2375" s="46"/>
      <c r="R2375" s="259"/>
      <c r="S2375" s="46"/>
      <c r="T2375" s="46"/>
      <c r="U2375" s="47"/>
      <c r="V2375" s="48"/>
      <c r="X2375" s="592"/>
      <c r="Y2375" s="593"/>
      <c r="AB2375" s="378"/>
    </row>
    <row r="2376" spans="1:29" s="27" customFormat="1" ht="17.25" customHeight="1" thickBot="1">
      <c r="A2376" s="42" t="str">
        <f>"Z"&amp;E2361</f>
        <v>Z79</v>
      </c>
      <c r="B2376" s="510"/>
      <c r="C2376" s="511"/>
      <c r="D2376" s="511"/>
      <c r="E2376" s="511"/>
      <c r="F2376" s="511"/>
      <c r="G2376" s="511"/>
      <c r="H2376" s="511"/>
      <c r="I2376" s="511"/>
      <c r="J2376" s="511"/>
      <c r="K2376" s="511"/>
      <c r="L2376" s="511"/>
      <c r="M2376" s="511"/>
      <c r="N2376" s="437" t="s">
        <v>388</v>
      </c>
      <c r="O2376" s="438">
        <f>IF(COUNTIF(O2365:O2374,"")&gt;9,0,SUM(O2365:O2374)/(COUNTIF(H2365:H2374,"SI")))</f>
        <v>587.96384999999998</v>
      </c>
      <c r="P2376" s="511"/>
      <c r="Q2376" s="511"/>
      <c r="R2376" s="530"/>
      <c r="S2376" s="530"/>
      <c r="T2376" s="531"/>
      <c r="U2376" s="532"/>
      <c r="V2376" s="533"/>
      <c r="W2376" s="285"/>
      <c r="X2376" s="613" t="e">
        <f>COUNTIF(#REF!,"")-COUNTIF(#REF!,"CUMPLE")-1</f>
        <v>#REF!</v>
      </c>
      <c r="Y2376" s="591"/>
      <c r="AB2376" s="28"/>
    </row>
    <row r="2377" spans="1:29" ht="17.25" customHeight="1">
      <c r="B2377" s="50"/>
      <c r="C2377" s="50"/>
      <c r="D2377" s="50"/>
      <c r="E2377" s="50"/>
      <c r="F2377" s="50"/>
      <c r="G2377" s="51"/>
      <c r="H2377" s="51"/>
      <c r="I2377" s="51"/>
      <c r="J2377" s="51"/>
      <c r="K2377" s="51"/>
      <c r="L2377" s="51"/>
      <c r="M2377" s="51"/>
      <c r="N2377" s="51"/>
      <c r="O2377" s="51"/>
      <c r="P2377" s="51"/>
      <c r="Q2377" s="51"/>
      <c r="R2377" s="51"/>
      <c r="S2377" s="51"/>
      <c r="T2377" s="51"/>
      <c r="U2377" s="51"/>
      <c r="V2377" s="51"/>
      <c r="W2377" s="51"/>
      <c r="X2377" s="608"/>
      <c r="Y2377" s="51"/>
      <c r="Z2377" s="51"/>
      <c r="AA2377" s="51"/>
      <c r="AB2377" s="51"/>
      <c r="AC2377" s="50"/>
    </row>
    <row r="2378" spans="1:29" s="27" customFormat="1" ht="16.5" customHeight="1" thickBot="1">
      <c r="A2378" s="22"/>
      <c r="B2378" s="783" t="s">
        <v>389</v>
      </c>
      <c r="C2378" s="783"/>
      <c r="D2378" s="783"/>
      <c r="E2378" s="783"/>
      <c r="F2378" s="783"/>
      <c r="G2378" s="783"/>
      <c r="H2378" s="783"/>
      <c r="I2378" s="783"/>
      <c r="J2378" s="783"/>
      <c r="K2378" s="783"/>
      <c r="L2378" s="783"/>
      <c r="M2378" s="783"/>
      <c r="N2378" s="783"/>
      <c r="O2378" s="783"/>
      <c r="P2378" s="783"/>
      <c r="Q2378" s="783"/>
      <c r="R2378" s="783"/>
      <c r="S2378" s="783"/>
      <c r="T2378" s="783"/>
      <c r="U2378" s="783"/>
      <c r="V2378" s="783"/>
      <c r="W2378" s="286"/>
      <c r="X2378" s="607"/>
      <c r="Y2378" s="52"/>
      <c r="Z2378" s="52"/>
      <c r="AA2378" s="52"/>
      <c r="AB2378" s="28"/>
      <c r="AC2378" s="28"/>
    </row>
    <row r="2379" spans="1:29" s="30" customFormat="1" ht="22.5" customHeight="1">
      <c r="A2379" s="112" t="str">
        <f>"K"&amp;E2361</f>
        <v>K79</v>
      </c>
      <c r="B2379" s="790" t="s">
        <v>390</v>
      </c>
      <c r="C2379" s="772" t="s">
        <v>391</v>
      </c>
      <c r="D2379" s="773"/>
      <c r="E2379" s="773"/>
      <c r="F2379" s="773"/>
      <c r="G2379" s="773"/>
      <c r="H2379" s="773"/>
      <c r="I2379" s="773"/>
      <c r="J2379" s="773"/>
      <c r="K2379" s="773"/>
      <c r="L2379" s="773"/>
      <c r="M2379" s="774"/>
      <c r="N2379" s="525"/>
      <c r="O2379" s="588"/>
      <c r="P2379" s="772" t="s">
        <v>392</v>
      </c>
      <c r="Q2379" s="773"/>
      <c r="R2379" s="773"/>
      <c r="S2379" s="774"/>
      <c r="T2379" s="784" t="s">
        <v>393</v>
      </c>
      <c r="U2379" s="774"/>
      <c r="V2379" s="811"/>
      <c r="W2379" s="284"/>
      <c r="X2379" s="778" t="s">
        <v>394</v>
      </c>
      <c r="Y2379" s="779"/>
      <c r="Z2379" s="779"/>
      <c r="AA2379" s="779" t="s">
        <v>395</v>
      </c>
      <c r="AB2379" s="808" t="s">
        <v>396</v>
      </c>
      <c r="AC2379" s="28"/>
    </row>
    <row r="2380" spans="1:29" s="30" customFormat="1" ht="22.5" customHeight="1">
      <c r="A2380" s="112" t="str">
        <f>"L"&amp;E2361</f>
        <v>L79</v>
      </c>
      <c r="B2380" s="791"/>
      <c r="C2380" s="769" t="s">
        <v>397</v>
      </c>
      <c r="D2380" s="770"/>
      <c r="E2380" s="771"/>
      <c r="F2380" s="512">
        <f>IF(VLOOKUP(E2361,PROPONENTES!$C$19:$E$108,3,0)="","",VLOOKUP(E2361,PROPONENTES!$C$19:$E$108,3,0))</f>
        <v>2</v>
      </c>
      <c r="G2380" s="824" t="s">
        <v>398</v>
      </c>
      <c r="H2380" s="793" t="s">
        <v>399</v>
      </c>
      <c r="I2380" s="793"/>
      <c r="J2380" s="769" t="s">
        <v>400</v>
      </c>
      <c r="K2380" s="823"/>
      <c r="L2380" s="513" t="s">
        <v>401</v>
      </c>
      <c r="M2380" s="513"/>
      <c r="N2380" s="526"/>
      <c r="O2380" s="527"/>
      <c r="P2380" s="775"/>
      <c r="Q2380" s="776"/>
      <c r="R2380" s="776"/>
      <c r="S2380" s="777"/>
      <c r="T2380" s="796"/>
      <c r="U2380" s="797"/>
      <c r="V2380" s="812"/>
      <c r="W2380" s="284"/>
      <c r="X2380" s="780" t="s">
        <v>402</v>
      </c>
      <c r="Y2380" s="810" t="s">
        <v>403</v>
      </c>
      <c r="Z2380" s="810"/>
      <c r="AA2380" s="810"/>
      <c r="AB2380" s="809"/>
      <c r="AC2380" s="28"/>
    </row>
    <row r="2381" spans="1:29" s="30" customFormat="1" ht="51.75" customHeight="1" thickBot="1">
      <c r="A2381" s="112" t="str">
        <f>"M"&amp;E2361</f>
        <v>M79</v>
      </c>
      <c r="B2381" s="791"/>
      <c r="C2381" s="770" t="s">
        <v>404</v>
      </c>
      <c r="D2381" s="771"/>
      <c r="E2381" s="514" t="s">
        <v>405</v>
      </c>
      <c r="F2381" s="515" t="s">
        <v>406</v>
      </c>
      <c r="G2381" s="824"/>
      <c r="H2381" s="793"/>
      <c r="I2381" s="793"/>
      <c r="J2381" s="504" t="s">
        <v>407</v>
      </c>
      <c r="K2381" s="516" t="s">
        <v>408</v>
      </c>
      <c r="L2381" s="517" t="s">
        <v>785</v>
      </c>
      <c r="M2381" s="517"/>
      <c r="N2381" s="528" t="s">
        <v>410</v>
      </c>
      <c r="O2381" s="529"/>
      <c r="P2381" s="386"/>
      <c r="Q2381" s="387" t="s">
        <v>411</v>
      </c>
      <c r="R2381" s="388"/>
      <c r="S2381" s="113">
        <f>COUNTIFS(H2365:H2374,"SI",O2365:O2374,"&gt;0")</f>
        <v>2</v>
      </c>
      <c r="T2381" s="785"/>
      <c r="U2381" s="787"/>
      <c r="V2381" s="813"/>
      <c r="W2381" s="284"/>
      <c r="X2381" s="780"/>
      <c r="Y2381" s="810"/>
      <c r="Z2381" s="810"/>
      <c r="AA2381" s="810"/>
      <c r="AB2381" s="809"/>
      <c r="AC2381" s="28"/>
    </row>
    <row r="2382" spans="1:29" s="30" customFormat="1" ht="15.75" customHeight="1">
      <c r="A2382" s="112" t="str">
        <f>"N"&amp;E2361</f>
        <v>N79</v>
      </c>
      <c r="B2382" s="791"/>
      <c r="C2382" s="54">
        <v>1</v>
      </c>
      <c r="D2382" s="100" t="str">
        <f>IF(AND(C2382&lt;=F2380,F2380&gt;1,F2380&lt;&gt;""),VLOOKUP(VALUE(E2361&amp;","&amp;C2382),INTEGRANTES!$D$19:$F$192,2,0),"")</f>
        <v>BERAKAH INGENIERIA S.A.S.</v>
      </c>
      <c r="E2382" s="107">
        <f>IF(D2382&lt;&gt;"",VLOOKUP(VALUE(E2361&amp;","&amp;C2382),INTEGRANTES!$D$19:$F$192,3,0),"")</f>
        <v>0.7</v>
      </c>
      <c r="F2382" s="380">
        <f>IF(D2382="","",IF(OR(SUMIF($J2365:$J2374,D2382,$O2365:$O2374)=0,N2382="NO"),"NO APORTA",SUMIF($J2365:$J2374,D2382,$O2365:$O2374)))</f>
        <v>1059.44</v>
      </c>
      <c r="G2382" s="380">
        <f ca="1">IF($D2382="","",IF($F2380&lt;=1,"",ROUND(POSMMLV*PORPO,2)))</f>
        <v>150</v>
      </c>
      <c r="H2382" s="765" t="str">
        <f ca="1">IF($D2382="","",IF(OR(F2382="NO APORTA",G2382&gt;F2382),"NO CUMPLE","CUMPLE"))</f>
        <v>CUMPLE</v>
      </c>
      <c r="I2382" s="766"/>
      <c r="J2382" s="108" t="str">
        <f ca="1">IF(D2382="","",IF(OR(AND(SUMIF($J2365:$J2374,D2382,$O2365:$O2374)&gt;=5%*POSMMLV,N2382="SI"),AND(SUMIF($J2365:$J2374,D2382,$O2365:$O2374)=0,E2382&lt;=5%,N2382="SI")),"CUMPLE","NO CUMPLE"))</f>
        <v>CUMPLE</v>
      </c>
      <c r="K2382" s="105" t="str">
        <f ca="1">IF(OR(D2382="",J2382=""),"",IF(AND(J2382="NO CUMPLE",F2382="NO APORTA",E2382&gt;5%),"EXP = 0 y PART &gt; 5%",IF(F2382&lt;5%*Q2387,"EXP &lt; 5%*PO","")))</f>
        <v/>
      </c>
      <c r="L2382" s="389" t="str">
        <f>IF(OR(D2382="",E2382=""),"",IF(AND(E2382&gt;=0.25,F2382&lt;&gt;"NO APORTA",F2382&gt;=$R2387*0.25),"SI","NO"))</f>
        <v>SI</v>
      </c>
      <c r="M2382" s="389"/>
      <c r="N2382" s="468" t="s">
        <v>385</v>
      </c>
      <c r="O2382" s="396">
        <f>COUNTIFS(O2365:O2374,"&gt;0",H2365:H2374,"SI")</f>
        <v>2</v>
      </c>
      <c r="P2382" s="814" t="s">
        <v>139</v>
      </c>
      <c r="Q2382" s="814"/>
      <c r="R2382" s="817">
        <f>E2361</f>
        <v>79</v>
      </c>
      <c r="S2382" s="818"/>
      <c r="T2382" s="784" t="s">
        <v>412</v>
      </c>
      <c r="U2382" s="773"/>
      <c r="V2382" s="774"/>
      <c r="W2382" s="283"/>
      <c r="X2382" s="542" t="str">
        <f>IF($F2380=1,"NO APLICA",$D2382)</f>
        <v>BERAKAH INGENIERIA S.A.S.</v>
      </c>
      <c r="Y2382" s="543">
        <f ca="1">IF(OR($F2382="",$F2382="NO APORTA",$R2387=0,$X2382="NO APLICA"),"",ROUND($F2382/$Q2387,2))</f>
        <v>3.53</v>
      </c>
      <c r="Z2382" s="544" t="str">
        <f ca="1">IF(Y2388=1,"SI APLICA",IF(OR($X2382="",$X2382="NO APLICA",$F2382="",$F2382="NO APORTA"),"",IF(ROUND($F2382/Q2387,7)&gt;=0.4,"SI APLICA","NO APLICA")))</f>
        <v>SI APLICA</v>
      </c>
      <c r="AA2382" s="543" t="s">
        <v>413</v>
      </c>
      <c r="AB2382" s="540" t="str">
        <f ca="1">IF(COUNTIF(Z2382:AA2382,"SI APLICA")=2,"SI APLICA","")</f>
        <v>SI APLICA</v>
      </c>
      <c r="AC2382" s="28"/>
    </row>
    <row r="2383" spans="1:29" s="30" customFormat="1" ht="15.75" customHeight="1" thickBot="1">
      <c r="A2383" s="112" t="str">
        <f>"O"&amp;E2361</f>
        <v>O79</v>
      </c>
      <c r="B2383" s="791"/>
      <c r="C2383" s="54">
        <v>2</v>
      </c>
      <c r="D2383" s="100" t="str">
        <f>IF(AND(C2383&lt;=F2380,F2380&lt;&gt;""),VLOOKUP(VALUE(E2361&amp;","&amp;C2383),INTEGRANTES!$D$19:$F$192,2,0),"")</f>
        <v>DAIMCO S.A.S.</v>
      </c>
      <c r="E2383" s="107">
        <f>IF(D2383&lt;&gt;"",VLOOKUP(VALUE(E2361&amp;","&amp;C2383),INTEGRANTES!$D$19:$F$192,3,0),"")</f>
        <v>0.3</v>
      </c>
      <c r="F2383" s="380">
        <f>IF(D2383="","",IF(OR(SUMIF($J2365:$J2374,D2383,$O2365:$O2374)=0,N2383="NO"),"NO APORTA",SUMIF($J2365:$J2374,D2383,$O2365:$O2374)))</f>
        <v>116.4877</v>
      </c>
      <c r="G2383" s="380">
        <f ca="1">IF($D2383="","",IF($F2380&lt;=1,"",ROUND(POSMMLV*PORPO,2)))</f>
        <v>150</v>
      </c>
      <c r="H2383" s="765" t="str">
        <f t="shared" ref="H2383:H2386" ca="1" si="477">IF($D2383="","",IF(OR(F2383="NO APORTA",G2383&gt;F2383),"NO CUMPLE","CUMPLE"))</f>
        <v>NO CUMPLE</v>
      </c>
      <c r="I2383" s="766"/>
      <c r="J2383" s="108" t="str">
        <f ca="1">IF(D2383="","",IF(OR(AND(SUMIF($J2365:$J2374,D2383,$O2365:$O2374)&gt;=5%*POSMMLV,N2383="SI"),AND(SUMIF($J2365:$J2374,D2383,$O2365:$O2374)=0,E2383&lt;=5%,N2383="SI")),"CUMPLE","NO CUMPLE"))</f>
        <v>CUMPLE</v>
      </c>
      <c r="K2383" s="105" t="str">
        <f ca="1">IF(OR(D2383="",J2383=""),"",IF(AND(J2383="NO CUMPLE",F2383="NO APORTA",E2383&gt;5%),"EXP = 0 y PART &gt; 5%",IF(F2383&lt;5%*Q2387,"EXP &lt; 5%*PO","")))</f>
        <v/>
      </c>
      <c r="L2383" s="389" t="str">
        <f>IF(OR(D2383="",E2383=""),"",IF(AND(E2383&gt;=0.05,F2383&lt;&gt;"NO APORTA",F2383&gt;=$R2387*0.05),"SI","NO"))</f>
        <v>SI</v>
      </c>
      <c r="M2383" s="389"/>
      <c r="N2383" s="468" t="s">
        <v>385</v>
      </c>
      <c r="O2383" s="396"/>
      <c r="P2383" s="815"/>
      <c r="Q2383" s="815"/>
      <c r="R2383" s="815"/>
      <c r="S2383" s="819"/>
      <c r="T2383" s="785"/>
      <c r="U2383" s="786"/>
      <c r="V2383" s="787"/>
      <c r="W2383" s="283"/>
      <c r="X2383" s="542" t="str">
        <f>IF($F2380=1,"NO APLICA",$D2383)</f>
        <v>DAIMCO S.A.S.</v>
      </c>
      <c r="Y2383" s="543">
        <f ca="1">IF(OR($F2383="",$F2383="NO APORTA",$R2387=0,$X2383="NO APLICA"),"",ROUND($F2383/$Q2387,2))</f>
        <v>0.39</v>
      </c>
      <c r="Z2383" s="544" t="str">
        <f ca="1">IF(Y2388=1,"SI APLICA",IF(OR($X2383="",$X2383="NO APLICA",$F2383="",$F2383="NO APORTA"),"",IF(ROUND($F2383/Q2387,7)&gt;=0.4,"SI APLICA","NO APLICA")))</f>
        <v>NO APLICA</v>
      </c>
      <c r="AA2383" s="543" t="s">
        <v>516</v>
      </c>
      <c r="AB2383" s="540" t="str">
        <f t="shared" ref="AB2383" ca="1" si="478">IF(COUNTIF(Z2383:AA2383,"SI APLICA")=2,"SI APLICA","")</f>
        <v/>
      </c>
      <c r="AC2383" s="28"/>
    </row>
    <row r="2384" spans="1:29" s="30" customFormat="1" ht="15.75" customHeight="1">
      <c r="A2384" s="112" t="str">
        <f>"P"&amp;E2361</f>
        <v>P79</v>
      </c>
      <c r="B2384" s="791"/>
      <c r="C2384" s="54">
        <v>3</v>
      </c>
      <c r="D2384" s="100" t="str">
        <f>IF(AND(C2384&lt;=F2380,F2380&lt;&gt;""),VLOOKUP(VALUE(E2361&amp;","&amp;C2384),INTEGRANTES!$D$19:$F$192,2,0),"")</f>
        <v/>
      </c>
      <c r="E2384" s="107" t="str">
        <f>IF(D2384&lt;&gt;"",VLOOKUP(VALUE(E2361&amp;","&amp;C2384),INTEGRANTES!$D$19:$F$192,3,0),"")</f>
        <v/>
      </c>
      <c r="F2384" s="380" t="str">
        <f>IF(D2384="","",IF(OR(SUMIF($J2368:$J2374,D2384,$O2368:$O2374)=0,N2384="NO"),"NO APORTA",SUMIF($J2368:$J2374,D2384,$O2368:$O2374)))</f>
        <v/>
      </c>
      <c r="G2384" s="380" t="str">
        <f>IF($D2384="","",IF($F2380&lt;=1,"",ROUND(POSMMLV*PORPO,2)))</f>
        <v/>
      </c>
      <c r="H2384" s="765" t="str">
        <f t="shared" si="477"/>
        <v/>
      </c>
      <c r="I2384" s="766"/>
      <c r="J2384" s="108" t="str">
        <f>IF(D2384="","",IF(OR(AND(SUMIF($J2365:$J2374,D2384,$O2365:$O2374)&gt;=5%*POSMMLV,N2384="SI"),AND(SUMIF($J2365:$J2374,D2384,$O2365:$O2374)=0,E2384&lt;=5%,N2384="SI")),"CUMPLE","NO CUMPLE"))</f>
        <v/>
      </c>
      <c r="K2384" s="105" t="str">
        <f>IF(OR(D2384="",J2384=""),"",IF(AND(J2384="NO CUMPLE",F2384="NO APORTA",E2384&gt;5%),"EXP = 0 y PART &gt; 5%",IF(F2384&lt;5%*Q2387,"EXP &lt; 5%*PO","")))</f>
        <v/>
      </c>
      <c r="L2384" s="389" t="str">
        <f>IF(OR(D2384="",E2384=""),"",IF(AND(E2384&gt;=0.25,F2384&lt;&gt;"NO APORTA",F2384&gt;=$R2387*0.25),"SI","NO"))</f>
        <v/>
      </c>
      <c r="M2384" s="389"/>
      <c r="N2384" s="468"/>
      <c r="O2384" s="397"/>
      <c r="P2384" s="816"/>
      <c r="Q2384" s="816"/>
      <c r="R2384" s="816"/>
      <c r="S2384" s="820"/>
      <c r="T2384" s="308"/>
      <c r="U2384" s="308"/>
      <c r="V2384" s="309"/>
      <c r="W2384" s="284"/>
      <c r="X2384" s="542" t="str">
        <f>IF($F2380=1,"NO APLICA",$D2384)</f>
        <v/>
      </c>
      <c r="Y2384" s="543" t="str">
        <f>IF(OR($F2384="",$F2384="NO APORTA",$R2387=0,$X2384="NO APLICA"),"",ROUND($F2384/$Q2387,2))</f>
        <v/>
      </c>
      <c r="Z2384" s="544" t="str">
        <f>IF(Y2388=1,"SI APLICA",IF(OR($X2384="",$X2384="NO APLICA",$F2384="",$F2384="NO APORTA"),"",IF(ROUND($F2384/Q2387,7)&gt;=0.4,"SI APLICA","NO APLICA")))</f>
        <v/>
      </c>
      <c r="AA2384" s="543"/>
      <c r="AB2384" s="540" t="str">
        <f>IF(COUNTIF(Z2384:AA2384,"SI APLICA")=2,"SI APLICA","")</f>
        <v/>
      </c>
      <c r="AC2384" s="28"/>
    </row>
    <row r="2385" spans="1:29" s="30" customFormat="1" ht="15.75" customHeight="1">
      <c r="A2385" s="112" t="str">
        <f>"Q"&amp;E2361</f>
        <v>Q79</v>
      </c>
      <c r="B2385" s="791"/>
      <c r="C2385" s="54">
        <v>4</v>
      </c>
      <c r="D2385" s="100" t="str">
        <f>IF(AND(C2385&lt;=F2380,F2380&lt;&gt;""),VLOOKUP(VALUE(E2361&amp;","&amp;C2385),INTEGRANTES!$D$19:$F$192,2,0),"")</f>
        <v/>
      </c>
      <c r="E2385" s="107" t="str">
        <f>IF(D2385&lt;&gt;"",VLOOKUP(VALUE(E2361&amp;","&amp;C2385),INTEGRANTES!$D$19:$F$192,3,0),"")</f>
        <v/>
      </c>
      <c r="F2385" s="380" t="str">
        <f>IF(D2385="","",IF(OR(SUMIF($J2368:$J2374,D2385,$O2368:$O2374)=0,N2385="NO"),"NO APORTA",SUMIF($J2368:$J2374,D2385,$O2368:$O2374)))</f>
        <v/>
      </c>
      <c r="G2385" s="380" t="str">
        <f>IF($D2385="","",IF($F2380&lt;=1,"",ROUND(POSMMLV*PORPO,2)))</f>
        <v/>
      </c>
      <c r="H2385" s="765" t="str">
        <f t="shared" si="477"/>
        <v/>
      </c>
      <c r="I2385" s="766"/>
      <c r="J2385" s="108" t="str">
        <f>IF(D2385="","",IF(OR(AND(SUMIF($J2365:$J2374,D2385,$O2365:$O2374)&gt;=5%*POSMMLV,N2385="SI"),AND(SUMIF($J2365:$J2374,D2385,$O2365:$O2374)=0,E2385&lt;=5%,N2385="SI")),"CUMPLE","NO CUMPLE"))</f>
        <v/>
      </c>
      <c r="K2385" s="105" t="str">
        <f>IF(OR(D2385="",J2385=""),"",IF(AND(J2385="NO CUMPLE",F2385="NO APORTA",E2385&gt;5%),"EXP = 0 y PART &gt; 5%",IF(F2385&lt;5%*Q2387,"EXP &lt; 5%*PO","")))</f>
        <v/>
      </c>
      <c r="L2385" s="389" t="str">
        <f>IF(OR(D2385="",E2385=""),"",IF(AND(E2385&gt;=0.25,F2385&lt;&gt;"NO APORTA",F2385&gt;=$R2387*0.25),"SI","NO"))</f>
        <v/>
      </c>
      <c r="M2385" s="389"/>
      <c r="N2385" s="468"/>
      <c r="O2385" s="788" t="s">
        <v>414</v>
      </c>
      <c r="P2385" s="769" t="s">
        <v>415</v>
      </c>
      <c r="Q2385" s="770"/>
      <c r="R2385" s="770"/>
      <c r="S2385" s="771"/>
      <c r="T2385" s="284"/>
      <c r="U2385" s="284"/>
      <c r="V2385" s="310"/>
      <c r="W2385" s="284"/>
      <c r="X2385" s="542" t="str">
        <f>IF($F2380=1,"NO APLICA",$D2385)</f>
        <v/>
      </c>
      <c r="Y2385" s="543" t="str">
        <f>IF(OR($F2385="",$F2385="NO APORTA",$R2387=0,$X2385="NO APLICA"),"",ROUND($F2385/$Q2387,2))</f>
        <v/>
      </c>
      <c r="Z2385" s="544" t="str">
        <f>IF(Y2388=1,"SI APLICA",IF(OR($X2385="",$X2385="NO APLICA",$F2385="",$F2385="NO APORTA"),"",IF(ROUND($F2385/Q2387,7)&gt;=0.4,"SI APLICA","NO APLICA")))</f>
        <v/>
      </c>
      <c r="AA2385" s="543"/>
      <c r="AB2385" s="540" t="str">
        <f t="shared" ref="AB2385:AB2386" si="479">IF(COUNTIF(Z2385:AA2385,"SI APLICA")=2,"SI APLICA","")</f>
        <v/>
      </c>
      <c r="AC2385" s="28"/>
    </row>
    <row r="2386" spans="1:29" s="30" customFormat="1" ht="17.25" customHeight="1">
      <c r="A2386" s="112" t="str">
        <f>"R"&amp;E2361</f>
        <v>R79</v>
      </c>
      <c r="B2386" s="791"/>
      <c r="C2386" s="54">
        <v>5</v>
      </c>
      <c r="D2386" s="100" t="str">
        <f>IF(AND(C2386&lt;=F2380,F2380&lt;&gt;""),VLOOKUP(VALUE(E2361&amp;","&amp;C2386),INTEGRANTES!$D$19:$F$192,2,0),"")</f>
        <v/>
      </c>
      <c r="E2386" s="107" t="str">
        <f>IF(D2386&lt;&gt;"",VLOOKUP(VALUE(E2361&amp;","&amp;C2386),INTEGRANTES!$D$19:$F$192,3,0),"")</f>
        <v/>
      </c>
      <c r="F2386" s="380" t="str">
        <f>IF(D2386="","",IF(OR(SUMIF($J2368:$J2374,D2386,$O2368:$O2374)=0,N2386="NO"),"NO APORTA",SUMIF($J2368:$J2374,D2386,$O2368:$O2374)))</f>
        <v/>
      </c>
      <c r="G2386" s="380" t="str">
        <f>IF($D2386="","",IF($F2380&lt;=1,"",ROUND(POSMMLV*PORPO,2)))</f>
        <v/>
      </c>
      <c r="H2386" s="765" t="str">
        <f t="shared" si="477"/>
        <v/>
      </c>
      <c r="I2386" s="766"/>
      <c r="J2386" s="108" t="str">
        <f>IF(D2386="","",IF(OR(AND(SUMIF($J2365:$J2374,D2386,$O2365:$O2374)&gt;=5%*POSMMLV,N2386="SI"),AND(SUMIF($J2365:$J2374,D2386,$O2365:$O2374)=0,E2386&lt;=5%,N2386="SI")),"CUMPLE","NO CUMPLE"))</f>
        <v/>
      </c>
      <c r="K2386" s="105" t="str">
        <f>IF(OR(D2386="",J2386=""),"",IF(AND(J2386="NO CUMPLE",F2386="NO APORTA",E2386&gt;5%),"EXP = 0 y PART &gt; 5%",IF(F2386&lt;5%*Q2387,"EXP &lt; 5%*PO","")))</f>
        <v/>
      </c>
      <c r="L2386" s="389" t="str">
        <f>IF(OR(D2386="",E2386=""),"",IF(AND(E2386&gt;=0.25,F2386&lt;&gt;"NO APORTA",F2386&gt;=$R2387*0.25),"SI","NO"))</f>
        <v/>
      </c>
      <c r="M2386" s="389"/>
      <c r="N2386" s="468"/>
      <c r="O2386" s="789"/>
      <c r="P2386" s="504" t="s">
        <v>416</v>
      </c>
      <c r="Q2386" s="504" t="s">
        <v>417</v>
      </c>
      <c r="R2386" s="793" t="s">
        <v>418</v>
      </c>
      <c r="S2386" s="793"/>
      <c r="T2386" s="284"/>
      <c r="U2386" s="284"/>
      <c r="V2386" s="310"/>
      <c r="W2386" s="284"/>
      <c r="X2386" s="542" t="str">
        <f>IF($F2380=1,"NO APLICA",$D2386)</f>
        <v/>
      </c>
      <c r="Y2386" s="543" t="str">
        <f>IF(OR($F2386="",$F2386="NO APORTA",$R2387=0,$X2386="NO APLICA"),"",ROUND($F2386/$Q2387,2))</f>
        <v/>
      </c>
      <c r="Z2386" s="544" t="str">
        <f>IF(Y2388=1,"SI APLICA",IF(OR($X2386="",$X2386="NO APLICA",$F2386="",$F2386="NO APORTA"),"",IF(ROUND($F2386/Q2387,7)&gt;=0.4,"SI APLICA","NO APLICA")))</f>
        <v/>
      </c>
      <c r="AA2386" s="543"/>
      <c r="AB2386" s="540" t="str">
        <f t="shared" si="479"/>
        <v/>
      </c>
      <c r="AC2386" s="28"/>
    </row>
    <row r="2387" spans="1:29" s="30" customFormat="1" ht="16.5" customHeight="1" thickBot="1">
      <c r="A2387" s="112" t="str">
        <f>"S"&amp;E2361</f>
        <v>S79</v>
      </c>
      <c r="B2387" s="791"/>
      <c r="C2387" s="109">
        <v>6</v>
      </c>
      <c r="D2387" s="110" t="str">
        <f>IF(AND(C2387&lt;=F2380,F2380&lt;&gt;""),VLOOKUP(VALUE(E2361&amp;","&amp;C2387),INTEGRANTES!$D$19:$F$192,2,0),"")</f>
        <v/>
      </c>
      <c r="E2387" s="111" t="str">
        <f>IF(D2387&lt;&gt;"",VLOOKUP(VALUE(E2361&amp;","&amp;C2387),INTEGRANTES!$D$19:$F$192,3,0),"")</f>
        <v/>
      </c>
      <c r="F2387" s="380" t="str">
        <f>IF(D2387="","",IF(OR(SUMIF($J2368:$J2374,D2387,$O2368:$O2374)=0,N2387="NO"),"NO APORTA",SUMIF($J2368:$J2374,D2387,$O2368:$O2374)))</f>
        <v/>
      </c>
      <c r="G2387" s="380" t="str">
        <f>IF($D2387="","",IF($F2380&lt;=1,"",ROUND(POSMMLV*PORPO,2)))</f>
        <v/>
      </c>
      <c r="H2387" s="765" t="str">
        <f>IF($D2387="","",IF(OR(F2387="NO APORTA",G2387&gt;F2387),"NO CUMPLE","CUMPLE"))</f>
        <v/>
      </c>
      <c r="I2387" s="766"/>
      <c r="J2387" s="108" t="str">
        <f>IF(D2387="","",IF(OR(AND(SUMIF($J2365:$J2374,D2387,$O2365:$O2374)&gt;=5%*POSMMLV,N2387="SI"),AND(SUMIF($J2365:$J2374,D2387,$O2365:$O2374)=0,E2387&lt;=5%,N2387="SI")),"CUMPLE","NO CUMPLE"))</f>
        <v/>
      </c>
      <c r="K2387" s="105" t="str">
        <f>IF(OR(D2387="",J2387=""),"",IF(AND(J2387="NO CUMPLE",F2387="NO APORTA",E2387&gt;5%),"EXP = 0 y PART &gt; 5%",IF(F2387&lt;5%*Q2387,"EXP &lt; 5%*PO","")))</f>
        <v/>
      </c>
      <c r="L2387" s="389" t="str">
        <f>IF(OR(D2387="",E2387=""),"",IF(AND(E2387&gt;=0.25,F2387&lt;&gt;"NO APORTA",F2387&gt;=$R2387*0.25),"SI","NO"))</f>
        <v/>
      </c>
      <c r="M2387" s="389"/>
      <c r="N2387" s="468"/>
      <c r="O2387" s="403" t="str">
        <f ca="1">IF(R2387&gt;=Q2387,"CUMPLE","NO CUMPLE")</f>
        <v>CUMPLE</v>
      </c>
      <c r="P2387" s="312">
        <f>NUMMOD</f>
        <v>1</v>
      </c>
      <c r="Q2387" s="313">
        <f ca="1">IF(P2387="","",ROUND(VLOOKUP(P2387,PRESUPUESTOS!$B$16:$L$16,9,FALSE),7))</f>
        <v>300</v>
      </c>
      <c r="R2387" s="834">
        <f>IF(OR(COUNTIF(O2365:O2374,"")&gt;9,S2381&lt;NUMMINCONT),0,SUM(O2365:O2374))</f>
        <v>1175.9277</v>
      </c>
      <c r="S2387" s="834"/>
      <c r="T2387" s="284"/>
      <c r="U2387" s="284"/>
      <c r="V2387" s="310"/>
      <c r="W2387" s="284"/>
      <c r="X2387" s="545" t="str">
        <f>IF($F2380=1,"NO APLICA",$D2387)</f>
        <v/>
      </c>
      <c r="Y2387" s="543" t="str">
        <f>IF(OR($F2387="",$F2387="NO APORTA",$R2387=0,$X2387="NO APLICA"),"",ROUND($F2387/$Q2387,2))</f>
        <v/>
      </c>
      <c r="Z2387" s="544" t="str">
        <f>IF(Y2388=1,"SI APLICA",IF(OR($X2387="",$X2387="NO APLICA",$F2387="",$F2387="NO APORTA"),"",IF(ROUND($F2387/Q2387,7)&gt;=0.4,"SI APLICA","NO APLICA")))</f>
        <v/>
      </c>
      <c r="AA2387" s="546"/>
      <c r="AB2387" s="540" t="str">
        <f>IF(COUNTIF(Z2387:AA2387,"SI APLICA")=2,"SI APLICA","")</f>
        <v/>
      </c>
      <c r="AC2387" s="28"/>
    </row>
    <row r="2388" spans="1:29" s="30" customFormat="1" ht="16.5" customHeight="1" thickBot="1">
      <c r="A2388" s="112" t="str">
        <f>"T"&amp;E2361</f>
        <v>T79</v>
      </c>
      <c r="B2388" s="792"/>
      <c r="C2388" s="821" t="s">
        <v>419</v>
      </c>
      <c r="D2388" s="822"/>
      <c r="E2388" s="822"/>
      <c r="F2388" s="518"/>
      <c r="G2388" s="519"/>
      <c r="H2388" s="794" t="str">
        <f ca="1">IF(OR($F2380="",SUM(E2382:E2387)=0),"",IF(COUNTIF(H2382:H2387,"CUMPLE")&gt;=1,"CUMPLE","NO CUMPLE"))</f>
        <v>CUMPLE</v>
      </c>
      <c r="I2388" s="795"/>
      <c r="J2388" s="314" t="str">
        <f ca="1">IF(COUNTIF(J2382:J2387,"")&gt;5,"",IF(COUNTIF(J2382:J2387,"NO CUMPLE")&gt;0,"NO CUMPLE","CUMPLE"))</f>
        <v>CUMPLE</v>
      </c>
      <c r="K2388" s="314" t="str" cm="1">
        <f t="array" aca="1" ref="K2388" ca="1">IF(OR(AND(F2380=1,N2382:N2383="SI"),AND(COUNTIF(H2388:J2388,"CUMPLE")=2)),"CUMPLE","NO CUMPLE")</f>
        <v>CUMPLE</v>
      </c>
      <c r="L2388" s="519"/>
      <c r="M2388" s="519"/>
      <c r="N2388" s="519"/>
      <c r="O2388" s="833" t="str">
        <f ca="1">IF(ISNUMBER(F2361),"",IF(AND(O2387="NO CUMPLE",SUM(N2368:N2374)&lt;Q2387),"EL PROPONENTE SE DEBE REQUERIR POR EXPERIENCIA MINIMA EXIGIDA",""))</f>
        <v/>
      </c>
      <c r="P2388" s="833"/>
      <c r="Q2388" s="833"/>
      <c r="R2388" s="833"/>
      <c r="S2388" s="833"/>
      <c r="T2388" s="522"/>
      <c r="U2388" s="523"/>
      <c r="V2388" s="524"/>
      <c r="W2388" s="284"/>
      <c r="X2388" s="364" t="str">
        <f>IF(Y2388=1,"PROPONENTE INDIVIDUAL","PROPONENTE PLURAL")</f>
        <v>PROPONENTE PLURAL</v>
      </c>
      <c r="Y2388" s="276">
        <f>F2380</f>
        <v>2</v>
      </c>
      <c r="Z2388" s="277" t="str">
        <f ca="1">IF(OR(AND(Z2382="SI APLICA",AA2382="SI APLICA"),AND(Z2383="SI APLICA",AA2383="SI APLICA"),AND(Z2384="SI APLICA",AA2384="SI APLICA"),AND(Z2385="SI APLICA",AA2385="SI APLICA"),AND(Z2386="SI APLICA",AA2386="SI APLICA"),AND(Z2387="SI APLICA",AA2387="SI APLICA")),"SI APLICA","NO APLICA")</f>
        <v>SI APLICA</v>
      </c>
      <c r="AA2388" s="278" t="str">
        <f ca="1">IF(OR(AND(AA2382="SI APLICA",AB2382="SI APLICA"),AND(AA2383="SI APLICA",AB2383="SI APLICA"),AND(AA2384="SI APLICA",AB2384="SI APLICA"),AND(AA2385="SI APLICA",AB2385="SI APLICA"),AND(AA2386="SI APLICA",AB2386="SI APLICA"),AND(AA2387="SI APLICA",AB2387="SI APLICA")),"SI APLICA","NO APLICA")</f>
        <v>SI APLICA</v>
      </c>
      <c r="AB2388" s="278" t="str">
        <f ca="1">IF(COUNTIF(AB2382:AB2387,"SI APLICA")&gt;0,"SI APLICA","NO APLICA")</f>
        <v>SI APLICA</v>
      </c>
      <c r="AC2388" s="28"/>
    </row>
    <row r="2389" spans="1:29" ht="24.95" customHeight="1"/>
    <row r="2390" spans="1:29" ht="24.95" customHeight="1"/>
    <row r="2391" spans="1:29" s="41" customFormat="1" ht="24" thickBot="1">
      <c r="A2391" s="34">
        <v>80</v>
      </c>
      <c r="B2391" s="828" t="s">
        <v>355</v>
      </c>
      <c r="C2391" s="828"/>
      <c r="D2391" s="828"/>
      <c r="E2391" s="35">
        <f>VLOOKUP(A2391,PROPONENTES!$B$19:$E$108,2,FALSE)</f>
        <v>80</v>
      </c>
      <c r="F2391" s="36" t="str">
        <f>VLOOKUP(A2391,PROPONENTES!$B$19:$E$108,3,FALSE)</f>
        <v>CB INGENIEROS S.A.S</v>
      </c>
      <c r="G2391" s="37"/>
      <c r="H2391" s="37"/>
      <c r="I2391" s="36"/>
      <c r="J2391" s="36"/>
      <c r="K2391" s="36"/>
      <c r="L2391" s="36"/>
      <c r="M2391" s="38"/>
      <c r="N2391" s="38"/>
      <c r="O2391" s="37"/>
      <c r="P2391" s="37"/>
      <c r="Q2391" s="39"/>
      <c r="R2391" s="39"/>
      <c r="S2391" s="39"/>
      <c r="T2391" s="39"/>
      <c r="U2391" s="40"/>
      <c r="Y2391" s="52"/>
      <c r="Z2391" s="52"/>
      <c r="AA2391" s="52"/>
      <c r="AB2391" s="28"/>
      <c r="AC2391" s="28"/>
    </row>
    <row r="2392" spans="1:29" s="27" customFormat="1" ht="24.75" customHeight="1">
      <c r="A2392" s="22"/>
      <c r="B2392" s="829" t="s">
        <v>356</v>
      </c>
      <c r="C2392" s="501" t="s">
        <v>357</v>
      </c>
      <c r="D2392" s="502" t="s">
        <v>358</v>
      </c>
      <c r="E2392" s="502"/>
      <c r="F2392" s="502" t="s">
        <v>359</v>
      </c>
      <c r="G2392" s="503"/>
      <c r="H2392" s="803" t="s">
        <v>360</v>
      </c>
      <c r="I2392" s="831" t="s">
        <v>361</v>
      </c>
      <c r="J2392" s="803" t="s">
        <v>362</v>
      </c>
      <c r="K2392" s="803" t="s">
        <v>363</v>
      </c>
      <c r="L2392" s="803" t="s">
        <v>364</v>
      </c>
      <c r="M2392" s="803" t="s">
        <v>365</v>
      </c>
      <c r="N2392" s="804" t="s">
        <v>366</v>
      </c>
      <c r="O2392" s="805"/>
      <c r="P2392" s="806" t="s">
        <v>367</v>
      </c>
      <c r="Q2392" s="807"/>
      <c r="R2392" s="784" t="s">
        <v>368</v>
      </c>
      <c r="S2392" s="774"/>
      <c r="T2392" s="798" t="s">
        <v>369</v>
      </c>
      <c r="U2392" s="799"/>
      <c r="V2392" s="800"/>
      <c r="X2392" s="520"/>
      <c r="Y2392" s="520"/>
    </row>
    <row r="2393" spans="1:29" s="27" customFormat="1" ht="94.5" customHeight="1">
      <c r="A2393" s="22"/>
      <c r="B2393" s="830"/>
      <c r="C2393" s="504" t="s">
        <v>370</v>
      </c>
      <c r="D2393" s="505" t="s">
        <v>41</v>
      </c>
      <c r="E2393" s="505" t="s">
        <v>371</v>
      </c>
      <c r="F2393" s="505" t="s">
        <v>372</v>
      </c>
      <c r="G2393" s="506" t="s">
        <v>373</v>
      </c>
      <c r="H2393" s="793"/>
      <c r="I2393" s="832"/>
      <c r="J2393" s="793"/>
      <c r="K2393" s="793"/>
      <c r="L2393" s="793"/>
      <c r="M2393" s="793"/>
      <c r="N2393" s="504" t="s">
        <v>374</v>
      </c>
      <c r="O2393" s="505" t="s">
        <v>375</v>
      </c>
      <c r="P2393" s="801"/>
      <c r="Q2393" s="802"/>
      <c r="R2393" s="796"/>
      <c r="S2393" s="797"/>
      <c r="T2393" s="507" t="s">
        <v>376</v>
      </c>
      <c r="U2393" s="508" t="s">
        <v>377</v>
      </c>
      <c r="V2393" s="509" t="s">
        <v>378</v>
      </c>
      <c r="X2393" s="521" t="s">
        <v>379</v>
      </c>
      <c r="Y2393" s="521" t="s">
        <v>380</v>
      </c>
    </row>
    <row r="2394" spans="1:29" s="27" customFormat="1" ht="15" customHeight="1">
      <c r="A2394" s="22"/>
      <c r="B2394" s="594"/>
      <c r="C2394" s="595">
        <v>3</v>
      </c>
      <c r="D2394" s="595">
        <v>4</v>
      </c>
      <c r="E2394" s="595">
        <v>5</v>
      </c>
      <c r="F2394" s="595">
        <v>6</v>
      </c>
      <c r="G2394" s="595">
        <v>7</v>
      </c>
      <c r="H2394" s="595">
        <v>8</v>
      </c>
      <c r="I2394" s="595">
        <v>9</v>
      </c>
      <c r="J2394" s="595">
        <v>10</v>
      </c>
      <c r="K2394" s="595">
        <v>11</v>
      </c>
      <c r="L2394" s="595">
        <v>12</v>
      </c>
      <c r="M2394" s="595">
        <v>13</v>
      </c>
      <c r="N2394" s="595">
        <v>14</v>
      </c>
      <c r="O2394" s="595">
        <v>15</v>
      </c>
      <c r="P2394" s="596">
        <v>16</v>
      </c>
      <c r="Q2394" s="597">
        <v>17</v>
      </c>
      <c r="R2394" s="596">
        <v>18</v>
      </c>
      <c r="S2394" s="597">
        <v>19</v>
      </c>
      <c r="T2394" s="598">
        <v>20</v>
      </c>
      <c r="U2394" s="255">
        <v>21</v>
      </c>
      <c r="V2394" s="599">
        <v>22</v>
      </c>
      <c r="X2394" s="589"/>
      <c r="Y2394" s="590"/>
    </row>
    <row r="2395" spans="1:29" s="44" customFormat="1" ht="39.75" customHeight="1">
      <c r="A2395" s="42" t="str">
        <f>"A"&amp;E2391</f>
        <v>A80</v>
      </c>
      <c r="B2395" s="605">
        <f>IF(C2395&lt;&gt;"",B2394+1,"")</f>
        <v>1</v>
      </c>
      <c r="C2395" s="581" t="s">
        <v>553</v>
      </c>
      <c r="D2395" s="581" t="s">
        <v>1038</v>
      </c>
      <c r="E2395" s="581" t="s">
        <v>1039</v>
      </c>
      <c r="F2395" s="581" t="s">
        <v>431</v>
      </c>
      <c r="G2395" s="534">
        <v>0.3</v>
      </c>
      <c r="H2395" s="534" t="s">
        <v>385</v>
      </c>
      <c r="I2395" s="579" t="s">
        <v>384</v>
      </c>
      <c r="J2395" s="580" t="str">
        <f>IF(I2395="","",IF(I2395="I",$F2391,VLOOKUP(I2395,$C2412:$D2417,2,0)))</f>
        <v>CB INGENIEROS S.A.S</v>
      </c>
      <c r="K2395" s="535">
        <v>41256</v>
      </c>
      <c r="L2395" s="535">
        <v>41805</v>
      </c>
      <c r="M2395" s="536">
        <v>2417.29</v>
      </c>
      <c r="N2395" s="232">
        <f t="shared" ref="N2395:N2404" si="480">IF(OR(G2395="",M2395=""),"",M2395*G2395)</f>
        <v>725.18700000000001</v>
      </c>
      <c r="O2395" s="260">
        <f t="shared" ref="O2395:O2404" si="481">IF(OR(H2395="",H2395="NO",K2395&lt;$Q$17,K2395&gt;$R$17,K2395="",M2395="",N2395=""),"",ROUND(N2395,7))</f>
        <v>725.18700000000001</v>
      </c>
      <c r="P2395" s="781"/>
      <c r="Q2395" s="782"/>
      <c r="R2395" s="767"/>
      <c r="S2395" s="768"/>
      <c r="T2395" s="538" t="s">
        <v>385</v>
      </c>
      <c r="U2395" s="539">
        <v>75</v>
      </c>
      <c r="V2395" s="540" t="s">
        <v>385</v>
      </c>
      <c r="X2395" s="541" t="s">
        <v>449</v>
      </c>
      <c r="Y2395" s="541" t="s">
        <v>387</v>
      </c>
    </row>
    <row r="2396" spans="1:29" s="44" customFormat="1" ht="24.95" customHeight="1">
      <c r="A2396" s="42" t="str">
        <f>"B"&amp;E2391</f>
        <v>B80</v>
      </c>
      <c r="B2396" s="605">
        <f t="shared" ref="B2396:B2404" si="482">IF(C2396&lt;&gt;"",B2395+1,"")</f>
        <v>2</v>
      </c>
      <c r="C2396" s="581" t="s">
        <v>1040</v>
      </c>
      <c r="D2396" s="581" t="s">
        <v>1041</v>
      </c>
      <c r="E2396" s="581" t="s">
        <v>1042</v>
      </c>
      <c r="F2396" s="581" t="s">
        <v>384</v>
      </c>
      <c r="G2396" s="534">
        <v>1</v>
      </c>
      <c r="H2396" s="534" t="s">
        <v>385</v>
      </c>
      <c r="I2396" s="579" t="s">
        <v>384</v>
      </c>
      <c r="J2396" s="580" t="str">
        <f>IF(I2396="","",IF(I2396="I",$F2391,VLOOKUP(I2396,$C2412:$D2417,2,0)))</f>
        <v>CB INGENIEROS S.A.S</v>
      </c>
      <c r="K2396" s="535">
        <v>34999</v>
      </c>
      <c r="L2396" s="535">
        <v>35139</v>
      </c>
      <c r="M2396" s="536">
        <v>48.73</v>
      </c>
      <c r="N2396" s="232">
        <f t="shared" si="480"/>
        <v>48.73</v>
      </c>
      <c r="O2396" s="260">
        <f t="shared" si="481"/>
        <v>48.73</v>
      </c>
      <c r="P2396" s="781"/>
      <c r="Q2396" s="782"/>
      <c r="R2396" s="767"/>
      <c r="S2396" s="768"/>
      <c r="T2396" s="538" t="s">
        <v>385</v>
      </c>
      <c r="U2396" s="539">
        <v>59</v>
      </c>
      <c r="V2396" s="540" t="s">
        <v>385</v>
      </c>
      <c r="X2396" s="541" t="s">
        <v>386</v>
      </c>
      <c r="Y2396" s="541" t="s">
        <v>439</v>
      </c>
    </row>
    <row r="2397" spans="1:29" s="44" customFormat="1" ht="24.95" customHeight="1">
      <c r="A2397" s="42" t="str">
        <f>"C"&amp;E2391</f>
        <v>C80</v>
      </c>
      <c r="B2397" s="605" t="str">
        <f t="shared" si="482"/>
        <v/>
      </c>
      <c r="C2397" s="581"/>
      <c r="D2397" s="581"/>
      <c r="E2397" s="581"/>
      <c r="F2397" s="581"/>
      <c r="G2397" s="534"/>
      <c r="H2397" s="534"/>
      <c r="I2397" s="579"/>
      <c r="J2397" s="580" t="str">
        <f>IF(I2397="","",IF(I2397="I",$F2391,VLOOKUP(I2397,$C2412:$D2417,2,0)))</f>
        <v/>
      </c>
      <c r="K2397" s="535"/>
      <c r="L2397" s="535"/>
      <c r="M2397" s="536"/>
      <c r="N2397" s="232" t="str">
        <f t="shared" si="480"/>
        <v/>
      </c>
      <c r="O2397" s="260" t="str">
        <f t="shared" si="481"/>
        <v/>
      </c>
      <c r="P2397" s="781"/>
      <c r="Q2397" s="782"/>
      <c r="R2397" s="767"/>
      <c r="S2397" s="768"/>
      <c r="T2397" s="538"/>
      <c r="U2397" s="539"/>
      <c r="V2397" s="540"/>
      <c r="X2397" s="541"/>
      <c r="Y2397" s="541"/>
    </row>
    <row r="2398" spans="1:29" s="44" customFormat="1" ht="24.95" customHeight="1">
      <c r="A2398" s="42" t="str">
        <f>"D"&amp;E2391</f>
        <v>D80</v>
      </c>
      <c r="B2398" s="605" t="str">
        <f t="shared" si="482"/>
        <v/>
      </c>
      <c r="C2398" s="581"/>
      <c r="D2398" s="581"/>
      <c r="E2398" s="581"/>
      <c r="F2398" s="581"/>
      <c r="G2398" s="534"/>
      <c r="H2398" s="534"/>
      <c r="I2398" s="579"/>
      <c r="J2398" s="580" t="str">
        <f>IF(I2398="","",IF(I2398="I",$F2391,VLOOKUP(I2398,$C2412:$D2417,2,0)))</f>
        <v/>
      </c>
      <c r="K2398" s="535"/>
      <c r="L2398" s="535"/>
      <c r="M2398" s="536"/>
      <c r="N2398" s="232" t="str">
        <f t="shared" si="480"/>
        <v/>
      </c>
      <c r="O2398" s="260" t="str">
        <f t="shared" si="481"/>
        <v/>
      </c>
      <c r="P2398" s="781"/>
      <c r="Q2398" s="782"/>
      <c r="R2398" s="767"/>
      <c r="S2398" s="768"/>
      <c r="T2398" s="538"/>
      <c r="U2398" s="539"/>
      <c r="V2398" s="540"/>
      <c r="X2398" s="541"/>
      <c r="Y2398" s="541"/>
    </row>
    <row r="2399" spans="1:29" s="44" customFormat="1" ht="24.95" customHeight="1">
      <c r="A2399" s="42" t="str">
        <f>"E"&amp;E2391</f>
        <v>E80</v>
      </c>
      <c r="B2399" s="605" t="str">
        <f t="shared" si="482"/>
        <v/>
      </c>
      <c r="C2399" s="581"/>
      <c r="D2399" s="581"/>
      <c r="E2399" s="581"/>
      <c r="F2399" s="581"/>
      <c r="G2399" s="534"/>
      <c r="H2399" s="534"/>
      <c r="I2399" s="579"/>
      <c r="J2399" s="580" t="str">
        <f>IF(I2399="","",IF(I2399="I",$F2391,VLOOKUP(I2399,$C2412:$D2417,2,0)))</f>
        <v/>
      </c>
      <c r="K2399" s="535"/>
      <c r="L2399" s="535"/>
      <c r="M2399" s="536"/>
      <c r="N2399" s="232" t="str">
        <f t="shared" si="480"/>
        <v/>
      </c>
      <c r="O2399" s="260" t="str">
        <f t="shared" si="481"/>
        <v/>
      </c>
      <c r="P2399" s="781"/>
      <c r="Q2399" s="782"/>
      <c r="R2399" s="767"/>
      <c r="S2399" s="768"/>
      <c r="T2399" s="538"/>
      <c r="U2399" s="539"/>
      <c r="V2399" s="540"/>
      <c r="X2399" s="541"/>
      <c r="Y2399" s="541"/>
    </row>
    <row r="2400" spans="1:29" s="44" customFormat="1" ht="24.95" customHeight="1">
      <c r="A2400" s="42" t="str">
        <f>"F"&amp;E2391</f>
        <v>F80</v>
      </c>
      <c r="B2400" s="605" t="str">
        <f t="shared" si="482"/>
        <v/>
      </c>
      <c r="C2400" s="581"/>
      <c r="D2400" s="581"/>
      <c r="E2400" s="581"/>
      <c r="F2400" s="581"/>
      <c r="G2400" s="534"/>
      <c r="H2400" s="534"/>
      <c r="I2400" s="579"/>
      <c r="J2400" s="580" t="str">
        <f>IF(I2400="","",IF(I2400="I",$F2391,VLOOKUP(I2400,$C2412:$D2417,2,0)))</f>
        <v/>
      </c>
      <c r="K2400" s="535"/>
      <c r="L2400" s="535"/>
      <c r="M2400" s="536"/>
      <c r="N2400" s="232" t="str">
        <f t="shared" si="480"/>
        <v/>
      </c>
      <c r="O2400" s="260" t="str">
        <f t="shared" si="481"/>
        <v/>
      </c>
      <c r="P2400" s="781"/>
      <c r="Q2400" s="782"/>
      <c r="R2400" s="767"/>
      <c r="S2400" s="768"/>
      <c r="T2400" s="538"/>
      <c r="U2400" s="539"/>
      <c r="V2400" s="540"/>
      <c r="X2400" s="541"/>
      <c r="Y2400" s="541"/>
    </row>
    <row r="2401" spans="1:29" s="44" customFormat="1" ht="24.95" customHeight="1">
      <c r="A2401" s="42" t="str">
        <f>"G"&amp;E2391</f>
        <v>G80</v>
      </c>
      <c r="B2401" s="605" t="str">
        <f t="shared" si="482"/>
        <v/>
      </c>
      <c r="C2401" s="581"/>
      <c r="D2401" s="581"/>
      <c r="E2401" s="581"/>
      <c r="F2401" s="581"/>
      <c r="G2401" s="534"/>
      <c r="H2401" s="534"/>
      <c r="I2401" s="579"/>
      <c r="J2401" s="580" t="str">
        <f>IF(I2401="","",IF(I2401="I",$F2391,VLOOKUP(I2401,$C2412:$D2417,2,0)))</f>
        <v/>
      </c>
      <c r="K2401" s="535"/>
      <c r="L2401" s="535"/>
      <c r="M2401" s="536"/>
      <c r="N2401" s="43" t="str">
        <f t="shared" si="480"/>
        <v/>
      </c>
      <c r="O2401" s="260" t="str">
        <f t="shared" si="481"/>
        <v/>
      </c>
      <c r="P2401" s="781"/>
      <c r="Q2401" s="782"/>
      <c r="R2401" s="767"/>
      <c r="S2401" s="768"/>
      <c r="T2401" s="538"/>
      <c r="U2401" s="539"/>
      <c r="V2401" s="540"/>
      <c r="X2401" s="541"/>
      <c r="Y2401" s="541"/>
    </row>
    <row r="2402" spans="1:29" s="44" customFormat="1" ht="24.95" customHeight="1">
      <c r="A2402" s="42" t="str">
        <f>"H"&amp;E2391</f>
        <v>H80</v>
      </c>
      <c r="B2402" s="605" t="str">
        <f t="shared" si="482"/>
        <v/>
      </c>
      <c r="C2402" s="581"/>
      <c r="D2402" s="581"/>
      <c r="E2402" s="581"/>
      <c r="F2402" s="581"/>
      <c r="G2402" s="534"/>
      <c r="H2402" s="534"/>
      <c r="I2402" s="579"/>
      <c r="J2402" s="580" t="str">
        <f>IF(I2402="","",IF(I2402="I",$F2391,VLOOKUP(I2402,$C2412:$D2417,2,0)))</f>
        <v/>
      </c>
      <c r="K2402" s="535"/>
      <c r="L2402" s="535"/>
      <c r="M2402" s="537"/>
      <c r="N2402" s="43" t="str">
        <f t="shared" si="480"/>
        <v/>
      </c>
      <c r="O2402" s="260" t="str">
        <f t="shared" si="481"/>
        <v/>
      </c>
      <c r="P2402" s="781"/>
      <c r="Q2402" s="782"/>
      <c r="R2402" s="767"/>
      <c r="S2402" s="768"/>
      <c r="T2402" s="538"/>
      <c r="U2402" s="539"/>
      <c r="V2402" s="540"/>
      <c r="X2402" s="541"/>
      <c r="Y2402" s="541"/>
    </row>
    <row r="2403" spans="1:29" s="44" customFormat="1" ht="24.95" customHeight="1">
      <c r="A2403" s="42" t="str">
        <f>"I"&amp;E2391</f>
        <v>I80</v>
      </c>
      <c r="B2403" s="605" t="str">
        <f t="shared" si="482"/>
        <v/>
      </c>
      <c r="C2403" s="581"/>
      <c r="D2403" s="581"/>
      <c r="E2403" s="581"/>
      <c r="F2403" s="581"/>
      <c r="G2403" s="534"/>
      <c r="H2403" s="534"/>
      <c r="I2403" s="579"/>
      <c r="J2403" s="580" t="str">
        <f>IF(I2403="","",IF(I2403="I",$F2391,VLOOKUP(I2403,$C2412:$D2417,2,0)))</f>
        <v/>
      </c>
      <c r="K2403" s="535"/>
      <c r="L2403" s="535"/>
      <c r="M2403" s="537"/>
      <c r="N2403" s="43" t="str">
        <f t="shared" si="480"/>
        <v/>
      </c>
      <c r="O2403" s="260" t="str">
        <f t="shared" si="481"/>
        <v/>
      </c>
      <c r="P2403" s="781"/>
      <c r="Q2403" s="782"/>
      <c r="R2403" s="767"/>
      <c r="S2403" s="768"/>
      <c r="T2403" s="538"/>
      <c r="U2403" s="539"/>
      <c r="V2403" s="540"/>
      <c r="X2403" s="541"/>
      <c r="Y2403" s="541"/>
    </row>
    <row r="2404" spans="1:29" s="44" customFormat="1" ht="24.95" customHeight="1" thickBot="1">
      <c r="A2404" s="42" t="str">
        <f>"J"&amp;E2391</f>
        <v>J80</v>
      </c>
      <c r="B2404" s="612" t="str">
        <f t="shared" si="482"/>
        <v/>
      </c>
      <c r="C2404" s="582"/>
      <c r="D2404" s="582"/>
      <c r="E2404" s="582"/>
      <c r="F2404" s="582"/>
      <c r="G2404" s="583"/>
      <c r="H2404" s="583"/>
      <c r="I2404" s="584"/>
      <c r="J2404" s="585" t="str">
        <f>IF(I2404="","",IF(I2404="I",$F2391,VLOOKUP(I2404,$C2412:$D2417,2,0)))</f>
        <v/>
      </c>
      <c r="K2404" s="586"/>
      <c r="L2404" s="586"/>
      <c r="M2404" s="587"/>
      <c r="N2404" s="43" t="str">
        <f t="shared" si="480"/>
        <v/>
      </c>
      <c r="O2404" s="260" t="str">
        <f t="shared" si="481"/>
        <v/>
      </c>
      <c r="P2404" s="781"/>
      <c r="Q2404" s="782"/>
      <c r="R2404" s="767"/>
      <c r="S2404" s="768"/>
      <c r="T2404" s="538"/>
      <c r="U2404" s="539"/>
      <c r="V2404" s="540"/>
      <c r="X2404" s="541"/>
      <c r="Y2404" s="541"/>
    </row>
    <row r="2405" spans="1:29" s="27" customFormat="1" ht="12" customHeight="1" thickBot="1">
      <c r="A2405" s="42"/>
      <c r="B2405" s="45"/>
      <c r="C2405" s="46"/>
      <c r="D2405" s="46"/>
      <c r="E2405" s="46"/>
      <c r="F2405" s="46"/>
      <c r="G2405" s="46"/>
      <c r="H2405" s="606"/>
      <c r="I2405" s="46"/>
      <c r="J2405" s="46"/>
      <c r="K2405" s="46"/>
      <c r="L2405" s="46"/>
      <c r="M2405" s="46"/>
      <c r="N2405" s="46"/>
      <c r="O2405" s="259"/>
      <c r="P2405" s="46"/>
      <c r="Q2405" s="46"/>
      <c r="R2405" s="259"/>
      <c r="S2405" s="46"/>
      <c r="T2405" s="46"/>
      <c r="U2405" s="47"/>
      <c r="V2405" s="48"/>
      <c r="X2405" s="592"/>
      <c r="Y2405" s="593"/>
      <c r="AB2405" s="378"/>
    </row>
    <row r="2406" spans="1:29" s="27" customFormat="1" ht="17.25" customHeight="1" thickBot="1">
      <c r="A2406" s="42" t="str">
        <f>"Z"&amp;E2391</f>
        <v>Z80</v>
      </c>
      <c r="B2406" s="510"/>
      <c r="C2406" s="511"/>
      <c r="D2406" s="511"/>
      <c r="E2406" s="511"/>
      <c r="F2406" s="511"/>
      <c r="G2406" s="511"/>
      <c r="H2406" s="511"/>
      <c r="I2406" s="511"/>
      <c r="J2406" s="511"/>
      <c r="K2406" s="511"/>
      <c r="L2406" s="511"/>
      <c r="M2406" s="511"/>
      <c r="N2406" s="437" t="s">
        <v>388</v>
      </c>
      <c r="O2406" s="438">
        <f>IF(COUNTIF(O2395:O2404,"")&gt;9,0,SUM(O2395:O2404)/(COUNTIF(H2395:H2404,"SI")))</f>
        <v>386.95850000000002</v>
      </c>
      <c r="P2406" s="511"/>
      <c r="Q2406" s="511"/>
      <c r="R2406" s="530"/>
      <c r="S2406" s="530"/>
      <c r="T2406" s="531"/>
      <c r="U2406" s="532"/>
      <c r="V2406" s="533"/>
      <c r="W2406" s="285"/>
      <c r="X2406" s="613" t="e">
        <f>COUNTIF(#REF!,"")-COUNTIF(#REF!,"CUMPLE")-1</f>
        <v>#REF!</v>
      </c>
      <c r="Y2406" s="591"/>
      <c r="AB2406" s="28"/>
    </row>
    <row r="2407" spans="1:29" ht="17.25" customHeight="1">
      <c r="B2407" s="50"/>
      <c r="C2407" s="50"/>
      <c r="D2407" s="50"/>
      <c r="E2407" s="50"/>
      <c r="F2407" s="50"/>
      <c r="G2407" s="51"/>
      <c r="H2407" s="51"/>
      <c r="I2407" s="51"/>
      <c r="J2407" s="51"/>
      <c r="K2407" s="51"/>
      <c r="L2407" s="51"/>
      <c r="M2407" s="51"/>
      <c r="N2407" s="51"/>
      <c r="O2407" s="51"/>
      <c r="P2407" s="51"/>
      <c r="Q2407" s="51"/>
      <c r="R2407" s="51"/>
      <c r="S2407" s="51"/>
      <c r="T2407" s="51"/>
      <c r="U2407" s="51"/>
      <c r="V2407" s="51"/>
      <c r="W2407" s="51"/>
      <c r="X2407" s="608"/>
      <c r="Y2407" s="51"/>
      <c r="Z2407" s="51"/>
      <c r="AA2407" s="51"/>
      <c r="AB2407" s="51"/>
      <c r="AC2407" s="50"/>
    </row>
    <row r="2408" spans="1:29" s="27" customFormat="1" ht="16.5" customHeight="1" thickBot="1">
      <c r="A2408" s="22"/>
      <c r="B2408" s="783" t="s">
        <v>389</v>
      </c>
      <c r="C2408" s="783"/>
      <c r="D2408" s="783"/>
      <c r="E2408" s="783"/>
      <c r="F2408" s="783"/>
      <c r="G2408" s="783"/>
      <c r="H2408" s="783"/>
      <c r="I2408" s="783"/>
      <c r="J2408" s="783"/>
      <c r="K2408" s="783"/>
      <c r="L2408" s="783"/>
      <c r="M2408" s="783"/>
      <c r="N2408" s="783"/>
      <c r="O2408" s="783"/>
      <c r="P2408" s="783"/>
      <c r="Q2408" s="783"/>
      <c r="R2408" s="783"/>
      <c r="S2408" s="783"/>
      <c r="T2408" s="783"/>
      <c r="U2408" s="783"/>
      <c r="V2408" s="783"/>
      <c r="W2408" s="286"/>
      <c r="X2408" s="607"/>
      <c r="Y2408" s="52"/>
      <c r="Z2408" s="52"/>
      <c r="AA2408" s="52"/>
      <c r="AB2408" s="28"/>
      <c r="AC2408" s="28"/>
    </row>
    <row r="2409" spans="1:29" s="30" customFormat="1" ht="22.5" customHeight="1">
      <c r="A2409" s="112" t="str">
        <f>"K"&amp;E2391</f>
        <v>K80</v>
      </c>
      <c r="B2409" s="790" t="s">
        <v>390</v>
      </c>
      <c r="C2409" s="772" t="s">
        <v>391</v>
      </c>
      <c r="D2409" s="773"/>
      <c r="E2409" s="773"/>
      <c r="F2409" s="773"/>
      <c r="G2409" s="773"/>
      <c r="H2409" s="773"/>
      <c r="I2409" s="773"/>
      <c r="J2409" s="773"/>
      <c r="K2409" s="773"/>
      <c r="L2409" s="773"/>
      <c r="M2409" s="774"/>
      <c r="N2409" s="525"/>
      <c r="O2409" s="588"/>
      <c r="P2409" s="772" t="s">
        <v>392</v>
      </c>
      <c r="Q2409" s="773"/>
      <c r="R2409" s="773"/>
      <c r="S2409" s="774"/>
      <c r="T2409" s="784" t="s">
        <v>393</v>
      </c>
      <c r="U2409" s="774"/>
      <c r="V2409" s="811"/>
      <c r="W2409" s="284"/>
      <c r="X2409" s="778" t="s">
        <v>394</v>
      </c>
      <c r="Y2409" s="779"/>
      <c r="Z2409" s="779"/>
      <c r="AA2409" s="779" t="s">
        <v>395</v>
      </c>
      <c r="AB2409" s="808" t="s">
        <v>396</v>
      </c>
      <c r="AC2409" s="28"/>
    </row>
    <row r="2410" spans="1:29" s="30" customFormat="1" ht="22.5" customHeight="1">
      <c r="A2410" s="112" t="str">
        <f>"L"&amp;E2391</f>
        <v>L80</v>
      </c>
      <c r="B2410" s="791"/>
      <c r="C2410" s="769" t="s">
        <v>397</v>
      </c>
      <c r="D2410" s="770"/>
      <c r="E2410" s="771"/>
      <c r="F2410" s="512">
        <f>IF(VLOOKUP(E2391,PROPONENTES!$C$19:$E$108,3,0)="","",VLOOKUP(E2391,PROPONENTES!$C$19:$E$108,3,0))</f>
        <v>1</v>
      </c>
      <c r="G2410" s="824" t="s">
        <v>398</v>
      </c>
      <c r="H2410" s="793" t="s">
        <v>399</v>
      </c>
      <c r="I2410" s="793"/>
      <c r="J2410" s="769" t="s">
        <v>400</v>
      </c>
      <c r="K2410" s="823"/>
      <c r="L2410" s="513" t="s">
        <v>401</v>
      </c>
      <c r="M2410" s="513"/>
      <c r="N2410" s="526"/>
      <c r="O2410" s="527"/>
      <c r="P2410" s="775"/>
      <c r="Q2410" s="776"/>
      <c r="R2410" s="776"/>
      <c r="S2410" s="777"/>
      <c r="T2410" s="796"/>
      <c r="U2410" s="797"/>
      <c r="V2410" s="812"/>
      <c r="W2410" s="284"/>
      <c r="X2410" s="780" t="s">
        <v>402</v>
      </c>
      <c r="Y2410" s="810" t="s">
        <v>403</v>
      </c>
      <c r="Z2410" s="810"/>
      <c r="AA2410" s="810"/>
      <c r="AB2410" s="809"/>
      <c r="AC2410" s="28"/>
    </row>
    <row r="2411" spans="1:29" s="30" customFormat="1" ht="51.75" customHeight="1" thickBot="1">
      <c r="A2411" s="112" t="str">
        <f>"M"&amp;E2391</f>
        <v>M80</v>
      </c>
      <c r="B2411" s="791"/>
      <c r="C2411" s="770" t="s">
        <v>404</v>
      </c>
      <c r="D2411" s="771"/>
      <c r="E2411" s="514" t="s">
        <v>405</v>
      </c>
      <c r="F2411" s="515" t="s">
        <v>406</v>
      </c>
      <c r="G2411" s="824"/>
      <c r="H2411" s="793"/>
      <c r="I2411" s="793"/>
      <c r="J2411" s="504" t="s">
        <v>407</v>
      </c>
      <c r="K2411" s="516" t="s">
        <v>408</v>
      </c>
      <c r="L2411" s="517" t="s">
        <v>409</v>
      </c>
      <c r="M2411" s="517"/>
      <c r="N2411" s="528" t="s">
        <v>410</v>
      </c>
      <c r="O2411" s="529"/>
      <c r="P2411" s="386"/>
      <c r="Q2411" s="387" t="s">
        <v>411</v>
      </c>
      <c r="R2411" s="388"/>
      <c r="S2411" s="113">
        <f>COUNTIFS(H2395:H2404,"SI",O2395:O2404,"&gt;0")</f>
        <v>2</v>
      </c>
      <c r="T2411" s="785"/>
      <c r="U2411" s="787"/>
      <c r="V2411" s="813"/>
      <c r="W2411" s="284"/>
      <c r="X2411" s="780"/>
      <c r="Y2411" s="810"/>
      <c r="Z2411" s="810"/>
      <c r="AA2411" s="810"/>
      <c r="AB2411" s="809"/>
      <c r="AC2411" s="28"/>
    </row>
    <row r="2412" spans="1:29" s="30" customFormat="1" ht="15.75" customHeight="1">
      <c r="A2412" s="112" t="str">
        <f>"N"&amp;E2391</f>
        <v>N80</v>
      </c>
      <c r="B2412" s="791"/>
      <c r="C2412" s="54">
        <v>1</v>
      </c>
      <c r="D2412" s="100" t="str">
        <f>IF(AND(C2412&lt;=F2410,F2410&gt;1,F2410&lt;&gt;""),VLOOKUP(VALUE(E2391&amp;","&amp;C2412),INTEGRANTES!$D$19:$F$192,2,0),"")</f>
        <v/>
      </c>
      <c r="E2412" s="107" t="str">
        <f>IF(D2412&lt;&gt;"",VLOOKUP(VALUE(E2391&amp;","&amp;C2412),INTEGRANTES!$D$19:$F$192,3,0),"")</f>
        <v/>
      </c>
      <c r="F2412" s="380" t="str">
        <f>IF(D2412="","",IF(OR(SUMIF($J2398:$J2404,D2412,$O2398:$O2404)=0,N2412="NO"),"NO APORTA",SUMIF($J2398:$J2404,D2412,$O2398:$O2404)))</f>
        <v/>
      </c>
      <c r="G2412" s="380" t="str">
        <f>IF($D2412="","",IF($F2410&lt;=1,"",ROUND(POSMMLV*PORPO,2)))</f>
        <v/>
      </c>
      <c r="H2412" s="765" t="str">
        <f>IF($D2412="","",IF(OR(F2412="NO APORTA",G2412&gt;F2412),"NO CUMPLE","CUMPLE"))</f>
        <v/>
      </c>
      <c r="I2412" s="766"/>
      <c r="J2412" s="108" t="str">
        <f>IF(D2412="","",IF(OR(AND(SUMIF($J2395:$J2404,D2412,$O2395:$O2404)&gt;=5%*POSMMLV,N2412="SI"),AND(SUMIF($J2395:$J2404,D2412,$O2395:$O2404)=0,E2412&lt;=5%,N2412="SI")),"CUMPLE","NO CUMPLE"))</f>
        <v/>
      </c>
      <c r="K2412" s="105" t="str">
        <f>IF(OR(D2412="",J2412=""),"",IF(AND(J2412="NO CUMPLE",F2412="NO APORTA",E2412&gt;5%),"EXP = 0 y PART &gt; 5%",IF(F2412&lt;5%*Q2417,"EXP &lt; 5%*PO","")))</f>
        <v/>
      </c>
      <c r="L2412" s="389" t="str">
        <f>IF(OR(D2412="",E2412=""),"",IF(AND(E2412&gt;=0.25,F2412&lt;&gt;"NO APORTA",F2412&gt;=$R2417*0.25),"SI","NO"))</f>
        <v/>
      </c>
      <c r="M2412" s="389"/>
      <c r="N2412" s="468" t="s">
        <v>385</v>
      </c>
      <c r="O2412" s="396">
        <f>COUNTIFS(O2395:O2404,"&gt;0",H2395:H2404,"SI")</f>
        <v>2</v>
      </c>
      <c r="P2412" s="814" t="s">
        <v>139</v>
      </c>
      <c r="Q2412" s="814"/>
      <c r="R2412" s="817">
        <f>E2391</f>
        <v>80</v>
      </c>
      <c r="S2412" s="818"/>
      <c r="T2412" s="784" t="s">
        <v>412</v>
      </c>
      <c r="U2412" s="773"/>
      <c r="V2412" s="774"/>
      <c r="W2412" s="283"/>
      <c r="X2412" s="542" t="str">
        <f>IF($F2410=1,"NO APLICA",$D2412)</f>
        <v>NO APLICA</v>
      </c>
      <c r="Y2412" s="543" t="str">
        <f>IF(OR($F2412="",$F2412="NO APORTA",$R2417=0,$X2412="NO APLICA"),"",ROUND($F2412/$Q2417,2))</f>
        <v/>
      </c>
      <c r="Z2412" s="544" t="str">
        <f>IF(Y2418=1,"SI APLICA",IF(OR($X2412="",$X2412="NO APLICA",$F2412="",$F2412="NO APORTA"),"",IF(ROUND($F2412/Q2417,7)&gt;=0.4,"SI APLICA","NO APLICA")))</f>
        <v>SI APLICA</v>
      </c>
      <c r="AA2412" s="543" t="s">
        <v>413</v>
      </c>
      <c r="AB2412" s="540" t="str">
        <f>IF(COUNTIF(Z2412:AA2412,"SI APLICA")=2,"SI APLICA","")</f>
        <v>SI APLICA</v>
      </c>
      <c r="AC2412" s="28"/>
    </row>
    <row r="2413" spans="1:29" s="30" customFormat="1" ht="15.75" customHeight="1" thickBot="1">
      <c r="A2413" s="112" t="str">
        <f>"O"&amp;E2391</f>
        <v>O80</v>
      </c>
      <c r="B2413" s="791"/>
      <c r="C2413" s="54">
        <v>2</v>
      </c>
      <c r="D2413" s="100" t="str">
        <f>IF(AND(C2413&lt;=F2410,F2410&lt;&gt;""),VLOOKUP(VALUE(E2391&amp;","&amp;C2413),INTEGRANTES!$D$19:$F$192,2,0),"")</f>
        <v/>
      </c>
      <c r="E2413" s="107" t="str">
        <f>IF(D2413&lt;&gt;"",VLOOKUP(VALUE(E2391&amp;","&amp;C2413),INTEGRANTES!$D$19:$F$192,3,0),"")</f>
        <v/>
      </c>
      <c r="F2413" s="380" t="str">
        <f>IF(D2413="","",IF(OR(SUMIF($J2398:$J2404,D2413,$O2398:$O2404)=0,N2413="NO"),"NO APORTA",SUMIF($J2398:$J2404,D2413,$O2398:$O2404)))</f>
        <v/>
      </c>
      <c r="G2413" s="380" t="str">
        <f>IF($D2413="","",IF($F2410&lt;=1,"",ROUND(POSMMLV*PORPO,2)))</f>
        <v/>
      </c>
      <c r="H2413" s="765" t="str">
        <f t="shared" ref="H2413:H2416" si="483">IF($D2413="","",IF(OR(F2413="NO APORTA",G2413&gt;F2413),"NO CUMPLE","CUMPLE"))</f>
        <v/>
      </c>
      <c r="I2413" s="766"/>
      <c r="J2413" s="108" t="str">
        <f>IF(D2413="","",IF(OR(AND(SUMIF($J2395:$J2404,D2413,$O2395:$O2404)&gt;=5%*POSMMLV,N2413="SI"),AND(SUMIF($J2395:$J2404,D2413,$O2395:$O2404)=0,E2413&lt;=5%,N2413="SI")),"CUMPLE","NO CUMPLE"))</f>
        <v/>
      </c>
      <c r="K2413" s="105" t="str">
        <f>IF(OR(D2413="",J2413=""),"",IF(AND(J2413="NO CUMPLE",F2413="NO APORTA",E2413&gt;5%),"EXP = 0 y PART &gt; 5%",IF(F2413&lt;5%*Q2417,"EXP &lt; 5%*PO","")))</f>
        <v/>
      </c>
      <c r="L2413" s="389" t="str">
        <f>IF(OR(D2413="",E2413=""),"",IF(AND(E2413&gt;=0.25,F2413&lt;&gt;"NO APORTA",F2413&gt;=$R2417*0.25),"SI","NO"))</f>
        <v/>
      </c>
      <c r="M2413" s="389"/>
      <c r="N2413" s="468" t="s">
        <v>385</v>
      </c>
      <c r="O2413" s="396"/>
      <c r="P2413" s="815"/>
      <c r="Q2413" s="815"/>
      <c r="R2413" s="815"/>
      <c r="S2413" s="819"/>
      <c r="T2413" s="785"/>
      <c r="U2413" s="786"/>
      <c r="V2413" s="787"/>
      <c r="W2413" s="283"/>
      <c r="X2413" s="542" t="str">
        <f>IF($F2410=1,"NO APLICA",$D2413)</f>
        <v>NO APLICA</v>
      </c>
      <c r="Y2413" s="543" t="str">
        <f>IF(OR($F2413="",$F2413="NO APORTA",$R2417=0,$X2413="NO APLICA"),"",ROUND($F2413/$Q2417,2))</f>
        <v/>
      </c>
      <c r="Z2413" s="544"/>
      <c r="AA2413" s="543"/>
      <c r="AB2413" s="540" t="str">
        <f t="shared" ref="AB2413" si="484">IF(COUNTIF(Z2413:AA2413,"SI APLICA")=2,"SI APLICA","")</f>
        <v/>
      </c>
      <c r="AC2413" s="28"/>
    </row>
    <row r="2414" spans="1:29" s="30" customFormat="1" ht="15.75" customHeight="1">
      <c r="A2414" s="112" t="str">
        <f>"P"&amp;E2391</f>
        <v>P80</v>
      </c>
      <c r="B2414" s="791"/>
      <c r="C2414" s="54">
        <v>3</v>
      </c>
      <c r="D2414" s="100" t="str">
        <f>IF(AND(C2414&lt;=F2410,F2410&lt;&gt;""),VLOOKUP(VALUE(E2391&amp;","&amp;C2414),INTEGRANTES!$D$19:$F$192,2,0),"")</f>
        <v/>
      </c>
      <c r="E2414" s="107" t="str">
        <f>IF(D2414&lt;&gt;"",VLOOKUP(VALUE(E2391&amp;","&amp;C2414),INTEGRANTES!$D$19:$F$192,3,0),"")</f>
        <v/>
      </c>
      <c r="F2414" s="380" t="str">
        <f>IF(D2414="","",IF(OR(SUMIF($J2398:$J2404,D2414,$O2398:$O2404)=0,N2414="NO"),"NO APORTA",SUMIF($J2398:$J2404,D2414,$O2398:$O2404)))</f>
        <v/>
      </c>
      <c r="G2414" s="380" t="str">
        <f>IF($D2414="","",IF($F2410&lt;=1,"",ROUND(POSMMLV*PORPO,2)))</f>
        <v/>
      </c>
      <c r="H2414" s="765" t="str">
        <f t="shared" si="483"/>
        <v/>
      </c>
      <c r="I2414" s="766"/>
      <c r="J2414" s="108" t="str">
        <f>IF(D2414="","",IF(OR(AND(SUMIF($J2395:$J2404,D2414,$O2395:$O2404)&gt;=5%*POSMMLV,N2414="SI"),AND(SUMIF($J2395:$J2404,D2414,$O2395:$O2404)=0,E2414&lt;=5%,N2414="SI")),"CUMPLE","NO CUMPLE"))</f>
        <v/>
      </c>
      <c r="K2414" s="105" t="str">
        <f>IF(OR(D2414="",J2414=""),"",IF(AND(J2414="NO CUMPLE",F2414="NO APORTA",E2414&gt;5%),"EXP = 0 y PART &gt; 5%",IF(F2414&lt;5%*Q2417,"EXP &lt; 5%*PO","")))</f>
        <v/>
      </c>
      <c r="L2414" s="389" t="str">
        <f>IF(OR(D2414="",E2414=""),"",IF(AND(E2414&gt;=0.25,F2414&lt;&gt;"NO APORTA",F2414&gt;=$R2417*0.25),"SI","NO"))</f>
        <v/>
      </c>
      <c r="M2414" s="389"/>
      <c r="N2414" s="468"/>
      <c r="O2414" s="397"/>
      <c r="P2414" s="816"/>
      <c r="Q2414" s="816"/>
      <c r="R2414" s="816"/>
      <c r="S2414" s="820"/>
      <c r="T2414" s="308"/>
      <c r="U2414" s="308"/>
      <c r="V2414" s="309"/>
      <c r="W2414" s="284"/>
      <c r="X2414" s="542" t="str">
        <f>IF($F2410=1,"NO APLICA",$D2414)</f>
        <v>NO APLICA</v>
      </c>
      <c r="Y2414" s="543" t="str">
        <f>IF(OR($F2414="",$F2414="NO APORTA",$R2417=0,$X2414="NO APLICA"),"",ROUND($F2414/$Q2417,2))</f>
        <v/>
      </c>
      <c r="Z2414" s="544"/>
      <c r="AA2414" s="543"/>
      <c r="AB2414" s="540" t="str">
        <f>IF(COUNTIF(Z2414:AA2414,"SI APLICA")=2,"SI APLICA","")</f>
        <v/>
      </c>
      <c r="AC2414" s="28"/>
    </row>
    <row r="2415" spans="1:29" s="30" customFormat="1" ht="15.75" customHeight="1">
      <c r="A2415" s="112" t="str">
        <f>"Q"&amp;E2391</f>
        <v>Q80</v>
      </c>
      <c r="B2415" s="791"/>
      <c r="C2415" s="54">
        <v>4</v>
      </c>
      <c r="D2415" s="100" t="str">
        <f>IF(AND(C2415&lt;=F2410,F2410&lt;&gt;""),VLOOKUP(VALUE(E2391&amp;","&amp;C2415),INTEGRANTES!$D$19:$F$192,2,0),"")</f>
        <v/>
      </c>
      <c r="E2415" s="107" t="str">
        <f>IF(D2415&lt;&gt;"",VLOOKUP(VALUE(E2391&amp;","&amp;C2415),INTEGRANTES!$D$19:$F$192,3,0),"")</f>
        <v/>
      </c>
      <c r="F2415" s="380" t="str">
        <f>IF(D2415="","",IF(OR(SUMIF($J2398:$J2404,D2415,$O2398:$O2404)=0,N2415="NO"),"NO APORTA",SUMIF($J2398:$J2404,D2415,$O2398:$O2404)))</f>
        <v/>
      </c>
      <c r="G2415" s="380" t="str">
        <f>IF($D2415="","",IF($F2410&lt;=1,"",ROUND(POSMMLV*PORPO,2)))</f>
        <v/>
      </c>
      <c r="H2415" s="765" t="str">
        <f t="shared" si="483"/>
        <v/>
      </c>
      <c r="I2415" s="766"/>
      <c r="J2415" s="108" t="str">
        <f>IF(D2415="","",IF(OR(AND(SUMIF($J2395:$J2404,D2415,$O2395:$O2404)&gt;=5%*POSMMLV,N2415="SI"),AND(SUMIF($J2395:$J2404,D2415,$O2395:$O2404)=0,E2415&lt;=5%,N2415="SI")),"CUMPLE","NO CUMPLE"))</f>
        <v/>
      </c>
      <c r="K2415" s="105" t="str">
        <f>IF(OR(D2415="",J2415=""),"",IF(AND(J2415="NO CUMPLE",F2415="NO APORTA",E2415&gt;5%),"EXP = 0 y PART &gt; 5%",IF(F2415&lt;5%*Q2417,"EXP &lt; 5%*PO","")))</f>
        <v/>
      </c>
      <c r="L2415" s="389" t="str">
        <f>IF(OR(D2415="",E2415=""),"",IF(AND(E2415&gt;=0.25,F2415&lt;&gt;"NO APORTA",F2415&gt;=$R2417*0.25),"SI","NO"))</f>
        <v/>
      </c>
      <c r="M2415" s="389"/>
      <c r="N2415" s="468"/>
      <c r="O2415" s="788" t="s">
        <v>414</v>
      </c>
      <c r="P2415" s="769" t="s">
        <v>415</v>
      </c>
      <c r="Q2415" s="770"/>
      <c r="R2415" s="770"/>
      <c r="S2415" s="771"/>
      <c r="T2415" s="284"/>
      <c r="U2415" s="284"/>
      <c r="V2415" s="310"/>
      <c r="W2415" s="284"/>
      <c r="X2415" s="542" t="str">
        <f>IF($F2410=1,"NO APLICA",$D2415)</f>
        <v>NO APLICA</v>
      </c>
      <c r="Y2415" s="543" t="str">
        <f>IF(OR($F2415="",$F2415="NO APORTA",$R2417=0,$X2415="NO APLICA"),"",ROUND($F2415/$Q2417,2))</f>
        <v/>
      </c>
      <c r="Z2415" s="544"/>
      <c r="AA2415" s="543"/>
      <c r="AB2415" s="540" t="str">
        <f t="shared" ref="AB2415:AB2416" si="485">IF(COUNTIF(Z2415:AA2415,"SI APLICA")=2,"SI APLICA","")</f>
        <v/>
      </c>
      <c r="AC2415" s="28"/>
    </row>
    <row r="2416" spans="1:29" s="30" customFormat="1" ht="17.25" customHeight="1">
      <c r="A2416" s="112" t="str">
        <f>"R"&amp;E2391</f>
        <v>R80</v>
      </c>
      <c r="B2416" s="791"/>
      <c r="C2416" s="54">
        <v>5</v>
      </c>
      <c r="D2416" s="100" t="str">
        <f>IF(AND(C2416&lt;=F2410,F2410&lt;&gt;""),VLOOKUP(VALUE(E2391&amp;","&amp;C2416),INTEGRANTES!$D$19:$F$192,2,0),"")</f>
        <v/>
      </c>
      <c r="E2416" s="107" t="str">
        <f>IF(D2416&lt;&gt;"",VLOOKUP(VALUE(E2391&amp;","&amp;C2416),INTEGRANTES!$D$19:$F$192,3,0),"")</f>
        <v/>
      </c>
      <c r="F2416" s="380" t="str">
        <f>IF(D2416="","",IF(OR(SUMIF($J2398:$J2404,D2416,$O2398:$O2404)=0,N2416="NO"),"NO APORTA",SUMIF($J2398:$J2404,D2416,$O2398:$O2404)))</f>
        <v/>
      </c>
      <c r="G2416" s="380" t="str">
        <f>IF($D2416="","",IF($F2410&lt;=1,"",ROUND(POSMMLV*PORPO,2)))</f>
        <v/>
      </c>
      <c r="H2416" s="765" t="str">
        <f t="shared" si="483"/>
        <v/>
      </c>
      <c r="I2416" s="766"/>
      <c r="J2416" s="108" t="str">
        <f>IF(D2416="","",IF(OR(AND(SUMIF($J2395:$J2404,D2416,$O2395:$O2404)&gt;=5%*POSMMLV,N2416="SI"),AND(SUMIF($J2395:$J2404,D2416,$O2395:$O2404)=0,E2416&lt;=5%,N2416="SI")),"CUMPLE","NO CUMPLE"))</f>
        <v/>
      </c>
      <c r="K2416" s="105" t="str">
        <f>IF(OR(D2416="",J2416=""),"",IF(AND(J2416="NO CUMPLE",F2416="NO APORTA",E2416&gt;5%),"EXP = 0 y PART &gt; 5%",IF(F2416&lt;5%*Q2417,"EXP &lt; 5%*PO","")))</f>
        <v/>
      </c>
      <c r="L2416" s="389" t="str">
        <f>IF(OR(D2416="",E2416=""),"",IF(AND(E2416&gt;=0.25,F2416&lt;&gt;"NO APORTA",F2416&gt;=$R2417*0.25),"SI","NO"))</f>
        <v/>
      </c>
      <c r="M2416" s="389"/>
      <c r="N2416" s="468"/>
      <c r="O2416" s="789"/>
      <c r="P2416" s="504" t="s">
        <v>416</v>
      </c>
      <c r="Q2416" s="504" t="s">
        <v>417</v>
      </c>
      <c r="R2416" s="793" t="s">
        <v>418</v>
      </c>
      <c r="S2416" s="793"/>
      <c r="T2416" s="284"/>
      <c r="U2416" s="284"/>
      <c r="V2416" s="310"/>
      <c r="W2416" s="284"/>
      <c r="X2416" s="542" t="str">
        <f>IF($F2410=1,"NO APLICA",$D2416)</f>
        <v>NO APLICA</v>
      </c>
      <c r="Y2416" s="543" t="str">
        <f>IF(OR($F2416="",$F2416="NO APORTA",$R2417=0,$X2416="NO APLICA"),"",ROUND($F2416/$Q2417,2))</f>
        <v/>
      </c>
      <c r="Z2416" s="544"/>
      <c r="AA2416" s="543"/>
      <c r="AB2416" s="540" t="str">
        <f t="shared" si="485"/>
        <v/>
      </c>
      <c r="AC2416" s="28"/>
    </row>
    <row r="2417" spans="1:29" s="30" customFormat="1" ht="16.5" customHeight="1" thickBot="1">
      <c r="A2417" s="112" t="str">
        <f>"S"&amp;E2391</f>
        <v>S80</v>
      </c>
      <c r="B2417" s="791"/>
      <c r="C2417" s="109">
        <v>6</v>
      </c>
      <c r="D2417" s="110" t="str">
        <f>IF(AND(C2417&lt;=F2410,F2410&lt;&gt;""),VLOOKUP(VALUE(E2391&amp;","&amp;C2417),INTEGRANTES!$D$19:$F$192,2,0),"")</f>
        <v/>
      </c>
      <c r="E2417" s="111" t="str">
        <f>IF(D2417&lt;&gt;"",VLOOKUP(VALUE(E2391&amp;","&amp;C2417),INTEGRANTES!$D$19:$F$192,3,0),"")</f>
        <v/>
      </c>
      <c r="F2417" s="380" t="str">
        <f>IF(D2417="","",IF(OR(SUMIF($J2398:$J2404,D2417,$O2398:$O2404)=0,N2417="NO"),"NO APORTA",SUMIF($J2398:$J2404,D2417,$O2398:$O2404)))</f>
        <v/>
      </c>
      <c r="G2417" s="380" t="str">
        <f>IF($D2417="","",IF($F2410&lt;=1,"",ROUND(POSMMLV*PORPO,2)))</f>
        <v/>
      </c>
      <c r="H2417" s="765" t="str">
        <f>IF($D2417="","",IF(OR(F2417="NO APORTA",G2417&gt;F2417),"NO CUMPLE","CUMPLE"))</f>
        <v/>
      </c>
      <c r="I2417" s="766"/>
      <c r="J2417" s="108" t="str">
        <f>IF(D2417="","",IF(OR(AND(SUMIF($J2395:$J2404,D2417,$O2395:$O2404)&gt;=5%*POSMMLV,N2417="SI"),AND(SUMIF($J2395:$J2404,D2417,$O2395:$O2404)=0,E2417&lt;=5%,N2417="SI")),"CUMPLE","NO CUMPLE"))</f>
        <v/>
      </c>
      <c r="K2417" s="105" t="str">
        <f>IF(OR(D2417="",J2417=""),"",IF(AND(J2417="NO CUMPLE",F2417="NO APORTA",E2417&gt;5%),"EXP = 0 y PART &gt; 5%",IF(F2417&lt;5%*Q2417,"EXP &lt; 5%*PO","")))</f>
        <v/>
      </c>
      <c r="L2417" s="389" t="str">
        <f>IF(OR(D2417="",E2417=""),"",IF(AND(E2417&gt;=0.25,F2417&lt;&gt;"NO APORTA",F2417&gt;=$R2417*0.25),"SI","NO"))</f>
        <v/>
      </c>
      <c r="M2417" s="389"/>
      <c r="N2417" s="468"/>
      <c r="O2417" s="403" t="str">
        <f ca="1">IF(R2417&gt;=Q2417,"CUMPLE","NO CUMPLE")</f>
        <v>CUMPLE</v>
      </c>
      <c r="P2417" s="312">
        <f>NUMMOD</f>
        <v>1</v>
      </c>
      <c r="Q2417" s="313">
        <f ca="1">IF(P2417="","",ROUND(VLOOKUP(P2417,PRESUPUESTOS!$B$16:$L$16,9,FALSE),7))</f>
        <v>300</v>
      </c>
      <c r="R2417" s="834">
        <f>IF(OR(COUNTIF(O2395:O2404,"")&gt;9,S2411&lt;NUMMINCONT),0,SUM(O2395:O2404))</f>
        <v>773.91700000000003</v>
      </c>
      <c r="S2417" s="834"/>
      <c r="T2417" s="284"/>
      <c r="U2417" s="284"/>
      <c r="V2417" s="310"/>
      <c r="W2417" s="284"/>
      <c r="X2417" s="545" t="str">
        <f>IF($F2410=1,"NO APLICA",$D2417)</f>
        <v>NO APLICA</v>
      </c>
      <c r="Y2417" s="543" t="str">
        <f>IF(OR($F2417="",$F2417="NO APORTA",$R2417=0,$X2417="NO APLICA"),"",ROUND($F2417/$Q2417,2))</f>
        <v/>
      </c>
      <c r="Z2417" s="544"/>
      <c r="AA2417" s="546"/>
      <c r="AB2417" s="540" t="str">
        <f>IF(COUNTIF(Z2417:AA2417,"SI APLICA")=2,"SI APLICA","")</f>
        <v/>
      </c>
      <c r="AC2417" s="28"/>
    </row>
    <row r="2418" spans="1:29" s="30" customFormat="1" ht="16.5" customHeight="1" thickBot="1">
      <c r="A2418" s="112" t="str">
        <f>"T"&amp;E2391</f>
        <v>T80</v>
      </c>
      <c r="B2418" s="792"/>
      <c r="C2418" s="821" t="s">
        <v>419</v>
      </c>
      <c r="D2418" s="822"/>
      <c r="E2418" s="822"/>
      <c r="F2418" s="518"/>
      <c r="G2418" s="519"/>
      <c r="H2418" s="794" t="str">
        <f>IF(OR($F2410="",SUM(E2412:E2417)=0),"",IF(COUNTIF(H2412:H2417,"CUMPLE")&gt;=1,"CUMPLE","NO CUMPLE"))</f>
        <v/>
      </c>
      <c r="I2418" s="795"/>
      <c r="J2418" s="314" t="str">
        <f>IF(COUNTIF(J2412:J2417,"")&gt;5,"",IF(COUNTIF(J2412:J2417,"NO CUMPLE")&gt;0,"NO CUMPLE","CUMPLE"))</f>
        <v/>
      </c>
      <c r="K2418" s="314" t="str">
        <f>IF(OR(AND(F2410=1,N2412="SI"),AND(COUNTIF(H2418:J2418,"CUMPLE")=2)),"CUMPLE","NO CUMPLE")</f>
        <v>CUMPLE</v>
      </c>
      <c r="L2418" s="519"/>
      <c r="M2418" s="519"/>
      <c r="N2418" s="519"/>
      <c r="O2418" s="833" t="str">
        <f ca="1">IF(ISNUMBER(F2391),"",IF(AND(O2417="NO CUMPLE",SUM(N2398:N2404)&lt;Q2417),"EL PROPONENTE SE DEBE REQUERIR POR EXPERIENCIA MINIMA EXIGIDA",""))</f>
        <v/>
      </c>
      <c r="P2418" s="833"/>
      <c r="Q2418" s="833"/>
      <c r="R2418" s="833"/>
      <c r="S2418" s="833"/>
      <c r="T2418" s="522"/>
      <c r="U2418" s="523"/>
      <c r="V2418" s="524"/>
      <c r="W2418" s="284"/>
      <c r="X2418" s="364" t="str">
        <f>IF(Y2418=1,"PROPONENTE INDIVIDUAL","PROPONENTE PLURAL")</f>
        <v>PROPONENTE INDIVIDUAL</v>
      </c>
      <c r="Y2418" s="276">
        <f>F2410</f>
        <v>1</v>
      </c>
      <c r="Z2418" s="277" t="str">
        <f>IF(OR(AND(Z2412="SI APLICA",AA2412="SI APLICA"),AND(Z2413="SI APLICA",AA2413="SI APLICA"),AND(Z2414="SI APLICA",AA2414="SI APLICA"),AND(Z2415="SI APLICA",AA2415="SI APLICA"),AND(Z2416="SI APLICA",AA2416="SI APLICA"),AND(Z2417="SI APLICA",AA2417="SI APLICA")),"SI APLICA","NO APLICA")</f>
        <v>SI APLICA</v>
      </c>
      <c r="AA2418" s="278" t="str">
        <f>IF(OR(AND(AA2412="SI APLICA",AB2412="SI APLICA"),AND(AA2413="SI APLICA",AB2413="SI APLICA"),AND(AA2414="SI APLICA",AB2414="SI APLICA"),AND(AA2415="SI APLICA",AB2415="SI APLICA"),AND(AA2416="SI APLICA",AB2416="SI APLICA"),AND(AA2417="SI APLICA",AB2417="SI APLICA")),"SI APLICA","NO APLICA")</f>
        <v>SI APLICA</v>
      </c>
      <c r="AB2418" s="278" t="str">
        <f>IF(COUNTIF(AB2412:AB2417,"SI APLICA")&gt;0,"SI APLICA","NO APLICA")</f>
        <v>SI APLICA</v>
      </c>
      <c r="AC2418" s="28"/>
    </row>
    <row r="2419" spans="1:29" ht="24.95" customHeight="1"/>
    <row r="2420" spans="1:29" ht="24.95" customHeight="1"/>
    <row r="2421" spans="1:29" s="41" customFormat="1" ht="24" thickBot="1">
      <c r="A2421" s="34">
        <v>81</v>
      </c>
      <c r="B2421" s="828" t="s">
        <v>355</v>
      </c>
      <c r="C2421" s="828"/>
      <c r="D2421" s="828"/>
      <c r="E2421" s="35">
        <f>VLOOKUP(A2421,PROPONENTES!$B$19:$E$108,2,FALSE)</f>
        <v>81</v>
      </c>
      <c r="F2421" s="36" t="str">
        <f>VLOOKUP(A2421,PROPONENTES!$B$19:$E$108,3,FALSE)</f>
        <v>CONSORCIO INVIAS JP 2022</v>
      </c>
      <c r="G2421" s="37"/>
      <c r="H2421" s="37"/>
      <c r="I2421" s="36"/>
      <c r="J2421" s="36"/>
      <c r="K2421" s="36"/>
      <c r="L2421" s="36"/>
      <c r="M2421" s="38"/>
      <c r="N2421" s="38"/>
      <c r="O2421" s="37"/>
      <c r="P2421" s="37"/>
      <c r="Q2421" s="39"/>
      <c r="R2421" s="39"/>
      <c r="S2421" s="39"/>
      <c r="T2421" s="39"/>
      <c r="U2421" s="40"/>
      <c r="Y2421" s="52"/>
      <c r="Z2421" s="52"/>
      <c r="AA2421" s="52"/>
      <c r="AB2421" s="28"/>
      <c r="AC2421" s="28"/>
    </row>
    <row r="2422" spans="1:29" s="27" customFormat="1" ht="24.75" customHeight="1">
      <c r="A2422" s="22"/>
      <c r="B2422" s="829" t="s">
        <v>356</v>
      </c>
      <c r="C2422" s="501" t="s">
        <v>357</v>
      </c>
      <c r="D2422" s="502" t="s">
        <v>358</v>
      </c>
      <c r="E2422" s="502"/>
      <c r="F2422" s="502" t="s">
        <v>359</v>
      </c>
      <c r="G2422" s="503"/>
      <c r="H2422" s="803" t="s">
        <v>360</v>
      </c>
      <c r="I2422" s="831" t="s">
        <v>361</v>
      </c>
      <c r="J2422" s="803" t="s">
        <v>362</v>
      </c>
      <c r="K2422" s="803" t="s">
        <v>363</v>
      </c>
      <c r="L2422" s="803" t="s">
        <v>364</v>
      </c>
      <c r="M2422" s="803" t="s">
        <v>365</v>
      </c>
      <c r="N2422" s="804" t="s">
        <v>366</v>
      </c>
      <c r="O2422" s="805"/>
      <c r="P2422" s="806" t="s">
        <v>367</v>
      </c>
      <c r="Q2422" s="807"/>
      <c r="R2422" s="784" t="s">
        <v>368</v>
      </c>
      <c r="S2422" s="774"/>
      <c r="T2422" s="798" t="s">
        <v>369</v>
      </c>
      <c r="U2422" s="799"/>
      <c r="V2422" s="800"/>
      <c r="X2422" s="520"/>
      <c r="Y2422" s="520"/>
    </row>
    <row r="2423" spans="1:29" s="27" customFormat="1" ht="94.5" customHeight="1">
      <c r="A2423" s="22"/>
      <c r="B2423" s="830"/>
      <c r="C2423" s="504" t="s">
        <v>370</v>
      </c>
      <c r="D2423" s="505" t="s">
        <v>41</v>
      </c>
      <c r="E2423" s="505" t="s">
        <v>371</v>
      </c>
      <c r="F2423" s="505" t="s">
        <v>372</v>
      </c>
      <c r="G2423" s="506" t="s">
        <v>373</v>
      </c>
      <c r="H2423" s="793"/>
      <c r="I2423" s="832"/>
      <c r="J2423" s="793"/>
      <c r="K2423" s="793"/>
      <c r="L2423" s="793"/>
      <c r="M2423" s="793"/>
      <c r="N2423" s="504" t="s">
        <v>374</v>
      </c>
      <c r="O2423" s="505" t="s">
        <v>375</v>
      </c>
      <c r="P2423" s="801"/>
      <c r="Q2423" s="802"/>
      <c r="R2423" s="796"/>
      <c r="S2423" s="797"/>
      <c r="T2423" s="507" t="s">
        <v>376</v>
      </c>
      <c r="U2423" s="508" t="s">
        <v>377</v>
      </c>
      <c r="V2423" s="509" t="s">
        <v>378</v>
      </c>
      <c r="X2423" s="521" t="s">
        <v>379</v>
      </c>
      <c r="Y2423" s="521" t="s">
        <v>380</v>
      </c>
    </row>
    <row r="2424" spans="1:29" s="27" customFormat="1" ht="15" customHeight="1">
      <c r="A2424" s="22"/>
      <c r="B2424" s="594"/>
      <c r="C2424" s="595">
        <v>3</v>
      </c>
      <c r="D2424" s="595">
        <v>4</v>
      </c>
      <c r="E2424" s="595">
        <v>5</v>
      </c>
      <c r="F2424" s="595">
        <v>6</v>
      </c>
      <c r="G2424" s="595">
        <v>7</v>
      </c>
      <c r="H2424" s="595">
        <v>8</v>
      </c>
      <c r="I2424" s="595">
        <v>9</v>
      </c>
      <c r="J2424" s="595">
        <v>10</v>
      </c>
      <c r="K2424" s="595">
        <v>11</v>
      </c>
      <c r="L2424" s="595">
        <v>12</v>
      </c>
      <c r="M2424" s="595">
        <v>13</v>
      </c>
      <c r="N2424" s="595">
        <v>14</v>
      </c>
      <c r="O2424" s="595">
        <v>15</v>
      </c>
      <c r="P2424" s="596">
        <v>16</v>
      </c>
      <c r="Q2424" s="597">
        <v>17</v>
      </c>
      <c r="R2424" s="596">
        <v>18</v>
      </c>
      <c r="S2424" s="597">
        <v>19</v>
      </c>
      <c r="T2424" s="598">
        <v>20</v>
      </c>
      <c r="U2424" s="255">
        <v>21</v>
      </c>
      <c r="V2424" s="599">
        <v>22</v>
      </c>
      <c r="X2424" s="589"/>
      <c r="Y2424" s="590"/>
    </row>
    <row r="2425" spans="1:29" s="44" customFormat="1" ht="41.25" customHeight="1">
      <c r="A2425" s="42" t="str">
        <f>"A"&amp;E2421</f>
        <v>A81</v>
      </c>
      <c r="B2425" s="605">
        <f>IF(C2425&lt;&gt;"",B2424+1,"")</f>
        <v>1</v>
      </c>
      <c r="C2425" s="581" t="s">
        <v>1043</v>
      </c>
      <c r="D2425" s="581" t="s">
        <v>1044</v>
      </c>
      <c r="E2425" s="581" t="s">
        <v>1045</v>
      </c>
      <c r="F2425" s="581" t="s">
        <v>431</v>
      </c>
      <c r="G2425" s="534">
        <v>0.95</v>
      </c>
      <c r="H2425" s="534" t="s">
        <v>385</v>
      </c>
      <c r="I2425" s="579">
        <v>1</v>
      </c>
      <c r="J2425" s="580" t="str">
        <f>IF(I2425="","",IF(I2425="I",$F2421,VLOOKUP(I2425,$C2442:$D2447,2,0)))</f>
        <v>JCA INGENIERÍA S.A.S.</v>
      </c>
      <c r="K2425" s="535">
        <v>43508</v>
      </c>
      <c r="L2425" s="535">
        <v>43708</v>
      </c>
      <c r="M2425" s="536">
        <v>231.68</v>
      </c>
      <c r="N2425" s="232">
        <f t="shared" ref="N2425:N2434" si="486">IF(OR(G2425="",M2425=""),"",M2425*G2425)</f>
        <v>220.096</v>
      </c>
      <c r="O2425" s="260">
        <f t="shared" ref="O2425:O2434" si="487">IF(OR(H2425="",H2425="NO",K2425&lt;$Q$17,K2425&gt;$R$17,K2425="",M2425="",N2425=""),"",ROUND(N2425,7))</f>
        <v>220.096</v>
      </c>
      <c r="P2425" s="781"/>
      <c r="Q2425" s="782"/>
      <c r="R2425" s="767"/>
      <c r="S2425" s="768"/>
      <c r="T2425" s="538" t="s">
        <v>385</v>
      </c>
      <c r="U2425" s="539">
        <v>4</v>
      </c>
      <c r="V2425" s="540" t="s">
        <v>385</v>
      </c>
      <c r="X2425" s="541" t="s">
        <v>386</v>
      </c>
      <c r="Y2425" s="541" t="s">
        <v>387</v>
      </c>
    </row>
    <row r="2426" spans="1:29" s="44" customFormat="1" ht="53.25" customHeight="1">
      <c r="A2426" s="42" t="str">
        <f>"B"&amp;E2421</f>
        <v>B81</v>
      </c>
      <c r="B2426" s="605">
        <f t="shared" ref="B2426:B2434" si="488">IF(C2426&lt;&gt;"",B2425+1,"")</f>
        <v>2</v>
      </c>
      <c r="C2426" s="581" t="s">
        <v>1046</v>
      </c>
      <c r="D2426" s="581" t="s">
        <v>1047</v>
      </c>
      <c r="E2426" s="581" t="s">
        <v>1048</v>
      </c>
      <c r="F2426" s="581" t="s">
        <v>431</v>
      </c>
      <c r="G2426" s="534">
        <v>0.7</v>
      </c>
      <c r="H2426" s="534" t="s">
        <v>385</v>
      </c>
      <c r="I2426" s="579">
        <v>2</v>
      </c>
      <c r="J2426" s="580" t="str">
        <f>IF(I2426="","",IF(I2426="I",$F2421,VLOOKUP(I2426,$C2442:$D2447,2,0)))</f>
        <v>PAOLA ANDREA RODRIGUEZ ALCALÁ</v>
      </c>
      <c r="K2426" s="535">
        <v>43591</v>
      </c>
      <c r="L2426" s="535">
        <v>44076</v>
      </c>
      <c r="M2426" s="536">
        <v>1150.1600000000001</v>
      </c>
      <c r="N2426" s="232">
        <f t="shared" si="486"/>
        <v>805.11199999999997</v>
      </c>
      <c r="O2426" s="260">
        <f t="shared" si="487"/>
        <v>805.11199999999997</v>
      </c>
      <c r="P2426" s="781"/>
      <c r="Q2426" s="782"/>
      <c r="R2426" s="767"/>
      <c r="S2426" s="768"/>
      <c r="T2426" s="538" t="s">
        <v>385</v>
      </c>
      <c r="U2426" s="539">
        <v>41</v>
      </c>
      <c r="V2426" s="540" t="s">
        <v>385</v>
      </c>
      <c r="X2426" s="541" t="s">
        <v>386</v>
      </c>
      <c r="Y2426" s="541" t="s">
        <v>435</v>
      </c>
    </row>
    <row r="2427" spans="1:29" s="44" customFormat="1" ht="24.95" customHeight="1">
      <c r="A2427" s="42" t="str">
        <f>"C"&amp;E2421</f>
        <v>C81</v>
      </c>
      <c r="B2427" s="605" t="str">
        <f t="shared" si="488"/>
        <v/>
      </c>
      <c r="C2427" s="581"/>
      <c r="D2427" s="581"/>
      <c r="E2427" s="581"/>
      <c r="F2427" s="581"/>
      <c r="G2427" s="534"/>
      <c r="H2427" s="534"/>
      <c r="I2427" s="579"/>
      <c r="J2427" s="580" t="str">
        <f>IF(I2427="","",IF(I2427="I",$F2421,VLOOKUP(I2427,$C2442:$D2447,2,0)))</f>
        <v/>
      </c>
      <c r="K2427" s="535"/>
      <c r="L2427" s="535"/>
      <c r="M2427" s="536"/>
      <c r="N2427" s="232" t="str">
        <f t="shared" si="486"/>
        <v/>
      </c>
      <c r="O2427" s="260" t="str">
        <f t="shared" si="487"/>
        <v/>
      </c>
      <c r="P2427" s="781"/>
      <c r="Q2427" s="782"/>
      <c r="R2427" s="767"/>
      <c r="S2427" s="768"/>
      <c r="T2427" s="538"/>
      <c r="U2427" s="539"/>
      <c r="V2427" s="540"/>
      <c r="X2427" s="541"/>
      <c r="Y2427" s="541"/>
    </row>
    <row r="2428" spans="1:29" s="44" customFormat="1" ht="24.95" customHeight="1">
      <c r="A2428" s="42" t="str">
        <f>"D"&amp;E2421</f>
        <v>D81</v>
      </c>
      <c r="B2428" s="605" t="str">
        <f t="shared" si="488"/>
        <v/>
      </c>
      <c r="C2428" s="581"/>
      <c r="D2428" s="581"/>
      <c r="E2428" s="581"/>
      <c r="F2428" s="581"/>
      <c r="G2428" s="534"/>
      <c r="H2428" s="534"/>
      <c r="I2428" s="579"/>
      <c r="J2428" s="580" t="str">
        <f>IF(I2428="","",IF(I2428="I",$F2421,VLOOKUP(I2428,$C2442:$D2447,2,0)))</f>
        <v/>
      </c>
      <c r="K2428" s="535"/>
      <c r="L2428" s="535"/>
      <c r="M2428" s="536"/>
      <c r="N2428" s="232" t="str">
        <f t="shared" si="486"/>
        <v/>
      </c>
      <c r="O2428" s="260" t="str">
        <f t="shared" si="487"/>
        <v/>
      </c>
      <c r="P2428" s="781"/>
      <c r="Q2428" s="782"/>
      <c r="R2428" s="767"/>
      <c r="S2428" s="768"/>
      <c r="T2428" s="538"/>
      <c r="U2428" s="539"/>
      <c r="V2428" s="540"/>
      <c r="X2428" s="541"/>
      <c r="Y2428" s="541"/>
    </row>
    <row r="2429" spans="1:29" s="44" customFormat="1" ht="24.95" customHeight="1">
      <c r="A2429" s="42" t="str">
        <f>"E"&amp;E2421</f>
        <v>E81</v>
      </c>
      <c r="B2429" s="605" t="str">
        <f t="shared" si="488"/>
        <v/>
      </c>
      <c r="C2429" s="581"/>
      <c r="D2429" s="581"/>
      <c r="E2429" s="581"/>
      <c r="F2429" s="581"/>
      <c r="G2429" s="534"/>
      <c r="H2429" s="534"/>
      <c r="I2429" s="579"/>
      <c r="J2429" s="580" t="str">
        <f>IF(I2429="","",IF(I2429="I",$F2421,VLOOKUP(I2429,$C2442:$D2447,2,0)))</f>
        <v/>
      </c>
      <c r="K2429" s="535"/>
      <c r="L2429" s="535"/>
      <c r="M2429" s="536"/>
      <c r="N2429" s="232" t="str">
        <f t="shared" si="486"/>
        <v/>
      </c>
      <c r="O2429" s="260" t="str">
        <f t="shared" si="487"/>
        <v/>
      </c>
      <c r="P2429" s="781"/>
      <c r="Q2429" s="782"/>
      <c r="R2429" s="767"/>
      <c r="S2429" s="768"/>
      <c r="T2429" s="538"/>
      <c r="U2429" s="539"/>
      <c r="V2429" s="540"/>
      <c r="X2429" s="541"/>
      <c r="Y2429" s="541"/>
    </row>
    <row r="2430" spans="1:29" s="44" customFormat="1" ht="24.95" customHeight="1">
      <c r="A2430" s="42" t="str">
        <f>"F"&amp;E2421</f>
        <v>F81</v>
      </c>
      <c r="B2430" s="605" t="str">
        <f t="shared" si="488"/>
        <v/>
      </c>
      <c r="C2430" s="581"/>
      <c r="D2430" s="581"/>
      <c r="E2430" s="581"/>
      <c r="F2430" s="581"/>
      <c r="G2430" s="534"/>
      <c r="H2430" s="534"/>
      <c r="I2430" s="579"/>
      <c r="J2430" s="580" t="str">
        <f>IF(I2430="","",IF(I2430="I",$F2421,VLOOKUP(I2430,$C2442:$D2447,2,0)))</f>
        <v/>
      </c>
      <c r="K2430" s="535"/>
      <c r="L2430" s="535"/>
      <c r="M2430" s="536"/>
      <c r="N2430" s="232" t="str">
        <f t="shared" si="486"/>
        <v/>
      </c>
      <c r="O2430" s="260" t="str">
        <f t="shared" si="487"/>
        <v/>
      </c>
      <c r="P2430" s="781"/>
      <c r="Q2430" s="782"/>
      <c r="R2430" s="767"/>
      <c r="S2430" s="768"/>
      <c r="T2430" s="538"/>
      <c r="U2430" s="539"/>
      <c r="V2430" s="540"/>
      <c r="X2430" s="541"/>
      <c r="Y2430" s="541"/>
    </row>
    <row r="2431" spans="1:29" s="44" customFormat="1" ht="24.95" customHeight="1">
      <c r="A2431" s="42" t="str">
        <f>"G"&amp;E2421</f>
        <v>G81</v>
      </c>
      <c r="B2431" s="605" t="str">
        <f t="shared" si="488"/>
        <v/>
      </c>
      <c r="C2431" s="581"/>
      <c r="D2431" s="581"/>
      <c r="E2431" s="581"/>
      <c r="F2431" s="581"/>
      <c r="G2431" s="534"/>
      <c r="H2431" s="534"/>
      <c r="I2431" s="579"/>
      <c r="J2431" s="580" t="str">
        <f>IF(I2431="","",IF(I2431="I",$F2421,VLOOKUP(I2431,$C2442:$D2447,2,0)))</f>
        <v/>
      </c>
      <c r="K2431" s="535"/>
      <c r="L2431" s="535"/>
      <c r="M2431" s="536"/>
      <c r="N2431" s="43" t="str">
        <f t="shared" si="486"/>
        <v/>
      </c>
      <c r="O2431" s="260" t="str">
        <f t="shared" si="487"/>
        <v/>
      </c>
      <c r="P2431" s="781"/>
      <c r="Q2431" s="782"/>
      <c r="R2431" s="767"/>
      <c r="S2431" s="768"/>
      <c r="T2431" s="538"/>
      <c r="U2431" s="539"/>
      <c r="V2431" s="540"/>
      <c r="X2431" s="541"/>
      <c r="Y2431" s="541"/>
    </row>
    <row r="2432" spans="1:29" s="44" customFormat="1" ht="24.95" customHeight="1">
      <c r="A2432" s="42" t="str">
        <f>"H"&amp;E2421</f>
        <v>H81</v>
      </c>
      <c r="B2432" s="605" t="str">
        <f t="shared" si="488"/>
        <v/>
      </c>
      <c r="C2432" s="581"/>
      <c r="D2432" s="581"/>
      <c r="E2432" s="581"/>
      <c r="F2432" s="581"/>
      <c r="G2432" s="534"/>
      <c r="H2432" s="534"/>
      <c r="I2432" s="579"/>
      <c r="J2432" s="580" t="str">
        <f>IF(I2432="","",IF(I2432="I",$F2421,VLOOKUP(I2432,$C2442:$D2447,2,0)))</f>
        <v/>
      </c>
      <c r="K2432" s="535"/>
      <c r="L2432" s="535"/>
      <c r="M2432" s="537"/>
      <c r="N2432" s="43" t="str">
        <f t="shared" si="486"/>
        <v/>
      </c>
      <c r="O2432" s="260" t="str">
        <f t="shared" si="487"/>
        <v/>
      </c>
      <c r="P2432" s="781"/>
      <c r="Q2432" s="782"/>
      <c r="R2432" s="767"/>
      <c r="S2432" s="768"/>
      <c r="T2432" s="538"/>
      <c r="U2432" s="539"/>
      <c r="V2432" s="540"/>
      <c r="X2432" s="541"/>
      <c r="Y2432" s="541"/>
    </row>
    <row r="2433" spans="1:29" s="44" customFormat="1" ht="24.95" customHeight="1">
      <c r="A2433" s="42" t="str">
        <f>"I"&amp;E2421</f>
        <v>I81</v>
      </c>
      <c r="B2433" s="605" t="str">
        <f t="shared" si="488"/>
        <v/>
      </c>
      <c r="C2433" s="581"/>
      <c r="D2433" s="581"/>
      <c r="E2433" s="581"/>
      <c r="F2433" s="581"/>
      <c r="G2433" s="534"/>
      <c r="H2433" s="534"/>
      <c r="I2433" s="579"/>
      <c r="J2433" s="580" t="str">
        <f>IF(I2433="","",IF(I2433="I",$F2421,VLOOKUP(I2433,$C2442:$D2447,2,0)))</f>
        <v/>
      </c>
      <c r="K2433" s="535"/>
      <c r="L2433" s="535"/>
      <c r="M2433" s="537"/>
      <c r="N2433" s="43" t="str">
        <f t="shared" si="486"/>
        <v/>
      </c>
      <c r="O2433" s="260" t="str">
        <f t="shared" si="487"/>
        <v/>
      </c>
      <c r="P2433" s="781"/>
      <c r="Q2433" s="782"/>
      <c r="R2433" s="767"/>
      <c r="S2433" s="768"/>
      <c r="T2433" s="538"/>
      <c r="U2433" s="539"/>
      <c r="V2433" s="540"/>
      <c r="X2433" s="541"/>
      <c r="Y2433" s="541"/>
    </row>
    <row r="2434" spans="1:29" s="44" customFormat="1" ht="24.95" customHeight="1" thickBot="1">
      <c r="A2434" s="42" t="str">
        <f>"J"&amp;E2421</f>
        <v>J81</v>
      </c>
      <c r="B2434" s="612" t="str">
        <f t="shared" si="488"/>
        <v/>
      </c>
      <c r="C2434" s="582"/>
      <c r="D2434" s="582"/>
      <c r="E2434" s="582"/>
      <c r="F2434" s="582"/>
      <c r="G2434" s="583"/>
      <c r="H2434" s="583"/>
      <c r="I2434" s="584"/>
      <c r="J2434" s="585" t="str">
        <f>IF(I2434="","",IF(I2434="I",$F2421,VLOOKUP(I2434,$C2442:$D2447,2,0)))</f>
        <v/>
      </c>
      <c r="K2434" s="586"/>
      <c r="L2434" s="586"/>
      <c r="M2434" s="587"/>
      <c r="N2434" s="43" t="str">
        <f t="shared" si="486"/>
        <v/>
      </c>
      <c r="O2434" s="260" t="str">
        <f t="shared" si="487"/>
        <v/>
      </c>
      <c r="P2434" s="781"/>
      <c r="Q2434" s="782"/>
      <c r="R2434" s="767"/>
      <c r="S2434" s="768"/>
      <c r="T2434" s="538"/>
      <c r="U2434" s="539"/>
      <c r="V2434" s="540"/>
      <c r="X2434" s="541"/>
      <c r="Y2434" s="541"/>
    </row>
    <row r="2435" spans="1:29" s="27" customFormat="1" ht="12" customHeight="1" thickBot="1">
      <c r="A2435" s="42"/>
      <c r="B2435" s="45"/>
      <c r="C2435" s="46"/>
      <c r="D2435" s="46"/>
      <c r="E2435" s="46"/>
      <c r="F2435" s="46"/>
      <c r="G2435" s="46"/>
      <c r="H2435" s="606"/>
      <c r="I2435" s="46"/>
      <c r="J2435" s="46"/>
      <c r="K2435" s="46"/>
      <c r="L2435" s="46"/>
      <c r="M2435" s="46"/>
      <c r="N2435" s="46"/>
      <c r="O2435" s="259"/>
      <c r="P2435" s="46"/>
      <c r="Q2435" s="46"/>
      <c r="R2435" s="259"/>
      <c r="S2435" s="46"/>
      <c r="T2435" s="46"/>
      <c r="U2435" s="47"/>
      <c r="V2435" s="48"/>
      <c r="X2435" s="592"/>
      <c r="Y2435" s="593"/>
      <c r="AB2435" s="378"/>
    </row>
    <row r="2436" spans="1:29" s="27" customFormat="1" ht="17.25" customHeight="1" thickBot="1">
      <c r="A2436" s="42" t="str">
        <f>"Z"&amp;E2421</f>
        <v>Z81</v>
      </c>
      <c r="B2436" s="510"/>
      <c r="C2436" s="511"/>
      <c r="D2436" s="511"/>
      <c r="E2436" s="511"/>
      <c r="F2436" s="511"/>
      <c r="G2436" s="511"/>
      <c r="H2436" s="511"/>
      <c r="I2436" s="511"/>
      <c r="J2436" s="511"/>
      <c r="K2436" s="511"/>
      <c r="L2436" s="511"/>
      <c r="M2436" s="511"/>
      <c r="N2436" s="437" t="s">
        <v>388</v>
      </c>
      <c r="O2436" s="438">
        <f>IF(COUNTIF(O2425:O2434,"")&gt;9,0,SUM(O2425:O2434)/(COUNTIF(H2425:H2434,"SI")))</f>
        <v>512.60400000000004</v>
      </c>
      <c r="P2436" s="511"/>
      <c r="Q2436" s="511"/>
      <c r="R2436" s="530"/>
      <c r="S2436" s="530"/>
      <c r="T2436" s="531"/>
      <c r="U2436" s="532"/>
      <c r="V2436" s="533"/>
      <c r="W2436" s="285"/>
      <c r="X2436" s="613" t="e">
        <f>COUNTIF(#REF!,"")-COUNTIF(#REF!,"CUMPLE")-1</f>
        <v>#REF!</v>
      </c>
      <c r="Y2436" s="591"/>
      <c r="AB2436" s="28"/>
    </row>
    <row r="2437" spans="1:29" ht="17.25" customHeight="1">
      <c r="B2437" s="50"/>
      <c r="C2437" s="50"/>
      <c r="D2437" s="50"/>
      <c r="E2437" s="50"/>
      <c r="F2437" s="50"/>
      <c r="G2437" s="51"/>
      <c r="H2437" s="51"/>
      <c r="I2437" s="51"/>
      <c r="J2437" s="51"/>
      <c r="K2437" s="51"/>
      <c r="L2437" s="51"/>
      <c r="M2437" s="51"/>
      <c r="N2437" s="51"/>
      <c r="O2437" s="51"/>
      <c r="P2437" s="51"/>
      <c r="Q2437" s="51"/>
      <c r="R2437" s="51"/>
      <c r="S2437" s="51"/>
      <c r="T2437" s="51"/>
      <c r="U2437" s="51"/>
      <c r="V2437" s="51"/>
      <c r="W2437" s="51"/>
      <c r="X2437" s="608"/>
      <c r="Y2437" s="51"/>
      <c r="Z2437" s="51"/>
      <c r="AA2437" s="51"/>
      <c r="AB2437" s="51"/>
      <c r="AC2437" s="50"/>
    </row>
    <row r="2438" spans="1:29" s="27" customFormat="1" ht="16.5" customHeight="1" thickBot="1">
      <c r="A2438" s="22"/>
      <c r="B2438" s="783" t="s">
        <v>389</v>
      </c>
      <c r="C2438" s="783"/>
      <c r="D2438" s="783"/>
      <c r="E2438" s="783"/>
      <c r="F2438" s="783"/>
      <c r="G2438" s="783"/>
      <c r="H2438" s="783"/>
      <c r="I2438" s="783"/>
      <c r="J2438" s="783"/>
      <c r="K2438" s="783"/>
      <c r="L2438" s="783"/>
      <c r="M2438" s="783"/>
      <c r="N2438" s="783"/>
      <c r="O2438" s="783"/>
      <c r="P2438" s="783"/>
      <c r="Q2438" s="783"/>
      <c r="R2438" s="783"/>
      <c r="S2438" s="783"/>
      <c r="T2438" s="783"/>
      <c r="U2438" s="783"/>
      <c r="V2438" s="783"/>
      <c r="W2438" s="286"/>
      <c r="X2438" s="607"/>
      <c r="Y2438" s="52"/>
      <c r="Z2438" s="52"/>
      <c r="AA2438" s="52"/>
      <c r="AB2438" s="28"/>
      <c r="AC2438" s="28"/>
    </row>
    <row r="2439" spans="1:29" s="30" customFormat="1" ht="22.5" customHeight="1">
      <c r="A2439" s="112" t="str">
        <f>"K"&amp;E2421</f>
        <v>K81</v>
      </c>
      <c r="B2439" s="790" t="s">
        <v>390</v>
      </c>
      <c r="C2439" s="772" t="s">
        <v>391</v>
      </c>
      <c r="D2439" s="773"/>
      <c r="E2439" s="773"/>
      <c r="F2439" s="773"/>
      <c r="G2439" s="773"/>
      <c r="H2439" s="773"/>
      <c r="I2439" s="773"/>
      <c r="J2439" s="773"/>
      <c r="K2439" s="773"/>
      <c r="L2439" s="773"/>
      <c r="M2439" s="774"/>
      <c r="N2439" s="525"/>
      <c r="O2439" s="588"/>
      <c r="P2439" s="772" t="s">
        <v>392</v>
      </c>
      <c r="Q2439" s="773"/>
      <c r="R2439" s="773"/>
      <c r="S2439" s="774"/>
      <c r="T2439" s="784" t="s">
        <v>393</v>
      </c>
      <c r="U2439" s="774"/>
      <c r="V2439" s="811"/>
      <c r="W2439" s="284"/>
      <c r="X2439" s="778" t="s">
        <v>394</v>
      </c>
      <c r="Y2439" s="779"/>
      <c r="Z2439" s="779"/>
      <c r="AA2439" s="779" t="s">
        <v>395</v>
      </c>
      <c r="AB2439" s="808" t="s">
        <v>396</v>
      </c>
      <c r="AC2439" s="28"/>
    </row>
    <row r="2440" spans="1:29" s="30" customFormat="1" ht="22.5" customHeight="1">
      <c r="A2440" s="112" t="str">
        <f>"L"&amp;E2421</f>
        <v>L81</v>
      </c>
      <c r="B2440" s="791"/>
      <c r="C2440" s="769" t="s">
        <v>397</v>
      </c>
      <c r="D2440" s="770"/>
      <c r="E2440" s="771"/>
      <c r="F2440" s="512">
        <f>IF(VLOOKUP(E2421,PROPONENTES!$C$19:$E$108,3,0)="","",VLOOKUP(E2421,PROPONENTES!$C$19:$E$108,3,0))</f>
        <v>2</v>
      </c>
      <c r="G2440" s="824" t="s">
        <v>398</v>
      </c>
      <c r="H2440" s="793" t="s">
        <v>399</v>
      </c>
      <c r="I2440" s="793"/>
      <c r="J2440" s="769" t="s">
        <v>400</v>
      </c>
      <c r="K2440" s="823"/>
      <c r="L2440" s="513" t="s">
        <v>401</v>
      </c>
      <c r="M2440" s="513"/>
      <c r="N2440" s="526"/>
      <c r="O2440" s="527"/>
      <c r="P2440" s="775"/>
      <c r="Q2440" s="776"/>
      <c r="R2440" s="776"/>
      <c r="S2440" s="777"/>
      <c r="T2440" s="796"/>
      <c r="U2440" s="797"/>
      <c r="V2440" s="812"/>
      <c r="W2440" s="284"/>
      <c r="X2440" s="780" t="s">
        <v>402</v>
      </c>
      <c r="Y2440" s="810" t="s">
        <v>403</v>
      </c>
      <c r="Z2440" s="810"/>
      <c r="AA2440" s="810"/>
      <c r="AB2440" s="809"/>
      <c r="AC2440" s="28"/>
    </row>
    <row r="2441" spans="1:29" s="30" customFormat="1" ht="51.75" customHeight="1" thickBot="1">
      <c r="A2441" s="112" t="str">
        <f>"M"&amp;E2421</f>
        <v>M81</v>
      </c>
      <c r="B2441" s="791"/>
      <c r="C2441" s="770" t="s">
        <v>404</v>
      </c>
      <c r="D2441" s="771"/>
      <c r="E2441" s="514" t="s">
        <v>405</v>
      </c>
      <c r="F2441" s="515" t="s">
        <v>406</v>
      </c>
      <c r="G2441" s="824"/>
      <c r="H2441" s="793"/>
      <c r="I2441" s="793"/>
      <c r="J2441" s="504" t="s">
        <v>407</v>
      </c>
      <c r="K2441" s="516" t="s">
        <v>408</v>
      </c>
      <c r="L2441" s="517" t="s">
        <v>409</v>
      </c>
      <c r="M2441" s="517"/>
      <c r="N2441" s="528" t="s">
        <v>410</v>
      </c>
      <c r="O2441" s="529"/>
      <c r="P2441" s="386"/>
      <c r="Q2441" s="387" t="s">
        <v>411</v>
      </c>
      <c r="R2441" s="388"/>
      <c r="S2441" s="113">
        <f>COUNTIFS(H2425:H2434,"SI",O2425:O2434,"&gt;0")</f>
        <v>2</v>
      </c>
      <c r="T2441" s="785"/>
      <c r="U2441" s="787"/>
      <c r="V2441" s="813"/>
      <c r="W2441" s="284"/>
      <c r="X2441" s="780"/>
      <c r="Y2441" s="810"/>
      <c r="Z2441" s="810"/>
      <c r="AA2441" s="810"/>
      <c r="AB2441" s="809"/>
      <c r="AC2441" s="28"/>
    </row>
    <row r="2442" spans="1:29" s="30" customFormat="1" ht="15.75" customHeight="1">
      <c r="A2442" s="112" t="str">
        <f>"N"&amp;E2421</f>
        <v>N81</v>
      </c>
      <c r="B2442" s="791"/>
      <c r="C2442" s="54">
        <v>1</v>
      </c>
      <c r="D2442" s="100" t="str">
        <f>IF(AND(C2442&lt;=F2440,F2440&gt;1,F2440&lt;&gt;""),VLOOKUP(VALUE(E2421&amp;","&amp;C2442),INTEGRANTES!$D$19:$F$192,2,0),"")</f>
        <v>JCA INGENIERÍA S.A.S.</v>
      </c>
      <c r="E2442" s="107">
        <f>IF(D2442&lt;&gt;"",VLOOKUP(VALUE(E2421&amp;","&amp;C2442),INTEGRANTES!$D$19:$F$192,3,0),"")</f>
        <v>0.95</v>
      </c>
      <c r="F2442" s="380">
        <f>IF(D2442="","",IF(OR(SUMIF($J2425:$J2434,D2442,$O2425:$O2434)=0,N2442="NO"),"NO APORTA",SUMIF($J2425:$J2434,D2442,$O2425:$O2434)))</f>
        <v>220.096</v>
      </c>
      <c r="G2442" s="380">
        <f ca="1">IF($D2442="","",IF($F2440&lt;=1,"",ROUND(POSMMLV*PORPO,2)))</f>
        <v>150</v>
      </c>
      <c r="H2442" s="765" t="str">
        <f ca="1">IF($D2442="","",IF(OR(F2442="NO APORTA",G2442&gt;F2442),"NO CUMPLE","CUMPLE"))</f>
        <v>CUMPLE</v>
      </c>
      <c r="I2442" s="766"/>
      <c r="J2442" s="108" t="str">
        <f ca="1">IF(D2442="","",IF(OR(AND(SUMIF($J2425:$J2434,D2442,$O2425:$O2434)&gt;=5%*POSMMLV,N2442="SI"),AND(SUMIF($J2425:$J2434,D2442,$O2425:$O2434)=0,E2442&lt;=5%,N2442="SI")),"CUMPLE","NO CUMPLE"))</f>
        <v>CUMPLE</v>
      </c>
      <c r="K2442" s="105" t="str">
        <f ca="1">IF(OR(D2442="",J2442=""),"",IF(AND(J2442="NO CUMPLE",F2442="NO APORTA",E2442&gt;5%),"EXP = 0 y PART &gt; 5%",IF(F2442&lt;5%*Q2447,"EXP &lt; 5%*PO","")))</f>
        <v/>
      </c>
      <c r="L2442" s="389" t="str">
        <f>IF(OR(D2442="",E2442=""),"",IF(AND(E2442&gt;=0.05,F2442&lt;&gt;"NO APORTA",F2442&gt;=$R2447*0.05),"SI","NO"))</f>
        <v>SI</v>
      </c>
      <c r="M2442" s="389"/>
      <c r="N2442" s="468" t="s">
        <v>385</v>
      </c>
      <c r="O2442" s="396">
        <f>COUNTIFS(O2425:O2434,"&gt;0",H2425:H2434,"SI")</f>
        <v>2</v>
      </c>
      <c r="P2442" s="814" t="s">
        <v>139</v>
      </c>
      <c r="Q2442" s="814"/>
      <c r="R2442" s="817">
        <f>E2421</f>
        <v>81</v>
      </c>
      <c r="S2442" s="818"/>
      <c r="T2442" s="784" t="s">
        <v>412</v>
      </c>
      <c r="U2442" s="773"/>
      <c r="V2442" s="774"/>
      <c r="W2442" s="283"/>
      <c r="X2442" s="542" t="str">
        <f>IF($F2440=1,"NO APLICA",$D2442)</f>
        <v>JCA INGENIERÍA S.A.S.</v>
      </c>
      <c r="Y2442" s="543">
        <f ca="1">IF(OR($F2442="",$F2442="NO APORTA",$R2447=0,$X2442="NO APLICA"),"",ROUND($F2442/$Q2447,2))</f>
        <v>0.73</v>
      </c>
      <c r="Z2442" s="544" t="str">
        <f ca="1">IF(Y2448=1,"SI APLICA",IF(OR($X2442="",$X2442="NO APLICA",$F2442="",$F2442="NO APORTA"),"",IF(ROUND($F2442/Q2447,7)&gt;=0.4,"SI APLICA","NO APLICA")))</f>
        <v>SI APLICA</v>
      </c>
      <c r="AA2442" s="543" t="s">
        <v>413</v>
      </c>
      <c r="AB2442" s="540" t="str">
        <f ca="1">IF(COUNTIF(Z2442:AA2442,"SI APLICA")=2,"SI APLICA","")</f>
        <v>SI APLICA</v>
      </c>
      <c r="AC2442" s="28"/>
    </row>
    <row r="2443" spans="1:29" s="30" customFormat="1" ht="24" customHeight="1" thickBot="1">
      <c r="A2443" s="112" t="str">
        <f>"O"&amp;E2421</f>
        <v>O81</v>
      </c>
      <c r="B2443" s="791"/>
      <c r="C2443" s="54">
        <v>2</v>
      </c>
      <c r="D2443" s="100" t="str">
        <f>IF(AND(C2443&lt;=F2440,F2440&lt;&gt;""),VLOOKUP(VALUE(E2421&amp;","&amp;C2443),INTEGRANTES!$D$19:$F$192,2,0),"")</f>
        <v>PAOLA ANDREA RODRIGUEZ ALCALÁ</v>
      </c>
      <c r="E2443" s="107">
        <f>IF(D2443&lt;&gt;"",VLOOKUP(VALUE(E2421&amp;","&amp;C2443),INTEGRANTES!$D$19:$F$192,3,0),"")</f>
        <v>0.05</v>
      </c>
      <c r="F2443" s="380">
        <f>IF(D2443="","",IF(OR(SUMIF($J2425:$J2434,D2443,$O2425:$O2434)=0,N2443="NO"),"NO APORTA",SUMIF($J2425:$J2434,D2443,$O2425:$O2434)))</f>
        <v>805.11199999999997</v>
      </c>
      <c r="G2443" s="380">
        <f ca="1">IF($D2443="","",IF($F2440&lt;=1,"",ROUND(POSMMLV*PORPO,2)))</f>
        <v>150</v>
      </c>
      <c r="H2443" s="765" t="str">
        <f t="shared" ref="H2443:H2446" ca="1" si="489">IF($D2443="","",IF(OR(F2443="NO APORTA",G2443&gt;F2443),"NO CUMPLE","CUMPLE"))</f>
        <v>CUMPLE</v>
      </c>
      <c r="I2443" s="766"/>
      <c r="J2443" s="108" t="str">
        <f ca="1">IF(D2443="","",IF(OR(AND(SUMIF($J2425:$J2434,D2443,$O2425:$O2434)&gt;=5%*POSMMLV,N2443="SI"),AND(SUMIF($J2425:$J2434,D2443,$O2425:$O2434)=0,E2443&lt;=5%,N2443="SI")),"CUMPLE","NO CUMPLE"))</f>
        <v>CUMPLE</v>
      </c>
      <c r="K2443" s="105" t="str">
        <f ca="1">IF(OR(D2443="",J2443=""),"",IF(AND(J2443="NO CUMPLE",F2443="NO APORTA",E2443&gt;5%),"EXP = 0 y PART &gt; 5%",IF(F2443&lt;5%*Q2447,"EXP &lt; 5%*PO","")))</f>
        <v/>
      </c>
      <c r="L2443" s="389" t="str">
        <f>IF(OR(D2443="",E2443=""),"",IF(AND(E2443&gt;=0.05,F2443&lt;&gt;"NO APORTA",F2443&gt;=$R2447*0.05),"SI","NO"))</f>
        <v>SI</v>
      </c>
      <c r="M2443" s="389"/>
      <c r="N2443" s="468" t="s">
        <v>385</v>
      </c>
      <c r="O2443" s="396"/>
      <c r="P2443" s="815"/>
      <c r="Q2443" s="815"/>
      <c r="R2443" s="815"/>
      <c r="S2443" s="819"/>
      <c r="T2443" s="785"/>
      <c r="U2443" s="786"/>
      <c r="V2443" s="787"/>
      <c r="W2443" s="283"/>
      <c r="X2443" s="542" t="str">
        <f>IF($F2440=1,"NO APLICA",$D2443)</f>
        <v>PAOLA ANDREA RODRIGUEZ ALCALÁ</v>
      </c>
      <c r="Y2443" s="543">
        <f ca="1">IF(OR($F2443="",$F2443="NO APORTA",$R2447=0,$X2443="NO APLICA"),"",ROUND($F2443/$Q2447,2))</f>
        <v>2.68</v>
      </c>
      <c r="Z2443" s="544" t="str">
        <f ca="1">IF(Y2448=1,"SI APLICA",IF(OR($X2443="",$X2443="NO APLICA",$F2443="",$F2443="NO APORTA"),"",IF(ROUND($F2443/Q2447,7)&gt;=0.4,"SI APLICA","NO APLICA")))</f>
        <v>SI APLICA</v>
      </c>
      <c r="AA2443" s="543" t="s">
        <v>516</v>
      </c>
      <c r="AB2443" s="540" t="str">
        <f t="shared" ref="AB2443" ca="1" si="490">IF(COUNTIF(Z2443:AA2443,"SI APLICA")=2,"SI APLICA","")</f>
        <v/>
      </c>
      <c r="AC2443" s="28"/>
    </row>
    <row r="2444" spans="1:29" s="30" customFormat="1" ht="15.75" customHeight="1">
      <c r="A2444" s="112" t="str">
        <f>"P"&amp;E2421</f>
        <v>P81</v>
      </c>
      <c r="B2444" s="791"/>
      <c r="C2444" s="54">
        <v>3</v>
      </c>
      <c r="D2444" s="100" t="str">
        <f>IF(AND(C2444&lt;=F2440,F2440&lt;&gt;""),VLOOKUP(VALUE(E2421&amp;","&amp;C2444),INTEGRANTES!$D$19:$F$192,2,0),"")</f>
        <v/>
      </c>
      <c r="E2444" s="107" t="str">
        <f>IF(D2444&lt;&gt;"",VLOOKUP(VALUE(E2421&amp;","&amp;C2444),INTEGRANTES!$D$19:$F$192,3,0),"")</f>
        <v/>
      </c>
      <c r="F2444" s="380" t="str">
        <f>IF(D2444="","",IF(OR(SUMIF($J2428:$J2434,D2444,$O2428:$O2434)=0,N2444="NO"),"NO APORTA",SUMIF($J2428:$J2434,D2444,$O2428:$O2434)))</f>
        <v/>
      </c>
      <c r="G2444" s="380" t="str">
        <f>IF($D2444="","",IF($F2440&lt;=1,"",ROUND(POSMMLV*PORPO,2)))</f>
        <v/>
      </c>
      <c r="H2444" s="765" t="str">
        <f t="shared" si="489"/>
        <v/>
      </c>
      <c r="I2444" s="766"/>
      <c r="J2444" s="108" t="str">
        <f>IF(D2444="","",IF(OR(AND(SUMIF($J2425:$J2434,D2444,$O2425:$O2434)&gt;=5%*POSMMLV,N2444="SI"),AND(SUMIF($J2425:$J2434,D2444,$O2425:$O2434)=0,E2444&lt;=5%,N2444="SI")),"CUMPLE","NO CUMPLE"))</f>
        <v/>
      </c>
      <c r="K2444" s="105" t="str">
        <f>IF(OR(D2444="",J2444=""),"",IF(AND(J2444="NO CUMPLE",F2444="NO APORTA",E2444&gt;5%),"EXP = 0 y PART &gt; 5%",IF(F2444&lt;5%*Q2447,"EXP &lt; 5%*PO","")))</f>
        <v/>
      </c>
      <c r="L2444" s="389" t="str">
        <f>IF(OR(D2444="",E2444=""),"",IF(AND(E2444&gt;=0.25,F2444&lt;&gt;"NO APORTA",F2444&gt;=$R2447*0.25),"SI","NO"))</f>
        <v/>
      </c>
      <c r="M2444" s="389"/>
      <c r="N2444" s="468"/>
      <c r="O2444" s="397"/>
      <c r="P2444" s="816"/>
      <c r="Q2444" s="816"/>
      <c r="R2444" s="816"/>
      <c r="S2444" s="820"/>
      <c r="T2444" s="308"/>
      <c r="U2444" s="308"/>
      <c r="V2444" s="309"/>
      <c r="W2444" s="284"/>
      <c r="X2444" s="542" t="str">
        <f>IF($F2440=1,"NO APLICA",$D2444)</f>
        <v/>
      </c>
      <c r="Y2444" s="543" t="str">
        <f>IF(OR($F2444="",$F2444="NO APORTA",$R2447=0,$X2444="NO APLICA"),"",ROUND($F2444/$Q2447,2))</f>
        <v/>
      </c>
      <c r="Z2444" s="544" t="str">
        <f>IF(Y2448=1,"SI APLICA",IF(OR($X2444="",$X2444="NO APLICA",$F2444="",$F2444="NO APORTA"),"",IF(ROUND($F2444/Q2447,7)&gt;=0.4,"SI APLICA","NO APLICA")))</f>
        <v/>
      </c>
      <c r="AA2444" s="543"/>
      <c r="AB2444" s="540" t="str">
        <f>IF(COUNTIF(Z2444:AA2444,"SI APLICA")=2,"SI APLICA","")</f>
        <v/>
      </c>
      <c r="AC2444" s="28"/>
    </row>
    <row r="2445" spans="1:29" s="30" customFormat="1" ht="15.75" customHeight="1">
      <c r="A2445" s="112" t="str">
        <f>"Q"&amp;E2421</f>
        <v>Q81</v>
      </c>
      <c r="B2445" s="791"/>
      <c r="C2445" s="54">
        <v>4</v>
      </c>
      <c r="D2445" s="100" t="str">
        <f>IF(AND(C2445&lt;=F2440,F2440&lt;&gt;""),VLOOKUP(VALUE(E2421&amp;","&amp;C2445),INTEGRANTES!$D$19:$F$192,2,0),"")</f>
        <v/>
      </c>
      <c r="E2445" s="107" t="str">
        <f>IF(D2445&lt;&gt;"",VLOOKUP(VALUE(E2421&amp;","&amp;C2445),INTEGRANTES!$D$19:$F$192,3,0),"")</f>
        <v/>
      </c>
      <c r="F2445" s="380" t="str">
        <f>IF(D2445="","",IF(OR(SUMIF($J2428:$J2434,D2445,$O2428:$O2434)=0,N2445="NO"),"NO APORTA",SUMIF($J2428:$J2434,D2445,$O2428:$O2434)))</f>
        <v/>
      </c>
      <c r="G2445" s="380" t="str">
        <f>IF($D2445="","",IF($F2440&lt;=1,"",ROUND(POSMMLV*PORPO,2)))</f>
        <v/>
      </c>
      <c r="H2445" s="765" t="str">
        <f t="shared" si="489"/>
        <v/>
      </c>
      <c r="I2445" s="766"/>
      <c r="J2445" s="108" t="str">
        <f>IF(D2445="","",IF(OR(AND(SUMIF($J2425:$J2434,D2445,$O2425:$O2434)&gt;=5%*POSMMLV,N2445="SI"),AND(SUMIF($J2425:$J2434,D2445,$O2425:$O2434)=0,E2445&lt;=5%,N2445="SI")),"CUMPLE","NO CUMPLE"))</f>
        <v/>
      </c>
      <c r="K2445" s="105" t="str">
        <f>IF(OR(D2445="",J2445=""),"",IF(AND(J2445="NO CUMPLE",F2445="NO APORTA",E2445&gt;5%),"EXP = 0 y PART &gt; 5%",IF(F2445&lt;5%*Q2447,"EXP &lt; 5%*PO","")))</f>
        <v/>
      </c>
      <c r="L2445" s="389" t="str">
        <f>IF(OR(D2445="",E2445=""),"",IF(AND(E2445&gt;=0.25,F2445&lt;&gt;"NO APORTA",F2445&gt;=$R2447*0.25),"SI","NO"))</f>
        <v/>
      </c>
      <c r="M2445" s="389"/>
      <c r="N2445" s="468"/>
      <c r="O2445" s="788" t="s">
        <v>414</v>
      </c>
      <c r="P2445" s="769" t="s">
        <v>415</v>
      </c>
      <c r="Q2445" s="770"/>
      <c r="R2445" s="770"/>
      <c r="S2445" s="771"/>
      <c r="T2445" s="284"/>
      <c r="U2445" s="284"/>
      <c r="V2445" s="310"/>
      <c r="W2445" s="284"/>
      <c r="X2445" s="542" t="str">
        <f>IF($F2440=1,"NO APLICA",$D2445)</f>
        <v/>
      </c>
      <c r="Y2445" s="543" t="str">
        <f>IF(OR($F2445="",$F2445="NO APORTA",$R2447=0,$X2445="NO APLICA"),"",ROUND($F2445/$Q2447,2))</f>
        <v/>
      </c>
      <c r="Z2445" s="544" t="str">
        <f>IF(Y2448=1,"SI APLICA",IF(OR($X2445="",$X2445="NO APLICA",$F2445="",$F2445="NO APORTA"),"",IF(ROUND($F2445/Q2447,7)&gt;=0.4,"SI APLICA","NO APLICA")))</f>
        <v/>
      </c>
      <c r="AA2445" s="543"/>
      <c r="AB2445" s="540" t="str">
        <f t="shared" ref="AB2445:AB2446" si="491">IF(COUNTIF(Z2445:AA2445,"SI APLICA")=2,"SI APLICA","")</f>
        <v/>
      </c>
      <c r="AC2445" s="28"/>
    </row>
    <row r="2446" spans="1:29" s="30" customFormat="1" ht="17.25" customHeight="1">
      <c r="A2446" s="112" t="str">
        <f>"R"&amp;E2421</f>
        <v>R81</v>
      </c>
      <c r="B2446" s="791"/>
      <c r="C2446" s="54">
        <v>5</v>
      </c>
      <c r="D2446" s="100" t="str">
        <f>IF(AND(C2446&lt;=F2440,F2440&lt;&gt;""),VLOOKUP(VALUE(E2421&amp;","&amp;C2446),INTEGRANTES!$D$19:$F$192,2,0),"")</f>
        <v/>
      </c>
      <c r="E2446" s="107" t="str">
        <f>IF(D2446&lt;&gt;"",VLOOKUP(VALUE(E2421&amp;","&amp;C2446),INTEGRANTES!$D$19:$F$192,3,0),"")</f>
        <v/>
      </c>
      <c r="F2446" s="380" t="str">
        <f>IF(D2446="","",IF(OR(SUMIF($J2428:$J2434,D2446,$O2428:$O2434)=0,N2446="NO"),"NO APORTA",SUMIF($J2428:$J2434,D2446,$O2428:$O2434)))</f>
        <v/>
      </c>
      <c r="G2446" s="380" t="str">
        <f>IF($D2446="","",IF($F2440&lt;=1,"",ROUND(POSMMLV*PORPO,2)))</f>
        <v/>
      </c>
      <c r="H2446" s="765" t="str">
        <f t="shared" si="489"/>
        <v/>
      </c>
      <c r="I2446" s="766"/>
      <c r="J2446" s="108" t="str">
        <f>IF(D2446="","",IF(OR(AND(SUMIF($J2425:$J2434,D2446,$O2425:$O2434)&gt;=5%*POSMMLV,N2446="SI"),AND(SUMIF($J2425:$J2434,D2446,$O2425:$O2434)=0,E2446&lt;=5%,N2446="SI")),"CUMPLE","NO CUMPLE"))</f>
        <v/>
      </c>
      <c r="K2446" s="105" t="str">
        <f>IF(OR(D2446="",J2446=""),"",IF(AND(J2446="NO CUMPLE",F2446="NO APORTA",E2446&gt;5%),"EXP = 0 y PART &gt; 5%",IF(F2446&lt;5%*Q2447,"EXP &lt; 5%*PO","")))</f>
        <v/>
      </c>
      <c r="L2446" s="389" t="str">
        <f>IF(OR(D2446="",E2446=""),"",IF(AND(E2446&gt;=0.25,F2446&lt;&gt;"NO APORTA",F2446&gt;=$R2447*0.25),"SI","NO"))</f>
        <v/>
      </c>
      <c r="M2446" s="389"/>
      <c r="N2446" s="468"/>
      <c r="O2446" s="789"/>
      <c r="P2446" s="504" t="s">
        <v>416</v>
      </c>
      <c r="Q2446" s="504" t="s">
        <v>417</v>
      </c>
      <c r="R2446" s="793" t="s">
        <v>418</v>
      </c>
      <c r="S2446" s="793"/>
      <c r="T2446" s="284"/>
      <c r="U2446" s="284"/>
      <c r="V2446" s="310"/>
      <c r="W2446" s="284"/>
      <c r="X2446" s="542" t="str">
        <f>IF($F2440=1,"NO APLICA",$D2446)</f>
        <v/>
      </c>
      <c r="Y2446" s="543" t="str">
        <f>IF(OR($F2446="",$F2446="NO APORTA",$R2447=0,$X2446="NO APLICA"),"",ROUND($F2446/$Q2447,2))</f>
        <v/>
      </c>
      <c r="Z2446" s="544" t="str">
        <f>IF(Y2448=1,"SI APLICA",IF(OR($X2446="",$X2446="NO APLICA",$F2446="",$F2446="NO APORTA"),"",IF(ROUND($F2446/Q2447,7)&gt;=0.4,"SI APLICA","NO APLICA")))</f>
        <v/>
      </c>
      <c r="AA2446" s="543"/>
      <c r="AB2446" s="540" t="str">
        <f t="shared" si="491"/>
        <v/>
      </c>
      <c r="AC2446" s="28"/>
    </row>
    <row r="2447" spans="1:29" s="30" customFormat="1" ht="16.5" customHeight="1" thickBot="1">
      <c r="A2447" s="112" t="str">
        <f>"S"&amp;E2421</f>
        <v>S81</v>
      </c>
      <c r="B2447" s="791"/>
      <c r="C2447" s="109">
        <v>6</v>
      </c>
      <c r="D2447" s="110" t="str">
        <f>IF(AND(C2447&lt;=F2440,F2440&lt;&gt;""),VLOOKUP(VALUE(E2421&amp;","&amp;C2447),INTEGRANTES!$D$19:$F$192,2,0),"")</f>
        <v/>
      </c>
      <c r="E2447" s="111" t="str">
        <f>IF(D2447&lt;&gt;"",VLOOKUP(VALUE(E2421&amp;","&amp;C2447),INTEGRANTES!$D$19:$F$192,3,0),"")</f>
        <v/>
      </c>
      <c r="F2447" s="380" t="str">
        <f>IF(D2447="","",IF(OR(SUMIF($J2428:$J2434,D2447,$O2428:$O2434)=0,N2447="NO"),"NO APORTA",SUMIF($J2428:$J2434,D2447,$O2428:$O2434)))</f>
        <v/>
      </c>
      <c r="G2447" s="380" t="str">
        <f>IF($D2447="","",IF($F2440&lt;=1,"",ROUND(POSMMLV*PORPO,2)))</f>
        <v/>
      </c>
      <c r="H2447" s="765" t="str">
        <f>IF($D2447="","",IF(OR(F2447="NO APORTA",G2447&gt;F2447),"NO CUMPLE","CUMPLE"))</f>
        <v/>
      </c>
      <c r="I2447" s="766"/>
      <c r="J2447" s="108" t="str">
        <f>IF(D2447="","",IF(OR(AND(SUMIF($J2425:$J2434,D2447,$O2425:$O2434)&gt;=5%*POSMMLV,N2447="SI"),AND(SUMIF($J2425:$J2434,D2447,$O2425:$O2434)=0,E2447&lt;=5%,N2447="SI")),"CUMPLE","NO CUMPLE"))</f>
        <v/>
      </c>
      <c r="K2447" s="105" t="str">
        <f>IF(OR(D2447="",J2447=""),"",IF(AND(J2447="NO CUMPLE",F2447="NO APORTA",E2447&gt;5%),"EXP = 0 y PART &gt; 5%",IF(F2447&lt;5%*Q2447,"EXP &lt; 5%*PO","")))</f>
        <v/>
      </c>
      <c r="L2447" s="389" t="str">
        <f>IF(OR(D2447="",E2447=""),"",IF(AND(E2447&gt;=0.25,F2447&lt;&gt;"NO APORTA",F2447&gt;=$R2447*0.25),"SI","NO"))</f>
        <v/>
      </c>
      <c r="M2447" s="389"/>
      <c r="N2447" s="468"/>
      <c r="O2447" s="403" t="str">
        <f ca="1">IF(R2447&gt;=Q2447,"CUMPLE","NO CUMPLE")</f>
        <v>CUMPLE</v>
      </c>
      <c r="P2447" s="312">
        <f>NUMMOD</f>
        <v>1</v>
      </c>
      <c r="Q2447" s="313">
        <f ca="1">IF(P2447="","",ROUND(VLOOKUP(P2447,PRESUPUESTOS!$B$16:$L$16,9,FALSE),7))</f>
        <v>300</v>
      </c>
      <c r="R2447" s="834">
        <f>IF(OR(COUNTIF(O2425:O2434,"")&gt;9,S2441&lt;NUMMINCONT),0,SUM(O2425:O2434))</f>
        <v>1025.2080000000001</v>
      </c>
      <c r="S2447" s="834"/>
      <c r="T2447" s="284"/>
      <c r="U2447" s="284"/>
      <c r="V2447" s="310"/>
      <c r="W2447" s="284"/>
      <c r="X2447" s="545" t="str">
        <f>IF($F2440=1,"NO APLICA",$D2447)</f>
        <v/>
      </c>
      <c r="Y2447" s="543" t="str">
        <f>IF(OR($F2447="",$F2447="NO APORTA",$R2447=0,$X2447="NO APLICA"),"",ROUND($F2447/$Q2447,2))</f>
        <v/>
      </c>
      <c r="Z2447" s="544" t="str">
        <f>IF(Y2448=1,"SI APLICA",IF(OR($X2447="",$X2447="NO APLICA",$F2447="",$F2447="NO APORTA"),"",IF(ROUND($F2447/Q2447,7)&gt;=0.4,"SI APLICA","NO APLICA")))</f>
        <v/>
      </c>
      <c r="AA2447" s="546"/>
      <c r="AB2447" s="540" t="str">
        <f>IF(COUNTIF(Z2447:AA2447,"SI APLICA")=2,"SI APLICA","")</f>
        <v/>
      </c>
      <c r="AC2447" s="28"/>
    </row>
    <row r="2448" spans="1:29" s="30" customFormat="1" ht="16.5" customHeight="1" thickBot="1">
      <c r="A2448" s="112" t="str">
        <f>"T"&amp;E2421</f>
        <v>T81</v>
      </c>
      <c r="B2448" s="792"/>
      <c r="C2448" s="821" t="s">
        <v>419</v>
      </c>
      <c r="D2448" s="822"/>
      <c r="E2448" s="822"/>
      <c r="F2448" s="518"/>
      <c r="G2448" s="519"/>
      <c r="H2448" s="794" t="str">
        <f ca="1">IF(OR($F2440="",SUM(E2442:E2447)=0),"",IF(COUNTIF(H2442:H2447,"CUMPLE")&gt;=1,"CUMPLE","NO CUMPLE"))</f>
        <v>CUMPLE</v>
      </c>
      <c r="I2448" s="795"/>
      <c r="J2448" s="314" t="str">
        <f ca="1">IF(COUNTIF(J2442:J2447,"")&gt;5,"",IF(COUNTIF(J2442:J2447,"NO CUMPLE")&gt;0,"NO CUMPLE","CUMPLE"))</f>
        <v>CUMPLE</v>
      </c>
      <c r="K2448" s="642" t="str" cm="1">
        <f t="array" aca="1" ref="K2448" ca="1">IF(OR(AND(F2440=1,N2442:N2443="SI"),AND(COUNTIF(H2448:J2448,"CUMPLE")=2)),"CUMPLE","NO CUMPLE")</f>
        <v>CUMPLE</v>
      </c>
      <c r="L2448" s="519"/>
      <c r="M2448" s="519"/>
      <c r="N2448" s="519"/>
      <c r="O2448" s="833" t="str">
        <f ca="1">IF(ISNUMBER(F2421),"",IF(AND(O2447="NO CUMPLE",SUM(N2428:N2434)&lt;Q2447),"EL PROPONENTE SE DEBE REQUERIR POR EXPERIENCIA MINIMA EXIGIDA",""))</f>
        <v/>
      </c>
      <c r="P2448" s="833"/>
      <c r="Q2448" s="833"/>
      <c r="R2448" s="833"/>
      <c r="S2448" s="833"/>
      <c r="T2448" s="522"/>
      <c r="U2448" s="523"/>
      <c r="V2448" s="524"/>
      <c r="W2448" s="284"/>
      <c r="X2448" s="364" t="str">
        <f>IF(Y2448=1,"PROPONENTE INDIVIDUAL","PROPONENTE PLURAL")</f>
        <v>PROPONENTE PLURAL</v>
      </c>
      <c r="Y2448" s="276">
        <f>F2440</f>
        <v>2</v>
      </c>
      <c r="Z2448" s="277" t="str">
        <f ca="1">IF(OR(AND(Z2442="SI APLICA",AA2442="SI APLICA"),AND(Z2443="SI APLICA",AA2443="SI APLICA"),AND(Z2444="SI APLICA",AA2444="SI APLICA"),AND(Z2445="SI APLICA",AA2445="SI APLICA"),AND(Z2446="SI APLICA",AA2446="SI APLICA"),AND(Z2447="SI APLICA",AA2447="SI APLICA")),"SI APLICA","NO APLICA")</f>
        <v>SI APLICA</v>
      </c>
      <c r="AA2448" s="278" t="str">
        <f ca="1">IF(OR(AND(AA2442="SI APLICA",AB2442="SI APLICA"),AND(AA2443="SI APLICA",AB2443="SI APLICA"),AND(AA2444="SI APLICA",AB2444="SI APLICA"),AND(AA2445="SI APLICA",AB2445="SI APLICA"),AND(AA2446="SI APLICA",AB2446="SI APLICA"),AND(AA2447="SI APLICA",AB2447="SI APLICA")),"SI APLICA","NO APLICA")</f>
        <v>SI APLICA</v>
      </c>
      <c r="AB2448" s="278" t="str">
        <f ca="1">IF(COUNTIF(AB2442:AB2447,"SI APLICA")&gt;0,"SI APLICA","NO APLICA")</f>
        <v>SI APLICA</v>
      </c>
      <c r="AC2448" s="28"/>
    </row>
    <row r="2449" spans="1:29" ht="24.95" customHeight="1"/>
    <row r="2450" spans="1:29" ht="24.95" customHeight="1"/>
    <row r="2451" spans="1:29" s="41" customFormat="1" ht="24" thickBot="1">
      <c r="A2451" s="34">
        <v>82</v>
      </c>
      <c r="B2451" s="828" t="s">
        <v>355</v>
      </c>
      <c r="C2451" s="828"/>
      <c r="D2451" s="828"/>
      <c r="E2451" s="35">
        <f>VLOOKUP(A2451,PROPONENTES!$B$19:$E$108,2,FALSE)</f>
        <v>82</v>
      </c>
      <c r="F2451" s="36" t="str">
        <f>VLOOKUP(A2451,PROPONENTES!$B$19:$E$108,3,FALSE)</f>
        <v>SOCIEDAD TECNICA SOTA LTDA</v>
      </c>
      <c r="G2451" s="37"/>
      <c r="H2451" s="37"/>
      <c r="I2451" s="36"/>
      <c r="J2451" s="36"/>
      <c r="K2451" s="36"/>
      <c r="L2451" s="36"/>
      <c r="M2451" s="38"/>
      <c r="N2451" s="38"/>
      <c r="O2451" s="37"/>
      <c r="P2451" s="37"/>
      <c r="Q2451" s="39"/>
      <c r="R2451" s="39"/>
      <c r="S2451" s="39"/>
      <c r="T2451" s="39"/>
      <c r="U2451" s="40"/>
      <c r="Y2451" s="52"/>
      <c r="Z2451" s="52"/>
      <c r="AA2451" s="52"/>
      <c r="AB2451" s="28"/>
      <c r="AC2451" s="28"/>
    </row>
    <row r="2452" spans="1:29" s="27" customFormat="1" ht="24.75" customHeight="1">
      <c r="A2452" s="22"/>
      <c r="B2452" s="829" t="s">
        <v>356</v>
      </c>
      <c r="C2452" s="501" t="s">
        <v>357</v>
      </c>
      <c r="D2452" s="502" t="s">
        <v>358</v>
      </c>
      <c r="E2452" s="502"/>
      <c r="F2452" s="502" t="s">
        <v>359</v>
      </c>
      <c r="G2452" s="503"/>
      <c r="H2452" s="803" t="s">
        <v>360</v>
      </c>
      <c r="I2452" s="831" t="s">
        <v>361</v>
      </c>
      <c r="J2452" s="803" t="s">
        <v>362</v>
      </c>
      <c r="K2452" s="803" t="s">
        <v>363</v>
      </c>
      <c r="L2452" s="803" t="s">
        <v>364</v>
      </c>
      <c r="M2452" s="803" t="s">
        <v>365</v>
      </c>
      <c r="N2452" s="804" t="s">
        <v>366</v>
      </c>
      <c r="O2452" s="805"/>
      <c r="P2452" s="806" t="s">
        <v>367</v>
      </c>
      <c r="Q2452" s="807"/>
      <c r="R2452" s="784" t="s">
        <v>368</v>
      </c>
      <c r="S2452" s="774"/>
      <c r="T2452" s="798" t="s">
        <v>369</v>
      </c>
      <c r="U2452" s="799"/>
      <c r="V2452" s="800"/>
      <c r="X2452" s="520"/>
      <c r="Y2452" s="520"/>
    </row>
    <row r="2453" spans="1:29" s="27" customFormat="1" ht="94.5" customHeight="1">
      <c r="A2453" s="22"/>
      <c r="B2453" s="830"/>
      <c r="C2453" s="504" t="s">
        <v>370</v>
      </c>
      <c r="D2453" s="505" t="s">
        <v>41</v>
      </c>
      <c r="E2453" s="505" t="s">
        <v>371</v>
      </c>
      <c r="F2453" s="505" t="s">
        <v>372</v>
      </c>
      <c r="G2453" s="506" t="s">
        <v>373</v>
      </c>
      <c r="H2453" s="793"/>
      <c r="I2453" s="832"/>
      <c r="J2453" s="793"/>
      <c r="K2453" s="793"/>
      <c r="L2453" s="793"/>
      <c r="M2453" s="793"/>
      <c r="N2453" s="504" t="s">
        <v>374</v>
      </c>
      <c r="O2453" s="505" t="s">
        <v>375</v>
      </c>
      <c r="P2453" s="801"/>
      <c r="Q2453" s="802"/>
      <c r="R2453" s="796"/>
      <c r="S2453" s="797"/>
      <c r="T2453" s="507" t="s">
        <v>376</v>
      </c>
      <c r="U2453" s="508" t="s">
        <v>377</v>
      </c>
      <c r="V2453" s="509" t="s">
        <v>378</v>
      </c>
      <c r="X2453" s="521" t="s">
        <v>379</v>
      </c>
      <c r="Y2453" s="521" t="s">
        <v>380</v>
      </c>
    </row>
    <row r="2454" spans="1:29" s="27" customFormat="1" ht="15" customHeight="1">
      <c r="A2454" s="22"/>
      <c r="B2454" s="594"/>
      <c r="C2454" s="595">
        <v>3</v>
      </c>
      <c r="D2454" s="595">
        <v>4</v>
      </c>
      <c r="E2454" s="595">
        <v>5</v>
      </c>
      <c r="F2454" s="595">
        <v>6</v>
      </c>
      <c r="G2454" s="595">
        <v>7</v>
      </c>
      <c r="H2454" s="595">
        <v>8</v>
      </c>
      <c r="I2454" s="595">
        <v>9</v>
      </c>
      <c r="J2454" s="595">
        <v>10</v>
      </c>
      <c r="K2454" s="595">
        <v>11</v>
      </c>
      <c r="L2454" s="595">
        <v>12</v>
      </c>
      <c r="M2454" s="595">
        <v>13</v>
      </c>
      <c r="N2454" s="595">
        <v>14</v>
      </c>
      <c r="O2454" s="595">
        <v>15</v>
      </c>
      <c r="P2454" s="596">
        <v>16</v>
      </c>
      <c r="Q2454" s="597">
        <v>17</v>
      </c>
      <c r="R2454" s="596">
        <v>18</v>
      </c>
      <c r="S2454" s="597">
        <v>19</v>
      </c>
      <c r="T2454" s="598">
        <v>20</v>
      </c>
      <c r="U2454" s="255">
        <v>21</v>
      </c>
      <c r="V2454" s="599">
        <v>22</v>
      </c>
      <c r="X2454" s="589"/>
      <c r="Y2454" s="590"/>
    </row>
    <row r="2455" spans="1:29" s="44" customFormat="1" ht="83.25" customHeight="1">
      <c r="A2455" s="42" t="str">
        <f>"A"&amp;E2451</f>
        <v>A82</v>
      </c>
      <c r="B2455" s="605">
        <f>IF(C2455&lt;&gt;"",B2454+1,"")</f>
        <v>1</v>
      </c>
      <c r="C2455" s="581" t="s">
        <v>1049</v>
      </c>
      <c r="D2455" s="581" t="s">
        <v>1050</v>
      </c>
      <c r="E2455" s="581" t="s">
        <v>1051</v>
      </c>
      <c r="F2455" s="581" t="s">
        <v>384</v>
      </c>
      <c r="G2455" s="534">
        <v>1</v>
      </c>
      <c r="H2455" s="534" t="s">
        <v>385</v>
      </c>
      <c r="I2455" s="579" t="s">
        <v>384</v>
      </c>
      <c r="J2455" s="580" t="str">
        <f>IF(I2455="","",IF(I2455="I",$F2451,VLOOKUP(I2455,$C2472:$D2477,2,0)))</f>
        <v>SOCIEDAD TECNICA SOTA LTDA</v>
      </c>
      <c r="K2455" s="535">
        <v>39200</v>
      </c>
      <c r="L2455" s="535">
        <v>39485</v>
      </c>
      <c r="M2455" s="536">
        <v>233.02</v>
      </c>
      <c r="N2455" s="232">
        <f t="shared" ref="N2455:N2464" si="492">IF(OR(G2455="",M2455=""),"",M2455*G2455)</f>
        <v>233.02</v>
      </c>
      <c r="O2455" s="260">
        <f t="shared" ref="O2455:O2464" si="493">IF(OR(H2455="",H2455="NO",K2455&lt;$Q$17,K2455&gt;$R$17,K2455="",M2455="",N2455=""),"",ROUND(N2455,7))</f>
        <v>233.02</v>
      </c>
      <c r="P2455" s="781"/>
      <c r="Q2455" s="782"/>
      <c r="R2455" s="767"/>
      <c r="S2455" s="768"/>
      <c r="T2455" s="538" t="s">
        <v>385</v>
      </c>
      <c r="U2455" s="539">
        <v>43</v>
      </c>
      <c r="V2455" s="540" t="s">
        <v>385</v>
      </c>
      <c r="X2455" s="541" t="s">
        <v>386</v>
      </c>
      <c r="Y2455" s="541" t="s">
        <v>387</v>
      </c>
    </row>
    <row r="2456" spans="1:29" s="44" customFormat="1" ht="86.25" customHeight="1">
      <c r="A2456" s="42" t="str">
        <f>"B"&amp;E2451</f>
        <v>B82</v>
      </c>
      <c r="B2456" s="605">
        <f t="shared" ref="B2456:B2464" si="494">IF(C2456&lt;&gt;"",B2455+1,"")</f>
        <v>2</v>
      </c>
      <c r="C2456" s="581" t="s">
        <v>1052</v>
      </c>
      <c r="D2456" s="581" t="s">
        <v>1053</v>
      </c>
      <c r="E2456" s="581" t="s">
        <v>1054</v>
      </c>
      <c r="F2456" s="581" t="s">
        <v>384</v>
      </c>
      <c r="G2456" s="534">
        <v>0.7</v>
      </c>
      <c r="H2456" s="534" t="s">
        <v>385</v>
      </c>
      <c r="I2456" s="579" t="s">
        <v>384</v>
      </c>
      <c r="J2456" s="580" t="str">
        <f>IF(I2456="","",IF(I2456="I",$F2451,VLOOKUP(I2456,$C2472:$D2477,2,0)))</f>
        <v>SOCIEDAD TECNICA SOTA LTDA</v>
      </c>
      <c r="K2456" s="535">
        <v>41659</v>
      </c>
      <c r="L2456" s="535">
        <v>41839</v>
      </c>
      <c r="M2456" s="536">
        <v>568.05999999999995</v>
      </c>
      <c r="N2456" s="232">
        <f t="shared" si="492"/>
        <v>397.64199999999994</v>
      </c>
      <c r="O2456" s="260">
        <f t="shared" si="493"/>
        <v>397.642</v>
      </c>
      <c r="P2456" s="781" t="s">
        <v>1055</v>
      </c>
      <c r="Q2456" s="782"/>
      <c r="R2456" s="767"/>
      <c r="S2456" s="768"/>
      <c r="T2456" s="538" t="s">
        <v>385</v>
      </c>
      <c r="U2456" s="539">
        <v>107</v>
      </c>
      <c r="V2456" s="540" t="s">
        <v>385</v>
      </c>
      <c r="X2456" s="541" t="s">
        <v>423</v>
      </c>
      <c r="Y2456" s="541" t="s">
        <v>435</v>
      </c>
    </row>
    <row r="2457" spans="1:29" s="44" customFormat="1" ht="24.95" customHeight="1">
      <c r="A2457" s="42" t="str">
        <f>"C"&amp;E2451</f>
        <v>C82</v>
      </c>
      <c r="B2457" s="605" t="str">
        <f t="shared" si="494"/>
        <v/>
      </c>
      <c r="C2457" s="581"/>
      <c r="D2457" s="581"/>
      <c r="E2457" s="581"/>
      <c r="F2457" s="581"/>
      <c r="G2457" s="534"/>
      <c r="H2457" s="534"/>
      <c r="I2457" s="579"/>
      <c r="J2457" s="580" t="str">
        <f>IF(I2457="","",IF(I2457="I",$F2451,VLOOKUP(I2457,$C2472:$D2477,2,0)))</f>
        <v/>
      </c>
      <c r="K2457" s="535"/>
      <c r="L2457" s="535"/>
      <c r="M2457" s="536"/>
      <c r="N2457" s="232" t="str">
        <f t="shared" si="492"/>
        <v/>
      </c>
      <c r="O2457" s="260" t="str">
        <f t="shared" si="493"/>
        <v/>
      </c>
      <c r="P2457" s="781"/>
      <c r="Q2457" s="782"/>
      <c r="R2457" s="767"/>
      <c r="S2457" s="768"/>
      <c r="T2457" s="538"/>
      <c r="U2457" s="539"/>
      <c r="V2457" s="540"/>
      <c r="X2457" s="541"/>
      <c r="Y2457" s="541"/>
    </row>
    <row r="2458" spans="1:29" s="44" customFormat="1" ht="24.95" customHeight="1">
      <c r="A2458" s="42" t="str">
        <f>"D"&amp;E2451</f>
        <v>D82</v>
      </c>
      <c r="B2458" s="605" t="str">
        <f t="shared" si="494"/>
        <v/>
      </c>
      <c r="C2458" s="581"/>
      <c r="D2458" s="581"/>
      <c r="E2458" s="581"/>
      <c r="F2458" s="581"/>
      <c r="G2458" s="534"/>
      <c r="H2458" s="534"/>
      <c r="I2458" s="579"/>
      <c r="J2458" s="580" t="str">
        <f>IF(I2458="","",IF(I2458="I",$F2451,VLOOKUP(I2458,$C2472:$D2477,2,0)))</f>
        <v/>
      </c>
      <c r="K2458" s="535"/>
      <c r="L2458" s="535"/>
      <c r="M2458" s="536"/>
      <c r="N2458" s="232" t="str">
        <f t="shared" si="492"/>
        <v/>
      </c>
      <c r="O2458" s="260" t="str">
        <f t="shared" si="493"/>
        <v/>
      </c>
      <c r="P2458" s="781"/>
      <c r="Q2458" s="782"/>
      <c r="R2458" s="767"/>
      <c r="S2458" s="768"/>
      <c r="T2458" s="538"/>
      <c r="U2458" s="539"/>
      <c r="V2458" s="540"/>
      <c r="X2458" s="541"/>
      <c r="Y2458" s="541"/>
    </row>
    <row r="2459" spans="1:29" s="44" customFormat="1" ht="24.95" customHeight="1">
      <c r="A2459" s="42" t="str">
        <f>"E"&amp;E2451</f>
        <v>E82</v>
      </c>
      <c r="B2459" s="605" t="str">
        <f t="shared" si="494"/>
        <v/>
      </c>
      <c r="C2459" s="581"/>
      <c r="D2459" s="581"/>
      <c r="E2459" s="581"/>
      <c r="F2459" s="581"/>
      <c r="G2459" s="534"/>
      <c r="H2459" s="534"/>
      <c r="I2459" s="579"/>
      <c r="J2459" s="580" t="str">
        <f>IF(I2459="","",IF(I2459="I",$F2451,VLOOKUP(I2459,$C2472:$D2477,2,0)))</f>
        <v/>
      </c>
      <c r="K2459" s="535"/>
      <c r="L2459" s="535"/>
      <c r="M2459" s="536"/>
      <c r="N2459" s="232" t="str">
        <f t="shared" si="492"/>
        <v/>
      </c>
      <c r="O2459" s="260" t="str">
        <f t="shared" si="493"/>
        <v/>
      </c>
      <c r="P2459" s="781"/>
      <c r="Q2459" s="782"/>
      <c r="R2459" s="767"/>
      <c r="S2459" s="768"/>
      <c r="T2459" s="538"/>
      <c r="U2459" s="539"/>
      <c r="V2459" s="540"/>
      <c r="X2459" s="541"/>
      <c r="Y2459" s="541"/>
    </row>
    <row r="2460" spans="1:29" s="44" customFormat="1" ht="24.95" customHeight="1">
      <c r="A2460" s="42" t="str">
        <f>"F"&amp;E2451</f>
        <v>F82</v>
      </c>
      <c r="B2460" s="605" t="str">
        <f t="shared" si="494"/>
        <v/>
      </c>
      <c r="C2460" s="581"/>
      <c r="D2460" s="581"/>
      <c r="E2460" s="581"/>
      <c r="F2460" s="581"/>
      <c r="G2460" s="534"/>
      <c r="H2460" s="534"/>
      <c r="I2460" s="579"/>
      <c r="J2460" s="580" t="str">
        <f>IF(I2460="","",IF(I2460="I",$F2451,VLOOKUP(I2460,$C2472:$D2477,2,0)))</f>
        <v/>
      </c>
      <c r="K2460" s="535"/>
      <c r="L2460" s="535"/>
      <c r="M2460" s="536"/>
      <c r="N2460" s="232" t="str">
        <f t="shared" si="492"/>
        <v/>
      </c>
      <c r="O2460" s="260" t="str">
        <f t="shared" si="493"/>
        <v/>
      </c>
      <c r="P2460" s="781"/>
      <c r="Q2460" s="782"/>
      <c r="R2460" s="767"/>
      <c r="S2460" s="768"/>
      <c r="T2460" s="538"/>
      <c r="U2460" s="539"/>
      <c r="V2460" s="540"/>
      <c r="X2460" s="541"/>
      <c r="Y2460" s="541"/>
    </row>
    <row r="2461" spans="1:29" s="44" customFormat="1" ht="24.95" customHeight="1">
      <c r="A2461" s="42" t="str">
        <f>"G"&amp;E2451</f>
        <v>G82</v>
      </c>
      <c r="B2461" s="605" t="str">
        <f t="shared" si="494"/>
        <v/>
      </c>
      <c r="C2461" s="581"/>
      <c r="D2461" s="581"/>
      <c r="E2461" s="581"/>
      <c r="F2461" s="581"/>
      <c r="G2461" s="534"/>
      <c r="H2461" s="534"/>
      <c r="I2461" s="579"/>
      <c r="J2461" s="580" t="str">
        <f>IF(I2461="","",IF(I2461="I",$F2451,VLOOKUP(I2461,$C2472:$D2477,2,0)))</f>
        <v/>
      </c>
      <c r="K2461" s="535"/>
      <c r="L2461" s="535"/>
      <c r="M2461" s="536"/>
      <c r="N2461" s="43" t="str">
        <f t="shared" si="492"/>
        <v/>
      </c>
      <c r="O2461" s="260" t="str">
        <f t="shared" si="493"/>
        <v/>
      </c>
      <c r="P2461" s="781"/>
      <c r="Q2461" s="782"/>
      <c r="R2461" s="767"/>
      <c r="S2461" s="768"/>
      <c r="T2461" s="538"/>
      <c r="U2461" s="539"/>
      <c r="V2461" s="540"/>
      <c r="X2461" s="541"/>
      <c r="Y2461" s="541"/>
    </row>
    <row r="2462" spans="1:29" s="44" customFormat="1" ht="24.95" customHeight="1">
      <c r="A2462" s="42" t="str">
        <f>"H"&amp;E2451</f>
        <v>H82</v>
      </c>
      <c r="B2462" s="605" t="str">
        <f t="shared" si="494"/>
        <v/>
      </c>
      <c r="C2462" s="581"/>
      <c r="D2462" s="581"/>
      <c r="E2462" s="581"/>
      <c r="F2462" s="581"/>
      <c r="G2462" s="534"/>
      <c r="H2462" s="534"/>
      <c r="I2462" s="579"/>
      <c r="J2462" s="580" t="str">
        <f>IF(I2462="","",IF(I2462="I",$F2451,VLOOKUP(I2462,$C2472:$D2477,2,0)))</f>
        <v/>
      </c>
      <c r="K2462" s="535"/>
      <c r="L2462" s="535"/>
      <c r="M2462" s="537"/>
      <c r="N2462" s="43" t="str">
        <f t="shared" si="492"/>
        <v/>
      </c>
      <c r="O2462" s="260" t="str">
        <f t="shared" si="493"/>
        <v/>
      </c>
      <c r="P2462" s="781"/>
      <c r="Q2462" s="782"/>
      <c r="R2462" s="767"/>
      <c r="S2462" s="768"/>
      <c r="T2462" s="538"/>
      <c r="U2462" s="539"/>
      <c r="V2462" s="540"/>
      <c r="X2462" s="541"/>
      <c r="Y2462" s="541"/>
    </row>
    <row r="2463" spans="1:29" s="44" customFormat="1" ht="24.95" customHeight="1">
      <c r="A2463" s="42" t="str">
        <f>"I"&amp;E2451</f>
        <v>I82</v>
      </c>
      <c r="B2463" s="605" t="str">
        <f t="shared" si="494"/>
        <v/>
      </c>
      <c r="C2463" s="581"/>
      <c r="D2463" s="581"/>
      <c r="E2463" s="581"/>
      <c r="F2463" s="581"/>
      <c r="G2463" s="534"/>
      <c r="H2463" s="534"/>
      <c r="I2463" s="579"/>
      <c r="J2463" s="580" t="str">
        <f>IF(I2463="","",IF(I2463="I",$F2451,VLOOKUP(I2463,$C2472:$D2477,2,0)))</f>
        <v/>
      </c>
      <c r="K2463" s="535"/>
      <c r="L2463" s="535"/>
      <c r="M2463" s="537"/>
      <c r="N2463" s="43" t="str">
        <f t="shared" si="492"/>
        <v/>
      </c>
      <c r="O2463" s="260" t="str">
        <f t="shared" si="493"/>
        <v/>
      </c>
      <c r="P2463" s="781"/>
      <c r="Q2463" s="782"/>
      <c r="R2463" s="767"/>
      <c r="S2463" s="768"/>
      <c r="T2463" s="538"/>
      <c r="U2463" s="539"/>
      <c r="V2463" s="540"/>
      <c r="X2463" s="541"/>
      <c r="Y2463" s="541"/>
    </row>
    <row r="2464" spans="1:29" s="44" customFormat="1" ht="24.95" customHeight="1" thickBot="1">
      <c r="A2464" s="42" t="str">
        <f>"J"&amp;E2451</f>
        <v>J82</v>
      </c>
      <c r="B2464" s="612" t="str">
        <f t="shared" si="494"/>
        <v/>
      </c>
      <c r="C2464" s="582"/>
      <c r="D2464" s="582"/>
      <c r="E2464" s="582"/>
      <c r="F2464" s="582"/>
      <c r="G2464" s="583"/>
      <c r="H2464" s="583"/>
      <c r="I2464" s="584"/>
      <c r="J2464" s="585" t="str">
        <f>IF(I2464="","",IF(I2464="I",$F2451,VLOOKUP(I2464,$C2472:$D2477,2,0)))</f>
        <v/>
      </c>
      <c r="K2464" s="586"/>
      <c r="L2464" s="586"/>
      <c r="M2464" s="587"/>
      <c r="N2464" s="43" t="str">
        <f t="shared" si="492"/>
        <v/>
      </c>
      <c r="O2464" s="260" t="str">
        <f t="shared" si="493"/>
        <v/>
      </c>
      <c r="P2464" s="781"/>
      <c r="Q2464" s="782"/>
      <c r="R2464" s="767"/>
      <c r="S2464" s="768"/>
      <c r="T2464" s="538"/>
      <c r="U2464" s="539"/>
      <c r="V2464" s="540"/>
      <c r="X2464" s="541"/>
      <c r="Y2464" s="541"/>
    </row>
    <row r="2465" spans="1:29" s="27" customFormat="1" ht="12" customHeight="1" thickBot="1">
      <c r="A2465" s="42"/>
      <c r="B2465" s="45"/>
      <c r="C2465" s="46"/>
      <c r="D2465" s="46"/>
      <c r="E2465" s="46"/>
      <c r="F2465" s="46"/>
      <c r="G2465" s="46"/>
      <c r="H2465" s="606"/>
      <c r="I2465" s="46"/>
      <c r="J2465" s="46"/>
      <c r="K2465" s="46"/>
      <c r="L2465" s="46"/>
      <c r="M2465" s="46"/>
      <c r="N2465" s="46"/>
      <c r="O2465" s="259"/>
      <c r="P2465" s="46"/>
      <c r="Q2465" s="46"/>
      <c r="R2465" s="259"/>
      <c r="S2465" s="46"/>
      <c r="T2465" s="46"/>
      <c r="U2465" s="47"/>
      <c r="V2465" s="48"/>
      <c r="X2465" s="592"/>
      <c r="Y2465" s="593"/>
      <c r="AB2465" s="378"/>
    </row>
    <row r="2466" spans="1:29" s="27" customFormat="1" ht="17.25" customHeight="1" thickBot="1">
      <c r="A2466" s="42" t="str">
        <f>"Z"&amp;E2451</f>
        <v>Z82</v>
      </c>
      <c r="B2466" s="510"/>
      <c r="C2466" s="511"/>
      <c r="D2466" s="511"/>
      <c r="E2466" s="511"/>
      <c r="F2466" s="511"/>
      <c r="G2466" s="511"/>
      <c r="H2466" s="511"/>
      <c r="I2466" s="511"/>
      <c r="J2466" s="511"/>
      <c r="K2466" s="511"/>
      <c r="L2466" s="511"/>
      <c r="M2466" s="511"/>
      <c r="N2466" s="437" t="s">
        <v>388</v>
      </c>
      <c r="O2466" s="438">
        <f>IF(COUNTIF(O2455:O2464,"")&gt;9,0,SUM(O2455:O2464)/(COUNTIF(H2455:H2464,"SI")))</f>
        <v>315.33100000000002</v>
      </c>
      <c r="P2466" s="511"/>
      <c r="Q2466" s="511"/>
      <c r="R2466" s="530"/>
      <c r="S2466" s="530"/>
      <c r="T2466" s="531"/>
      <c r="U2466" s="532"/>
      <c r="V2466" s="533"/>
      <c r="W2466" s="285"/>
      <c r="X2466" s="613" t="e">
        <f>COUNTIF(#REF!,"")-COUNTIF(#REF!,"CUMPLE")-1</f>
        <v>#REF!</v>
      </c>
      <c r="Y2466" s="591"/>
      <c r="AB2466" s="28"/>
    </row>
    <row r="2467" spans="1:29" ht="17.25" customHeight="1">
      <c r="B2467" s="50"/>
      <c r="C2467" s="50"/>
      <c r="D2467" s="50"/>
      <c r="E2467" s="50"/>
      <c r="F2467" s="50"/>
      <c r="G2467" s="51"/>
      <c r="H2467" s="51"/>
      <c r="I2467" s="51"/>
      <c r="J2467" s="51"/>
      <c r="K2467" s="51"/>
      <c r="L2467" s="51"/>
      <c r="M2467" s="51"/>
      <c r="N2467" s="51"/>
      <c r="O2467" s="51"/>
      <c r="P2467" s="51"/>
      <c r="Q2467" s="51"/>
      <c r="R2467" s="51"/>
      <c r="S2467" s="51"/>
      <c r="T2467" s="51"/>
      <c r="U2467" s="51"/>
      <c r="V2467" s="51"/>
      <c r="W2467" s="51"/>
      <c r="X2467" s="608"/>
      <c r="Y2467" s="51"/>
      <c r="Z2467" s="51"/>
      <c r="AA2467" s="51"/>
      <c r="AB2467" s="51"/>
      <c r="AC2467" s="50"/>
    </row>
    <row r="2468" spans="1:29" s="27" customFormat="1" ht="16.5" customHeight="1" thickBot="1">
      <c r="A2468" s="22"/>
      <c r="B2468" s="783" t="s">
        <v>389</v>
      </c>
      <c r="C2468" s="783"/>
      <c r="D2468" s="783"/>
      <c r="E2468" s="783"/>
      <c r="F2468" s="783"/>
      <c r="G2468" s="783"/>
      <c r="H2468" s="783"/>
      <c r="I2468" s="783"/>
      <c r="J2468" s="783"/>
      <c r="K2468" s="783"/>
      <c r="L2468" s="783"/>
      <c r="M2468" s="783"/>
      <c r="N2468" s="783"/>
      <c r="O2468" s="783"/>
      <c r="P2468" s="783"/>
      <c r="Q2468" s="783"/>
      <c r="R2468" s="783"/>
      <c r="S2468" s="783"/>
      <c r="T2468" s="783"/>
      <c r="U2468" s="783"/>
      <c r="V2468" s="783"/>
      <c r="W2468" s="286"/>
      <c r="X2468" s="607"/>
      <c r="Y2468" s="52"/>
      <c r="Z2468" s="52"/>
      <c r="AA2468" s="52"/>
      <c r="AB2468" s="28"/>
      <c r="AC2468" s="28"/>
    </row>
    <row r="2469" spans="1:29" s="30" customFormat="1" ht="22.5" customHeight="1">
      <c r="A2469" s="112" t="str">
        <f>"K"&amp;E2451</f>
        <v>K82</v>
      </c>
      <c r="B2469" s="790" t="s">
        <v>390</v>
      </c>
      <c r="C2469" s="772" t="s">
        <v>391</v>
      </c>
      <c r="D2469" s="773"/>
      <c r="E2469" s="773"/>
      <c r="F2469" s="773"/>
      <c r="G2469" s="773"/>
      <c r="H2469" s="773"/>
      <c r="I2469" s="773"/>
      <c r="J2469" s="773"/>
      <c r="K2469" s="773"/>
      <c r="L2469" s="773"/>
      <c r="M2469" s="774"/>
      <c r="N2469" s="525"/>
      <c r="O2469" s="588"/>
      <c r="P2469" s="772" t="s">
        <v>392</v>
      </c>
      <c r="Q2469" s="773"/>
      <c r="R2469" s="773"/>
      <c r="S2469" s="774"/>
      <c r="T2469" s="784" t="s">
        <v>393</v>
      </c>
      <c r="U2469" s="774"/>
      <c r="V2469" s="811"/>
      <c r="W2469" s="284"/>
      <c r="X2469" s="778" t="s">
        <v>394</v>
      </c>
      <c r="Y2469" s="779"/>
      <c r="Z2469" s="779"/>
      <c r="AA2469" s="779" t="s">
        <v>395</v>
      </c>
      <c r="AB2469" s="808" t="s">
        <v>396</v>
      </c>
      <c r="AC2469" s="28"/>
    </row>
    <row r="2470" spans="1:29" s="30" customFormat="1" ht="22.5" customHeight="1">
      <c r="A2470" s="112" t="str">
        <f>"L"&amp;E2451</f>
        <v>L82</v>
      </c>
      <c r="B2470" s="791"/>
      <c r="C2470" s="769" t="s">
        <v>397</v>
      </c>
      <c r="D2470" s="770"/>
      <c r="E2470" s="771"/>
      <c r="F2470" s="512">
        <f>IF(VLOOKUP(E2451,PROPONENTES!$C$19:$E$108,3,0)="","",VLOOKUP(E2451,PROPONENTES!$C$19:$E$108,3,0))</f>
        <v>1</v>
      </c>
      <c r="G2470" s="824" t="s">
        <v>398</v>
      </c>
      <c r="H2470" s="793" t="s">
        <v>399</v>
      </c>
      <c r="I2470" s="793"/>
      <c r="J2470" s="769" t="s">
        <v>400</v>
      </c>
      <c r="K2470" s="823"/>
      <c r="L2470" s="513" t="s">
        <v>401</v>
      </c>
      <c r="M2470" s="513"/>
      <c r="N2470" s="526"/>
      <c r="O2470" s="527"/>
      <c r="P2470" s="775"/>
      <c r="Q2470" s="776"/>
      <c r="R2470" s="776"/>
      <c r="S2470" s="777"/>
      <c r="T2470" s="796"/>
      <c r="U2470" s="797"/>
      <c r="V2470" s="812"/>
      <c r="W2470" s="284"/>
      <c r="X2470" s="780" t="s">
        <v>402</v>
      </c>
      <c r="Y2470" s="810" t="s">
        <v>403</v>
      </c>
      <c r="Z2470" s="810"/>
      <c r="AA2470" s="810"/>
      <c r="AB2470" s="809"/>
      <c r="AC2470" s="28"/>
    </row>
    <row r="2471" spans="1:29" s="30" customFormat="1" ht="51.75" customHeight="1" thickBot="1">
      <c r="A2471" s="112" t="str">
        <f>"M"&amp;E2451</f>
        <v>M82</v>
      </c>
      <c r="B2471" s="791"/>
      <c r="C2471" s="770" t="s">
        <v>404</v>
      </c>
      <c r="D2471" s="771"/>
      <c r="E2471" s="514" t="s">
        <v>405</v>
      </c>
      <c r="F2471" s="515" t="s">
        <v>406</v>
      </c>
      <c r="G2471" s="824"/>
      <c r="H2471" s="793"/>
      <c r="I2471" s="793"/>
      <c r="J2471" s="504" t="s">
        <v>407</v>
      </c>
      <c r="K2471" s="516" t="s">
        <v>408</v>
      </c>
      <c r="L2471" s="517" t="s">
        <v>409</v>
      </c>
      <c r="M2471" s="517"/>
      <c r="N2471" s="528" t="s">
        <v>410</v>
      </c>
      <c r="O2471" s="529"/>
      <c r="P2471" s="386"/>
      <c r="Q2471" s="387" t="s">
        <v>411</v>
      </c>
      <c r="R2471" s="388"/>
      <c r="S2471" s="113">
        <f>COUNTIFS(H2455:H2464,"SI",O2455:O2464,"&gt;0")</f>
        <v>2</v>
      </c>
      <c r="T2471" s="785"/>
      <c r="U2471" s="787"/>
      <c r="V2471" s="813"/>
      <c r="W2471" s="284"/>
      <c r="X2471" s="780"/>
      <c r="Y2471" s="810"/>
      <c r="Z2471" s="810"/>
      <c r="AA2471" s="810"/>
      <c r="AB2471" s="809"/>
      <c r="AC2471" s="28"/>
    </row>
    <row r="2472" spans="1:29" s="30" customFormat="1" ht="15.75" customHeight="1">
      <c r="A2472" s="112" t="str">
        <f>"N"&amp;E2451</f>
        <v>N82</v>
      </c>
      <c r="B2472" s="791"/>
      <c r="C2472" s="54">
        <v>1</v>
      </c>
      <c r="D2472" s="100" t="str">
        <f>IF(AND(C2472&lt;=F2470,F2470&gt;1,F2470&lt;&gt;""),VLOOKUP(VALUE(E2451&amp;","&amp;C2472),INTEGRANTES!$D$19:$F$192,2,0),"")</f>
        <v/>
      </c>
      <c r="E2472" s="107" t="str">
        <f>IF(D2472&lt;&gt;"",VLOOKUP(VALUE(E2451&amp;","&amp;C2472),INTEGRANTES!$D$19:$F$192,3,0),"")</f>
        <v/>
      </c>
      <c r="F2472" s="380" t="str">
        <f>IF(D2472="","",IF(OR(SUMIF($J2458:$J2464,D2472,$O2458:$O2464)=0,N2472="NO"),"NO APORTA",SUMIF($J2458:$J2464,D2472,$O2458:$O2464)))</f>
        <v/>
      </c>
      <c r="G2472" s="380" t="str">
        <f>IF($D2472="","",IF($F2470&lt;=1,"",ROUND(POSMMLV*PORPO,2)))</f>
        <v/>
      </c>
      <c r="H2472" s="765" t="str">
        <f>IF($D2472="","",IF(OR(F2472="NO APORTA",G2472&gt;F2472),"NO CUMPLE","CUMPLE"))</f>
        <v/>
      </c>
      <c r="I2472" s="766"/>
      <c r="J2472" s="108" t="str">
        <f>IF(D2472="","",IF(OR(AND(SUMIF($J2455:$J2464,D2472,$O2455:$O2464)&gt;=5%*POSMMLV,N2472="SI"),AND(SUMIF($J2455:$J2464,D2472,$O2455:$O2464)=0,E2472&lt;=5%,N2472="SI")),"CUMPLE","NO CUMPLE"))</f>
        <v/>
      </c>
      <c r="K2472" s="105" t="str">
        <f>IF(OR(D2472="",J2472=""),"",IF(AND(J2472="NO CUMPLE",F2472="NO APORTA",E2472&gt;5%),"EXP = 0 y PART &gt; 5%",IF(F2472&lt;5%*Q2477,"EXP &lt; 5%*PO","")))</f>
        <v/>
      </c>
      <c r="L2472" s="389" t="str">
        <f>IF(OR(D2472="",E2472=""),"",IF(AND(E2472&gt;=0.25,F2472&lt;&gt;"NO APORTA",F2472&gt;=$R2477*0.25),"SI","NO"))</f>
        <v/>
      </c>
      <c r="M2472" s="389"/>
      <c r="N2472" s="468" t="s">
        <v>385</v>
      </c>
      <c r="O2472" s="396">
        <f>COUNTIFS(O2455:O2464,"&gt;0",H2455:H2464,"SI")</f>
        <v>2</v>
      </c>
      <c r="P2472" s="814" t="s">
        <v>139</v>
      </c>
      <c r="Q2472" s="814"/>
      <c r="R2472" s="817">
        <f>E2451</f>
        <v>82</v>
      </c>
      <c r="S2472" s="818"/>
      <c r="T2472" s="784" t="s">
        <v>412</v>
      </c>
      <c r="U2472" s="773"/>
      <c r="V2472" s="774"/>
      <c r="W2472" s="283"/>
      <c r="X2472" s="542" t="str">
        <f>IF($F2470=1,"NO APLICA",$D2472)</f>
        <v>NO APLICA</v>
      </c>
      <c r="Y2472" s="543" t="str">
        <f>IF(OR($F2472="",$F2472="NO APORTA",$R2477=0,$X2472="NO APLICA"),"",ROUND($F2472/$Q2477,2))</f>
        <v/>
      </c>
      <c r="Z2472" s="544" t="str">
        <f>IF(Y2478=1,"SI APLICA",IF(OR($X2472="",$X2472="NO APLICA",$F2472="",$F2472="NO APORTA"),"",IF(ROUND($F2472/Q2477,7)&gt;=0.4,"SI APLICA","NO APLICA")))</f>
        <v>SI APLICA</v>
      </c>
      <c r="AA2472" s="543" t="s">
        <v>413</v>
      </c>
      <c r="AB2472" s="540" t="str">
        <f>IF(COUNTIF(Z2472:AA2472,"SI APLICA")=2,"SI APLICA","")</f>
        <v>SI APLICA</v>
      </c>
      <c r="AC2472" s="28"/>
    </row>
    <row r="2473" spans="1:29" s="30" customFormat="1" ht="15.75" customHeight="1" thickBot="1">
      <c r="A2473" s="112" t="str">
        <f>"O"&amp;E2451</f>
        <v>O82</v>
      </c>
      <c r="B2473" s="791"/>
      <c r="C2473" s="54">
        <v>2</v>
      </c>
      <c r="D2473" s="100" t="str">
        <f>IF(AND(C2473&lt;=F2470,F2470&lt;&gt;""),VLOOKUP(VALUE(E2451&amp;","&amp;C2473),INTEGRANTES!$D$19:$F$192,2,0),"")</f>
        <v/>
      </c>
      <c r="E2473" s="107" t="str">
        <f>IF(D2473&lt;&gt;"",VLOOKUP(VALUE(E2451&amp;","&amp;C2473),INTEGRANTES!$D$19:$F$192,3,0),"")</f>
        <v/>
      </c>
      <c r="F2473" s="380" t="str">
        <f>IF(D2473="","",IF(OR(SUMIF($J2458:$J2464,D2473,$O2458:$O2464)=0,N2473="NO"),"NO APORTA",SUMIF($J2458:$J2464,D2473,$O2458:$O2464)))</f>
        <v/>
      </c>
      <c r="G2473" s="380" t="str">
        <f>IF($D2473="","",IF($F2470&lt;=1,"",ROUND(POSMMLV*PORPO,2)))</f>
        <v/>
      </c>
      <c r="H2473" s="765" t="str">
        <f t="shared" ref="H2473:H2476" si="495">IF($D2473="","",IF(OR(F2473="NO APORTA",G2473&gt;F2473),"NO CUMPLE","CUMPLE"))</f>
        <v/>
      </c>
      <c r="I2473" s="766"/>
      <c r="J2473" s="108" t="str">
        <f>IF(D2473="","",IF(OR(AND(SUMIF($J2455:$J2464,D2473,$O2455:$O2464)&gt;=5%*POSMMLV,N2473="SI"),AND(SUMIF($J2455:$J2464,D2473,$O2455:$O2464)=0,E2473&lt;=5%,N2473="SI")),"CUMPLE","NO CUMPLE"))</f>
        <v/>
      </c>
      <c r="K2473" s="105" t="str">
        <f>IF(OR(D2473="",J2473=""),"",IF(AND(J2473="NO CUMPLE",F2473="NO APORTA",E2473&gt;5%),"EXP = 0 y PART &gt; 5%",IF(F2473&lt;5%*Q2477,"EXP &lt; 5%*PO","")))</f>
        <v/>
      </c>
      <c r="L2473" s="389" t="str">
        <f>IF(OR(D2473="",E2473=""),"",IF(AND(E2473&gt;=0.25,F2473&lt;&gt;"NO APORTA",F2473&gt;=$R2477*0.25),"SI","NO"))</f>
        <v/>
      </c>
      <c r="M2473" s="389"/>
      <c r="N2473" s="468" t="s">
        <v>385</v>
      </c>
      <c r="O2473" s="396"/>
      <c r="P2473" s="815"/>
      <c r="Q2473" s="815"/>
      <c r="R2473" s="815"/>
      <c r="S2473" s="819"/>
      <c r="T2473" s="785"/>
      <c r="U2473" s="786"/>
      <c r="V2473" s="787"/>
      <c r="W2473" s="283"/>
      <c r="X2473" s="542" t="str">
        <f>IF($F2470=1,"NO APLICA",$D2473)</f>
        <v>NO APLICA</v>
      </c>
      <c r="Y2473" s="543" t="str">
        <f>IF(OR($F2473="",$F2473="NO APORTA",$R2477=0,$X2473="NO APLICA"),"",ROUND($F2473/$Q2477,2))</f>
        <v/>
      </c>
      <c r="Z2473" s="544"/>
      <c r="AA2473" s="543"/>
      <c r="AB2473" s="540" t="str">
        <f t="shared" ref="AB2473" si="496">IF(COUNTIF(Z2473:AA2473,"SI APLICA")=2,"SI APLICA","")</f>
        <v/>
      </c>
      <c r="AC2473" s="28"/>
    </row>
    <row r="2474" spans="1:29" s="30" customFormat="1" ht="15.75" customHeight="1">
      <c r="A2474" s="112" t="str">
        <f>"P"&amp;E2451</f>
        <v>P82</v>
      </c>
      <c r="B2474" s="791"/>
      <c r="C2474" s="54">
        <v>3</v>
      </c>
      <c r="D2474" s="100" t="str">
        <f>IF(AND(C2474&lt;=F2470,F2470&lt;&gt;""),VLOOKUP(VALUE(E2451&amp;","&amp;C2474),INTEGRANTES!$D$19:$F$192,2,0),"")</f>
        <v/>
      </c>
      <c r="E2474" s="107" t="str">
        <f>IF(D2474&lt;&gt;"",VLOOKUP(VALUE(E2451&amp;","&amp;C2474),INTEGRANTES!$D$19:$F$192,3,0),"")</f>
        <v/>
      </c>
      <c r="F2474" s="380" t="str">
        <f>IF(D2474="","",IF(OR(SUMIF($J2458:$J2464,D2474,$O2458:$O2464)=0,N2474="NO"),"NO APORTA",SUMIF($J2458:$J2464,D2474,$O2458:$O2464)))</f>
        <v/>
      </c>
      <c r="G2474" s="380" t="str">
        <f>IF($D2474="","",IF($F2470&lt;=1,"",ROUND(POSMMLV*PORPO,2)))</f>
        <v/>
      </c>
      <c r="H2474" s="765" t="str">
        <f t="shared" si="495"/>
        <v/>
      </c>
      <c r="I2474" s="766"/>
      <c r="J2474" s="108" t="str">
        <f>IF(D2474="","",IF(OR(AND(SUMIF($J2455:$J2464,D2474,$O2455:$O2464)&gt;=5%*POSMMLV,N2474="SI"),AND(SUMIF($J2455:$J2464,D2474,$O2455:$O2464)=0,E2474&lt;=5%,N2474="SI")),"CUMPLE","NO CUMPLE"))</f>
        <v/>
      </c>
      <c r="K2474" s="105" t="str">
        <f>IF(OR(D2474="",J2474=""),"",IF(AND(J2474="NO CUMPLE",F2474="NO APORTA",E2474&gt;5%),"EXP = 0 y PART &gt; 5%",IF(F2474&lt;5%*Q2477,"EXP &lt; 5%*PO","")))</f>
        <v/>
      </c>
      <c r="L2474" s="389" t="str">
        <f>IF(OR(D2474="",E2474=""),"",IF(AND(E2474&gt;=0.25,F2474&lt;&gt;"NO APORTA",F2474&gt;=$R2477*0.25),"SI","NO"))</f>
        <v/>
      </c>
      <c r="M2474" s="389"/>
      <c r="N2474" s="468"/>
      <c r="O2474" s="397"/>
      <c r="P2474" s="816"/>
      <c r="Q2474" s="816"/>
      <c r="R2474" s="816"/>
      <c r="S2474" s="820"/>
      <c r="T2474" s="308"/>
      <c r="U2474" s="308"/>
      <c r="V2474" s="309"/>
      <c r="W2474" s="284"/>
      <c r="X2474" s="542" t="str">
        <f>IF($F2470=1,"NO APLICA",$D2474)</f>
        <v>NO APLICA</v>
      </c>
      <c r="Y2474" s="543" t="str">
        <f>IF(OR($F2474="",$F2474="NO APORTA",$R2477=0,$X2474="NO APLICA"),"",ROUND($F2474/$Q2477,2))</f>
        <v/>
      </c>
      <c r="Z2474" s="544"/>
      <c r="AA2474" s="543"/>
      <c r="AB2474" s="540" t="str">
        <f>IF(COUNTIF(Z2474:AA2474,"SI APLICA")=2,"SI APLICA","")</f>
        <v/>
      </c>
      <c r="AC2474" s="28"/>
    </row>
    <row r="2475" spans="1:29" s="30" customFormat="1" ht="15.75" customHeight="1">
      <c r="A2475" s="112" t="str">
        <f>"Q"&amp;E2451</f>
        <v>Q82</v>
      </c>
      <c r="B2475" s="791"/>
      <c r="C2475" s="54">
        <v>4</v>
      </c>
      <c r="D2475" s="100" t="str">
        <f>IF(AND(C2475&lt;=F2470,F2470&lt;&gt;""),VLOOKUP(VALUE(E2451&amp;","&amp;C2475),INTEGRANTES!$D$19:$F$192,2,0),"")</f>
        <v/>
      </c>
      <c r="E2475" s="107" t="str">
        <f>IF(D2475&lt;&gt;"",VLOOKUP(VALUE(E2451&amp;","&amp;C2475),INTEGRANTES!$D$19:$F$192,3,0),"")</f>
        <v/>
      </c>
      <c r="F2475" s="380" t="str">
        <f>IF(D2475="","",IF(OR(SUMIF($J2458:$J2464,D2475,$O2458:$O2464)=0,N2475="NO"),"NO APORTA",SUMIF($J2458:$J2464,D2475,$O2458:$O2464)))</f>
        <v/>
      </c>
      <c r="G2475" s="380" t="str">
        <f>IF($D2475="","",IF($F2470&lt;=1,"",ROUND(POSMMLV*PORPO,2)))</f>
        <v/>
      </c>
      <c r="H2475" s="765" t="str">
        <f t="shared" si="495"/>
        <v/>
      </c>
      <c r="I2475" s="766"/>
      <c r="J2475" s="108" t="str">
        <f>IF(D2475="","",IF(OR(AND(SUMIF($J2455:$J2464,D2475,$O2455:$O2464)&gt;=5%*POSMMLV,N2475="SI"),AND(SUMIF($J2455:$J2464,D2475,$O2455:$O2464)=0,E2475&lt;=5%,N2475="SI")),"CUMPLE","NO CUMPLE"))</f>
        <v/>
      </c>
      <c r="K2475" s="105" t="str">
        <f>IF(OR(D2475="",J2475=""),"",IF(AND(J2475="NO CUMPLE",F2475="NO APORTA",E2475&gt;5%),"EXP = 0 y PART &gt; 5%",IF(F2475&lt;5%*Q2477,"EXP &lt; 5%*PO","")))</f>
        <v/>
      </c>
      <c r="L2475" s="389" t="str">
        <f>IF(OR(D2475="",E2475=""),"",IF(AND(E2475&gt;=0.25,F2475&lt;&gt;"NO APORTA",F2475&gt;=$R2477*0.25),"SI","NO"))</f>
        <v/>
      </c>
      <c r="M2475" s="389"/>
      <c r="N2475" s="468"/>
      <c r="O2475" s="788" t="s">
        <v>414</v>
      </c>
      <c r="P2475" s="769" t="s">
        <v>415</v>
      </c>
      <c r="Q2475" s="770"/>
      <c r="R2475" s="770"/>
      <c r="S2475" s="771"/>
      <c r="T2475" s="284"/>
      <c r="U2475" s="284"/>
      <c r="V2475" s="310"/>
      <c r="W2475" s="284"/>
      <c r="X2475" s="542" t="str">
        <f>IF($F2470=1,"NO APLICA",$D2475)</f>
        <v>NO APLICA</v>
      </c>
      <c r="Y2475" s="543" t="str">
        <f>IF(OR($F2475="",$F2475="NO APORTA",$R2477=0,$X2475="NO APLICA"),"",ROUND($F2475/$Q2477,2))</f>
        <v/>
      </c>
      <c r="Z2475" s="544"/>
      <c r="AA2475" s="543"/>
      <c r="AB2475" s="540" t="str">
        <f t="shared" ref="AB2475:AB2476" si="497">IF(COUNTIF(Z2475:AA2475,"SI APLICA")=2,"SI APLICA","")</f>
        <v/>
      </c>
      <c r="AC2475" s="28"/>
    </row>
    <row r="2476" spans="1:29" s="30" customFormat="1" ht="17.25" customHeight="1">
      <c r="A2476" s="112" t="str">
        <f>"R"&amp;E2451</f>
        <v>R82</v>
      </c>
      <c r="B2476" s="791"/>
      <c r="C2476" s="54">
        <v>5</v>
      </c>
      <c r="D2476" s="100" t="str">
        <f>IF(AND(C2476&lt;=F2470,F2470&lt;&gt;""),VLOOKUP(VALUE(E2451&amp;","&amp;C2476),INTEGRANTES!$D$19:$F$192,2,0),"")</f>
        <v/>
      </c>
      <c r="E2476" s="107" t="str">
        <f>IF(D2476&lt;&gt;"",VLOOKUP(VALUE(E2451&amp;","&amp;C2476),INTEGRANTES!$D$19:$F$192,3,0),"")</f>
        <v/>
      </c>
      <c r="F2476" s="380" t="str">
        <f>IF(D2476="","",IF(OR(SUMIF($J2458:$J2464,D2476,$O2458:$O2464)=0,N2476="NO"),"NO APORTA",SUMIF($J2458:$J2464,D2476,$O2458:$O2464)))</f>
        <v/>
      </c>
      <c r="G2476" s="380" t="str">
        <f>IF($D2476="","",IF($F2470&lt;=1,"",ROUND(POSMMLV*PORPO,2)))</f>
        <v/>
      </c>
      <c r="H2476" s="765" t="str">
        <f t="shared" si="495"/>
        <v/>
      </c>
      <c r="I2476" s="766"/>
      <c r="J2476" s="108" t="str">
        <f>IF(D2476="","",IF(OR(AND(SUMIF($J2455:$J2464,D2476,$O2455:$O2464)&gt;=5%*POSMMLV,N2476="SI"),AND(SUMIF($J2455:$J2464,D2476,$O2455:$O2464)=0,E2476&lt;=5%,N2476="SI")),"CUMPLE","NO CUMPLE"))</f>
        <v/>
      </c>
      <c r="K2476" s="105" t="str">
        <f>IF(OR(D2476="",J2476=""),"",IF(AND(J2476="NO CUMPLE",F2476="NO APORTA",E2476&gt;5%),"EXP = 0 y PART &gt; 5%",IF(F2476&lt;5%*Q2477,"EXP &lt; 5%*PO","")))</f>
        <v/>
      </c>
      <c r="L2476" s="389" t="str">
        <f>IF(OR(D2476="",E2476=""),"",IF(AND(E2476&gt;=0.25,F2476&lt;&gt;"NO APORTA",F2476&gt;=$R2477*0.25),"SI","NO"))</f>
        <v/>
      </c>
      <c r="M2476" s="389"/>
      <c r="N2476" s="468"/>
      <c r="O2476" s="789"/>
      <c r="P2476" s="504" t="s">
        <v>416</v>
      </c>
      <c r="Q2476" s="504" t="s">
        <v>417</v>
      </c>
      <c r="R2476" s="793" t="s">
        <v>418</v>
      </c>
      <c r="S2476" s="793"/>
      <c r="T2476" s="284"/>
      <c r="U2476" s="284"/>
      <c r="V2476" s="310"/>
      <c r="W2476" s="284"/>
      <c r="X2476" s="542" t="str">
        <f>IF($F2470=1,"NO APLICA",$D2476)</f>
        <v>NO APLICA</v>
      </c>
      <c r="Y2476" s="543" t="str">
        <f>IF(OR($F2476="",$F2476="NO APORTA",$R2477=0,$X2476="NO APLICA"),"",ROUND($F2476/$Q2477,2))</f>
        <v/>
      </c>
      <c r="Z2476" s="544"/>
      <c r="AA2476" s="543"/>
      <c r="AB2476" s="540" t="str">
        <f t="shared" si="497"/>
        <v/>
      </c>
      <c r="AC2476" s="28"/>
    </row>
    <row r="2477" spans="1:29" s="30" customFormat="1" ht="16.5" customHeight="1" thickBot="1">
      <c r="A2477" s="112" t="str">
        <f>"S"&amp;E2451</f>
        <v>S82</v>
      </c>
      <c r="B2477" s="791"/>
      <c r="C2477" s="109">
        <v>6</v>
      </c>
      <c r="D2477" s="110" t="str">
        <f>IF(AND(C2477&lt;=F2470,F2470&lt;&gt;""),VLOOKUP(VALUE(E2451&amp;","&amp;C2477),INTEGRANTES!$D$19:$F$192,2,0),"")</f>
        <v/>
      </c>
      <c r="E2477" s="111" t="str">
        <f>IF(D2477&lt;&gt;"",VLOOKUP(VALUE(E2451&amp;","&amp;C2477),INTEGRANTES!$D$19:$F$192,3,0),"")</f>
        <v/>
      </c>
      <c r="F2477" s="380" t="str">
        <f>IF(D2477="","",IF(OR(SUMIF($J2458:$J2464,D2477,$O2458:$O2464)=0,N2477="NO"),"NO APORTA",SUMIF($J2458:$J2464,D2477,$O2458:$O2464)))</f>
        <v/>
      </c>
      <c r="G2477" s="380" t="str">
        <f>IF($D2477="","",IF($F2470&lt;=1,"",ROUND(POSMMLV*PORPO,2)))</f>
        <v/>
      </c>
      <c r="H2477" s="765" t="str">
        <f>IF($D2477="","",IF(OR(F2477="NO APORTA",G2477&gt;F2477),"NO CUMPLE","CUMPLE"))</f>
        <v/>
      </c>
      <c r="I2477" s="766"/>
      <c r="J2477" s="108" t="str">
        <f>IF(D2477="","",IF(OR(AND(SUMIF($J2455:$J2464,D2477,$O2455:$O2464)&gt;=5%*POSMMLV,N2477="SI"),AND(SUMIF($J2455:$J2464,D2477,$O2455:$O2464)=0,E2477&lt;=5%,N2477="SI")),"CUMPLE","NO CUMPLE"))</f>
        <v/>
      </c>
      <c r="K2477" s="105" t="str">
        <f>IF(OR(D2477="",J2477=""),"",IF(AND(J2477="NO CUMPLE",F2477="NO APORTA",E2477&gt;5%),"EXP = 0 y PART &gt; 5%",IF(F2477&lt;5%*Q2477,"EXP &lt; 5%*PO","")))</f>
        <v/>
      </c>
      <c r="L2477" s="389" t="str">
        <f>IF(OR(D2477="",E2477=""),"",IF(AND(E2477&gt;=0.25,F2477&lt;&gt;"NO APORTA",F2477&gt;=$R2477*0.25),"SI","NO"))</f>
        <v/>
      </c>
      <c r="M2477" s="389"/>
      <c r="N2477" s="468"/>
      <c r="O2477" s="403" t="str">
        <f ca="1">IF(R2477&gt;=Q2477,"CUMPLE","NO CUMPLE")</f>
        <v>CUMPLE</v>
      </c>
      <c r="P2477" s="312">
        <f>NUMMOD</f>
        <v>1</v>
      </c>
      <c r="Q2477" s="313">
        <f ca="1">IF(P2477="","",ROUND(VLOOKUP(P2477,PRESUPUESTOS!$B$16:$L$16,9,FALSE),7))</f>
        <v>300</v>
      </c>
      <c r="R2477" s="834">
        <f>IF(OR(COUNTIF(O2455:O2464,"")&gt;9,S2471&lt;NUMMINCONT),0,SUM(O2455:O2464))</f>
        <v>630.66200000000003</v>
      </c>
      <c r="S2477" s="834"/>
      <c r="T2477" s="284"/>
      <c r="U2477" s="284"/>
      <c r="V2477" s="310"/>
      <c r="W2477" s="284"/>
      <c r="X2477" s="545" t="str">
        <f>IF($F2470=1,"NO APLICA",$D2477)</f>
        <v>NO APLICA</v>
      </c>
      <c r="Y2477" s="543" t="str">
        <f>IF(OR($F2477="",$F2477="NO APORTA",$R2477=0,$X2477="NO APLICA"),"",ROUND($F2477/$Q2477,2))</f>
        <v/>
      </c>
      <c r="Z2477" s="544"/>
      <c r="AA2477" s="546"/>
      <c r="AB2477" s="540" t="str">
        <f>IF(COUNTIF(Z2477:AA2477,"SI APLICA")=2,"SI APLICA","")</f>
        <v/>
      </c>
      <c r="AC2477" s="28"/>
    </row>
    <row r="2478" spans="1:29" s="30" customFormat="1" ht="16.5" customHeight="1" thickBot="1">
      <c r="A2478" s="112" t="str">
        <f>"T"&amp;E2451</f>
        <v>T82</v>
      </c>
      <c r="B2478" s="792"/>
      <c r="C2478" s="821" t="s">
        <v>419</v>
      </c>
      <c r="D2478" s="822"/>
      <c r="E2478" s="822"/>
      <c r="F2478" s="518"/>
      <c r="G2478" s="519"/>
      <c r="H2478" s="794" t="str">
        <f>IF(OR($F2470="",SUM(E2472:E2477)=0),"",IF(COUNTIF(H2472:H2477,"CUMPLE")&gt;=1,"CUMPLE","NO CUMPLE"))</f>
        <v/>
      </c>
      <c r="I2478" s="795"/>
      <c r="J2478" s="314" t="str">
        <f>IF(COUNTIF(J2472:J2477,"")&gt;5,"",IF(COUNTIF(J2472:J2477,"NO CUMPLE")&gt;0,"NO CUMPLE","CUMPLE"))</f>
        <v/>
      </c>
      <c r="K2478" s="314" t="str">
        <f>IF(OR(AND(F2470=1,N2472="SI"),AND(COUNTIF(H2478:J2478,"CUMPLE")=2)),"CUMPLE","NO CUMPLE")</f>
        <v>CUMPLE</v>
      </c>
      <c r="L2478" s="519"/>
      <c r="M2478" s="519"/>
      <c r="N2478" s="519"/>
      <c r="O2478" s="833" t="str">
        <f ca="1">IF(ISNUMBER(F2451),"",IF(AND(O2477="NO CUMPLE",SUM(N2458:N2464)&lt;Q2477),"EL PROPONENTE SE DEBE REQUERIR POR EXPERIENCIA MINIMA EXIGIDA",""))</f>
        <v/>
      </c>
      <c r="P2478" s="833"/>
      <c r="Q2478" s="833"/>
      <c r="R2478" s="833"/>
      <c r="S2478" s="833"/>
      <c r="T2478" s="522"/>
      <c r="U2478" s="523"/>
      <c r="V2478" s="524"/>
      <c r="W2478" s="284"/>
      <c r="X2478" s="364" t="str">
        <f>IF(Y2478=1,"PROPONENTE INDIVIDUAL","PROPONENTE PLURAL")</f>
        <v>PROPONENTE INDIVIDUAL</v>
      </c>
      <c r="Y2478" s="276">
        <f>F2470</f>
        <v>1</v>
      </c>
      <c r="Z2478" s="277" t="str">
        <f>IF(OR(AND(Z2472="SI APLICA",AA2472="SI APLICA"),AND(Z2473="SI APLICA",AA2473="SI APLICA"),AND(Z2474="SI APLICA",AA2474="SI APLICA"),AND(Z2475="SI APLICA",AA2475="SI APLICA"),AND(Z2476="SI APLICA",AA2476="SI APLICA"),AND(Z2477="SI APLICA",AA2477="SI APLICA")),"SI APLICA","NO APLICA")</f>
        <v>SI APLICA</v>
      </c>
      <c r="AA2478" s="278" t="str">
        <f>IF(OR(AND(AA2472="SI APLICA",AB2472="SI APLICA"),AND(AA2473="SI APLICA",AB2473="SI APLICA"),AND(AA2474="SI APLICA",AB2474="SI APLICA"),AND(AA2475="SI APLICA",AB2475="SI APLICA"),AND(AA2476="SI APLICA",AB2476="SI APLICA"),AND(AA2477="SI APLICA",AB2477="SI APLICA")),"SI APLICA","NO APLICA")</f>
        <v>SI APLICA</v>
      </c>
      <c r="AB2478" s="278" t="str">
        <f>IF(COUNTIF(AB2472:AB2477,"SI APLICA")&gt;0,"SI APLICA","NO APLICA")</f>
        <v>SI APLICA</v>
      </c>
      <c r="AC2478" s="28"/>
    </row>
    <row r="2479" spans="1:29" ht="24.95" customHeight="1"/>
    <row r="2480" spans="1:29" ht="24.95" customHeight="1"/>
    <row r="2481" spans="1:29" s="41" customFormat="1" ht="24" thickBot="1">
      <c r="A2481" s="34">
        <v>83</v>
      </c>
      <c r="B2481" s="828" t="s">
        <v>355</v>
      </c>
      <c r="C2481" s="828"/>
      <c r="D2481" s="828"/>
      <c r="E2481" s="35">
        <f>VLOOKUP(A2481,PROPONENTES!$B$19:$E$108,2,FALSE)</f>
        <v>83</v>
      </c>
      <c r="F2481" s="36" t="str">
        <f>VLOOKUP(A2481,PROPONENTES!$B$19:$E$108,3,FALSE)</f>
        <v>CONSORCIO INTERVENTORES ASOCIADOS DEL TOLIMA</v>
      </c>
      <c r="G2481" s="37"/>
      <c r="H2481" s="37"/>
      <c r="I2481" s="36"/>
      <c r="J2481" s="36"/>
      <c r="K2481" s="36"/>
      <c r="L2481" s="36"/>
      <c r="M2481" s="38"/>
      <c r="N2481" s="38"/>
      <c r="O2481" s="37"/>
      <c r="P2481" s="37"/>
      <c r="Q2481" s="39"/>
      <c r="R2481" s="39"/>
      <c r="S2481" s="39"/>
      <c r="T2481" s="39"/>
      <c r="U2481" s="40"/>
      <c r="Y2481" s="52"/>
      <c r="Z2481" s="52"/>
      <c r="AA2481" s="52"/>
      <c r="AB2481" s="28"/>
      <c r="AC2481" s="28"/>
    </row>
    <row r="2482" spans="1:29" s="27" customFormat="1" ht="24.75" customHeight="1">
      <c r="A2482" s="22"/>
      <c r="B2482" s="829" t="s">
        <v>356</v>
      </c>
      <c r="C2482" s="501" t="s">
        <v>357</v>
      </c>
      <c r="D2482" s="502" t="s">
        <v>358</v>
      </c>
      <c r="E2482" s="502"/>
      <c r="F2482" s="502" t="s">
        <v>359</v>
      </c>
      <c r="G2482" s="503"/>
      <c r="H2482" s="803" t="s">
        <v>360</v>
      </c>
      <c r="I2482" s="831" t="s">
        <v>361</v>
      </c>
      <c r="J2482" s="803" t="s">
        <v>362</v>
      </c>
      <c r="K2482" s="803" t="s">
        <v>363</v>
      </c>
      <c r="L2482" s="803" t="s">
        <v>364</v>
      </c>
      <c r="M2482" s="803" t="s">
        <v>365</v>
      </c>
      <c r="N2482" s="804" t="s">
        <v>366</v>
      </c>
      <c r="O2482" s="805"/>
      <c r="P2482" s="806" t="s">
        <v>367</v>
      </c>
      <c r="Q2482" s="807"/>
      <c r="R2482" s="784" t="s">
        <v>368</v>
      </c>
      <c r="S2482" s="774"/>
      <c r="T2482" s="798" t="s">
        <v>369</v>
      </c>
      <c r="U2482" s="799"/>
      <c r="V2482" s="800"/>
      <c r="X2482" s="520"/>
      <c r="Y2482" s="520"/>
    </row>
    <row r="2483" spans="1:29" s="27" customFormat="1" ht="94.5" customHeight="1">
      <c r="A2483" s="22"/>
      <c r="B2483" s="830"/>
      <c r="C2483" s="504" t="s">
        <v>370</v>
      </c>
      <c r="D2483" s="505" t="s">
        <v>41</v>
      </c>
      <c r="E2483" s="505" t="s">
        <v>371</v>
      </c>
      <c r="F2483" s="505" t="s">
        <v>372</v>
      </c>
      <c r="G2483" s="506" t="s">
        <v>373</v>
      </c>
      <c r="H2483" s="793"/>
      <c r="I2483" s="832"/>
      <c r="J2483" s="793"/>
      <c r="K2483" s="793"/>
      <c r="L2483" s="793"/>
      <c r="M2483" s="793"/>
      <c r="N2483" s="504" t="s">
        <v>374</v>
      </c>
      <c r="O2483" s="505" t="s">
        <v>375</v>
      </c>
      <c r="P2483" s="801"/>
      <c r="Q2483" s="802"/>
      <c r="R2483" s="796"/>
      <c r="S2483" s="797"/>
      <c r="T2483" s="507" t="s">
        <v>376</v>
      </c>
      <c r="U2483" s="508" t="s">
        <v>377</v>
      </c>
      <c r="V2483" s="509" t="s">
        <v>378</v>
      </c>
      <c r="X2483" s="521" t="s">
        <v>379</v>
      </c>
      <c r="Y2483" s="521" t="s">
        <v>380</v>
      </c>
    </row>
    <row r="2484" spans="1:29" s="27" customFormat="1" ht="15" customHeight="1">
      <c r="A2484" s="22"/>
      <c r="B2484" s="594"/>
      <c r="C2484" s="595">
        <v>3</v>
      </c>
      <c r="D2484" s="595">
        <v>4</v>
      </c>
      <c r="E2484" s="595">
        <v>5</v>
      </c>
      <c r="F2484" s="595">
        <v>6</v>
      </c>
      <c r="G2484" s="595">
        <v>7</v>
      </c>
      <c r="H2484" s="595">
        <v>8</v>
      </c>
      <c r="I2484" s="595">
        <v>9</v>
      </c>
      <c r="J2484" s="595">
        <v>10</v>
      </c>
      <c r="K2484" s="595">
        <v>11</v>
      </c>
      <c r="L2484" s="595">
        <v>12</v>
      </c>
      <c r="M2484" s="595">
        <v>13</v>
      </c>
      <c r="N2484" s="595">
        <v>14</v>
      </c>
      <c r="O2484" s="595">
        <v>15</v>
      </c>
      <c r="P2484" s="596">
        <v>16</v>
      </c>
      <c r="Q2484" s="597">
        <v>17</v>
      </c>
      <c r="R2484" s="596">
        <v>18</v>
      </c>
      <c r="S2484" s="597">
        <v>19</v>
      </c>
      <c r="T2484" s="598">
        <v>20</v>
      </c>
      <c r="U2484" s="255">
        <v>21</v>
      </c>
      <c r="V2484" s="599">
        <v>22</v>
      </c>
      <c r="X2484" s="589"/>
      <c r="Y2484" s="590"/>
    </row>
    <row r="2485" spans="1:29" s="44" customFormat="1" ht="66.75" customHeight="1">
      <c r="A2485" s="42" t="str">
        <f>"A"&amp;E2481</f>
        <v>A83</v>
      </c>
      <c r="B2485" s="605">
        <f>IF(C2485&lt;&gt;"",B2484+1,"")</f>
        <v>1</v>
      </c>
      <c r="C2485" s="581" t="s">
        <v>1056</v>
      </c>
      <c r="D2485" s="581" t="s">
        <v>1057</v>
      </c>
      <c r="E2485" s="581" t="s">
        <v>1058</v>
      </c>
      <c r="F2485" s="581" t="s">
        <v>384</v>
      </c>
      <c r="G2485" s="534">
        <v>1</v>
      </c>
      <c r="H2485" s="534" t="s">
        <v>385</v>
      </c>
      <c r="I2485" s="579">
        <v>1</v>
      </c>
      <c r="J2485" s="580" t="str">
        <f>IF(I2485="","",IF(I2485="I",$F2481,VLOOKUP(I2485,$C2502:$D2507,2,0)))</f>
        <v>JHAIR RODOLFO GONZALEZ VELASQUEZ</v>
      </c>
      <c r="K2485" s="535">
        <v>43123</v>
      </c>
      <c r="L2485" s="535">
        <v>43743</v>
      </c>
      <c r="M2485" s="536">
        <v>329.09</v>
      </c>
      <c r="N2485" s="232">
        <f t="shared" ref="N2485:N2494" si="498">IF(OR(G2485="",M2485=""),"",M2485*G2485)</f>
        <v>329.09</v>
      </c>
      <c r="O2485" s="260">
        <f t="shared" ref="O2485:O2494" si="499">IF(OR(H2485="",H2485="NO",K2485&lt;$Q$17,K2485&gt;$R$17,K2485="",M2485="",N2485=""),"",ROUND(N2485,7))</f>
        <v>329.09</v>
      </c>
      <c r="P2485" s="781"/>
      <c r="Q2485" s="782"/>
      <c r="R2485" s="767"/>
      <c r="S2485" s="768"/>
      <c r="T2485" s="538" t="s">
        <v>385</v>
      </c>
      <c r="U2485" s="539">
        <v>72</v>
      </c>
      <c r="V2485" s="540" t="s">
        <v>385</v>
      </c>
      <c r="X2485" s="541" t="s">
        <v>446</v>
      </c>
      <c r="Y2485" s="541" t="s">
        <v>387</v>
      </c>
    </row>
    <row r="2486" spans="1:29" s="44" customFormat="1" ht="24.95" customHeight="1">
      <c r="A2486" s="42" t="str">
        <f>"B"&amp;E2481</f>
        <v>B83</v>
      </c>
      <c r="B2486" s="605" t="str">
        <f t="shared" ref="B2486:B2494" si="500">IF(C2486&lt;&gt;"",B2485+1,"")</f>
        <v/>
      </c>
      <c r="C2486" s="581"/>
      <c r="D2486" s="581"/>
      <c r="E2486" s="581"/>
      <c r="F2486" s="581"/>
      <c r="G2486" s="534"/>
      <c r="H2486" s="534"/>
      <c r="I2486" s="579"/>
      <c r="J2486" s="580" t="str">
        <f>IF(I2486="","",IF(I2486="I",$F2481,VLOOKUP(I2486,$C2502:$D2507,2,0)))</f>
        <v/>
      </c>
      <c r="K2486" s="535"/>
      <c r="L2486" s="535"/>
      <c r="M2486" s="536"/>
      <c r="N2486" s="232" t="str">
        <f t="shared" si="498"/>
        <v/>
      </c>
      <c r="O2486" s="260" t="str">
        <f t="shared" si="499"/>
        <v/>
      </c>
      <c r="P2486" s="781"/>
      <c r="Q2486" s="782"/>
      <c r="R2486" s="767"/>
      <c r="S2486" s="768"/>
      <c r="T2486" s="538"/>
      <c r="U2486" s="539"/>
      <c r="V2486" s="540"/>
      <c r="X2486" s="541"/>
      <c r="Y2486" s="541"/>
    </row>
    <row r="2487" spans="1:29" s="44" customFormat="1" ht="24.95" customHeight="1">
      <c r="A2487" s="42" t="str">
        <f>"C"&amp;E2481</f>
        <v>C83</v>
      </c>
      <c r="B2487" s="605" t="str">
        <f t="shared" si="500"/>
        <v/>
      </c>
      <c r="C2487" s="581"/>
      <c r="D2487" s="581"/>
      <c r="E2487" s="581"/>
      <c r="F2487" s="581"/>
      <c r="G2487" s="534"/>
      <c r="H2487" s="534"/>
      <c r="I2487" s="579"/>
      <c r="J2487" s="580" t="str">
        <f>IF(I2487="","",IF(I2487="I",$F2481,VLOOKUP(I2487,$C2502:$D2507,2,0)))</f>
        <v/>
      </c>
      <c r="K2487" s="535"/>
      <c r="L2487" s="535"/>
      <c r="M2487" s="536"/>
      <c r="N2487" s="232" t="str">
        <f t="shared" si="498"/>
        <v/>
      </c>
      <c r="O2487" s="260" t="str">
        <f t="shared" si="499"/>
        <v/>
      </c>
      <c r="P2487" s="781"/>
      <c r="Q2487" s="782"/>
      <c r="R2487" s="767"/>
      <c r="S2487" s="768"/>
      <c r="T2487" s="538"/>
      <c r="U2487" s="539"/>
      <c r="V2487" s="540"/>
      <c r="X2487" s="541"/>
      <c r="Y2487" s="541"/>
    </row>
    <row r="2488" spans="1:29" s="44" customFormat="1" ht="24.95" customHeight="1">
      <c r="A2488" s="42" t="str">
        <f>"D"&amp;E2481</f>
        <v>D83</v>
      </c>
      <c r="B2488" s="605" t="str">
        <f t="shared" si="500"/>
        <v/>
      </c>
      <c r="C2488" s="581"/>
      <c r="D2488" s="581"/>
      <c r="E2488" s="581"/>
      <c r="F2488" s="581"/>
      <c r="G2488" s="534"/>
      <c r="H2488" s="534"/>
      <c r="I2488" s="579"/>
      <c r="J2488" s="580" t="str">
        <f>IF(I2488="","",IF(I2488="I",$F2481,VLOOKUP(I2488,$C2502:$D2507,2,0)))</f>
        <v/>
      </c>
      <c r="K2488" s="535"/>
      <c r="L2488" s="535"/>
      <c r="M2488" s="536"/>
      <c r="N2488" s="232" t="str">
        <f t="shared" si="498"/>
        <v/>
      </c>
      <c r="O2488" s="260" t="str">
        <f t="shared" si="499"/>
        <v/>
      </c>
      <c r="P2488" s="781"/>
      <c r="Q2488" s="782"/>
      <c r="R2488" s="767"/>
      <c r="S2488" s="768"/>
      <c r="T2488" s="538"/>
      <c r="U2488" s="539"/>
      <c r="V2488" s="540"/>
      <c r="X2488" s="541"/>
      <c r="Y2488" s="541"/>
    </row>
    <row r="2489" spans="1:29" s="44" customFormat="1" ht="24.95" customHeight="1">
      <c r="A2489" s="42" t="str">
        <f>"E"&amp;E2481</f>
        <v>E83</v>
      </c>
      <c r="B2489" s="605" t="str">
        <f t="shared" si="500"/>
        <v/>
      </c>
      <c r="C2489" s="581"/>
      <c r="D2489" s="581"/>
      <c r="E2489" s="581"/>
      <c r="F2489" s="581"/>
      <c r="G2489" s="534"/>
      <c r="H2489" s="534"/>
      <c r="I2489" s="579"/>
      <c r="J2489" s="580" t="str">
        <f>IF(I2489="","",IF(I2489="I",$F2481,VLOOKUP(I2489,$C2502:$D2507,2,0)))</f>
        <v/>
      </c>
      <c r="K2489" s="535"/>
      <c r="L2489" s="535"/>
      <c r="M2489" s="536"/>
      <c r="N2489" s="232" t="str">
        <f t="shared" si="498"/>
        <v/>
      </c>
      <c r="O2489" s="260" t="str">
        <f t="shared" si="499"/>
        <v/>
      </c>
      <c r="P2489" s="781"/>
      <c r="Q2489" s="782"/>
      <c r="R2489" s="767"/>
      <c r="S2489" s="768"/>
      <c r="T2489" s="538"/>
      <c r="U2489" s="539"/>
      <c r="V2489" s="540"/>
      <c r="X2489" s="541"/>
      <c r="Y2489" s="541"/>
    </row>
    <row r="2490" spans="1:29" s="44" customFormat="1" ht="24.95" customHeight="1">
      <c r="A2490" s="42" t="str">
        <f>"F"&amp;E2481</f>
        <v>F83</v>
      </c>
      <c r="B2490" s="605" t="str">
        <f t="shared" si="500"/>
        <v/>
      </c>
      <c r="C2490" s="581"/>
      <c r="D2490" s="581"/>
      <c r="E2490" s="581"/>
      <c r="F2490" s="581"/>
      <c r="G2490" s="534"/>
      <c r="H2490" s="534"/>
      <c r="I2490" s="579"/>
      <c r="J2490" s="580" t="str">
        <f>IF(I2490="","",IF(I2490="I",$F2481,VLOOKUP(I2490,$C2502:$D2507,2,0)))</f>
        <v/>
      </c>
      <c r="K2490" s="535"/>
      <c r="L2490" s="535"/>
      <c r="M2490" s="536"/>
      <c r="N2490" s="232" t="str">
        <f t="shared" si="498"/>
        <v/>
      </c>
      <c r="O2490" s="260" t="str">
        <f t="shared" si="499"/>
        <v/>
      </c>
      <c r="P2490" s="781"/>
      <c r="Q2490" s="782"/>
      <c r="R2490" s="767"/>
      <c r="S2490" s="768"/>
      <c r="T2490" s="538"/>
      <c r="U2490" s="539"/>
      <c r="V2490" s="540"/>
      <c r="X2490" s="541"/>
      <c r="Y2490" s="541"/>
    </row>
    <row r="2491" spans="1:29" s="44" customFormat="1" ht="24.95" customHeight="1">
      <c r="A2491" s="42" t="str">
        <f>"G"&amp;E2481</f>
        <v>G83</v>
      </c>
      <c r="B2491" s="605" t="str">
        <f t="shared" si="500"/>
        <v/>
      </c>
      <c r="C2491" s="581"/>
      <c r="D2491" s="581"/>
      <c r="E2491" s="581"/>
      <c r="F2491" s="581"/>
      <c r="G2491" s="534"/>
      <c r="H2491" s="534"/>
      <c r="I2491" s="579"/>
      <c r="J2491" s="580" t="str">
        <f>IF(I2491="","",IF(I2491="I",$F2481,VLOOKUP(I2491,$C2502:$D2507,2,0)))</f>
        <v/>
      </c>
      <c r="K2491" s="535"/>
      <c r="L2491" s="535"/>
      <c r="M2491" s="536"/>
      <c r="N2491" s="43" t="str">
        <f t="shared" si="498"/>
        <v/>
      </c>
      <c r="O2491" s="260" t="str">
        <f t="shared" si="499"/>
        <v/>
      </c>
      <c r="P2491" s="781"/>
      <c r="Q2491" s="782"/>
      <c r="R2491" s="767"/>
      <c r="S2491" s="768"/>
      <c r="T2491" s="538"/>
      <c r="U2491" s="539"/>
      <c r="V2491" s="540"/>
      <c r="X2491" s="541"/>
      <c r="Y2491" s="541"/>
    </row>
    <row r="2492" spans="1:29" s="44" customFormat="1" ht="24.95" customHeight="1">
      <c r="A2492" s="42" t="str">
        <f>"H"&amp;E2481</f>
        <v>H83</v>
      </c>
      <c r="B2492" s="605" t="str">
        <f t="shared" si="500"/>
        <v/>
      </c>
      <c r="C2492" s="581"/>
      <c r="D2492" s="581"/>
      <c r="E2492" s="581"/>
      <c r="F2492" s="581"/>
      <c r="G2492" s="534"/>
      <c r="H2492" s="534"/>
      <c r="I2492" s="579"/>
      <c r="J2492" s="580" t="str">
        <f>IF(I2492="","",IF(I2492="I",$F2481,VLOOKUP(I2492,$C2502:$D2507,2,0)))</f>
        <v/>
      </c>
      <c r="K2492" s="535"/>
      <c r="L2492" s="535"/>
      <c r="M2492" s="537"/>
      <c r="N2492" s="43" t="str">
        <f t="shared" si="498"/>
        <v/>
      </c>
      <c r="O2492" s="260" t="str">
        <f t="shared" si="499"/>
        <v/>
      </c>
      <c r="P2492" s="781"/>
      <c r="Q2492" s="782"/>
      <c r="R2492" s="767"/>
      <c r="S2492" s="768"/>
      <c r="T2492" s="538"/>
      <c r="U2492" s="539"/>
      <c r="V2492" s="540"/>
      <c r="X2492" s="541"/>
      <c r="Y2492" s="541"/>
    </row>
    <row r="2493" spans="1:29" s="44" customFormat="1" ht="24.95" customHeight="1">
      <c r="A2493" s="42" t="str">
        <f>"I"&amp;E2481</f>
        <v>I83</v>
      </c>
      <c r="B2493" s="605" t="str">
        <f t="shared" si="500"/>
        <v/>
      </c>
      <c r="C2493" s="581"/>
      <c r="D2493" s="581"/>
      <c r="E2493" s="581"/>
      <c r="F2493" s="581"/>
      <c r="G2493" s="534"/>
      <c r="H2493" s="534"/>
      <c r="I2493" s="579"/>
      <c r="J2493" s="580" t="str">
        <f>IF(I2493="","",IF(I2493="I",$F2481,VLOOKUP(I2493,$C2502:$D2507,2,0)))</f>
        <v/>
      </c>
      <c r="K2493" s="535"/>
      <c r="L2493" s="535"/>
      <c r="M2493" s="537"/>
      <c r="N2493" s="43" t="str">
        <f t="shared" si="498"/>
        <v/>
      </c>
      <c r="O2493" s="260" t="str">
        <f t="shared" si="499"/>
        <v/>
      </c>
      <c r="P2493" s="781"/>
      <c r="Q2493" s="782"/>
      <c r="R2493" s="767"/>
      <c r="S2493" s="768"/>
      <c r="T2493" s="538"/>
      <c r="U2493" s="539"/>
      <c r="V2493" s="540"/>
      <c r="X2493" s="541"/>
      <c r="Y2493" s="541"/>
    </row>
    <row r="2494" spans="1:29" s="44" customFormat="1" ht="24.95" customHeight="1" thickBot="1">
      <c r="A2494" s="42" t="str">
        <f>"J"&amp;E2481</f>
        <v>J83</v>
      </c>
      <c r="B2494" s="612" t="str">
        <f t="shared" si="500"/>
        <v/>
      </c>
      <c r="C2494" s="582"/>
      <c r="D2494" s="582"/>
      <c r="E2494" s="582"/>
      <c r="F2494" s="582"/>
      <c r="G2494" s="583"/>
      <c r="H2494" s="583"/>
      <c r="I2494" s="584"/>
      <c r="J2494" s="585" t="str">
        <f>IF(I2494="","",IF(I2494="I",$F2481,VLOOKUP(I2494,$C2502:$D2507,2,0)))</f>
        <v/>
      </c>
      <c r="K2494" s="586"/>
      <c r="L2494" s="586"/>
      <c r="M2494" s="587"/>
      <c r="N2494" s="43" t="str">
        <f t="shared" si="498"/>
        <v/>
      </c>
      <c r="O2494" s="260" t="str">
        <f t="shared" si="499"/>
        <v/>
      </c>
      <c r="P2494" s="781"/>
      <c r="Q2494" s="782"/>
      <c r="R2494" s="767"/>
      <c r="S2494" s="768"/>
      <c r="T2494" s="538"/>
      <c r="U2494" s="539"/>
      <c r="V2494" s="540"/>
      <c r="X2494" s="541"/>
      <c r="Y2494" s="541"/>
    </row>
    <row r="2495" spans="1:29" s="27" customFormat="1" ht="12" customHeight="1" thickBot="1">
      <c r="A2495" s="42"/>
      <c r="B2495" s="45"/>
      <c r="C2495" s="46"/>
      <c r="D2495" s="46"/>
      <c r="E2495" s="46"/>
      <c r="F2495" s="46"/>
      <c r="G2495" s="46"/>
      <c r="H2495" s="606"/>
      <c r="I2495" s="46"/>
      <c r="J2495" s="46"/>
      <c r="K2495" s="46"/>
      <c r="L2495" s="46"/>
      <c r="M2495" s="46"/>
      <c r="N2495" s="46"/>
      <c r="O2495" s="259"/>
      <c r="P2495" s="46"/>
      <c r="Q2495" s="46"/>
      <c r="R2495" s="259"/>
      <c r="S2495" s="46"/>
      <c r="T2495" s="46"/>
      <c r="U2495" s="47"/>
      <c r="V2495" s="48"/>
      <c r="X2495" s="592"/>
      <c r="Y2495" s="593"/>
      <c r="AB2495" s="378"/>
    </row>
    <row r="2496" spans="1:29" s="27" customFormat="1" ht="17.25" customHeight="1" thickBot="1">
      <c r="A2496" s="42" t="str">
        <f>"Z"&amp;E2481</f>
        <v>Z83</v>
      </c>
      <c r="B2496" s="510"/>
      <c r="C2496" s="511"/>
      <c r="D2496" s="511"/>
      <c r="E2496" s="511"/>
      <c r="F2496" s="511"/>
      <c r="G2496" s="511"/>
      <c r="H2496" s="511"/>
      <c r="I2496" s="511"/>
      <c r="J2496" s="511"/>
      <c r="K2496" s="511"/>
      <c r="L2496" s="511"/>
      <c r="M2496" s="511"/>
      <c r="N2496" s="437" t="s">
        <v>388</v>
      </c>
      <c r="O2496" s="438">
        <f>IF(COUNTIF(O2485:O2494,"")&gt;9,0,SUM(O2485:O2494)/(COUNTIF(H2485:H2494,"SI")))</f>
        <v>329.09</v>
      </c>
      <c r="P2496" s="511"/>
      <c r="Q2496" s="511"/>
      <c r="R2496" s="530"/>
      <c r="S2496" s="530"/>
      <c r="T2496" s="531"/>
      <c r="U2496" s="532"/>
      <c r="V2496" s="533"/>
      <c r="W2496" s="285"/>
      <c r="X2496" s="613" t="e">
        <f>COUNTIF(#REF!,"")-COUNTIF(#REF!,"CUMPLE")-1</f>
        <v>#REF!</v>
      </c>
      <c r="Y2496" s="591"/>
      <c r="AB2496" s="28"/>
    </row>
    <row r="2497" spans="1:29" ht="17.25" customHeight="1">
      <c r="B2497" s="50"/>
      <c r="C2497" s="50"/>
      <c r="D2497" s="50"/>
      <c r="E2497" s="50"/>
      <c r="F2497" s="50"/>
      <c r="G2497" s="51"/>
      <c r="H2497" s="51"/>
      <c r="I2497" s="51"/>
      <c r="J2497" s="51"/>
      <c r="K2497" s="51"/>
      <c r="L2497" s="51"/>
      <c r="M2497" s="51"/>
      <c r="N2497" s="51"/>
      <c r="O2497" s="51"/>
      <c r="P2497" s="51"/>
      <c r="Q2497" s="51"/>
      <c r="R2497" s="51"/>
      <c r="S2497" s="51"/>
      <c r="T2497" s="51"/>
      <c r="U2497" s="51"/>
      <c r="V2497" s="51"/>
      <c r="W2497" s="51"/>
      <c r="X2497" s="608"/>
      <c r="Y2497" s="51"/>
      <c r="Z2497" s="51"/>
      <c r="AA2497" s="51"/>
      <c r="AB2497" s="51"/>
      <c r="AC2497" s="50"/>
    </row>
    <row r="2498" spans="1:29" s="27" customFormat="1" ht="16.5" customHeight="1" thickBot="1">
      <c r="A2498" s="22"/>
      <c r="B2498" s="783" t="s">
        <v>389</v>
      </c>
      <c r="C2498" s="783"/>
      <c r="D2498" s="783"/>
      <c r="E2498" s="783"/>
      <c r="F2498" s="783"/>
      <c r="G2498" s="783"/>
      <c r="H2498" s="783"/>
      <c r="I2498" s="783"/>
      <c r="J2498" s="783"/>
      <c r="K2498" s="783"/>
      <c r="L2498" s="783"/>
      <c r="M2498" s="783"/>
      <c r="N2498" s="783"/>
      <c r="O2498" s="783"/>
      <c r="P2498" s="783"/>
      <c r="Q2498" s="783"/>
      <c r="R2498" s="783"/>
      <c r="S2498" s="783"/>
      <c r="T2498" s="783"/>
      <c r="U2498" s="783"/>
      <c r="V2498" s="783"/>
      <c r="W2498" s="286"/>
      <c r="X2498" s="607"/>
      <c r="Y2498" s="52"/>
      <c r="Z2498" s="52"/>
      <c r="AA2498" s="52"/>
      <c r="AB2498" s="28"/>
      <c r="AC2498" s="28"/>
    </row>
    <row r="2499" spans="1:29" s="30" customFormat="1" ht="22.5" customHeight="1">
      <c r="A2499" s="112" t="str">
        <f>"K"&amp;E2481</f>
        <v>K83</v>
      </c>
      <c r="B2499" s="790" t="s">
        <v>390</v>
      </c>
      <c r="C2499" s="772" t="s">
        <v>391</v>
      </c>
      <c r="D2499" s="773"/>
      <c r="E2499" s="773"/>
      <c r="F2499" s="773"/>
      <c r="G2499" s="773"/>
      <c r="H2499" s="773"/>
      <c r="I2499" s="773"/>
      <c r="J2499" s="773"/>
      <c r="K2499" s="773"/>
      <c r="L2499" s="773"/>
      <c r="M2499" s="774"/>
      <c r="N2499" s="525"/>
      <c r="O2499" s="588"/>
      <c r="P2499" s="772" t="s">
        <v>392</v>
      </c>
      <c r="Q2499" s="773"/>
      <c r="R2499" s="773"/>
      <c r="S2499" s="774"/>
      <c r="T2499" s="784" t="s">
        <v>393</v>
      </c>
      <c r="U2499" s="774"/>
      <c r="V2499" s="811"/>
      <c r="W2499" s="284"/>
      <c r="X2499" s="778" t="s">
        <v>394</v>
      </c>
      <c r="Y2499" s="779"/>
      <c r="Z2499" s="779"/>
      <c r="AA2499" s="779" t="s">
        <v>395</v>
      </c>
      <c r="AB2499" s="808" t="s">
        <v>396</v>
      </c>
      <c r="AC2499" s="28"/>
    </row>
    <row r="2500" spans="1:29" s="30" customFormat="1" ht="22.5" customHeight="1">
      <c r="A2500" s="112" t="str">
        <f>"L"&amp;E2481</f>
        <v>L83</v>
      </c>
      <c r="B2500" s="791"/>
      <c r="C2500" s="769" t="s">
        <v>397</v>
      </c>
      <c r="D2500" s="770"/>
      <c r="E2500" s="771"/>
      <c r="F2500" s="512">
        <f>IF(VLOOKUP(E2481,PROPONENTES!$C$19:$E$108,3,0)="","",VLOOKUP(E2481,PROPONENTES!$C$19:$E$108,3,0))</f>
        <v>2</v>
      </c>
      <c r="G2500" s="824" t="s">
        <v>398</v>
      </c>
      <c r="H2500" s="793" t="s">
        <v>399</v>
      </c>
      <c r="I2500" s="793"/>
      <c r="J2500" s="769" t="s">
        <v>400</v>
      </c>
      <c r="K2500" s="823"/>
      <c r="L2500" s="513" t="s">
        <v>401</v>
      </c>
      <c r="M2500" s="513"/>
      <c r="N2500" s="526"/>
      <c r="O2500" s="527"/>
      <c r="P2500" s="775"/>
      <c r="Q2500" s="776"/>
      <c r="R2500" s="776"/>
      <c r="S2500" s="777"/>
      <c r="T2500" s="796"/>
      <c r="U2500" s="797"/>
      <c r="V2500" s="812"/>
      <c r="W2500" s="284"/>
      <c r="X2500" s="780" t="s">
        <v>402</v>
      </c>
      <c r="Y2500" s="810" t="s">
        <v>403</v>
      </c>
      <c r="Z2500" s="810"/>
      <c r="AA2500" s="810"/>
      <c r="AB2500" s="809"/>
      <c r="AC2500" s="28"/>
    </row>
    <row r="2501" spans="1:29" s="30" customFormat="1" ht="51.75" customHeight="1" thickBot="1">
      <c r="A2501" s="112" t="str">
        <f>"M"&amp;E2481</f>
        <v>M83</v>
      </c>
      <c r="B2501" s="791"/>
      <c r="C2501" s="770" t="s">
        <v>404</v>
      </c>
      <c r="D2501" s="771"/>
      <c r="E2501" s="514" t="s">
        <v>405</v>
      </c>
      <c r="F2501" s="515" t="s">
        <v>406</v>
      </c>
      <c r="G2501" s="824"/>
      <c r="H2501" s="793"/>
      <c r="I2501" s="793"/>
      <c r="J2501" s="504" t="s">
        <v>407</v>
      </c>
      <c r="K2501" s="516" t="s">
        <v>408</v>
      </c>
      <c r="L2501" s="517" t="s">
        <v>409</v>
      </c>
      <c r="M2501" s="517"/>
      <c r="N2501" s="528" t="s">
        <v>410</v>
      </c>
      <c r="O2501" s="529"/>
      <c r="P2501" s="386"/>
      <c r="Q2501" s="387" t="s">
        <v>411</v>
      </c>
      <c r="R2501" s="388"/>
      <c r="S2501" s="113">
        <f>COUNTIFS(H2485:H2494,"SI",O2485:O2494,"&gt;0")</f>
        <v>1</v>
      </c>
      <c r="T2501" s="785"/>
      <c r="U2501" s="787"/>
      <c r="V2501" s="813"/>
      <c r="W2501" s="284"/>
      <c r="X2501" s="780"/>
      <c r="Y2501" s="810"/>
      <c r="Z2501" s="810"/>
      <c r="AA2501" s="810"/>
      <c r="AB2501" s="809"/>
      <c r="AC2501" s="28"/>
    </row>
    <row r="2502" spans="1:29" s="30" customFormat="1" ht="25.5">
      <c r="A2502" s="112" t="str">
        <f>"N"&amp;E2481</f>
        <v>N83</v>
      </c>
      <c r="B2502" s="791"/>
      <c r="C2502" s="54">
        <v>1</v>
      </c>
      <c r="D2502" s="100" t="str">
        <f>IF(AND(C2502&lt;=F2500,F2500&gt;1,F2500&lt;&gt;""),VLOOKUP(VALUE(E2481&amp;","&amp;C2502),INTEGRANTES!$D$19:$F$192,2,0),"")</f>
        <v>JHAIR RODOLFO GONZALEZ VELASQUEZ</v>
      </c>
      <c r="E2502" s="107">
        <f>IF(D2502&lt;&gt;"",VLOOKUP(VALUE(E2481&amp;","&amp;C2502),INTEGRANTES!$D$19:$F$192,3,0),"")</f>
        <v>0.95</v>
      </c>
      <c r="F2502" s="380">
        <f>IF(D2502="","",IF(OR(SUMIF($J2485:$J2494,D2502,$O2485:$O2494)=0,N2502="NO"),"NO APORTA",SUMIF($J2485:$J2494,D2502,$O2485:$O2494)))</f>
        <v>329.09</v>
      </c>
      <c r="G2502" s="380">
        <f ca="1">IF($D2502="","",IF($F2500&lt;=1,"",ROUND(POSMMLV*PORPO,2)))</f>
        <v>150</v>
      </c>
      <c r="H2502" s="765" t="str">
        <f ca="1">IF($D2502="","",IF(OR(F2502="NO APORTA",G2502&gt;F2502),"NO CUMPLE","CUMPLE"))</f>
        <v>CUMPLE</v>
      </c>
      <c r="I2502" s="766"/>
      <c r="J2502" s="108" t="str">
        <f ca="1">IF(D2502="","",IF(OR(AND(SUMIF($J2485:$J2494,D2502,$O2485:$O2494)&gt;=5%*POSMMLV,N2502="SI"),AND(SUMIF($J2485:$J2494,D2502,$O2485:$O2494)=0,E2502&lt;=5%,N2502="SI")),"CUMPLE","NO CUMPLE"))</f>
        <v>CUMPLE</v>
      </c>
      <c r="K2502" s="105" t="str">
        <f ca="1">IF(OR(D2502="",J2502=""),"",IF(AND(J2502="NO CUMPLE",F2502="NO APORTA",E2502&gt;5%),"EXP = 0 y PART &gt; 5%",IF(F2502&lt;5%*Q2507,"EXP &lt; 5%*PO","")))</f>
        <v/>
      </c>
      <c r="L2502" s="389" t="str">
        <f>IF(OR(D2502="",E2502=""),"",IF(AND(E2502&gt;=0.25,F2502&lt;&gt;"NO APORTA",F2502&gt;=$R2507*0.25),"SI","NO"))</f>
        <v>SI</v>
      </c>
      <c r="M2502" s="389"/>
      <c r="N2502" s="468" t="s">
        <v>385</v>
      </c>
      <c r="O2502" s="396">
        <f>COUNTIFS(O2485:O2494,"&gt;0",H2485:H2494,"SI")</f>
        <v>1</v>
      </c>
      <c r="P2502" s="814" t="s">
        <v>139</v>
      </c>
      <c r="Q2502" s="814"/>
      <c r="R2502" s="817">
        <f>E2481</f>
        <v>83</v>
      </c>
      <c r="S2502" s="818"/>
      <c r="T2502" s="784" t="s">
        <v>412</v>
      </c>
      <c r="U2502" s="773"/>
      <c r="V2502" s="774"/>
      <c r="W2502" s="283"/>
      <c r="X2502" s="542" t="str">
        <f>IF($F2500=1,"NO APLICA",$D2502)</f>
        <v>JHAIR RODOLFO GONZALEZ VELASQUEZ</v>
      </c>
      <c r="Y2502" s="543">
        <f ca="1">IF(OR($F2502="",$F2502="NO APORTA",$R2507=0,$X2502="NO APLICA"),"",ROUND($F2502/$Q2507,2))</f>
        <v>1.1000000000000001</v>
      </c>
      <c r="Z2502" s="544" t="str">
        <f ca="1">IF(Y2508=1,"SI APLICA",IF(OR($X2502="",$X2502="NO APLICA",$F2502="",$F2502="NO APORTA"),"",IF(ROUND($F2502/Q2507,7)&gt;=0.4,"SI APLICA","NO APLICA")))</f>
        <v>SI APLICA</v>
      </c>
      <c r="AA2502" s="543" t="s">
        <v>516</v>
      </c>
      <c r="AB2502" s="540" t="str">
        <f ca="1">IF(COUNTIF(Z2502:AA2502,"SI APLICA")=2,"SI APLICA","")</f>
        <v/>
      </c>
      <c r="AC2502" s="28"/>
    </row>
    <row r="2503" spans="1:29" s="30" customFormat="1" ht="27" customHeight="1" thickBot="1">
      <c r="A2503" s="112" t="str">
        <f>"O"&amp;E2481</f>
        <v>O83</v>
      </c>
      <c r="B2503" s="791"/>
      <c r="C2503" s="54">
        <v>2</v>
      </c>
      <c r="D2503" s="100" t="str">
        <f>IF(AND(C2503&lt;=F2500,F2500&lt;&gt;""),VLOOKUP(VALUE(E2481&amp;","&amp;C2503),INTEGRANTES!$D$19:$F$192,2,0),"")</f>
        <v>N&amp;G PROYECTOS S.A.S.</v>
      </c>
      <c r="E2503" s="107">
        <f>IF(D2503&lt;&gt;"",VLOOKUP(VALUE(E2481&amp;","&amp;C2503),INTEGRANTES!$D$19:$F$192,3,0),"")</f>
        <v>0.05</v>
      </c>
      <c r="F2503" s="380" t="str">
        <f>IF(D2503="","",IF(OR(SUMIF($J2485:$J2494,D2503,$O2485:$O2494)=0,N2503="NO"),"NO APORTA",SUMIF($J2485:$J2494,D2503,$O2485:$O2494)))</f>
        <v>NO APORTA</v>
      </c>
      <c r="G2503" s="380">
        <f ca="1">IF($D2503="","",IF($F2500&lt;=1,"",ROUND(POSMMLV*PORPO,2)))</f>
        <v>150</v>
      </c>
      <c r="H2503" s="765" t="str">
        <f t="shared" ref="H2503:H2506" ca="1" si="501">IF($D2503="","",IF(OR(F2503="NO APORTA",G2503&gt;F2503),"NO CUMPLE","CUMPLE"))</f>
        <v>NO CUMPLE</v>
      </c>
      <c r="I2503" s="766"/>
      <c r="J2503" s="108" t="str">
        <f ca="1">IF(D2503="","",IF(OR(AND(SUMIF($J2485:$J2494,D2503,$O2485:$O2494)&gt;=5%*POSMMLV,N2503="SI"),AND(SUMIF($J2485:$J2494,D2503,$O2485:$O2494)=0,E2503&lt;=5%,N2503="SI")),"CUMPLE","NO CUMPLE"))</f>
        <v>CUMPLE</v>
      </c>
      <c r="K2503" s="105" t="str">
        <f ca="1">IF(OR(D2503="",J2503=""),"",IF(AND(J2503="NO CUMPLE",F2503="NO APORTA",E2503&gt;5%),"EXP = 0 y PART &gt; 5%",IF(F2503&lt;5%*Q2507,"EXP &lt; 5%*PO","")))</f>
        <v/>
      </c>
      <c r="L2503" s="389" t="str">
        <f>IF(OR(D2503="",E2503=""),"",IF(AND(E2503&gt;=0.25,F2503&lt;&gt;"NO APORTA",F2503&gt;=$R2507*0.25),"SI","NO"))</f>
        <v>NO</v>
      </c>
      <c r="M2503" s="389"/>
      <c r="N2503" s="468" t="s">
        <v>385</v>
      </c>
      <c r="O2503" s="396"/>
      <c r="P2503" s="815"/>
      <c r="Q2503" s="815"/>
      <c r="R2503" s="815"/>
      <c r="S2503" s="819"/>
      <c r="T2503" s="785"/>
      <c r="U2503" s="786"/>
      <c r="V2503" s="787"/>
      <c r="W2503" s="283"/>
      <c r="X2503" s="542" t="str">
        <f>IF($F2500=1,"NO APLICA",$D2503)</f>
        <v>N&amp;G PROYECTOS S.A.S.</v>
      </c>
      <c r="Y2503" s="543" t="str">
        <f>IF(OR($F2503="",$F2503="NO APORTA",$R2507=0,$X2503="NO APLICA"),"",ROUND($F2503/$Q2507,2))</f>
        <v/>
      </c>
      <c r="Z2503" s="544" t="str">
        <f>IF(Y2508=1,"SI APLICA",IF(OR($X2503="",$X2503="NO APLICA",$F2503="",$F2503="NO APORTA"),"",IF(ROUND($F2503/Q2507,7)&gt;=0.4,"SI APLICA","NO APLICA")))</f>
        <v/>
      </c>
      <c r="AA2503" s="543"/>
      <c r="AB2503" s="540" t="str">
        <f t="shared" ref="AB2503" si="502">IF(COUNTIF(Z2503:AA2503,"SI APLICA")=2,"SI APLICA","")</f>
        <v/>
      </c>
      <c r="AC2503" s="28"/>
    </row>
    <row r="2504" spans="1:29" s="30" customFormat="1" ht="15.75" customHeight="1">
      <c r="A2504" s="112" t="str">
        <f>"P"&amp;E2481</f>
        <v>P83</v>
      </c>
      <c r="B2504" s="791"/>
      <c r="C2504" s="54">
        <v>3</v>
      </c>
      <c r="D2504" s="100" t="str">
        <f>IF(AND(C2504&lt;=F2500,F2500&lt;&gt;""),VLOOKUP(VALUE(E2481&amp;","&amp;C2504),INTEGRANTES!$D$19:$F$192,2,0),"")</f>
        <v/>
      </c>
      <c r="E2504" s="107" t="str">
        <f>IF(D2504&lt;&gt;"",VLOOKUP(VALUE(E2481&amp;","&amp;C2504),INTEGRANTES!$D$19:$F$192,3,0),"")</f>
        <v/>
      </c>
      <c r="F2504" s="380" t="str">
        <f>IF(D2504="","",IF(OR(SUMIF($J2488:$J2494,D2504,$O2488:$O2494)=0,N2504="NO"),"NO APORTA",SUMIF($J2488:$J2494,D2504,$O2488:$O2494)))</f>
        <v/>
      </c>
      <c r="G2504" s="380" t="str">
        <f>IF($D2504="","",IF($F2500&lt;=1,"",ROUND(POSMMLV*PORPO,2)))</f>
        <v/>
      </c>
      <c r="H2504" s="765" t="str">
        <f t="shared" si="501"/>
        <v/>
      </c>
      <c r="I2504" s="766"/>
      <c r="J2504" s="108" t="str">
        <f>IF(D2504="","",IF(OR(AND(SUMIF($J2485:$J2494,D2504,$O2485:$O2494)&gt;=5%*POSMMLV,N2504="SI"),AND(SUMIF($J2485:$J2494,D2504,$O2485:$O2494)=0,E2504&lt;=5%,N2504="SI")),"CUMPLE","NO CUMPLE"))</f>
        <v/>
      </c>
      <c r="K2504" s="105" t="str">
        <f>IF(OR(D2504="",J2504=""),"",IF(AND(J2504="NO CUMPLE",F2504="NO APORTA",E2504&gt;5%),"EXP = 0 y PART &gt; 5%",IF(F2504&lt;5%*Q2507,"EXP &lt; 5%*PO","")))</f>
        <v/>
      </c>
      <c r="L2504" s="389" t="str">
        <f>IF(OR(D2504="",E2504=""),"",IF(AND(E2504&gt;=0.25,F2504&lt;&gt;"NO APORTA",F2504&gt;=$R2507*0.25),"SI","NO"))</f>
        <v/>
      </c>
      <c r="M2504" s="389"/>
      <c r="N2504" s="468"/>
      <c r="O2504" s="397"/>
      <c r="P2504" s="816"/>
      <c r="Q2504" s="816"/>
      <c r="R2504" s="816"/>
      <c r="S2504" s="820"/>
      <c r="T2504" s="308"/>
      <c r="U2504" s="308"/>
      <c r="V2504" s="309"/>
      <c r="W2504" s="284"/>
      <c r="X2504" s="542" t="str">
        <f>IF($F2500=1,"NO APLICA",$D2504)</f>
        <v/>
      </c>
      <c r="Y2504" s="543" t="str">
        <f>IF(OR($F2504="",$F2504="NO APORTA",$R2507=0,$X2504="NO APLICA"),"",ROUND($F2504/$Q2507,2))</f>
        <v/>
      </c>
      <c r="Z2504" s="544" t="str">
        <f>IF(Y2508=1,"SI APLICA",IF(OR($X2504="",$X2504="NO APLICA",$F2504="",$F2504="NO APORTA"),"",IF(ROUND($F2504/Q2507,7)&gt;=0.4,"SI APLICA","NO APLICA")))</f>
        <v/>
      </c>
      <c r="AA2504" s="543"/>
      <c r="AB2504" s="540" t="str">
        <f>IF(COUNTIF(Z2504:AA2504,"SI APLICA")=2,"SI APLICA","")</f>
        <v/>
      </c>
      <c r="AC2504" s="28"/>
    </row>
    <row r="2505" spans="1:29" s="30" customFormat="1" ht="15.75" customHeight="1">
      <c r="A2505" s="112" t="str">
        <f>"Q"&amp;E2481</f>
        <v>Q83</v>
      </c>
      <c r="B2505" s="791"/>
      <c r="C2505" s="54">
        <v>4</v>
      </c>
      <c r="D2505" s="100" t="str">
        <f>IF(AND(C2505&lt;=F2500,F2500&lt;&gt;""),VLOOKUP(VALUE(E2481&amp;","&amp;C2505),INTEGRANTES!$D$19:$F$192,2,0),"")</f>
        <v/>
      </c>
      <c r="E2505" s="107" t="str">
        <f>IF(D2505&lt;&gt;"",VLOOKUP(VALUE(E2481&amp;","&amp;C2505),INTEGRANTES!$D$19:$F$192,3,0),"")</f>
        <v/>
      </c>
      <c r="F2505" s="380" t="str">
        <f>IF(D2505="","",IF(OR(SUMIF($J2488:$J2494,D2505,$O2488:$O2494)=0,N2505="NO"),"NO APORTA",SUMIF($J2488:$J2494,D2505,$O2488:$O2494)))</f>
        <v/>
      </c>
      <c r="G2505" s="380" t="str">
        <f>IF($D2505="","",IF($F2500&lt;=1,"",ROUND(POSMMLV*PORPO,2)))</f>
        <v/>
      </c>
      <c r="H2505" s="765" t="str">
        <f t="shared" si="501"/>
        <v/>
      </c>
      <c r="I2505" s="766"/>
      <c r="J2505" s="108" t="str">
        <f>IF(D2505="","",IF(OR(AND(SUMIF($J2485:$J2494,D2505,$O2485:$O2494)&gt;=5%*POSMMLV,N2505="SI"),AND(SUMIF($J2485:$J2494,D2505,$O2485:$O2494)=0,E2505&lt;=5%,N2505="SI")),"CUMPLE","NO CUMPLE"))</f>
        <v/>
      </c>
      <c r="K2505" s="105" t="str">
        <f>IF(OR(D2505="",J2505=""),"",IF(AND(J2505="NO CUMPLE",F2505="NO APORTA",E2505&gt;5%),"EXP = 0 y PART &gt; 5%",IF(F2505&lt;5%*Q2507,"EXP &lt; 5%*PO","")))</f>
        <v/>
      </c>
      <c r="L2505" s="389" t="str">
        <f>IF(OR(D2505="",E2505=""),"",IF(AND(E2505&gt;=0.25,F2505&lt;&gt;"NO APORTA",F2505&gt;=$R2507*0.25),"SI","NO"))</f>
        <v/>
      </c>
      <c r="M2505" s="389"/>
      <c r="N2505" s="468"/>
      <c r="O2505" s="788" t="s">
        <v>414</v>
      </c>
      <c r="P2505" s="769" t="s">
        <v>415</v>
      </c>
      <c r="Q2505" s="770"/>
      <c r="R2505" s="770"/>
      <c r="S2505" s="771"/>
      <c r="T2505" s="284"/>
      <c r="U2505" s="284"/>
      <c r="V2505" s="310"/>
      <c r="W2505" s="284"/>
      <c r="X2505" s="542" t="str">
        <f>IF($F2500=1,"NO APLICA",$D2505)</f>
        <v/>
      </c>
      <c r="Y2505" s="543" t="str">
        <f>IF(OR($F2505="",$F2505="NO APORTA",$R2507=0,$X2505="NO APLICA"),"",ROUND($F2505/$Q2507,2))</f>
        <v/>
      </c>
      <c r="Z2505" s="544" t="str">
        <f>IF(Y2508=1,"SI APLICA",IF(OR($X2505="",$X2505="NO APLICA",$F2505="",$F2505="NO APORTA"),"",IF(ROUND($F2505/Q2507,7)&gt;=0.4,"SI APLICA","NO APLICA")))</f>
        <v/>
      </c>
      <c r="AA2505" s="543"/>
      <c r="AB2505" s="540" t="str">
        <f t="shared" ref="AB2505:AB2506" si="503">IF(COUNTIF(Z2505:AA2505,"SI APLICA")=2,"SI APLICA","")</f>
        <v/>
      </c>
      <c r="AC2505" s="28"/>
    </row>
    <row r="2506" spans="1:29" s="30" customFormat="1" ht="17.25" customHeight="1">
      <c r="A2506" s="112" t="str">
        <f>"R"&amp;E2481</f>
        <v>R83</v>
      </c>
      <c r="B2506" s="791"/>
      <c r="C2506" s="54">
        <v>5</v>
      </c>
      <c r="D2506" s="100" t="str">
        <f>IF(AND(C2506&lt;=F2500,F2500&lt;&gt;""),VLOOKUP(VALUE(E2481&amp;","&amp;C2506),INTEGRANTES!$D$19:$F$192,2,0),"")</f>
        <v/>
      </c>
      <c r="E2506" s="107" t="str">
        <f>IF(D2506&lt;&gt;"",VLOOKUP(VALUE(E2481&amp;","&amp;C2506),INTEGRANTES!$D$19:$F$192,3,0),"")</f>
        <v/>
      </c>
      <c r="F2506" s="380" t="str">
        <f>IF(D2506="","",IF(OR(SUMIF($J2488:$J2494,D2506,$O2488:$O2494)=0,N2506="NO"),"NO APORTA",SUMIF($J2488:$J2494,D2506,$O2488:$O2494)))</f>
        <v/>
      </c>
      <c r="G2506" s="380" t="str">
        <f>IF($D2506="","",IF($F2500&lt;=1,"",ROUND(POSMMLV*PORPO,2)))</f>
        <v/>
      </c>
      <c r="H2506" s="765" t="str">
        <f t="shared" si="501"/>
        <v/>
      </c>
      <c r="I2506" s="766"/>
      <c r="J2506" s="108" t="str">
        <f>IF(D2506="","",IF(OR(AND(SUMIF($J2485:$J2494,D2506,$O2485:$O2494)&gt;=5%*POSMMLV,N2506="SI"),AND(SUMIF($J2485:$J2494,D2506,$O2485:$O2494)=0,E2506&lt;=5%,N2506="SI")),"CUMPLE","NO CUMPLE"))</f>
        <v/>
      </c>
      <c r="K2506" s="105" t="str">
        <f>IF(OR(D2506="",J2506=""),"",IF(AND(J2506="NO CUMPLE",F2506="NO APORTA",E2506&gt;5%),"EXP = 0 y PART &gt; 5%",IF(F2506&lt;5%*Q2507,"EXP &lt; 5%*PO","")))</f>
        <v/>
      </c>
      <c r="L2506" s="389" t="str">
        <f>IF(OR(D2506="",E2506=""),"",IF(AND(E2506&gt;=0.25,F2506&lt;&gt;"NO APORTA",F2506&gt;=$R2507*0.25),"SI","NO"))</f>
        <v/>
      </c>
      <c r="M2506" s="389"/>
      <c r="N2506" s="468"/>
      <c r="O2506" s="789"/>
      <c r="P2506" s="504" t="s">
        <v>416</v>
      </c>
      <c r="Q2506" s="504" t="s">
        <v>417</v>
      </c>
      <c r="R2506" s="793" t="s">
        <v>418</v>
      </c>
      <c r="S2506" s="793"/>
      <c r="T2506" s="284"/>
      <c r="U2506" s="284"/>
      <c r="V2506" s="310"/>
      <c r="W2506" s="284"/>
      <c r="X2506" s="542" t="str">
        <f>IF($F2500=1,"NO APLICA",$D2506)</f>
        <v/>
      </c>
      <c r="Y2506" s="543" t="str">
        <f>IF(OR($F2506="",$F2506="NO APORTA",$R2507=0,$X2506="NO APLICA"),"",ROUND($F2506/$Q2507,2))</f>
        <v/>
      </c>
      <c r="Z2506" s="544" t="str">
        <f>IF(Y2508=1,"SI APLICA",IF(OR($X2506="",$X2506="NO APLICA",$F2506="",$F2506="NO APORTA"),"",IF(ROUND($F2506/Q2507,7)&gt;=0.4,"SI APLICA","NO APLICA")))</f>
        <v/>
      </c>
      <c r="AA2506" s="543"/>
      <c r="AB2506" s="540" t="str">
        <f t="shared" si="503"/>
        <v/>
      </c>
      <c r="AC2506" s="28"/>
    </row>
    <row r="2507" spans="1:29" s="30" customFormat="1" ht="16.5" customHeight="1" thickBot="1">
      <c r="A2507" s="112" t="str">
        <f>"S"&amp;E2481</f>
        <v>S83</v>
      </c>
      <c r="B2507" s="791"/>
      <c r="C2507" s="109">
        <v>6</v>
      </c>
      <c r="D2507" s="110" t="str">
        <f>IF(AND(C2507&lt;=F2500,F2500&lt;&gt;""),VLOOKUP(VALUE(E2481&amp;","&amp;C2507),INTEGRANTES!$D$19:$F$192,2,0),"")</f>
        <v/>
      </c>
      <c r="E2507" s="111" t="str">
        <f>IF(D2507&lt;&gt;"",VLOOKUP(VALUE(E2481&amp;","&amp;C2507),INTEGRANTES!$D$19:$F$192,3,0),"")</f>
        <v/>
      </c>
      <c r="F2507" s="380" t="str">
        <f>IF(D2507="","",IF(OR(SUMIF($J2488:$J2494,D2507,$O2488:$O2494)=0,N2507="NO"),"NO APORTA",SUMIF($J2488:$J2494,D2507,$O2488:$O2494)))</f>
        <v/>
      </c>
      <c r="G2507" s="380" t="str">
        <f>IF($D2507="","",IF($F2500&lt;=1,"",ROUND(POSMMLV*PORPO,2)))</f>
        <v/>
      </c>
      <c r="H2507" s="765" t="str">
        <f>IF($D2507="","",IF(OR(F2507="NO APORTA",G2507&gt;F2507),"NO CUMPLE","CUMPLE"))</f>
        <v/>
      </c>
      <c r="I2507" s="766"/>
      <c r="J2507" s="108" t="str">
        <f>IF(D2507="","",IF(OR(AND(SUMIF($J2485:$J2494,D2507,$O2485:$O2494)&gt;=5%*POSMMLV,N2507="SI"),AND(SUMIF($J2485:$J2494,D2507,$O2485:$O2494)=0,E2507&lt;=5%,N2507="SI")),"CUMPLE","NO CUMPLE"))</f>
        <v/>
      </c>
      <c r="K2507" s="105" t="str">
        <f>IF(OR(D2507="",J2507=""),"",IF(AND(J2507="NO CUMPLE",F2507="NO APORTA",E2507&gt;5%),"EXP = 0 y PART &gt; 5%",IF(F2507&lt;5%*Q2507,"EXP &lt; 5%*PO","")))</f>
        <v/>
      </c>
      <c r="L2507" s="389" t="str">
        <f>IF(OR(D2507="",E2507=""),"",IF(AND(E2507&gt;=0.25,F2507&lt;&gt;"NO APORTA",F2507&gt;=$R2507*0.25),"SI","NO"))</f>
        <v/>
      </c>
      <c r="M2507" s="389"/>
      <c r="N2507" s="468"/>
      <c r="O2507" s="403" t="str">
        <f ca="1">IF(R2507&gt;=Q2507,"CUMPLE","NO CUMPLE")</f>
        <v>CUMPLE</v>
      </c>
      <c r="P2507" s="312">
        <f>NUMMOD</f>
        <v>1</v>
      </c>
      <c r="Q2507" s="313">
        <f ca="1">IF(P2507="","",ROUND(VLOOKUP(P2507,PRESUPUESTOS!$B$16:$L$16,9,FALSE),7))</f>
        <v>300</v>
      </c>
      <c r="R2507" s="834">
        <f>IF(OR(COUNTIF(O2485:O2494,"")&gt;9,S2501&lt;NUMMINCONT),0,SUM(O2485:O2494))</f>
        <v>329.09</v>
      </c>
      <c r="S2507" s="834"/>
      <c r="T2507" s="284"/>
      <c r="U2507" s="284"/>
      <c r="V2507" s="310"/>
      <c r="W2507" s="284"/>
      <c r="X2507" s="545" t="str">
        <f>IF($F2500=1,"NO APLICA",$D2507)</f>
        <v/>
      </c>
      <c r="Y2507" s="543" t="str">
        <f>IF(OR($F2507="",$F2507="NO APORTA",$R2507=0,$X2507="NO APLICA"),"",ROUND($F2507/$Q2507,2))</f>
        <v/>
      </c>
      <c r="Z2507" s="544" t="str">
        <f>IF(Y2508=1,"SI APLICA",IF(OR($X2507="",$X2507="NO APLICA",$F2507="",$F2507="NO APORTA"),"",IF(ROUND($F2507/Q2507,7)&gt;=0.4,"SI APLICA","NO APLICA")))</f>
        <v/>
      </c>
      <c r="AA2507" s="546"/>
      <c r="AB2507" s="540" t="str">
        <f>IF(COUNTIF(Z2507:AA2507,"SI APLICA")=2,"SI APLICA","")</f>
        <v/>
      </c>
      <c r="AC2507" s="28"/>
    </row>
    <row r="2508" spans="1:29" s="30" customFormat="1" ht="16.5" customHeight="1" thickBot="1">
      <c r="A2508" s="112" t="str">
        <f>"T"&amp;E2481</f>
        <v>T83</v>
      </c>
      <c r="B2508" s="792"/>
      <c r="C2508" s="821" t="s">
        <v>419</v>
      </c>
      <c r="D2508" s="822"/>
      <c r="E2508" s="822"/>
      <c r="F2508" s="518"/>
      <c r="G2508" s="519"/>
      <c r="H2508" s="794" t="str">
        <f ca="1">IF(OR($F2500="",SUM(E2502:E2507)=0),"",IF(COUNTIF(H2502:H2507,"CUMPLE")&gt;=1,"CUMPLE","NO CUMPLE"))</f>
        <v>CUMPLE</v>
      </c>
      <c r="I2508" s="795"/>
      <c r="J2508" s="642" t="str">
        <f ca="1">IF(COUNTIF(J2502:J2507,"")&gt;5,"",IF(COUNTIF(J2502:J2507,"NO CUMPLE")&gt;0,"NO CUMPLE","CUMPLE"))</f>
        <v>CUMPLE</v>
      </c>
      <c r="K2508" s="314" t="str">
        <f ca="1">IF(OR(AND(F2500=1,N2502="SI"),AND(COUNTIF(H2508:J2508,"CUMPLE")=2)),"CUMPLE","NO CUMPLE")</f>
        <v>CUMPLE</v>
      </c>
      <c r="L2508" s="519"/>
      <c r="M2508" s="519"/>
      <c r="N2508" s="519"/>
      <c r="O2508" s="833" t="str">
        <f ca="1">IF(ISNUMBER(F2481),"",IF(AND(O2507="NO CUMPLE",SUM(N2488:N2494)&lt;Q2507),"EL PROPONENTE SE DEBE REQUERIR POR EXPERIENCIA MINIMA EXIGIDA",""))</f>
        <v/>
      </c>
      <c r="P2508" s="833"/>
      <c r="Q2508" s="833"/>
      <c r="R2508" s="833"/>
      <c r="S2508" s="833"/>
      <c r="T2508" s="522"/>
      <c r="U2508" s="523"/>
      <c r="V2508" s="524"/>
      <c r="W2508" s="284"/>
      <c r="X2508" s="364" t="str">
        <f>IF(Y2508=1,"PROPONENTE INDIVIDUAL","PROPONENTE PLURAL")</f>
        <v>PROPONENTE PLURAL</v>
      </c>
      <c r="Y2508" s="276">
        <f>F2500</f>
        <v>2</v>
      </c>
      <c r="Z2508" s="277" t="str">
        <f ca="1">IF(OR(AND(Z2502="SI APLICA",AA2502="SI APLICA"),AND(Z2503="SI APLICA",AA2503="SI APLICA"),AND(Z2504="SI APLICA",AA2504="SI APLICA"),AND(Z2505="SI APLICA",AA2505="SI APLICA"),AND(Z2506="SI APLICA",AA2506="SI APLICA"),AND(Z2507="SI APLICA",AA2507="SI APLICA")),"SI APLICA","NO APLICA")</f>
        <v>NO APLICA</v>
      </c>
      <c r="AA2508" s="278" t="str">
        <f ca="1">IF(OR(AND(AA2502="SI APLICA",AB2502="SI APLICA"),AND(AA2503="SI APLICA",AB2503="SI APLICA"),AND(AA2504="SI APLICA",AB2504="SI APLICA"),AND(AA2505="SI APLICA",AB2505="SI APLICA"),AND(AA2506="SI APLICA",AB2506="SI APLICA"),AND(AA2507="SI APLICA",AB2507="SI APLICA")),"SI APLICA","NO APLICA")</f>
        <v>NO APLICA</v>
      </c>
      <c r="AB2508" s="278" t="str">
        <f ca="1">IF(COUNTIF(AB2502:AB2507,"SI APLICA")&gt;0,"SI APLICA","NO APLICA")</f>
        <v>NO APLICA</v>
      </c>
      <c r="AC2508" s="28"/>
    </row>
    <row r="2509" spans="1:29" ht="24.95" customHeight="1"/>
    <row r="2510" spans="1:29" ht="24.95" customHeight="1"/>
    <row r="2511" spans="1:29" s="41" customFormat="1" ht="24" thickBot="1">
      <c r="A2511" s="34">
        <v>84</v>
      </c>
      <c r="B2511" s="828" t="s">
        <v>355</v>
      </c>
      <c r="C2511" s="828"/>
      <c r="D2511" s="828"/>
      <c r="E2511" s="35">
        <f>VLOOKUP(A2511,PROPONENTES!$B$19:$E$108,2,FALSE)</f>
        <v>84</v>
      </c>
      <c r="F2511" s="36" t="str">
        <f>VLOOKUP(A2511,PROPONENTES!$B$19:$E$108,3,FALSE)</f>
        <v>GRUPO EMPRESARIAL DE INFRAESTRUCTURA COLOMBIANO S.A.S.</v>
      </c>
      <c r="G2511" s="37"/>
      <c r="H2511" s="37"/>
      <c r="I2511" s="36"/>
      <c r="J2511" s="36"/>
      <c r="K2511" s="36"/>
      <c r="L2511" s="36"/>
      <c r="M2511" s="38"/>
      <c r="N2511" s="38"/>
      <c r="O2511" s="37"/>
      <c r="P2511" s="37"/>
      <c r="Q2511" s="39"/>
      <c r="R2511" s="39"/>
      <c r="S2511" s="39"/>
      <c r="T2511" s="39"/>
      <c r="U2511" s="40"/>
      <c r="Y2511" s="52"/>
      <c r="Z2511" s="52"/>
      <c r="AA2511" s="52"/>
      <c r="AB2511" s="28"/>
      <c r="AC2511" s="28"/>
    </row>
    <row r="2512" spans="1:29" s="27" customFormat="1" ht="24.75" customHeight="1">
      <c r="A2512" s="22"/>
      <c r="B2512" s="829" t="s">
        <v>356</v>
      </c>
      <c r="C2512" s="501" t="s">
        <v>357</v>
      </c>
      <c r="D2512" s="502" t="s">
        <v>358</v>
      </c>
      <c r="E2512" s="502"/>
      <c r="F2512" s="502" t="s">
        <v>359</v>
      </c>
      <c r="G2512" s="503"/>
      <c r="H2512" s="803" t="s">
        <v>360</v>
      </c>
      <c r="I2512" s="831" t="s">
        <v>361</v>
      </c>
      <c r="J2512" s="803" t="s">
        <v>362</v>
      </c>
      <c r="K2512" s="803" t="s">
        <v>363</v>
      </c>
      <c r="L2512" s="803" t="s">
        <v>364</v>
      </c>
      <c r="M2512" s="803" t="s">
        <v>365</v>
      </c>
      <c r="N2512" s="804" t="s">
        <v>366</v>
      </c>
      <c r="O2512" s="805"/>
      <c r="P2512" s="806" t="s">
        <v>367</v>
      </c>
      <c r="Q2512" s="807"/>
      <c r="R2512" s="784" t="s">
        <v>368</v>
      </c>
      <c r="S2512" s="774"/>
      <c r="T2512" s="798" t="s">
        <v>369</v>
      </c>
      <c r="U2512" s="799"/>
      <c r="V2512" s="800"/>
      <c r="X2512" s="520"/>
      <c r="Y2512" s="520"/>
    </row>
    <row r="2513" spans="1:29" s="27" customFormat="1" ht="94.5" customHeight="1">
      <c r="A2513" s="22"/>
      <c r="B2513" s="830"/>
      <c r="C2513" s="504" t="s">
        <v>370</v>
      </c>
      <c r="D2513" s="505" t="s">
        <v>41</v>
      </c>
      <c r="E2513" s="505" t="s">
        <v>371</v>
      </c>
      <c r="F2513" s="505" t="s">
        <v>372</v>
      </c>
      <c r="G2513" s="506" t="s">
        <v>373</v>
      </c>
      <c r="H2513" s="793"/>
      <c r="I2513" s="832"/>
      <c r="J2513" s="793"/>
      <c r="K2513" s="793"/>
      <c r="L2513" s="793"/>
      <c r="M2513" s="793"/>
      <c r="N2513" s="504" t="s">
        <v>374</v>
      </c>
      <c r="O2513" s="505" t="s">
        <v>375</v>
      </c>
      <c r="P2513" s="801"/>
      <c r="Q2513" s="802"/>
      <c r="R2513" s="796"/>
      <c r="S2513" s="797"/>
      <c r="T2513" s="507" t="s">
        <v>376</v>
      </c>
      <c r="U2513" s="508" t="s">
        <v>377</v>
      </c>
      <c r="V2513" s="509" t="s">
        <v>378</v>
      </c>
      <c r="X2513" s="521" t="s">
        <v>379</v>
      </c>
      <c r="Y2513" s="521" t="s">
        <v>380</v>
      </c>
    </row>
    <row r="2514" spans="1:29" s="27" customFormat="1" ht="15" customHeight="1">
      <c r="A2514" s="22"/>
      <c r="B2514" s="594"/>
      <c r="C2514" s="595">
        <v>3</v>
      </c>
      <c r="D2514" s="595">
        <v>4</v>
      </c>
      <c r="E2514" s="595">
        <v>5</v>
      </c>
      <c r="F2514" s="595">
        <v>6</v>
      </c>
      <c r="G2514" s="595">
        <v>7</v>
      </c>
      <c r="H2514" s="595">
        <v>8</v>
      </c>
      <c r="I2514" s="595">
        <v>9</v>
      </c>
      <c r="J2514" s="595">
        <v>10</v>
      </c>
      <c r="K2514" s="595">
        <v>11</v>
      </c>
      <c r="L2514" s="595">
        <v>12</v>
      </c>
      <c r="M2514" s="595">
        <v>13</v>
      </c>
      <c r="N2514" s="595">
        <v>14</v>
      </c>
      <c r="O2514" s="595">
        <v>15</v>
      </c>
      <c r="P2514" s="596">
        <v>16</v>
      </c>
      <c r="Q2514" s="597">
        <v>17</v>
      </c>
      <c r="R2514" s="596">
        <v>18</v>
      </c>
      <c r="S2514" s="597">
        <v>19</v>
      </c>
      <c r="T2514" s="598">
        <v>20</v>
      </c>
      <c r="U2514" s="255">
        <v>21</v>
      </c>
      <c r="V2514" s="599">
        <v>22</v>
      </c>
      <c r="X2514" s="589"/>
      <c r="Y2514" s="590"/>
    </row>
    <row r="2515" spans="1:29" s="44" customFormat="1" ht="37.5" customHeight="1">
      <c r="A2515" s="42" t="str">
        <f>"A"&amp;E2511</f>
        <v>A84</v>
      </c>
      <c r="B2515" s="605">
        <f>IF(C2515&lt;&gt;"",B2514+1,"")</f>
        <v>1</v>
      </c>
      <c r="C2515" s="581" t="s">
        <v>1059</v>
      </c>
      <c r="D2515" s="581" t="s">
        <v>1060</v>
      </c>
      <c r="E2515" s="581" t="s">
        <v>1061</v>
      </c>
      <c r="F2515" s="581" t="s">
        <v>384</v>
      </c>
      <c r="G2515" s="534">
        <v>1</v>
      </c>
      <c r="H2515" s="534" t="s">
        <v>385</v>
      </c>
      <c r="I2515" s="579" t="s">
        <v>384</v>
      </c>
      <c r="J2515" s="580" t="str">
        <f>IF(I2515="","",IF(I2515="I",$F2511,VLOOKUP(I2515,$C2532:$D2537,2,0)))</f>
        <v>GRUPO EMPRESARIAL DE INFRAESTRUCTURA COLOMBIANO S.A.S.</v>
      </c>
      <c r="K2515" s="535">
        <v>38230</v>
      </c>
      <c r="L2515" s="535">
        <v>38411</v>
      </c>
      <c r="M2515" s="536">
        <v>449.51</v>
      </c>
      <c r="N2515" s="232">
        <f t="shared" ref="N2515:N2524" si="504">IF(OR(G2515="",M2515=""),"",M2515*G2515)</f>
        <v>449.51</v>
      </c>
      <c r="O2515" s="260">
        <f t="shared" ref="O2515:O2524" si="505">IF(OR(H2515="",H2515="NO",K2515&lt;$Q$17,K2515&gt;$R$17,K2515="",M2515="",N2515=""),"",ROUND(N2515,7))</f>
        <v>449.51</v>
      </c>
      <c r="P2515" s="781" t="s">
        <v>1062</v>
      </c>
      <c r="Q2515" s="782"/>
      <c r="R2515" s="767"/>
      <c r="S2515" s="768"/>
      <c r="T2515" s="538" t="s">
        <v>385</v>
      </c>
      <c r="U2515" s="539">
        <v>23</v>
      </c>
      <c r="V2515" s="540" t="s">
        <v>385</v>
      </c>
      <c r="X2515" s="541" t="s">
        <v>449</v>
      </c>
      <c r="Y2515" s="541" t="s">
        <v>387</v>
      </c>
    </row>
    <row r="2516" spans="1:29" s="44" customFormat="1" ht="24.95" customHeight="1">
      <c r="A2516" s="42" t="str">
        <f>"B"&amp;E2511</f>
        <v>B84</v>
      </c>
      <c r="B2516" s="605" t="str">
        <f t="shared" ref="B2516:B2524" si="506">IF(C2516&lt;&gt;"",B2515+1,"")</f>
        <v/>
      </c>
      <c r="C2516" s="581"/>
      <c r="D2516" s="581"/>
      <c r="E2516" s="581"/>
      <c r="F2516" s="581"/>
      <c r="G2516" s="534"/>
      <c r="H2516" s="534"/>
      <c r="I2516" s="579"/>
      <c r="J2516" s="580" t="str">
        <f>IF(I2516="","",IF(I2516="I",$F2511,VLOOKUP(I2516,$C2532:$D2537,2,0)))</f>
        <v/>
      </c>
      <c r="K2516" s="535"/>
      <c r="L2516" s="535"/>
      <c r="M2516" s="536"/>
      <c r="N2516" s="232" t="str">
        <f t="shared" si="504"/>
        <v/>
      </c>
      <c r="O2516" s="260" t="str">
        <f t="shared" si="505"/>
        <v/>
      </c>
      <c r="P2516" s="781"/>
      <c r="Q2516" s="782"/>
      <c r="R2516" s="767"/>
      <c r="S2516" s="768"/>
      <c r="T2516" s="538"/>
      <c r="U2516" s="539"/>
      <c r="V2516" s="540"/>
      <c r="X2516" s="541"/>
      <c r="Y2516" s="541"/>
    </row>
    <row r="2517" spans="1:29" s="44" customFormat="1" ht="24.95" customHeight="1">
      <c r="A2517" s="42" t="str">
        <f>"C"&amp;E2511</f>
        <v>C84</v>
      </c>
      <c r="B2517" s="605" t="str">
        <f t="shared" si="506"/>
        <v/>
      </c>
      <c r="C2517" s="581"/>
      <c r="D2517" s="581"/>
      <c r="E2517" s="581"/>
      <c r="F2517" s="581"/>
      <c r="G2517" s="534"/>
      <c r="H2517" s="534"/>
      <c r="I2517" s="579"/>
      <c r="J2517" s="580" t="str">
        <f>IF(I2517="","",IF(I2517="I",$F2511,VLOOKUP(I2517,$C2532:$D2537,2,0)))</f>
        <v/>
      </c>
      <c r="K2517" s="535"/>
      <c r="L2517" s="535"/>
      <c r="M2517" s="536"/>
      <c r="N2517" s="232" t="str">
        <f t="shared" si="504"/>
        <v/>
      </c>
      <c r="O2517" s="260" t="str">
        <f t="shared" si="505"/>
        <v/>
      </c>
      <c r="P2517" s="781"/>
      <c r="Q2517" s="782"/>
      <c r="R2517" s="767"/>
      <c r="S2517" s="768"/>
      <c r="T2517" s="538"/>
      <c r="U2517" s="539"/>
      <c r="V2517" s="540"/>
      <c r="X2517" s="541"/>
      <c r="Y2517" s="541"/>
    </row>
    <row r="2518" spans="1:29" s="44" customFormat="1" ht="24.95" customHeight="1">
      <c r="A2518" s="42" t="str">
        <f>"D"&amp;E2511</f>
        <v>D84</v>
      </c>
      <c r="B2518" s="605" t="str">
        <f t="shared" si="506"/>
        <v/>
      </c>
      <c r="C2518" s="581"/>
      <c r="D2518" s="581"/>
      <c r="E2518" s="581"/>
      <c r="F2518" s="581"/>
      <c r="G2518" s="534"/>
      <c r="H2518" s="534"/>
      <c r="I2518" s="579"/>
      <c r="J2518" s="580" t="str">
        <f>IF(I2518="","",IF(I2518="I",$F2511,VLOOKUP(I2518,$C2532:$D2537,2,0)))</f>
        <v/>
      </c>
      <c r="K2518" s="535"/>
      <c r="L2518" s="535"/>
      <c r="M2518" s="536"/>
      <c r="N2518" s="232" t="str">
        <f t="shared" si="504"/>
        <v/>
      </c>
      <c r="O2518" s="260" t="str">
        <f t="shared" si="505"/>
        <v/>
      </c>
      <c r="P2518" s="781"/>
      <c r="Q2518" s="782"/>
      <c r="R2518" s="767"/>
      <c r="S2518" s="768"/>
      <c r="T2518" s="538"/>
      <c r="U2518" s="539"/>
      <c r="V2518" s="540"/>
      <c r="X2518" s="541"/>
      <c r="Y2518" s="541"/>
    </row>
    <row r="2519" spans="1:29" s="44" customFormat="1" ht="24.95" customHeight="1">
      <c r="A2519" s="42" t="str">
        <f>"E"&amp;E2511</f>
        <v>E84</v>
      </c>
      <c r="B2519" s="605" t="str">
        <f t="shared" si="506"/>
        <v/>
      </c>
      <c r="C2519" s="581"/>
      <c r="D2519" s="581"/>
      <c r="E2519" s="581"/>
      <c r="F2519" s="581"/>
      <c r="G2519" s="534"/>
      <c r="H2519" s="534"/>
      <c r="I2519" s="579"/>
      <c r="J2519" s="580" t="str">
        <f>IF(I2519="","",IF(I2519="I",$F2511,VLOOKUP(I2519,$C2532:$D2537,2,0)))</f>
        <v/>
      </c>
      <c r="K2519" s="535"/>
      <c r="L2519" s="535"/>
      <c r="M2519" s="536"/>
      <c r="N2519" s="232" t="str">
        <f t="shared" si="504"/>
        <v/>
      </c>
      <c r="O2519" s="260" t="str">
        <f t="shared" si="505"/>
        <v/>
      </c>
      <c r="P2519" s="781"/>
      <c r="Q2519" s="782"/>
      <c r="R2519" s="767"/>
      <c r="S2519" s="768"/>
      <c r="T2519" s="538"/>
      <c r="U2519" s="539"/>
      <c r="V2519" s="540"/>
      <c r="X2519" s="541"/>
      <c r="Y2519" s="541"/>
    </row>
    <row r="2520" spans="1:29" s="44" customFormat="1" ht="24.95" customHeight="1">
      <c r="A2520" s="42" t="str">
        <f>"F"&amp;E2511</f>
        <v>F84</v>
      </c>
      <c r="B2520" s="605" t="str">
        <f t="shared" si="506"/>
        <v/>
      </c>
      <c r="C2520" s="581"/>
      <c r="D2520" s="581"/>
      <c r="E2520" s="581"/>
      <c r="F2520" s="581"/>
      <c r="G2520" s="534"/>
      <c r="H2520" s="534"/>
      <c r="I2520" s="579"/>
      <c r="J2520" s="580" t="str">
        <f>IF(I2520="","",IF(I2520="I",$F2511,VLOOKUP(I2520,$C2532:$D2537,2,0)))</f>
        <v/>
      </c>
      <c r="K2520" s="535"/>
      <c r="L2520" s="535"/>
      <c r="M2520" s="536"/>
      <c r="N2520" s="232" t="str">
        <f t="shared" si="504"/>
        <v/>
      </c>
      <c r="O2520" s="260" t="str">
        <f t="shared" si="505"/>
        <v/>
      </c>
      <c r="P2520" s="781"/>
      <c r="Q2520" s="782"/>
      <c r="R2520" s="767"/>
      <c r="S2520" s="768"/>
      <c r="T2520" s="538"/>
      <c r="U2520" s="539"/>
      <c r="V2520" s="540"/>
      <c r="X2520" s="541"/>
      <c r="Y2520" s="541"/>
    </row>
    <row r="2521" spans="1:29" s="44" customFormat="1" ht="24.95" customHeight="1">
      <c r="A2521" s="42" t="str">
        <f>"G"&amp;E2511</f>
        <v>G84</v>
      </c>
      <c r="B2521" s="605" t="str">
        <f t="shared" si="506"/>
        <v/>
      </c>
      <c r="C2521" s="581"/>
      <c r="D2521" s="581"/>
      <c r="E2521" s="581"/>
      <c r="F2521" s="581"/>
      <c r="G2521" s="534"/>
      <c r="H2521" s="534"/>
      <c r="I2521" s="579"/>
      <c r="J2521" s="580" t="str">
        <f>IF(I2521="","",IF(I2521="I",$F2511,VLOOKUP(I2521,$C2532:$D2537,2,0)))</f>
        <v/>
      </c>
      <c r="K2521" s="535"/>
      <c r="L2521" s="535"/>
      <c r="M2521" s="536"/>
      <c r="N2521" s="43" t="str">
        <f t="shared" si="504"/>
        <v/>
      </c>
      <c r="O2521" s="260" t="str">
        <f t="shared" si="505"/>
        <v/>
      </c>
      <c r="P2521" s="781"/>
      <c r="Q2521" s="782"/>
      <c r="R2521" s="767"/>
      <c r="S2521" s="768"/>
      <c r="T2521" s="538"/>
      <c r="U2521" s="539"/>
      <c r="V2521" s="540"/>
      <c r="X2521" s="541"/>
      <c r="Y2521" s="541"/>
    </row>
    <row r="2522" spans="1:29" s="44" customFormat="1" ht="24.95" customHeight="1">
      <c r="A2522" s="42" t="str">
        <f>"H"&amp;E2511</f>
        <v>H84</v>
      </c>
      <c r="B2522" s="605" t="str">
        <f t="shared" si="506"/>
        <v/>
      </c>
      <c r="C2522" s="581"/>
      <c r="D2522" s="581"/>
      <c r="E2522" s="581"/>
      <c r="F2522" s="581"/>
      <c r="G2522" s="534"/>
      <c r="H2522" s="534"/>
      <c r="I2522" s="579"/>
      <c r="J2522" s="580" t="str">
        <f>IF(I2522="","",IF(I2522="I",$F2511,VLOOKUP(I2522,$C2532:$D2537,2,0)))</f>
        <v/>
      </c>
      <c r="K2522" s="535"/>
      <c r="L2522" s="535"/>
      <c r="M2522" s="537"/>
      <c r="N2522" s="43" t="str">
        <f t="shared" si="504"/>
        <v/>
      </c>
      <c r="O2522" s="260" t="str">
        <f t="shared" si="505"/>
        <v/>
      </c>
      <c r="P2522" s="781"/>
      <c r="Q2522" s="782"/>
      <c r="R2522" s="767"/>
      <c r="S2522" s="768"/>
      <c r="T2522" s="538"/>
      <c r="U2522" s="539"/>
      <c r="V2522" s="540"/>
      <c r="X2522" s="541"/>
      <c r="Y2522" s="541"/>
    </row>
    <row r="2523" spans="1:29" s="44" customFormat="1" ht="24.95" customHeight="1">
      <c r="A2523" s="42" t="str">
        <f>"I"&amp;E2511</f>
        <v>I84</v>
      </c>
      <c r="B2523" s="605" t="str">
        <f t="shared" si="506"/>
        <v/>
      </c>
      <c r="C2523" s="581"/>
      <c r="D2523" s="581"/>
      <c r="E2523" s="581"/>
      <c r="F2523" s="581"/>
      <c r="G2523" s="534"/>
      <c r="H2523" s="534"/>
      <c r="I2523" s="579"/>
      <c r="J2523" s="580" t="str">
        <f>IF(I2523="","",IF(I2523="I",$F2511,VLOOKUP(I2523,$C2532:$D2537,2,0)))</f>
        <v/>
      </c>
      <c r="K2523" s="535"/>
      <c r="L2523" s="535"/>
      <c r="M2523" s="537"/>
      <c r="N2523" s="43" t="str">
        <f t="shared" si="504"/>
        <v/>
      </c>
      <c r="O2523" s="260" t="str">
        <f t="shared" si="505"/>
        <v/>
      </c>
      <c r="P2523" s="781"/>
      <c r="Q2523" s="782"/>
      <c r="R2523" s="767"/>
      <c r="S2523" s="768"/>
      <c r="T2523" s="538"/>
      <c r="U2523" s="539"/>
      <c r="V2523" s="540"/>
      <c r="X2523" s="541"/>
      <c r="Y2523" s="541"/>
    </row>
    <row r="2524" spans="1:29" s="44" customFormat="1" ht="24.95" customHeight="1" thickBot="1">
      <c r="A2524" s="42" t="str">
        <f>"J"&amp;E2511</f>
        <v>J84</v>
      </c>
      <c r="B2524" s="612" t="str">
        <f t="shared" si="506"/>
        <v/>
      </c>
      <c r="C2524" s="582"/>
      <c r="D2524" s="582"/>
      <c r="E2524" s="582"/>
      <c r="F2524" s="582"/>
      <c r="G2524" s="583"/>
      <c r="H2524" s="583"/>
      <c r="I2524" s="584"/>
      <c r="J2524" s="585" t="str">
        <f>IF(I2524="","",IF(I2524="I",$F2511,VLOOKUP(I2524,$C2532:$D2537,2,0)))</f>
        <v/>
      </c>
      <c r="K2524" s="586"/>
      <c r="L2524" s="586"/>
      <c r="M2524" s="587"/>
      <c r="N2524" s="43" t="str">
        <f t="shared" si="504"/>
        <v/>
      </c>
      <c r="O2524" s="260" t="str">
        <f t="shared" si="505"/>
        <v/>
      </c>
      <c r="P2524" s="781"/>
      <c r="Q2524" s="782"/>
      <c r="R2524" s="767"/>
      <c r="S2524" s="768"/>
      <c r="T2524" s="538"/>
      <c r="U2524" s="539"/>
      <c r="V2524" s="540"/>
      <c r="X2524" s="541"/>
      <c r="Y2524" s="541"/>
    </row>
    <row r="2525" spans="1:29" s="27" customFormat="1" ht="12" customHeight="1" thickBot="1">
      <c r="A2525" s="42"/>
      <c r="B2525" s="45"/>
      <c r="C2525" s="46"/>
      <c r="D2525" s="46"/>
      <c r="E2525" s="46"/>
      <c r="F2525" s="46"/>
      <c r="G2525" s="46"/>
      <c r="H2525" s="606"/>
      <c r="I2525" s="46"/>
      <c r="J2525" s="46"/>
      <c r="K2525" s="46"/>
      <c r="L2525" s="46"/>
      <c r="M2525" s="46"/>
      <c r="N2525" s="46"/>
      <c r="O2525" s="259"/>
      <c r="P2525" s="46"/>
      <c r="Q2525" s="46"/>
      <c r="R2525" s="259"/>
      <c r="S2525" s="46"/>
      <c r="T2525" s="46"/>
      <c r="U2525" s="47"/>
      <c r="V2525" s="48"/>
      <c r="X2525" s="592"/>
      <c r="Y2525" s="593"/>
      <c r="AB2525" s="378"/>
    </row>
    <row r="2526" spans="1:29" s="27" customFormat="1" ht="17.25" customHeight="1" thickBot="1">
      <c r="A2526" s="42" t="str">
        <f>"Z"&amp;E2511</f>
        <v>Z84</v>
      </c>
      <c r="B2526" s="510"/>
      <c r="C2526" s="511"/>
      <c r="D2526" s="511"/>
      <c r="E2526" s="511"/>
      <c r="F2526" s="511"/>
      <c r="G2526" s="511"/>
      <c r="H2526" s="511"/>
      <c r="I2526" s="511"/>
      <c r="J2526" s="511"/>
      <c r="K2526" s="511"/>
      <c r="L2526" s="511"/>
      <c r="M2526" s="511"/>
      <c r="N2526" s="437" t="s">
        <v>388</v>
      </c>
      <c r="O2526" s="438">
        <f>IF(COUNTIF(O2515:O2524,"")&gt;9,0,SUM(O2515:O2524)/(COUNTIF(H2515:H2524,"SI")))</f>
        <v>449.51</v>
      </c>
      <c r="P2526" s="511"/>
      <c r="Q2526" s="511"/>
      <c r="R2526" s="530"/>
      <c r="S2526" s="530"/>
      <c r="T2526" s="531"/>
      <c r="U2526" s="532"/>
      <c r="V2526" s="533"/>
      <c r="W2526" s="285"/>
      <c r="X2526" s="613" t="e">
        <f>COUNTIF(#REF!,"")-COUNTIF(#REF!,"CUMPLE")-1</f>
        <v>#REF!</v>
      </c>
      <c r="Y2526" s="591"/>
      <c r="AB2526" s="28"/>
    </row>
    <row r="2527" spans="1:29" ht="17.25" customHeight="1">
      <c r="B2527" s="50"/>
      <c r="C2527" s="50"/>
      <c r="D2527" s="50"/>
      <c r="E2527" s="50"/>
      <c r="F2527" s="50"/>
      <c r="G2527" s="51"/>
      <c r="H2527" s="51"/>
      <c r="I2527" s="51"/>
      <c r="J2527" s="51"/>
      <c r="K2527" s="51"/>
      <c r="L2527" s="51"/>
      <c r="M2527" s="51"/>
      <c r="N2527" s="51"/>
      <c r="O2527" s="51"/>
      <c r="P2527" s="51"/>
      <c r="Q2527" s="51"/>
      <c r="R2527" s="51"/>
      <c r="S2527" s="51"/>
      <c r="T2527" s="51"/>
      <c r="U2527" s="51"/>
      <c r="V2527" s="51"/>
      <c r="W2527" s="51"/>
      <c r="X2527" s="608"/>
      <c r="Y2527" s="51"/>
      <c r="Z2527" s="51"/>
      <c r="AA2527" s="51"/>
      <c r="AB2527" s="51"/>
      <c r="AC2527" s="50"/>
    </row>
    <row r="2528" spans="1:29" s="27" customFormat="1" ht="16.5" customHeight="1" thickBot="1">
      <c r="A2528" s="22"/>
      <c r="B2528" s="783" t="s">
        <v>389</v>
      </c>
      <c r="C2528" s="783"/>
      <c r="D2528" s="783"/>
      <c r="E2528" s="783"/>
      <c r="F2528" s="783"/>
      <c r="G2528" s="783"/>
      <c r="H2528" s="783"/>
      <c r="I2528" s="783"/>
      <c r="J2528" s="783"/>
      <c r="K2528" s="783"/>
      <c r="L2528" s="783"/>
      <c r="M2528" s="783"/>
      <c r="N2528" s="783"/>
      <c r="O2528" s="783"/>
      <c r="P2528" s="783"/>
      <c r="Q2528" s="783"/>
      <c r="R2528" s="783"/>
      <c r="S2528" s="783"/>
      <c r="T2528" s="783"/>
      <c r="U2528" s="783"/>
      <c r="V2528" s="783"/>
      <c r="W2528" s="286"/>
      <c r="X2528" s="607"/>
      <c r="Y2528" s="52"/>
      <c r="Z2528" s="52"/>
      <c r="AA2528" s="52"/>
      <c r="AB2528" s="28"/>
      <c r="AC2528" s="28"/>
    </row>
    <row r="2529" spans="1:29" s="30" customFormat="1" ht="22.5" customHeight="1">
      <c r="A2529" s="112" t="str">
        <f>"K"&amp;E2511</f>
        <v>K84</v>
      </c>
      <c r="B2529" s="790" t="s">
        <v>390</v>
      </c>
      <c r="C2529" s="772" t="s">
        <v>391</v>
      </c>
      <c r="D2529" s="773"/>
      <c r="E2529" s="773"/>
      <c r="F2529" s="773"/>
      <c r="G2529" s="773"/>
      <c r="H2529" s="773"/>
      <c r="I2529" s="773"/>
      <c r="J2529" s="773"/>
      <c r="K2529" s="773"/>
      <c r="L2529" s="773"/>
      <c r="M2529" s="774"/>
      <c r="N2529" s="525"/>
      <c r="O2529" s="588"/>
      <c r="P2529" s="772" t="s">
        <v>392</v>
      </c>
      <c r="Q2529" s="773"/>
      <c r="R2529" s="773"/>
      <c r="S2529" s="774"/>
      <c r="T2529" s="784" t="s">
        <v>393</v>
      </c>
      <c r="U2529" s="774"/>
      <c r="V2529" s="811"/>
      <c r="W2529" s="284"/>
      <c r="X2529" s="778" t="s">
        <v>394</v>
      </c>
      <c r="Y2529" s="779"/>
      <c r="Z2529" s="779"/>
      <c r="AA2529" s="779" t="s">
        <v>395</v>
      </c>
      <c r="AB2529" s="808" t="s">
        <v>396</v>
      </c>
      <c r="AC2529" s="28"/>
    </row>
    <row r="2530" spans="1:29" s="30" customFormat="1" ht="22.5" customHeight="1">
      <c r="A2530" s="112" t="str">
        <f>"L"&amp;E2511</f>
        <v>L84</v>
      </c>
      <c r="B2530" s="791"/>
      <c r="C2530" s="769" t="s">
        <v>397</v>
      </c>
      <c r="D2530" s="770"/>
      <c r="E2530" s="771"/>
      <c r="F2530" s="512">
        <f>IF(VLOOKUP(E2511,PROPONENTES!$C$19:$E$108,3,0)="","",VLOOKUP(E2511,PROPONENTES!$C$19:$E$108,3,0))</f>
        <v>1</v>
      </c>
      <c r="G2530" s="824" t="s">
        <v>398</v>
      </c>
      <c r="H2530" s="793" t="s">
        <v>399</v>
      </c>
      <c r="I2530" s="793"/>
      <c r="J2530" s="769" t="s">
        <v>400</v>
      </c>
      <c r="K2530" s="823"/>
      <c r="L2530" s="513" t="s">
        <v>401</v>
      </c>
      <c r="M2530" s="513"/>
      <c r="N2530" s="526"/>
      <c r="O2530" s="527"/>
      <c r="P2530" s="775"/>
      <c r="Q2530" s="776"/>
      <c r="R2530" s="776"/>
      <c r="S2530" s="777"/>
      <c r="T2530" s="796"/>
      <c r="U2530" s="797"/>
      <c r="V2530" s="812"/>
      <c r="W2530" s="284"/>
      <c r="X2530" s="780" t="s">
        <v>402</v>
      </c>
      <c r="Y2530" s="810" t="s">
        <v>403</v>
      </c>
      <c r="Z2530" s="810"/>
      <c r="AA2530" s="810"/>
      <c r="AB2530" s="809"/>
      <c r="AC2530" s="28"/>
    </row>
    <row r="2531" spans="1:29" s="30" customFormat="1" ht="51.75" customHeight="1" thickBot="1">
      <c r="A2531" s="112" t="str">
        <f>"M"&amp;E2511</f>
        <v>M84</v>
      </c>
      <c r="B2531" s="791"/>
      <c r="C2531" s="770" t="s">
        <v>404</v>
      </c>
      <c r="D2531" s="771"/>
      <c r="E2531" s="514" t="s">
        <v>405</v>
      </c>
      <c r="F2531" s="515" t="s">
        <v>406</v>
      </c>
      <c r="G2531" s="824"/>
      <c r="H2531" s="793"/>
      <c r="I2531" s="793"/>
      <c r="J2531" s="504" t="s">
        <v>407</v>
      </c>
      <c r="K2531" s="516" t="s">
        <v>408</v>
      </c>
      <c r="L2531" s="517" t="s">
        <v>409</v>
      </c>
      <c r="M2531" s="517"/>
      <c r="N2531" s="528" t="s">
        <v>410</v>
      </c>
      <c r="O2531" s="529"/>
      <c r="P2531" s="386"/>
      <c r="Q2531" s="387" t="s">
        <v>411</v>
      </c>
      <c r="R2531" s="388"/>
      <c r="S2531" s="113">
        <f>COUNTIFS(H2515:H2524,"SI",O2515:O2524,"&gt;0")</f>
        <v>1</v>
      </c>
      <c r="T2531" s="785"/>
      <c r="U2531" s="787"/>
      <c r="V2531" s="813"/>
      <c r="W2531" s="284"/>
      <c r="X2531" s="780"/>
      <c r="Y2531" s="810"/>
      <c r="Z2531" s="810"/>
      <c r="AA2531" s="810"/>
      <c r="AB2531" s="809"/>
      <c r="AC2531" s="28"/>
    </row>
    <row r="2532" spans="1:29" s="30" customFormat="1" ht="15.75" customHeight="1">
      <c r="A2532" s="112" t="str">
        <f>"N"&amp;E2511</f>
        <v>N84</v>
      </c>
      <c r="B2532" s="791"/>
      <c r="C2532" s="54">
        <v>1</v>
      </c>
      <c r="D2532" s="100" t="str">
        <f>IF(AND(C2532&lt;=F2530,F2530&gt;1,F2530&lt;&gt;""),VLOOKUP(VALUE(E2511&amp;","&amp;C2532),INTEGRANTES!$D$19:$F$192,2,0),"")</f>
        <v/>
      </c>
      <c r="E2532" s="107" t="str">
        <f>IF(D2532&lt;&gt;"",VLOOKUP(VALUE(E2511&amp;","&amp;C2532),INTEGRANTES!$D$19:$F$192,3,0),"")</f>
        <v/>
      </c>
      <c r="F2532" s="380" t="str">
        <f>IF(D2532="","",IF(OR(SUMIF($J2518:$J2524,D2532,$O2518:$O2524)=0,N2532="NO"),"NO APORTA",SUMIF($J2518:$J2524,D2532,$O2518:$O2524)))</f>
        <v/>
      </c>
      <c r="G2532" s="380" t="str">
        <f>IF($D2532="","",IF($F2530&lt;=1,"",ROUND(POSMMLV*PORPO,2)))</f>
        <v/>
      </c>
      <c r="H2532" s="765" t="str">
        <f>IF($D2532="","",IF(OR(F2532="NO APORTA",G2532&gt;F2532),"NO CUMPLE","CUMPLE"))</f>
        <v/>
      </c>
      <c r="I2532" s="766"/>
      <c r="J2532" s="108" t="str">
        <f>IF(D2532="","",IF(OR(AND(SUMIF($J2515:$J2524,D2532,$O2515:$O2524)&gt;=5%*POSMMLV,N2532="SI"),AND(SUMIF($J2515:$J2524,D2532,$O2515:$O2524)=0,E2532&lt;=5%,N2532="SI")),"CUMPLE","NO CUMPLE"))</f>
        <v/>
      </c>
      <c r="K2532" s="105" t="str">
        <f>IF(OR(D2532="",J2532=""),"",IF(AND(J2532="NO CUMPLE",F2532="NO APORTA",E2532&gt;5%),"EXP = 0 y PART &gt; 5%",IF(F2532&lt;5%*Q2537,"EXP &lt; 5%*PO","")))</f>
        <v/>
      </c>
      <c r="L2532" s="389" t="str">
        <f>IF(OR(D2532="",E2532=""),"",IF(AND(E2532&gt;=0.25,F2532&lt;&gt;"NO APORTA",F2532&gt;=$R2537*0.25),"SI","NO"))</f>
        <v/>
      </c>
      <c r="M2532" s="389"/>
      <c r="N2532" s="468" t="s">
        <v>385</v>
      </c>
      <c r="O2532" s="396">
        <f>COUNTIFS(O2515:O2524,"&gt;0",H2515:H2524,"SI")</f>
        <v>1</v>
      </c>
      <c r="P2532" s="814" t="s">
        <v>139</v>
      </c>
      <c r="Q2532" s="814"/>
      <c r="R2532" s="817">
        <f>E2511</f>
        <v>84</v>
      </c>
      <c r="S2532" s="818"/>
      <c r="T2532" s="784" t="s">
        <v>412</v>
      </c>
      <c r="U2532" s="773"/>
      <c r="V2532" s="774"/>
      <c r="W2532" s="283"/>
      <c r="X2532" s="542" t="str">
        <f>IF($F2530=1,"NO APLICA",$D2532)</f>
        <v>NO APLICA</v>
      </c>
      <c r="Y2532" s="543" t="str">
        <f>IF(OR($F2532="",$F2532="NO APORTA",$R2537=0,$X2532="NO APLICA"),"",ROUND($F2532/$Q2537,2))</f>
        <v/>
      </c>
      <c r="Z2532" s="544" t="str">
        <f>IF(Y2538=1,"SI APLICA",IF(OR($X2532="",$X2532="NO APLICA",$F2532="",$F2532="NO APORTA"),"",IF(ROUND($F2532/Q2537,7)&gt;=0.4,"SI APLICA","NO APLICA")))</f>
        <v>SI APLICA</v>
      </c>
      <c r="AA2532" s="543" t="s">
        <v>516</v>
      </c>
      <c r="AB2532" s="540" t="str">
        <f>IF(COUNTIF(Z2532:AA2532,"SI APLICA")=2,"SI APLICA","")</f>
        <v/>
      </c>
      <c r="AC2532" s="28"/>
    </row>
    <row r="2533" spans="1:29" s="30" customFormat="1" ht="15.75" customHeight="1" thickBot="1">
      <c r="A2533" s="112" t="str">
        <f>"O"&amp;E2511</f>
        <v>O84</v>
      </c>
      <c r="B2533" s="791"/>
      <c r="C2533" s="54">
        <v>2</v>
      </c>
      <c r="D2533" s="100" t="str">
        <f>IF(AND(C2533&lt;=F2530,F2530&lt;&gt;""),VLOOKUP(VALUE(E2511&amp;","&amp;C2533),INTEGRANTES!$D$19:$F$192,2,0),"")</f>
        <v/>
      </c>
      <c r="E2533" s="107" t="str">
        <f>IF(D2533&lt;&gt;"",VLOOKUP(VALUE(E2511&amp;","&amp;C2533),INTEGRANTES!$D$19:$F$192,3,0),"")</f>
        <v/>
      </c>
      <c r="F2533" s="380" t="str">
        <f>IF(D2533="","",IF(OR(SUMIF($J2518:$J2524,D2533,$O2518:$O2524)=0,N2533="NO"),"NO APORTA",SUMIF($J2518:$J2524,D2533,$O2518:$O2524)))</f>
        <v/>
      </c>
      <c r="G2533" s="380" t="str">
        <f>IF($D2533="","",IF($F2530&lt;=1,"",ROUND(POSMMLV*PORPO,2)))</f>
        <v/>
      </c>
      <c r="H2533" s="765" t="str">
        <f t="shared" ref="H2533:H2536" si="507">IF($D2533="","",IF(OR(F2533="NO APORTA",G2533&gt;F2533),"NO CUMPLE","CUMPLE"))</f>
        <v/>
      </c>
      <c r="I2533" s="766"/>
      <c r="J2533" s="108" t="str">
        <f>IF(D2533="","",IF(OR(AND(SUMIF($J2515:$J2524,D2533,$O2515:$O2524)&gt;=5%*POSMMLV,N2533="SI"),AND(SUMIF($J2515:$J2524,D2533,$O2515:$O2524)=0,E2533&lt;=5%,N2533="SI")),"CUMPLE","NO CUMPLE"))</f>
        <v/>
      </c>
      <c r="K2533" s="105" t="str">
        <f>IF(OR(D2533="",J2533=""),"",IF(AND(J2533="NO CUMPLE",F2533="NO APORTA",E2533&gt;5%),"EXP = 0 y PART &gt; 5%",IF(F2533&lt;5%*Q2537,"EXP &lt; 5%*PO","")))</f>
        <v/>
      </c>
      <c r="L2533" s="389" t="str">
        <f>IF(OR(D2533="",E2533=""),"",IF(AND(E2533&gt;=0.25,F2533&lt;&gt;"NO APORTA",F2533&gt;=$R2537*0.25),"SI","NO"))</f>
        <v/>
      </c>
      <c r="M2533" s="389"/>
      <c r="N2533" s="468"/>
      <c r="O2533" s="396"/>
      <c r="P2533" s="815"/>
      <c r="Q2533" s="815"/>
      <c r="R2533" s="815"/>
      <c r="S2533" s="819"/>
      <c r="T2533" s="785"/>
      <c r="U2533" s="786"/>
      <c r="V2533" s="787"/>
      <c r="W2533" s="283"/>
      <c r="X2533" s="542" t="str">
        <f>IF($F2530=1,"NO APLICA",$D2533)</f>
        <v>NO APLICA</v>
      </c>
      <c r="Y2533" s="543" t="str">
        <f>IF(OR($F2533="",$F2533="NO APORTA",$R2537=0,$X2533="NO APLICA"),"",ROUND($F2533/$Q2537,2))</f>
        <v/>
      </c>
      <c r="Z2533" s="544"/>
      <c r="AA2533" s="543"/>
      <c r="AB2533" s="540" t="str">
        <f t="shared" ref="AB2533" si="508">IF(COUNTIF(Z2533:AA2533,"SI APLICA")=2,"SI APLICA","")</f>
        <v/>
      </c>
      <c r="AC2533" s="28"/>
    </row>
    <row r="2534" spans="1:29" s="30" customFormat="1" ht="15.75" customHeight="1">
      <c r="A2534" s="112" t="str">
        <f>"P"&amp;E2511</f>
        <v>P84</v>
      </c>
      <c r="B2534" s="791"/>
      <c r="C2534" s="54">
        <v>3</v>
      </c>
      <c r="D2534" s="100" t="str">
        <f>IF(AND(C2534&lt;=F2530,F2530&lt;&gt;""),VLOOKUP(VALUE(E2511&amp;","&amp;C2534),INTEGRANTES!$D$19:$F$192,2,0),"")</f>
        <v/>
      </c>
      <c r="E2534" s="107" t="str">
        <f>IF(D2534&lt;&gt;"",VLOOKUP(VALUE(E2511&amp;","&amp;C2534),INTEGRANTES!$D$19:$F$192,3,0),"")</f>
        <v/>
      </c>
      <c r="F2534" s="380" t="str">
        <f>IF(D2534="","",IF(OR(SUMIF($J2518:$J2524,D2534,$O2518:$O2524)=0,N2534="NO"),"NO APORTA",SUMIF($J2518:$J2524,D2534,$O2518:$O2524)))</f>
        <v/>
      </c>
      <c r="G2534" s="380" t="str">
        <f>IF($D2534="","",IF($F2530&lt;=1,"",ROUND(POSMMLV*PORPO,2)))</f>
        <v/>
      </c>
      <c r="H2534" s="765" t="str">
        <f t="shared" si="507"/>
        <v/>
      </c>
      <c r="I2534" s="766"/>
      <c r="J2534" s="108" t="str">
        <f>IF(D2534="","",IF(OR(AND(SUMIF($J2515:$J2524,D2534,$O2515:$O2524)&gt;=5%*POSMMLV,N2534="SI"),AND(SUMIF($J2515:$J2524,D2534,$O2515:$O2524)=0,E2534&lt;=5%,N2534="SI")),"CUMPLE","NO CUMPLE"))</f>
        <v/>
      </c>
      <c r="K2534" s="105" t="str">
        <f>IF(OR(D2534="",J2534=""),"",IF(AND(J2534="NO CUMPLE",F2534="NO APORTA",E2534&gt;5%),"EXP = 0 y PART &gt; 5%",IF(F2534&lt;5%*Q2537,"EXP &lt; 5%*PO","")))</f>
        <v/>
      </c>
      <c r="L2534" s="389" t="str">
        <f>IF(OR(D2534="",E2534=""),"",IF(AND(E2534&gt;=0.25,F2534&lt;&gt;"NO APORTA",F2534&gt;=$R2537*0.25),"SI","NO"))</f>
        <v/>
      </c>
      <c r="M2534" s="389"/>
      <c r="N2534" s="468"/>
      <c r="O2534" s="397"/>
      <c r="P2534" s="816"/>
      <c r="Q2534" s="816"/>
      <c r="R2534" s="816"/>
      <c r="S2534" s="820"/>
      <c r="T2534" s="308"/>
      <c r="U2534" s="308"/>
      <c r="V2534" s="309"/>
      <c r="W2534" s="284"/>
      <c r="X2534" s="542" t="str">
        <f>IF($F2530=1,"NO APLICA",$D2534)</f>
        <v>NO APLICA</v>
      </c>
      <c r="Y2534" s="543" t="str">
        <f>IF(OR($F2534="",$F2534="NO APORTA",$R2537=0,$X2534="NO APLICA"),"",ROUND($F2534/$Q2537,2))</f>
        <v/>
      </c>
      <c r="Z2534" s="544"/>
      <c r="AA2534" s="543"/>
      <c r="AB2534" s="540" t="str">
        <f>IF(COUNTIF(Z2534:AA2534,"SI APLICA")=2,"SI APLICA","")</f>
        <v/>
      </c>
      <c r="AC2534" s="28"/>
    </row>
    <row r="2535" spans="1:29" s="30" customFormat="1" ht="15.75" customHeight="1">
      <c r="A2535" s="112" t="str">
        <f>"Q"&amp;E2511</f>
        <v>Q84</v>
      </c>
      <c r="B2535" s="791"/>
      <c r="C2535" s="54">
        <v>4</v>
      </c>
      <c r="D2535" s="100" t="str">
        <f>IF(AND(C2535&lt;=F2530,F2530&lt;&gt;""),VLOOKUP(VALUE(E2511&amp;","&amp;C2535),INTEGRANTES!$D$19:$F$192,2,0),"")</f>
        <v/>
      </c>
      <c r="E2535" s="107" t="str">
        <f>IF(D2535&lt;&gt;"",VLOOKUP(VALUE(E2511&amp;","&amp;C2535),INTEGRANTES!$D$19:$F$192,3,0),"")</f>
        <v/>
      </c>
      <c r="F2535" s="380" t="str">
        <f>IF(D2535="","",IF(OR(SUMIF($J2518:$J2524,D2535,$O2518:$O2524)=0,N2535="NO"),"NO APORTA",SUMIF($J2518:$J2524,D2535,$O2518:$O2524)))</f>
        <v/>
      </c>
      <c r="G2535" s="380" t="str">
        <f>IF($D2535="","",IF($F2530&lt;=1,"",ROUND(POSMMLV*PORPO,2)))</f>
        <v/>
      </c>
      <c r="H2535" s="765" t="str">
        <f t="shared" si="507"/>
        <v/>
      </c>
      <c r="I2535" s="766"/>
      <c r="J2535" s="108" t="str">
        <f>IF(D2535="","",IF(OR(AND(SUMIF($J2515:$J2524,D2535,$O2515:$O2524)&gt;=5%*POSMMLV,N2535="SI"),AND(SUMIF($J2515:$J2524,D2535,$O2515:$O2524)=0,E2535&lt;=5%,N2535="SI")),"CUMPLE","NO CUMPLE"))</f>
        <v/>
      </c>
      <c r="K2535" s="105" t="str">
        <f>IF(OR(D2535="",J2535=""),"",IF(AND(J2535="NO CUMPLE",F2535="NO APORTA",E2535&gt;5%),"EXP = 0 y PART &gt; 5%",IF(F2535&lt;5%*Q2537,"EXP &lt; 5%*PO","")))</f>
        <v/>
      </c>
      <c r="L2535" s="389" t="str">
        <f>IF(OR(D2535="",E2535=""),"",IF(AND(E2535&gt;=0.25,F2535&lt;&gt;"NO APORTA",F2535&gt;=$R2537*0.25),"SI","NO"))</f>
        <v/>
      </c>
      <c r="M2535" s="389"/>
      <c r="N2535" s="468"/>
      <c r="O2535" s="788" t="s">
        <v>414</v>
      </c>
      <c r="P2535" s="769" t="s">
        <v>415</v>
      </c>
      <c r="Q2535" s="770"/>
      <c r="R2535" s="770"/>
      <c r="S2535" s="771"/>
      <c r="T2535" s="284"/>
      <c r="U2535" s="284"/>
      <c r="V2535" s="310"/>
      <c r="W2535" s="284"/>
      <c r="X2535" s="542" t="str">
        <f>IF($F2530=1,"NO APLICA",$D2535)</f>
        <v>NO APLICA</v>
      </c>
      <c r="Y2535" s="543" t="str">
        <f>IF(OR($F2535="",$F2535="NO APORTA",$R2537=0,$X2535="NO APLICA"),"",ROUND($F2535/$Q2537,2))</f>
        <v/>
      </c>
      <c r="Z2535" s="544"/>
      <c r="AA2535" s="543"/>
      <c r="AB2535" s="540" t="str">
        <f t="shared" ref="AB2535:AB2536" si="509">IF(COUNTIF(Z2535:AA2535,"SI APLICA")=2,"SI APLICA","")</f>
        <v/>
      </c>
      <c r="AC2535" s="28"/>
    </row>
    <row r="2536" spans="1:29" s="30" customFormat="1" ht="17.25" customHeight="1">
      <c r="A2536" s="112" t="str">
        <f>"R"&amp;E2511</f>
        <v>R84</v>
      </c>
      <c r="B2536" s="791"/>
      <c r="C2536" s="54">
        <v>5</v>
      </c>
      <c r="D2536" s="100" t="str">
        <f>IF(AND(C2536&lt;=F2530,F2530&lt;&gt;""),VLOOKUP(VALUE(E2511&amp;","&amp;C2536),INTEGRANTES!$D$19:$F$192,2,0),"")</f>
        <v/>
      </c>
      <c r="E2536" s="107" t="str">
        <f>IF(D2536&lt;&gt;"",VLOOKUP(VALUE(E2511&amp;","&amp;C2536),INTEGRANTES!$D$19:$F$192,3,0),"")</f>
        <v/>
      </c>
      <c r="F2536" s="380" t="str">
        <f>IF(D2536="","",IF(OR(SUMIF($J2518:$J2524,D2536,$O2518:$O2524)=0,N2536="NO"),"NO APORTA",SUMIF($J2518:$J2524,D2536,$O2518:$O2524)))</f>
        <v/>
      </c>
      <c r="G2536" s="380" t="str">
        <f>IF($D2536="","",IF($F2530&lt;=1,"",ROUND(POSMMLV*PORPO,2)))</f>
        <v/>
      </c>
      <c r="H2536" s="765" t="str">
        <f t="shared" si="507"/>
        <v/>
      </c>
      <c r="I2536" s="766"/>
      <c r="J2536" s="108" t="str">
        <f>IF(D2536="","",IF(OR(AND(SUMIF($J2515:$J2524,D2536,$O2515:$O2524)&gt;=5%*POSMMLV,N2536="SI"),AND(SUMIF($J2515:$J2524,D2536,$O2515:$O2524)=0,E2536&lt;=5%,N2536="SI")),"CUMPLE","NO CUMPLE"))</f>
        <v/>
      </c>
      <c r="K2536" s="105" t="str">
        <f>IF(OR(D2536="",J2536=""),"",IF(AND(J2536="NO CUMPLE",F2536="NO APORTA",E2536&gt;5%),"EXP = 0 y PART &gt; 5%",IF(F2536&lt;5%*Q2537,"EXP &lt; 5%*PO","")))</f>
        <v/>
      </c>
      <c r="L2536" s="389" t="str">
        <f>IF(OR(D2536="",E2536=""),"",IF(AND(E2536&gt;=0.25,F2536&lt;&gt;"NO APORTA",F2536&gt;=$R2537*0.25),"SI","NO"))</f>
        <v/>
      </c>
      <c r="M2536" s="389"/>
      <c r="N2536" s="468"/>
      <c r="O2536" s="789"/>
      <c r="P2536" s="504" t="s">
        <v>416</v>
      </c>
      <c r="Q2536" s="504" t="s">
        <v>417</v>
      </c>
      <c r="R2536" s="793" t="s">
        <v>418</v>
      </c>
      <c r="S2536" s="793"/>
      <c r="T2536" s="284"/>
      <c r="U2536" s="284"/>
      <c r="V2536" s="310"/>
      <c r="W2536" s="284"/>
      <c r="X2536" s="542" t="str">
        <f>IF($F2530=1,"NO APLICA",$D2536)</f>
        <v>NO APLICA</v>
      </c>
      <c r="Y2536" s="543" t="str">
        <f>IF(OR($F2536="",$F2536="NO APORTA",$R2537=0,$X2536="NO APLICA"),"",ROUND($F2536/$Q2537,2))</f>
        <v/>
      </c>
      <c r="Z2536" s="544"/>
      <c r="AA2536" s="543"/>
      <c r="AB2536" s="540" t="str">
        <f t="shared" si="509"/>
        <v/>
      </c>
      <c r="AC2536" s="28"/>
    </row>
    <row r="2537" spans="1:29" s="30" customFormat="1" ht="16.5" customHeight="1" thickBot="1">
      <c r="A2537" s="112" t="str">
        <f>"S"&amp;E2511</f>
        <v>S84</v>
      </c>
      <c r="B2537" s="791"/>
      <c r="C2537" s="109">
        <v>6</v>
      </c>
      <c r="D2537" s="110" t="str">
        <f>IF(AND(C2537&lt;=F2530,F2530&lt;&gt;""),VLOOKUP(VALUE(E2511&amp;","&amp;C2537),INTEGRANTES!$D$19:$F$192,2,0),"")</f>
        <v/>
      </c>
      <c r="E2537" s="111" t="str">
        <f>IF(D2537&lt;&gt;"",VLOOKUP(VALUE(E2511&amp;","&amp;C2537),INTEGRANTES!$D$19:$F$192,3,0),"")</f>
        <v/>
      </c>
      <c r="F2537" s="380" t="str">
        <f>IF(D2537="","",IF(OR(SUMIF($J2518:$J2524,D2537,$O2518:$O2524)=0,N2537="NO"),"NO APORTA",SUMIF($J2518:$J2524,D2537,$O2518:$O2524)))</f>
        <v/>
      </c>
      <c r="G2537" s="380" t="str">
        <f>IF($D2537="","",IF($F2530&lt;=1,"",ROUND(POSMMLV*PORPO,2)))</f>
        <v/>
      </c>
      <c r="H2537" s="765" t="str">
        <f>IF($D2537="","",IF(OR(F2537="NO APORTA",G2537&gt;F2537),"NO CUMPLE","CUMPLE"))</f>
        <v/>
      </c>
      <c r="I2537" s="766"/>
      <c r="J2537" s="108" t="str">
        <f>IF(D2537="","",IF(OR(AND(SUMIF($J2515:$J2524,D2537,$O2515:$O2524)&gt;=5%*POSMMLV,N2537="SI"),AND(SUMIF($J2515:$J2524,D2537,$O2515:$O2524)=0,E2537&lt;=5%,N2537="SI")),"CUMPLE","NO CUMPLE"))</f>
        <v/>
      </c>
      <c r="K2537" s="105" t="str">
        <f>IF(OR(D2537="",J2537=""),"",IF(AND(J2537="NO CUMPLE",F2537="NO APORTA",E2537&gt;5%),"EXP = 0 y PART &gt; 5%",IF(F2537&lt;5%*Q2537,"EXP &lt; 5%*PO","")))</f>
        <v/>
      </c>
      <c r="L2537" s="389" t="str">
        <f>IF(OR(D2537="",E2537=""),"",IF(AND(E2537&gt;=0.25,F2537&lt;&gt;"NO APORTA",F2537&gt;=$R2537*0.25),"SI","NO"))</f>
        <v/>
      </c>
      <c r="M2537" s="389"/>
      <c r="N2537" s="468"/>
      <c r="O2537" s="403" t="str">
        <f ca="1">IF(R2537&gt;=Q2537,"CUMPLE","NO CUMPLE")</f>
        <v>CUMPLE</v>
      </c>
      <c r="P2537" s="312">
        <f>NUMMOD</f>
        <v>1</v>
      </c>
      <c r="Q2537" s="313">
        <f ca="1">IF(P2537="","",ROUND(VLOOKUP(P2537,PRESUPUESTOS!$B$16:$L$16,9,FALSE),7))</f>
        <v>300</v>
      </c>
      <c r="R2537" s="834">
        <f>IF(OR(COUNTIF(O2515:O2524,"")&gt;9,S2531&lt;NUMMINCONT),0,SUM(O2515:O2524))</f>
        <v>449.51</v>
      </c>
      <c r="S2537" s="834"/>
      <c r="T2537" s="284"/>
      <c r="U2537" s="284"/>
      <c r="V2537" s="310"/>
      <c r="W2537" s="284"/>
      <c r="X2537" s="545" t="str">
        <f>IF($F2530=1,"NO APLICA",$D2537)</f>
        <v>NO APLICA</v>
      </c>
      <c r="Y2537" s="543" t="str">
        <f>IF(OR($F2537="",$F2537="NO APORTA",$R2537=0,$X2537="NO APLICA"),"",ROUND($F2537/$Q2537,2))</f>
        <v/>
      </c>
      <c r="Z2537" s="544"/>
      <c r="AA2537" s="546"/>
      <c r="AB2537" s="540" t="str">
        <f>IF(COUNTIF(Z2537:AA2537,"SI APLICA")=2,"SI APLICA","")</f>
        <v/>
      </c>
      <c r="AC2537" s="28"/>
    </row>
    <row r="2538" spans="1:29" s="30" customFormat="1" ht="16.5" customHeight="1" thickBot="1">
      <c r="A2538" s="112" t="str">
        <f>"T"&amp;E2511</f>
        <v>T84</v>
      </c>
      <c r="B2538" s="792"/>
      <c r="C2538" s="821" t="s">
        <v>419</v>
      </c>
      <c r="D2538" s="822"/>
      <c r="E2538" s="822"/>
      <c r="F2538" s="518"/>
      <c r="G2538" s="519"/>
      <c r="H2538" s="794" t="str">
        <f>IF(OR($F2530="",SUM(E2532:E2537)=0),"",IF(COUNTIF(H2532:H2537,"CUMPLE")&gt;=1,"CUMPLE","NO CUMPLE"))</f>
        <v/>
      </c>
      <c r="I2538" s="795"/>
      <c r="J2538" s="314" t="str">
        <f>IF(COUNTIF(J2532:J2537,"")&gt;5,"",IF(COUNTIF(J2532:J2537,"NO CUMPLE")&gt;0,"NO CUMPLE","CUMPLE"))</f>
        <v/>
      </c>
      <c r="K2538" s="314" t="str">
        <f>IF(OR(AND(F2530=1,N2532="SI"),AND(COUNTIF(H2538:J2538,"CUMPLE")=2)),"CUMPLE","NO CUMPLE")</f>
        <v>CUMPLE</v>
      </c>
      <c r="L2538" s="519"/>
      <c r="M2538" s="519"/>
      <c r="N2538" s="519"/>
      <c r="O2538" s="833" t="str">
        <f ca="1">IF(ISNUMBER(F2511),"",IF(AND(O2537="NO CUMPLE",SUM(N2518:N2524)&lt;Q2537),"EL PROPONENTE SE DEBE REQUERIR POR EXPERIENCIA MINIMA EXIGIDA",""))</f>
        <v/>
      </c>
      <c r="P2538" s="833"/>
      <c r="Q2538" s="833"/>
      <c r="R2538" s="833"/>
      <c r="S2538" s="833"/>
      <c r="T2538" s="522"/>
      <c r="U2538" s="523"/>
      <c r="V2538" s="524"/>
      <c r="W2538" s="284"/>
      <c r="X2538" s="364" t="str">
        <f>IF(Y2538=1,"PROPONENTE INDIVIDUAL","PROPONENTE PLURAL")</f>
        <v>PROPONENTE INDIVIDUAL</v>
      </c>
      <c r="Y2538" s="276">
        <f>F2530</f>
        <v>1</v>
      </c>
      <c r="Z2538" s="277" t="str">
        <f>IF(OR(AND(Z2532="SI APLICA",AA2532="SI APLICA"),AND(Z2533="SI APLICA",AA2533="SI APLICA"),AND(Z2534="SI APLICA",AA2534="SI APLICA"),AND(Z2535="SI APLICA",AA2535="SI APLICA"),AND(Z2536="SI APLICA",AA2536="SI APLICA"),AND(Z2537="SI APLICA",AA2537="SI APLICA")),"SI APLICA","NO APLICA")</f>
        <v>NO APLICA</v>
      </c>
      <c r="AA2538" s="278" t="str">
        <f>IF(OR(AND(AA2532="SI APLICA",AB2532="SI APLICA"),AND(AA2533="SI APLICA",AB2533="SI APLICA"),AND(AA2534="SI APLICA",AB2534="SI APLICA"),AND(AA2535="SI APLICA",AB2535="SI APLICA"),AND(AA2536="SI APLICA",AB2536="SI APLICA"),AND(AA2537="SI APLICA",AB2537="SI APLICA")),"SI APLICA","NO APLICA")</f>
        <v>NO APLICA</v>
      </c>
      <c r="AB2538" s="278" t="str">
        <f>IF(COUNTIF(AB2532:AB2537,"SI APLICA")&gt;0,"SI APLICA","NO APLICA")</f>
        <v>NO APLICA</v>
      </c>
      <c r="AC2538" s="28"/>
    </row>
    <row r="2539" spans="1:29" ht="24.95" customHeight="1"/>
    <row r="2540" spans="1:29" ht="24.95" customHeight="1"/>
    <row r="2541" spans="1:29" s="41" customFormat="1" ht="24" thickBot="1">
      <c r="A2541" s="34">
        <v>85</v>
      </c>
      <c r="B2541" s="828" t="s">
        <v>355</v>
      </c>
      <c r="C2541" s="828"/>
      <c r="D2541" s="828"/>
      <c r="E2541" s="35">
        <f>VLOOKUP(A2541,PROPONENTES!$B$19:$E$108,2,FALSE)</f>
        <v>85</v>
      </c>
      <c r="F2541" s="36" t="str">
        <f>VLOOKUP(A2541,PROPONENTES!$B$19:$E$108,3,FALSE)</f>
        <v>DBB INGENIERÍA S.A.S.</v>
      </c>
      <c r="G2541" s="37"/>
      <c r="H2541" s="37"/>
      <c r="I2541" s="36"/>
      <c r="J2541" s="36"/>
      <c r="K2541" s="36"/>
      <c r="L2541" s="36"/>
      <c r="M2541" s="38"/>
      <c r="N2541" s="38"/>
      <c r="O2541" s="37"/>
      <c r="P2541" s="37"/>
      <c r="Q2541" s="39"/>
      <c r="R2541" s="39"/>
      <c r="S2541" s="39"/>
      <c r="T2541" s="39"/>
      <c r="U2541" s="40"/>
      <c r="Y2541" s="52"/>
      <c r="Z2541" s="52"/>
      <c r="AA2541" s="52"/>
      <c r="AB2541" s="28"/>
      <c r="AC2541" s="28"/>
    </row>
    <row r="2542" spans="1:29" s="27" customFormat="1" ht="24.75" customHeight="1">
      <c r="A2542" s="22"/>
      <c r="B2542" s="829" t="s">
        <v>356</v>
      </c>
      <c r="C2542" s="501" t="s">
        <v>357</v>
      </c>
      <c r="D2542" s="502" t="s">
        <v>358</v>
      </c>
      <c r="E2542" s="502"/>
      <c r="F2542" s="502" t="s">
        <v>359</v>
      </c>
      <c r="G2542" s="503"/>
      <c r="H2542" s="803" t="s">
        <v>360</v>
      </c>
      <c r="I2542" s="831" t="s">
        <v>361</v>
      </c>
      <c r="J2542" s="803" t="s">
        <v>362</v>
      </c>
      <c r="K2542" s="803" t="s">
        <v>363</v>
      </c>
      <c r="L2542" s="803" t="s">
        <v>364</v>
      </c>
      <c r="M2542" s="803" t="s">
        <v>365</v>
      </c>
      <c r="N2542" s="804" t="s">
        <v>366</v>
      </c>
      <c r="O2542" s="805"/>
      <c r="P2542" s="806" t="s">
        <v>367</v>
      </c>
      <c r="Q2542" s="807"/>
      <c r="R2542" s="784" t="s">
        <v>368</v>
      </c>
      <c r="S2542" s="774"/>
      <c r="T2542" s="798" t="s">
        <v>369</v>
      </c>
      <c r="U2542" s="799"/>
      <c r="V2542" s="800"/>
      <c r="X2542" s="520"/>
      <c r="Y2542" s="520"/>
    </row>
    <row r="2543" spans="1:29" s="27" customFormat="1" ht="94.5" customHeight="1">
      <c r="A2543" s="22"/>
      <c r="B2543" s="830"/>
      <c r="C2543" s="504" t="s">
        <v>370</v>
      </c>
      <c r="D2543" s="505" t="s">
        <v>41</v>
      </c>
      <c r="E2543" s="505" t="s">
        <v>371</v>
      </c>
      <c r="F2543" s="505" t="s">
        <v>372</v>
      </c>
      <c r="G2543" s="506" t="s">
        <v>373</v>
      </c>
      <c r="H2543" s="793"/>
      <c r="I2543" s="832"/>
      <c r="J2543" s="793"/>
      <c r="K2543" s="793"/>
      <c r="L2543" s="793"/>
      <c r="M2543" s="793"/>
      <c r="N2543" s="504" t="s">
        <v>374</v>
      </c>
      <c r="O2543" s="505" t="s">
        <v>375</v>
      </c>
      <c r="P2543" s="801"/>
      <c r="Q2543" s="802"/>
      <c r="R2543" s="796"/>
      <c r="S2543" s="797"/>
      <c r="T2543" s="507" t="s">
        <v>376</v>
      </c>
      <c r="U2543" s="508" t="s">
        <v>377</v>
      </c>
      <c r="V2543" s="509" t="s">
        <v>378</v>
      </c>
      <c r="X2543" s="521" t="s">
        <v>379</v>
      </c>
      <c r="Y2543" s="521" t="s">
        <v>380</v>
      </c>
    </row>
    <row r="2544" spans="1:29" s="27" customFormat="1" ht="15" customHeight="1">
      <c r="A2544" s="22"/>
      <c r="B2544" s="594"/>
      <c r="C2544" s="595">
        <v>3</v>
      </c>
      <c r="D2544" s="595">
        <v>4</v>
      </c>
      <c r="E2544" s="595">
        <v>5</v>
      </c>
      <c r="F2544" s="595">
        <v>6</v>
      </c>
      <c r="G2544" s="595">
        <v>7</v>
      </c>
      <c r="H2544" s="595">
        <v>8</v>
      </c>
      <c r="I2544" s="595">
        <v>9</v>
      </c>
      <c r="J2544" s="595">
        <v>10</v>
      </c>
      <c r="K2544" s="595">
        <v>11</v>
      </c>
      <c r="L2544" s="595">
        <v>12</v>
      </c>
      <c r="M2544" s="595">
        <v>13</v>
      </c>
      <c r="N2544" s="595">
        <v>14</v>
      </c>
      <c r="O2544" s="595">
        <v>15</v>
      </c>
      <c r="P2544" s="596">
        <v>16</v>
      </c>
      <c r="Q2544" s="597">
        <v>17</v>
      </c>
      <c r="R2544" s="596">
        <v>18</v>
      </c>
      <c r="S2544" s="597">
        <v>19</v>
      </c>
      <c r="T2544" s="598">
        <v>20</v>
      </c>
      <c r="U2544" s="255">
        <v>21</v>
      </c>
      <c r="V2544" s="599">
        <v>22</v>
      </c>
      <c r="X2544" s="589"/>
      <c r="Y2544" s="590"/>
    </row>
    <row r="2545" spans="1:29" s="44" customFormat="1" ht="69.75" customHeight="1">
      <c r="A2545" s="42" t="str">
        <f>"A"&amp;E2541</f>
        <v>A85</v>
      </c>
      <c r="B2545" s="605">
        <f>IF(C2545&lt;&gt;"",B2544+1,"")</f>
        <v>1</v>
      </c>
      <c r="C2545" s="581" t="s">
        <v>443</v>
      </c>
      <c r="D2545" s="581" t="s">
        <v>1063</v>
      </c>
      <c r="E2545" s="581" t="s">
        <v>1064</v>
      </c>
      <c r="F2545" s="581" t="s">
        <v>431</v>
      </c>
      <c r="G2545" s="534">
        <v>0.3</v>
      </c>
      <c r="H2545" s="534" t="s">
        <v>385</v>
      </c>
      <c r="I2545" s="579" t="s">
        <v>384</v>
      </c>
      <c r="J2545" s="580" t="str">
        <f>IF(I2545="","",IF(I2545="I",$F2541,VLOOKUP(I2545,$C2562:$D2567,2,0)))</f>
        <v>DBB INGENIERÍA S.A.S.</v>
      </c>
      <c r="K2545" s="535">
        <v>42034</v>
      </c>
      <c r="L2545" s="535">
        <v>42490</v>
      </c>
      <c r="M2545" s="536">
        <v>2104.14</v>
      </c>
      <c r="N2545" s="232">
        <f t="shared" ref="N2545:N2554" si="510">IF(OR(G2545="",M2545=""),"",M2545*G2545)</f>
        <v>631.24199999999996</v>
      </c>
      <c r="O2545" s="260">
        <f t="shared" ref="O2545:O2554" si="511">IF(OR(H2545="",H2545="NO",K2545&lt;$Q$17,K2545&gt;$R$17,K2545="",M2545="",N2545=""),"",ROUND(N2545,7))</f>
        <v>631.24199999999996</v>
      </c>
      <c r="P2545" s="781"/>
      <c r="Q2545" s="782"/>
      <c r="R2545" s="767"/>
      <c r="S2545" s="768"/>
      <c r="T2545" s="538" t="s">
        <v>385</v>
      </c>
      <c r="U2545" s="539">
        <v>21</v>
      </c>
      <c r="V2545" s="540" t="s">
        <v>385</v>
      </c>
      <c r="X2545" s="541" t="s">
        <v>423</v>
      </c>
      <c r="Y2545" s="541" t="s">
        <v>435</v>
      </c>
    </row>
    <row r="2546" spans="1:29" s="44" customFormat="1" ht="69.75" customHeight="1">
      <c r="A2546" s="42" t="str">
        <f>"B"&amp;E2541</f>
        <v>B85</v>
      </c>
      <c r="B2546" s="605">
        <f t="shared" ref="B2546:B2554" si="512">IF(C2546&lt;&gt;"",B2545+1,"")</f>
        <v>2</v>
      </c>
      <c r="C2546" s="581" t="s">
        <v>556</v>
      </c>
      <c r="D2546" s="581" t="s">
        <v>1065</v>
      </c>
      <c r="E2546" s="581" t="s">
        <v>1066</v>
      </c>
      <c r="F2546" s="581" t="s">
        <v>431</v>
      </c>
      <c r="G2546" s="534">
        <v>0.28999999999999998</v>
      </c>
      <c r="H2546" s="534" t="s">
        <v>385</v>
      </c>
      <c r="I2546" s="579" t="s">
        <v>384</v>
      </c>
      <c r="J2546" s="580" t="str">
        <f>IF(I2546="","",IF(I2546="I",$F2541,VLOOKUP(I2546,$C2562:$D2567,2,0)))</f>
        <v>DBB INGENIERÍA S.A.S.</v>
      </c>
      <c r="K2546" s="535">
        <v>42975</v>
      </c>
      <c r="L2546" s="535">
        <v>43563</v>
      </c>
      <c r="M2546" s="536">
        <v>818.45</v>
      </c>
      <c r="N2546" s="232">
        <f t="shared" si="510"/>
        <v>237.35050000000001</v>
      </c>
      <c r="O2546" s="260">
        <f t="shared" si="511"/>
        <v>237.35050000000001</v>
      </c>
      <c r="P2546" s="781"/>
      <c r="Q2546" s="782"/>
      <c r="R2546" s="767"/>
      <c r="S2546" s="768"/>
      <c r="T2546" s="538" t="s">
        <v>385</v>
      </c>
      <c r="U2546" s="539">
        <v>32</v>
      </c>
      <c r="V2546" s="540" t="s">
        <v>385</v>
      </c>
      <c r="X2546" s="541" t="s">
        <v>446</v>
      </c>
      <c r="Y2546" s="541" t="s">
        <v>387</v>
      </c>
    </row>
    <row r="2547" spans="1:29" s="44" customFormat="1" ht="24.95" customHeight="1">
      <c r="A2547" s="42" t="str">
        <f>"C"&amp;E2541</f>
        <v>C85</v>
      </c>
      <c r="B2547" s="605" t="str">
        <f t="shared" si="512"/>
        <v/>
      </c>
      <c r="C2547" s="581"/>
      <c r="D2547" s="581"/>
      <c r="E2547" s="581"/>
      <c r="F2547" s="581"/>
      <c r="G2547" s="534"/>
      <c r="H2547" s="534"/>
      <c r="I2547" s="579"/>
      <c r="J2547" s="580" t="str">
        <f>IF(I2547="","",IF(I2547="I",$F2541,VLOOKUP(I2547,$C2562:$D2567,2,0)))</f>
        <v/>
      </c>
      <c r="K2547" s="535"/>
      <c r="L2547" s="535"/>
      <c r="M2547" s="536"/>
      <c r="N2547" s="232" t="str">
        <f t="shared" si="510"/>
        <v/>
      </c>
      <c r="O2547" s="260" t="str">
        <f t="shared" si="511"/>
        <v/>
      </c>
      <c r="P2547" s="781"/>
      <c r="Q2547" s="782"/>
      <c r="R2547" s="767"/>
      <c r="S2547" s="768"/>
      <c r="T2547" s="538"/>
      <c r="U2547" s="539"/>
      <c r="V2547" s="540"/>
      <c r="X2547" s="541"/>
      <c r="Y2547" s="541"/>
    </row>
    <row r="2548" spans="1:29" s="44" customFormat="1" ht="24.95" customHeight="1">
      <c r="A2548" s="42" t="str">
        <f>"D"&amp;E2541</f>
        <v>D85</v>
      </c>
      <c r="B2548" s="605" t="str">
        <f t="shared" si="512"/>
        <v/>
      </c>
      <c r="C2548" s="581"/>
      <c r="D2548" s="581"/>
      <c r="E2548" s="581"/>
      <c r="F2548" s="581"/>
      <c r="G2548" s="534"/>
      <c r="H2548" s="534"/>
      <c r="I2548" s="579"/>
      <c r="J2548" s="580" t="str">
        <f>IF(I2548="","",IF(I2548="I",$F2541,VLOOKUP(I2548,$C2562:$D2567,2,0)))</f>
        <v/>
      </c>
      <c r="K2548" s="535"/>
      <c r="L2548" s="535"/>
      <c r="M2548" s="536"/>
      <c r="N2548" s="232" t="str">
        <f t="shared" si="510"/>
        <v/>
      </c>
      <c r="O2548" s="260" t="str">
        <f t="shared" si="511"/>
        <v/>
      </c>
      <c r="P2548" s="781"/>
      <c r="Q2548" s="782"/>
      <c r="R2548" s="767"/>
      <c r="S2548" s="768"/>
      <c r="T2548" s="538"/>
      <c r="U2548" s="539"/>
      <c r="V2548" s="540"/>
      <c r="X2548" s="541"/>
      <c r="Y2548" s="541"/>
    </row>
    <row r="2549" spans="1:29" s="44" customFormat="1" ht="24.95" customHeight="1">
      <c r="A2549" s="42" t="str">
        <f>"E"&amp;E2541</f>
        <v>E85</v>
      </c>
      <c r="B2549" s="605" t="str">
        <f t="shared" si="512"/>
        <v/>
      </c>
      <c r="C2549" s="581"/>
      <c r="D2549" s="581"/>
      <c r="E2549" s="581"/>
      <c r="F2549" s="581"/>
      <c r="G2549" s="534"/>
      <c r="H2549" s="534"/>
      <c r="I2549" s="579"/>
      <c r="J2549" s="580" t="str">
        <f>IF(I2549="","",IF(I2549="I",$F2541,VLOOKUP(I2549,$C2562:$D2567,2,0)))</f>
        <v/>
      </c>
      <c r="K2549" s="535"/>
      <c r="L2549" s="535"/>
      <c r="M2549" s="536"/>
      <c r="N2549" s="232" t="str">
        <f t="shared" si="510"/>
        <v/>
      </c>
      <c r="O2549" s="260" t="str">
        <f t="shared" si="511"/>
        <v/>
      </c>
      <c r="P2549" s="781"/>
      <c r="Q2549" s="782"/>
      <c r="R2549" s="767"/>
      <c r="S2549" s="768"/>
      <c r="T2549" s="538"/>
      <c r="U2549" s="539"/>
      <c r="V2549" s="540"/>
      <c r="X2549" s="541"/>
      <c r="Y2549" s="541"/>
    </row>
    <row r="2550" spans="1:29" s="44" customFormat="1" ht="24.95" customHeight="1">
      <c r="A2550" s="42" t="str">
        <f>"F"&amp;E2541</f>
        <v>F85</v>
      </c>
      <c r="B2550" s="605" t="str">
        <f t="shared" si="512"/>
        <v/>
      </c>
      <c r="C2550" s="581"/>
      <c r="D2550" s="581"/>
      <c r="E2550" s="581"/>
      <c r="F2550" s="581"/>
      <c r="G2550" s="534"/>
      <c r="H2550" s="534"/>
      <c r="I2550" s="579"/>
      <c r="J2550" s="580" t="str">
        <f>IF(I2550="","",IF(I2550="I",$F2541,VLOOKUP(I2550,$C2562:$D2567,2,0)))</f>
        <v/>
      </c>
      <c r="K2550" s="535"/>
      <c r="L2550" s="535"/>
      <c r="M2550" s="536"/>
      <c r="N2550" s="232" t="str">
        <f t="shared" si="510"/>
        <v/>
      </c>
      <c r="O2550" s="260" t="str">
        <f t="shared" si="511"/>
        <v/>
      </c>
      <c r="P2550" s="781"/>
      <c r="Q2550" s="782"/>
      <c r="R2550" s="767"/>
      <c r="S2550" s="768"/>
      <c r="T2550" s="538"/>
      <c r="U2550" s="539"/>
      <c r="V2550" s="540"/>
      <c r="X2550" s="541"/>
      <c r="Y2550" s="541"/>
    </row>
    <row r="2551" spans="1:29" s="44" customFormat="1" ht="24.95" customHeight="1">
      <c r="A2551" s="42" t="str">
        <f>"G"&amp;E2541</f>
        <v>G85</v>
      </c>
      <c r="B2551" s="605" t="str">
        <f t="shared" si="512"/>
        <v/>
      </c>
      <c r="C2551" s="581"/>
      <c r="D2551" s="581"/>
      <c r="E2551" s="581"/>
      <c r="F2551" s="581"/>
      <c r="G2551" s="534"/>
      <c r="H2551" s="534"/>
      <c r="I2551" s="579"/>
      <c r="J2551" s="580" t="str">
        <f>IF(I2551="","",IF(I2551="I",$F2541,VLOOKUP(I2551,$C2562:$D2567,2,0)))</f>
        <v/>
      </c>
      <c r="K2551" s="535"/>
      <c r="L2551" s="535"/>
      <c r="M2551" s="536"/>
      <c r="N2551" s="43" t="str">
        <f t="shared" si="510"/>
        <v/>
      </c>
      <c r="O2551" s="260" t="str">
        <f t="shared" si="511"/>
        <v/>
      </c>
      <c r="P2551" s="781"/>
      <c r="Q2551" s="782"/>
      <c r="R2551" s="767"/>
      <c r="S2551" s="768"/>
      <c r="T2551" s="538"/>
      <c r="U2551" s="539"/>
      <c r="V2551" s="540"/>
      <c r="X2551" s="541"/>
      <c r="Y2551" s="541"/>
    </row>
    <row r="2552" spans="1:29" s="44" customFormat="1" ht="24.95" customHeight="1">
      <c r="A2552" s="42" t="str">
        <f>"H"&amp;E2541</f>
        <v>H85</v>
      </c>
      <c r="B2552" s="605" t="str">
        <f t="shared" si="512"/>
        <v/>
      </c>
      <c r="C2552" s="581"/>
      <c r="D2552" s="581"/>
      <c r="E2552" s="581"/>
      <c r="F2552" s="581"/>
      <c r="G2552" s="534"/>
      <c r="H2552" s="534"/>
      <c r="I2552" s="579"/>
      <c r="J2552" s="580" t="str">
        <f>IF(I2552="","",IF(I2552="I",$F2541,VLOOKUP(I2552,$C2562:$D2567,2,0)))</f>
        <v/>
      </c>
      <c r="K2552" s="535"/>
      <c r="L2552" s="535"/>
      <c r="M2552" s="537"/>
      <c r="N2552" s="43" t="str">
        <f t="shared" si="510"/>
        <v/>
      </c>
      <c r="O2552" s="260" t="str">
        <f t="shared" si="511"/>
        <v/>
      </c>
      <c r="P2552" s="781"/>
      <c r="Q2552" s="782"/>
      <c r="R2552" s="767"/>
      <c r="S2552" s="768"/>
      <c r="T2552" s="538"/>
      <c r="U2552" s="539"/>
      <c r="V2552" s="540"/>
      <c r="X2552" s="541"/>
      <c r="Y2552" s="541"/>
    </row>
    <row r="2553" spans="1:29" s="44" customFormat="1" ht="24.95" customHeight="1">
      <c r="A2553" s="42" t="str">
        <f>"I"&amp;E2541</f>
        <v>I85</v>
      </c>
      <c r="B2553" s="605" t="str">
        <f t="shared" si="512"/>
        <v/>
      </c>
      <c r="C2553" s="581"/>
      <c r="D2553" s="581"/>
      <c r="E2553" s="581"/>
      <c r="F2553" s="581"/>
      <c r="G2553" s="534"/>
      <c r="H2553" s="534"/>
      <c r="I2553" s="579"/>
      <c r="J2553" s="580" t="str">
        <f>IF(I2553="","",IF(I2553="I",$F2541,VLOOKUP(I2553,$C2562:$D2567,2,0)))</f>
        <v/>
      </c>
      <c r="K2553" s="535"/>
      <c r="L2553" s="535"/>
      <c r="M2553" s="537"/>
      <c r="N2553" s="43" t="str">
        <f t="shared" si="510"/>
        <v/>
      </c>
      <c r="O2553" s="260" t="str">
        <f t="shared" si="511"/>
        <v/>
      </c>
      <c r="P2553" s="781"/>
      <c r="Q2553" s="782"/>
      <c r="R2553" s="767"/>
      <c r="S2553" s="768"/>
      <c r="T2553" s="538"/>
      <c r="U2553" s="539"/>
      <c r="V2553" s="540"/>
      <c r="X2553" s="541"/>
      <c r="Y2553" s="541"/>
    </row>
    <row r="2554" spans="1:29" s="44" customFormat="1" ht="24.95" customHeight="1" thickBot="1">
      <c r="A2554" s="42" t="str">
        <f>"J"&amp;E2541</f>
        <v>J85</v>
      </c>
      <c r="B2554" s="612" t="str">
        <f t="shared" si="512"/>
        <v/>
      </c>
      <c r="C2554" s="582"/>
      <c r="D2554" s="582"/>
      <c r="E2554" s="582"/>
      <c r="F2554" s="582"/>
      <c r="G2554" s="583"/>
      <c r="H2554" s="583"/>
      <c r="I2554" s="584"/>
      <c r="J2554" s="585" t="str">
        <f>IF(I2554="","",IF(I2554="I",$F2541,VLOOKUP(I2554,$C2562:$D2567,2,0)))</f>
        <v/>
      </c>
      <c r="K2554" s="586"/>
      <c r="L2554" s="586"/>
      <c r="M2554" s="587"/>
      <c r="N2554" s="43" t="str">
        <f t="shared" si="510"/>
        <v/>
      </c>
      <c r="O2554" s="260" t="str">
        <f t="shared" si="511"/>
        <v/>
      </c>
      <c r="P2554" s="781"/>
      <c r="Q2554" s="782"/>
      <c r="R2554" s="767"/>
      <c r="S2554" s="768"/>
      <c r="T2554" s="538"/>
      <c r="U2554" s="539"/>
      <c r="V2554" s="540"/>
      <c r="X2554" s="541"/>
      <c r="Y2554" s="541"/>
    </row>
    <row r="2555" spans="1:29" s="27" customFormat="1" ht="12" customHeight="1" thickBot="1">
      <c r="A2555" s="42"/>
      <c r="B2555" s="45"/>
      <c r="C2555" s="46"/>
      <c r="D2555" s="46"/>
      <c r="E2555" s="46"/>
      <c r="F2555" s="46"/>
      <c r="G2555" s="46"/>
      <c r="H2555" s="606"/>
      <c r="I2555" s="46"/>
      <c r="J2555" s="46"/>
      <c r="K2555" s="46"/>
      <c r="L2555" s="46"/>
      <c r="M2555" s="46"/>
      <c r="N2555" s="46"/>
      <c r="O2555" s="259"/>
      <c r="P2555" s="46"/>
      <c r="Q2555" s="46"/>
      <c r="R2555" s="259"/>
      <c r="S2555" s="46"/>
      <c r="T2555" s="46"/>
      <c r="U2555" s="47"/>
      <c r="V2555" s="48"/>
      <c r="X2555" s="592"/>
      <c r="Y2555" s="593"/>
      <c r="AB2555" s="378"/>
    </row>
    <row r="2556" spans="1:29" s="27" customFormat="1" ht="17.25" customHeight="1" thickBot="1">
      <c r="A2556" s="42" t="str">
        <f>"Z"&amp;E2541</f>
        <v>Z85</v>
      </c>
      <c r="B2556" s="510"/>
      <c r="C2556" s="511"/>
      <c r="D2556" s="511"/>
      <c r="E2556" s="511"/>
      <c r="F2556" s="511"/>
      <c r="G2556" s="511"/>
      <c r="H2556" s="511"/>
      <c r="I2556" s="511"/>
      <c r="J2556" s="511"/>
      <c r="K2556" s="511"/>
      <c r="L2556" s="511"/>
      <c r="M2556" s="511"/>
      <c r="N2556" s="437" t="s">
        <v>388</v>
      </c>
      <c r="O2556" s="438">
        <f>IF(COUNTIF(O2545:O2554,"")&gt;9,0,SUM(O2545:O2554)/(COUNTIF(H2545:H2554,"SI")))</f>
        <v>434.29624999999999</v>
      </c>
      <c r="P2556" s="511"/>
      <c r="Q2556" s="511"/>
      <c r="R2556" s="530"/>
      <c r="S2556" s="530"/>
      <c r="T2556" s="531"/>
      <c r="U2556" s="532"/>
      <c r="V2556" s="533"/>
      <c r="W2556" s="285"/>
      <c r="X2556" s="613" t="e">
        <f>COUNTIF(#REF!,"")-COUNTIF(#REF!,"CUMPLE")-1</f>
        <v>#REF!</v>
      </c>
      <c r="Y2556" s="591"/>
      <c r="AB2556" s="28"/>
    </row>
    <row r="2557" spans="1:29" ht="17.25" customHeight="1">
      <c r="B2557" s="50"/>
      <c r="C2557" s="50"/>
      <c r="D2557" s="50"/>
      <c r="E2557" s="50"/>
      <c r="F2557" s="50"/>
      <c r="G2557" s="51"/>
      <c r="H2557" s="51"/>
      <c r="I2557" s="51"/>
      <c r="J2557" s="51"/>
      <c r="K2557" s="51"/>
      <c r="L2557" s="51"/>
      <c r="M2557" s="51"/>
      <c r="N2557" s="51"/>
      <c r="O2557" s="51"/>
      <c r="P2557" s="51"/>
      <c r="Q2557" s="51"/>
      <c r="R2557" s="51"/>
      <c r="S2557" s="51"/>
      <c r="T2557" s="51"/>
      <c r="U2557" s="51"/>
      <c r="V2557" s="51"/>
      <c r="W2557" s="51"/>
      <c r="X2557" s="608"/>
      <c r="Y2557" s="51"/>
      <c r="Z2557" s="51"/>
      <c r="AA2557" s="51"/>
      <c r="AB2557" s="51"/>
      <c r="AC2557" s="50"/>
    </row>
    <row r="2558" spans="1:29" s="27" customFormat="1" ht="16.5" customHeight="1" thickBot="1">
      <c r="A2558" s="22"/>
      <c r="B2558" s="783" t="s">
        <v>389</v>
      </c>
      <c r="C2558" s="783"/>
      <c r="D2558" s="783"/>
      <c r="E2558" s="783"/>
      <c r="F2558" s="783"/>
      <c r="G2558" s="783"/>
      <c r="H2558" s="783"/>
      <c r="I2558" s="783"/>
      <c r="J2558" s="783"/>
      <c r="K2558" s="783"/>
      <c r="L2558" s="783"/>
      <c r="M2558" s="783"/>
      <c r="N2558" s="783"/>
      <c r="O2558" s="783"/>
      <c r="P2558" s="783"/>
      <c r="Q2558" s="783"/>
      <c r="R2558" s="783"/>
      <c r="S2558" s="783"/>
      <c r="T2558" s="783"/>
      <c r="U2558" s="783"/>
      <c r="V2558" s="783"/>
      <c r="W2558" s="286"/>
      <c r="X2558" s="607"/>
      <c r="Y2558" s="52"/>
      <c r="Z2558" s="52"/>
      <c r="AA2558" s="52"/>
      <c r="AB2558" s="28"/>
      <c r="AC2558" s="28"/>
    </row>
    <row r="2559" spans="1:29" s="30" customFormat="1" ht="22.5" customHeight="1">
      <c r="A2559" s="112" t="str">
        <f>"K"&amp;E2541</f>
        <v>K85</v>
      </c>
      <c r="B2559" s="790" t="s">
        <v>390</v>
      </c>
      <c r="C2559" s="772" t="s">
        <v>391</v>
      </c>
      <c r="D2559" s="773"/>
      <c r="E2559" s="773"/>
      <c r="F2559" s="773"/>
      <c r="G2559" s="773"/>
      <c r="H2559" s="773"/>
      <c r="I2559" s="773"/>
      <c r="J2559" s="773"/>
      <c r="K2559" s="773"/>
      <c r="L2559" s="773"/>
      <c r="M2559" s="774"/>
      <c r="N2559" s="525"/>
      <c r="O2559" s="588"/>
      <c r="P2559" s="772" t="s">
        <v>392</v>
      </c>
      <c r="Q2559" s="773"/>
      <c r="R2559" s="773"/>
      <c r="S2559" s="774"/>
      <c r="T2559" s="784" t="s">
        <v>393</v>
      </c>
      <c r="U2559" s="774"/>
      <c r="V2559" s="811"/>
      <c r="W2559" s="284"/>
      <c r="X2559" s="778" t="s">
        <v>394</v>
      </c>
      <c r="Y2559" s="779"/>
      <c r="Z2559" s="779"/>
      <c r="AA2559" s="779" t="s">
        <v>395</v>
      </c>
      <c r="AB2559" s="808" t="s">
        <v>396</v>
      </c>
      <c r="AC2559" s="28"/>
    </row>
    <row r="2560" spans="1:29" s="30" customFormat="1" ht="22.5" customHeight="1">
      <c r="A2560" s="112" t="str">
        <f>"L"&amp;E2541</f>
        <v>L85</v>
      </c>
      <c r="B2560" s="791"/>
      <c r="C2560" s="769" t="s">
        <v>397</v>
      </c>
      <c r="D2560" s="770"/>
      <c r="E2560" s="771"/>
      <c r="F2560" s="512">
        <f>IF(VLOOKUP(E2541,PROPONENTES!$C$19:$E$108,3,0)="","",VLOOKUP(E2541,PROPONENTES!$C$19:$E$108,3,0))</f>
        <v>1</v>
      </c>
      <c r="G2560" s="824" t="s">
        <v>398</v>
      </c>
      <c r="H2560" s="793" t="s">
        <v>399</v>
      </c>
      <c r="I2560" s="793"/>
      <c r="J2560" s="769" t="s">
        <v>400</v>
      </c>
      <c r="K2560" s="823"/>
      <c r="L2560" s="513" t="s">
        <v>401</v>
      </c>
      <c r="M2560" s="513"/>
      <c r="N2560" s="526"/>
      <c r="O2560" s="527"/>
      <c r="P2560" s="775"/>
      <c r="Q2560" s="776"/>
      <c r="R2560" s="776"/>
      <c r="S2560" s="777"/>
      <c r="T2560" s="796"/>
      <c r="U2560" s="797"/>
      <c r="V2560" s="812"/>
      <c r="W2560" s="284"/>
      <c r="X2560" s="780" t="s">
        <v>402</v>
      </c>
      <c r="Y2560" s="810" t="s">
        <v>403</v>
      </c>
      <c r="Z2560" s="810"/>
      <c r="AA2560" s="810"/>
      <c r="AB2560" s="809"/>
      <c r="AC2560" s="28"/>
    </row>
    <row r="2561" spans="1:29" s="30" customFormat="1" ht="51.75" customHeight="1" thickBot="1">
      <c r="A2561" s="112" t="str">
        <f>"M"&amp;E2541</f>
        <v>M85</v>
      </c>
      <c r="B2561" s="791"/>
      <c r="C2561" s="770" t="s">
        <v>404</v>
      </c>
      <c r="D2561" s="771"/>
      <c r="E2561" s="514" t="s">
        <v>405</v>
      </c>
      <c r="F2561" s="515" t="s">
        <v>406</v>
      </c>
      <c r="G2561" s="824"/>
      <c r="H2561" s="793"/>
      <c r="I2561" s="793"/>
      <c r="J2561" s="504" t="s">
        <v>407</v>
      </c>
      <c r="K2561" s="516" t="s">
        <v>408</v>
      </c>
      <c r="L2561" s="517" t="s">
        <v>409</v>
      </c>
      <c r="M2561" s="517"/>
      <c r="N2561" s="528" t="s">
        <v>410</v>
      </c>
      <c r="O2561" s="529"/>
      <c r="P2561" s="386"/>
      <c r="Q2561" s="387" t="s">
        <v>411</v>
      </c>
      <c r="R2561" s="388"/>
      <c r="S2561" s="113">
        <f>COUNTIFS(H2545:H2554,"SI",O2545:O2554,"&gt;0")</f>
        <v>2</v>
      </c>
      <c r="T2561" s="785"/>
      <c r="U2561" s="787"/>
      <c r="V2561" s="813"/>
      <c r="W2561" s="284"/>
      <c r="X2561" s="780"/>
      <c r="Y2561" s="810"/>
      <c r="Z2561" s="810"/>
      <c r="AA2561" s="810"/>
      <c r="AB2561" s="809"/>
      <c r="AC2561" s="28"/>
    </row>
    <row r="2562" spans="1:29" s="30" customFormat="1" ht="15.75" customHeight="1">
      <c r="A2562" s="112" t="str">
        <f>"N"&amp;E2541</f>
        <v>N85</v>
      </c>
      <c r="B2562" s="791"/>
      <c r="C2562" s="54">
        <v>1</v>
      </c>
      <c r="D2562" s="100" t="str">
        <f>IF(AND(C2562&lt;=F2560,F2560&gt;1,F2560&lt;&gt;""),VLOOKUP(VALUE(E2541&amp;","&amp;C2562),INTEGRANTES!$D$19:$F$192,2,0),"")</f>
        <v/>
      </c>
      <c r="E2562" s="107" t="str">
        <f>IF(D2562&lt;&gt;"",VLOOKUP(VALUE(E2541&amp;","&amp;C2562),INTEGRANTES!$D$19:$F$192,3,0),"")</f>
        <v/>
      </c>
      <c r="F2562" s="380" t="str">
        <f>IF(D2562="","",IF(OR(SUMIF($J2548:$J2554,D2562,$O2548:$O2554)=0,N2562="NO"),"NO APORTA",SUMIF($J2548:$J2554,D2562,$O2548:$O2554)))</f>
        <v/>
      </c>
      <c r="G2562" s="380" t="str">
        <f>IF($D2562="","",IF($F2560&lt;=1,"",ROUND(POSMMLV*PORPO,2)))</f>
        <v/>
      </c>
      <c r="H2562" s="765" t="str">
        <f>IF($D2562="","",IF(OR(F2562="NO APORTA",G2562&gt;F2562),"NO CUMPLE","CUMPLE"))</f>
        <v/>
      </c>
      <c r="I2562" s="766"/>
      <c r="J2562" s="108" t="str">
        <f>IF(D2562="","",IF(OR(AND(SUMIF($J2545:$J2554,D2562,$O2545:$O2554)&gt;=5%*POSMMLV,N2562="SI"),AND(SUMIF($J2545:$J2554,D2562,$O2545:$O2554)=0,E2562&lt;=5%,N2562="SI")),"CUMPLE","NO CUMPLE"))</f>
        <v/>
      </c>
      <c r="K2562" s="105" t="str">
        <f>IF(OR(D2562="",J2562=""),"",IF(AND(J2562="NO CUMPLE",F2562="NO APORTA",E2562&gt;5%),"EXP = 0 y PART &gt; 5%",IF(F2562&lt;5%*Q2567,"EXP &lt; 5%*PO","")))</f>
        <v/>
      </c>
      <c r="L2562" s="389" t="str">
        <f>IF(OR(D2562="",E2562=""),"",IF(AND(E2562&gt;=0.25,F2562&lt;&gt;"NO APORTA",F2562&gt;=$R2567*0.25),"SI","NO"))</f>
        <v/>
      </c>
      <c r="M2562" s="389"/>
      <c r="N2562" s="468" t="s">
        <v>385</v>
      </c>
      <c r="O2562" s="396">
        <f>COUNTIFS(O2545:O2554,"&gt;0",H2545:H2554,"SI")</f>
        <v>2</v>
      </c>
      <c r="P2562" s="814" t="s">
        <v>139</v>
      </c>
      <c r="Q2562" s="814"/>
      <c r="R2562" s="817">
        <f>E2541</f>
        <v>85</v>
      </c>
      <c r="S2562" s="818"/>
      <c r="T2562" s="784" t="s">
        <v>412</v>
      </c>
      <c r="U2562" s="773"/>
      <c r="V2562" s="774"/>
      <c r="W2562" s="283"/>
      <c r="X2562" s="542" t="str">
        <f>IF($F2560=1,"NO APLICA",$D2562)</f>
        <v>NO APLICA</v>
      </c>
      <c r="Y2562" s="543" t="str">
        <f>IF(OR($F2562="",$F2562="NO APORTA",$R2567=0,$X2562="NO APLICA"),"",ROUND($F2562/$Q2567,2))</f>
        <v/>
      </c>
      <c r="Z2562" s="544" t="str">
        <f>IF(Y2568=1,"SI APLICA",IF(OR($X2562="",$X2562="NO APLICA",$F2562="",$F2562="NO APORTA"),"",IF(ROUND($F2562/Q2567,7)&gt;=0.4,"SI APLICA","NO APLICA")))</f>
        <v>SI APLICA</v>
      </c>
      <c r="AA2562" s="543" t="s">
        <v>413</v>
      </c>
      <c r="AB2562" s="540" t="str">
        <f>IF(COUNTIF(Z2562:AA2562,"SI APLICA")=2,"SI APLICA","")</f>
        <v>SI APLICA</v>
      </c>
      <c r="AC2562" s="28"/>
    </row>
    <row r="2563" spans="1:29" s="30" customFormat="1" ht="15.75" customHeight="1" thickBot="1">
      <c r="A2563" s="112" t="str">
        <f>"O"&amp;E2541</f>
        <v>O85</v>
      </c>
      <c r="B2563" s="791"/>
      <c r="C2563" s="54">
        <v>2</v>
      </c>
      <c r="D2563" s="100" t="str">
        <f>IF(AND(C2563&lt;=F2560,F2560&lt;&gt;""),VLOOKUP(VALUE(E2541&amp;","&amp;C2563),INTEGRANTES!$D$19:$F$192,2,0),"")</f>
        <v/>
      </c>
      <c r="E2563" s="107" t="str">
        <f>IF(D2563&lt;&gt;"",VLOOKUP(VALUE(E2541&amp;","&amp;C2563),INTEGRANTES!$D$19:$F$192,3,0),"")</f>
        <v/>
      </c>
      <c r="F2563" s="380" t="str">
        <f>IF(D2563="","",IF(OR(SUMIF($J2548:$J2554,D2563,$O2548:$O2554)=0,N2563="NO"),"NO APORTA",SUMIF($J2548:$J2554,D2563,$O2548:$O2554)))</f>
        <v/>
      </c>
      <c r="G2563" s="380" t="str">
        <f>IF($D2563="","",IF($F2560&lt;=1,"",ROUND(POSMMLV*PORPO,2)))</f>
        <v/>
      </c>
      <c r="H2563" s="765" t="str">
        <f t="shared" ref="H2563:H2566" si="513">IF($D2563="","",IF(OR(F2563="NO APORTA",G2563&gt;F2563),"NO CUMPLE","CUMPLE"))</f>
        <v/>
      </c>
      <c r="I2563" s="766"/>
      <c r="J2563" s="108" t="str">
        <f>IF(D2563="","",IF(OR(AND(SUMIF($J2545:$J2554,D2563,$O2545:$O2554)&gt;=5%*POSMMLV,N2563="SI"),AND(SUMIF($J2545:$J2554,D2563,$O2545:$O2554)=0,E2563&lt;=5%,N2563="SI")),"CUMPLE","NO CUMPLE"))</f>
        <v/>
      </c>
      <c r="K2563" s="105" t="str">
        <f>IF(OR(D2563="",J2563=""),"",IF(AND(J2563="NO CUMPLE",F2563="NO APORTA",E2563&gt;5%),"EXP = 0 y PART &gt; 5%",IF(F2563&lt;5%*Q2567,"EXP &lt; 5%*PO","")))</f>
        <v/>
      </c>
      <c r="L2563" s="389" t="str">
        <f>IF(OR(D2563="",E2563=""),"",IF(AND(E2563&gt;=0.25,F2563&lt;&gt;"NO APORTA",F2563&gt;=$R2567*0.25),"SI","NO"))</f>
        <v/>
      </c>
      <c r="M2563" s="389"/>
      <c r="N2563" s="468" t="s">
        <v>385</v>
      </c>
      <c r="O2563" s="396"/>
      <c r="P2563" s="815"/>
      <c r="Q2563" s="815"/>
      <c r="R2563" s="815"/>
      <c r="S2563" s="819"/>
      <c r="T2563" s="785"/>
      <c r="U2563" s="786"/>
      <c r="V2563" s="787"/>
      <c r="W2563" s="283"/>
      <c r="X2563" s="542" t="str">
        <f>IF($F2560=1,"NO APLICA",$D2563)</f>
        <v>NO APLICA</v>
      </c>
      <c r="Y2563" s="543" t="str">
        <f>IF(OR($F2563="",$F2563="NO APORTA",$R2567=0,$X2563="NO APLICA"),"",ROUND($F2563/$Q2567,2))</f>
        <v/>
      </c>
      <c r="Z2563" s="544"/>
      <c r="AA2563" s="543"/>
      <c r="AB2563" s="540" t="str">
        <f t="shared" ref="AB2563" si="514">IF(COUNTIF(Z2563:AA2563,"SI APLICA")=2,"SI APLICA","")</f>
        <v/>
      </c>
      <c r="AC2563" s="28"/>
    </row>
    <row r="2564" spans="1:29" s="30" customFormat="1" ht="15.75" customHeight="1">
      <c r="A2564" s="112" t="str">
        <f>"P"&amp;E2541</f>
        <v>P85</v>
      </c>
      <c r="B2564" s="791"/>
      <c r="C2564" s="54">
        <v>3</v>
      </c>
      <c r="D2564" s="100" t="str">
        <f>IF(AND(C2564&lt;=F2560,F2560&lt;&gt;""),VLOOKUP(VALUE(E2541&amp;","&amp;C2564),INTEGRANTES!$D$19:$F$192,2,0),"")</f>
        <v/>
      </c>
      <c r="E2564" s="107" t="str">
        <f>IF(D2564&lt;&gt;"",VLOOKUP(VALUE(E2541&amp;","&amp;C2564),INTEGRANTES!$D$19:$F$192,3,0),"")</f>
        <v/>
      </c>
      <c r="F2564" s="380" t="str">
        <f>IF(D2564="","",IF(OR(SUMIF($J2548:$J2554,D2564,$O2548:$O2554)=0,N2564="NO"),"NO APORTA",SUMIF($J2548:$J2554,D2564,$O2548:$O2554)))</f>
        <v/>
      </c>
      <c r="G2564" s="380" t="str">
        <f>IF($D2564="","",IF($F2560&lt;=1,"",ROUND(POSMMLV*PORPO,2)))</f>
        <v/>
      </c>
      <c r="H2564" s="765" t="str">
        <f t="shared" si="513"/>
        <v/>
      </c>
      <c r="I2564" s="766"/>
      <c r="J2564" s="108" t="str">
        <f>IF(D2564="","",IF(OR(AND(SUMIF($J2545:$J2554,D2564,$O2545:$O2554)&gt;=5%*POSMMLV,N2564="SI"),AND(SUMIF($J2545:$J2554,D2564,$O2545:$O2554)=0,E2564&lt;=5%,N2564="SI")),"CUMPLE","NO CUMPLE"))</f>
        <v/>
      </c>
      <c r="K2564" s="105" t="str">
        <f>IF(OR(D2564="",J2564=""),"",IF(AND(J2564="NO CUMPLE",F2564="NO APORTA",E2564&gt;5%),"EXP = 0 y PART &gt; 5%",IF(F2564&lt;5%*Q2567,"EXP &lt; 5%*PO","")))</f>
        <v/>
      </c>
      <c r="L2564" s="389" t="str">
        <f>IF(OR(D2564="",E2564=""),"",IF(AND(E2564&gt;=0.25,F2564&lt;&gt;"NO APORTA",F2564&gt;=$R2567*0.25),"SI","NO"))</f>
        <v/>
      </c>
      <c r="M2564" s="389"/>
      <c r="N2564" s="468"/>
      <c r="O2564" s="397"/>
      <c r="P2564" s="816"/>
      <c r="Q2564" s="816"/>
      <c r="R2564" s="816"/>
      <c r="S2564" s="820"/>
      <c r="T2564" s="308"/>
      <c r="U2564" s="308"/>
      <c r="V2564" s="309"/>
      <c r="W2564" s="284"/>
      <c r="X2564" s="542" t="str">
        <f>IF($F2560=1,"NO APLICA",$D2564)</f>
        <v>NO APLICA</v>
      </c>
      <c r="Y2564" s="543" t="str">
        <f>IF(OR($F2564="",$F2564="NO APORTA",$R2567=0,$X2564="NO APLICA"),"",ROUND($F2564/$Q2567,2))</f>
        <v/>
      </c>
      <c r="Z2564" s="544"/>
      <c r="AA2564" s="543"/>
      <c r="AB2564" s="540" t="str">
        <f>IF(COUNTIF(Z2564:AA2564,"SI APLICA")=2,"SI APLICA","")</f>
        <v/>
      </c>
      <c r="AC2564" s="28"/>
    </row>
    <row r="2565" spans="1:29" s="30" customFormat="1" ht="15.75" customHeight="1">
      <c r="A2565" s="112" t="str">
        <f>"Q"&amp;E2541</f>
        <v>Q85</v>
      </c>
      <c r="B2565" s="791"/>
      <c r="C2565" s="54">
        <v>4</v>
      </c>
      <c r="D2565" s="100" t="str">
        <f>IF(AND(C2565&lt;=F2560,F2560&lt;&gt;""),VLOOKUP(VALUE(E2541&amp;","&amp;C2565),INTEGRANTES!$D$19:$F$192,2,0),"")</f>
        <v/>
      </c>
      <c r="E2565" s="107" t="str">
        <f>IF(D2565&lt;&gt;"",VLOOKUP(VALUE(E2541&amp;","&amp;C2565),INTEGRANTES!$D$19:$F$192,3,0),"")</f>
        <v/>
      </c>
      <c r="F2565" s="380" t="str">
        <f>IF(D2565="","",IF(OR(SUMIF($J2548:$J2554,D2565,$O2548:$O2554)=0,N2565="NO"),"NO APORTA",SUMIF($J2548:$J2554,D2565,$O2548:$O2554)))</f>
        <v/>
      </c>
      <c r="G2565" s="380" t="str">
        <f>IF($D2565="","",IF($F2560&lt;=1,"",ROUND(POSMMLV*PORPO,2)))</f>
        <v/>
      </c>
      <c r="H2565" s="765" t="str">
        <f t="shared" si="513"/>
        <v/>
      </c>
      <c r="I2565" s="766"/>
      <c r="J2565" s="108" t="str">
        <f>IF(D2565="","",IF(OR(AND(SUMIF($J2545:$J2554,D2565,$O2545:$O2554)&gt;=5%*POSMMLV,N2565="SI"),AND(SUMIF($J2545:$J2554,D2565,$O2545:$O2554)=0,E2565&lt;=5%,N2565="SI")),"CUMPLE","NO CUMPLE"))</f>
        <v/>
      </c>
      <c r="K2565" s="105" t="str">
        <f>IF(OR(D2565="",J2565=""),"",IF(AND(J2565="NO CUMPLE",F2565="NO APORTA",E2565&gt;5%),"EXP = 0 y PART &gt; 5%",IF(F2565&lt;5%*Q2567,"EXP &lt; 5%*PO","")))</f>
        <v/>
      </c>
      <c r="L2565" s="389" t="str">
        <f>IF(OR(D2565="",E2565=""),"",IF(AND(E2565&gt;=0.25,F2565&lt;&gt;"NO APORTA",F2565&gt;=$R2567*0.25),"SI","NO"))</f>
        <v/>
      </c>
      <c r="M2565" s="389"/>
      <c r="N2565" s="468"/>
      <c r="O2565" s="788" t="s">
        <v>414</v>
      </c>
      <c r="P2565" s="769" t="s">
        <v>415</v>
      </c>
      <c r="Q2565" s="770"/>
      <c r="R2565" s="770"/>
      <c r="S2565" s="771"/>
      <c r="T2565" s="284"/>
      <c r="U2565" s="284"/>
      <c r="V2565" s="310"/>
      <c r="W2565" s="284"/>
      <c r="X2565" s="542" t="str">
        <f>IF($F2560=1,"NO APLICA",$D2565)</f>
        <v>NO APLICA</v>
      </c>
      <c r="Y2565" s="543" t="str">
        <f>IF(OR($F2565="",$F2565="NO APORTA",$R2567=0,$X2565="NO APLICA"),"",ROUND($F2565/$Q2567,2))</f>
        <v/>
      </c>
      <c r="Z2565" s="544"/>
      <c r="AA2565" s="543"/>
      <c r="AB2565" s="540" t="str">
        <f t="shared" ref="AB2565:AB2566" si="515">IF(COUNTIF(Z2565:AA2565,"SI APLICA")=2,"SI APLICA","")</f>
        <v/>
      </c>
      <c r="AC2565" s="28"/>
    </row>
    <row r="2566" spans="1:29" s="30" customFormat="1" ht="17.25" customHeight="1">
      <c r="A2566" s="112" t="str">
        <f>"R"&amp;E2541</f>
        <v>R85</v>
      </c>
      <c r="B2566" s="791"/>
      <c r="C2566" s="54">
        <v>5</v>
      </c>
      <c r="D2566" s="100" t="str">
        <f>IF(AND(C2566&lt;=F2560,F2560&lt;&gt;""),VLOOKUP(VALUE(E2541&amp;","&amp;C2566),INTEGRANTES!$D$19:$F$192,2,0),"")</f>
        <v/>
      </c>
      <c r="E2566" s="107" t="str">
        <f>IF(D2566&lt;&gt;"",VLOOKUP(VALUE(E2541&amp;","&amp;C2566),INTEGRANTES!$D$19:$F$192,3,0),"")</f>
        <v/>
      </c>
      <c r="F2566" s="380" t="str">
        <f>IF(D2566="","",IF(OR(SUMIF($J2548:$J2554,D2566,$O2548:$O2554)=0,N2566="NO"),"NO APORTA",SUMIF($J2548:$J2554,D2566,$O2548:$O2554)))</f>
        <v/>
      </c>
      <c r="G2566" s="380" t="str">
        <f>IF($D2566="","",IF($F2560&lt;=1,"",ROUND(POSMMLV*PORPO,2)))</f>
        <v/>
      </c>
      <c r="H2566" s="765" t="str">
        <f t="shared" si="513"/>
        <v/>
      </c>
      <c r="I2566" s="766"/>
      <c r="J2566" s="108" t="str">
        <f>IF(D2566="","",IF(OR(AND(SUMIF($J2545:$J2554,D2566,$O2545:$O2554)&gt;=5%*POSMMLV,N2566="SI"),AND(SUMIF($J2545:$J2554,D2566,$O2545:$O2554)=0,E2566&lt;=5%,N2566="SI")),"CUMPLE","NO CUMPLE"))</f>
        <v/>
      </c>
      <c r="K2566" s="105" t="str">
        <f>IF(OR(D2566="",J2566=""),"",IF(AND(J2566="NO CUMPLE",F2566="NO APORTA",E2566&gt;5%),"EXP = 0 y PART &gt; 5%",IF(F2566&lt;5%*Q2567,"EXP &lt; 5%*PO","")))</f>
        <v/>
      </c>
      <c r="L2566" s="389" t="str">
        <f>IF(OR(D2566="",E2566=""),"",IF(AND(E2566&gt;=0.25,F2566&lt;&gt;"NO APORTA",F2566&gt;=$R2567*0.25),"SI","NO"))</f>
        <v/>
      </c>
      <c r="M2566" s="389"/>
      <c r="N2566" s="468"/>
      <c r="O2566" s="789"/>
      <c r="P2566" s="504" t="s">
        <v>416</v>
      </c>
      <c r="Q2566" s="504" t="s">
        <v>417</v>
      </c>
      <c r="R2566" s="793" t="s">
        <v>418</v>
      </c>
      <c r="S2566" s="793"/>
      <c r="T2566" s="284"/>
      <c r="U2566" s="284"/>
      <c r="V2566" s="310"/>
      <c r="W2566" s="284"/>
      <c r="X2566" s="542" t="str">
        <f>IF($F2560=1,"NO APLICA",$D2566)</f>
        <v>NO APLICA</v>
      </c>
      <c r="Y2566" s="543" t="str">
        <f>IF(OR($F2566="",$F2566="NO APORTA",$R2567=0,$X2566="NO APLICA"),"",ROUND($F2566/$Q2567,2))</f>
        <v/>
      </c>
      <c r="Z2566" s="544"/>
      <c r="AA2566" s="543"/>
      <c r="AB2566" s="540" t="str">
        <f t="shared" si="515"/>
        <v/>
      </c>
      <c r="AC2566" s="28"/>
    </row>
    <row r="2567" spans="1:29" s="30" customFormat="1" ht="16.5" customHeight="1" thickBot="1">
      <c r="A2567" s="112" t="str">
        <f>"S"&amp;E2541</f>
        <v>S85</v>
      </c>
      <c r="B2567" s="791"/>
      <c r="C2567" s="109">
        <v>6</v>
      </c>
      <c r="D2567" s="110" t="str">
        <f>IF(AND(C2567&lt;=F2560,F2560&lt;&gt;""),VLOOKUP(VALUE(E2541&amp;","&amp;C2567),INTEGRANTES!$D$19:$F$192,2,0),"")</f>
        <v/>
      </c>
      <c r="E2567" s="111" t="str">
        <f>IF(D2567&lt;&gt;"",VLOOKUP(VALUE(E2541&amp;","&amp;C2567),INTEGRANTES!$D$19:$F$192,3,0),"")</f>
        <v/>
      </c>
      <c r="F2567" s="380" t="str">
        <f>IF(D2567="","",IF(OR(SUMIF($J2548:$J2554,D2567,$O2548:$O2554)=0,N2567="NO"),"NO APORTA",SUMIF($J2548:$J2554,D2567,$O2548:$O2554)))</f>
        <v/>
      </c>
      <c r="G2567" s="380" t="str">
        <f>IF($D2567="","",IF($F2560&lt;=1,"",ROUND(POSMMLV*PORPO,2)))</f>
        <v/>
      </c>
      <c r="H2567" s="765" t="str">
        <f>IF($D2567="","",IF(OR(F2567="NO APORTA",G2567&gt;F2567),"NO CUMPLE","CUMPLE"))</f>
        <v/>
      </c>
      <c r="I2567" s="766"/>
      <c r="J2567" s="108" t="str">
        <f>IF(D2567="","",IF(OR(AND(SUMIF($J2545:$J2554,D2567,$O2545:$O2554)&gt;=5%*POSMMLV,N2567="SI"),AND(SUMIF($J2545:$J2554,D2567,$O2545:$O2554)=0,E2567&lt;=5%,N2567="SI")),"CUMPLE","NO CUMPLE"))</f>
        <v/>
      </c>
      <c r="K2567" s="105" t="str">
        <f>IF(OR(D2567="",J2567=""),"",IF(AND(J2567="NO CUMPLE",F2567="NO APORTA",E2567&gt;5%),"EXP = 0 y PART &gt; 5%",IF(F2567&lt;5%*Q2567,"EXP &lt; 5%*PO","")))</f>
        <v/>
      </c>
      <c r="L2567" s="389" t="str">
        <f>IF(OR(D2567="",E2567=""),"",IF(AND(E2567&gt;=0.25,F2567&lt;&gt;"NO APORTA",F2567&gt;=$R2567*0.25),"SI","NO"))</f>
        <v/>
      </c>
      <c r="M2567" s="389"/>
      <c r="N2567" s="468"/>
      <c r="O2567" s="403" t="str">
        <f ca="1">IF(R2567&gt;=Q2567,"CUMPLE","NO CUMPLE")</f>
        <v>CUMPLE</v>
      </c>
      <c r="P2567" s="312">
        <f>NUMMOD</f>
        <v>1</v>
      </c>
      <c r="Q2567" s="313">
        <f ca="1">IF(P2567="","",ROUND(VLOOKUP(P2567,PRESUPUESTOS!$B$16:$L$16,9,FALSE),7))</f>
        <v>300</v>
      </c>
      <c r="R2567" s="834">
        <f>IF(OR(COUNTIF(O2545:O2554,"")&gt;9,S2561&lt;NUMMINCONT),0,SUM(O2545:O2554))</f>
        <v>868.59249999999997</v>
      </c>
      <c r="S2567" s="834"/>
      <c r="T2567" s="284"/>
      <c r="U2567" s="284"/>
      <c r="V2567" s="310"/>
      <c r="W2567" s="284"/>
      <c r="X2567" s="545" t="str">
        <f>IF($F2560=1,"NO APLICA",$D2567)</f>
        <v>NO APLICA</v>
      </c>
      <c r="Y2567" s="543" t="str">
        <f>IF(OR($F2567="",$F2567="NO APORTA",$R2567=0,$X2567="NO APLICA"),"",ROUND($F2567/$Q2567,2))</f>
        <v/>
      </c>
      <c r="Z2567" s="544"/>
      <c r="AA2567" s="546"/>
      <c r="AB2567" s="540" t="str">
        <f>IF(COUNTIF(Z2567:AA2567,"SI APLICA")=2,"SI APLICA","")</f>
        <v/>
      </c>
      <c r="AC2567" s="28"/>
    </row>
    <row r="2568" spans="1:29" s="30" customFormat="1" ht="16.5" customHeight="1" thickBot="1">
      <c r="A2568" s="112" t="str">
        <f>"T"&amp;E2541</f>
        <v>T85</v>
      </c>
      <c r="B2568" s="792"/>
      <c r="C2568" s="821" t="s">
        <v>419</v>
      </c>
      <c r="D2568" s="822"/>
      <c r="E2568" s="822"/>
      <c r="F2568" s="518"/>
      <c r="G2568" s="519"/>
      <c r="H2568" s="794" t="str">
        <f>IF(OR($F2560="",SUM(E2562:E2567)=0),"",IF(COUNTIF(H2562:H2567,"CUMPLE")&gt;=1,"CUMPLE","NO CUMPLE"))</f>
        <v/>
      </c>
      <c r="I2568" s="795"/>
      <c r="J2568" s="314" t="str">
        <f>IF(COUNTIF(J2562:J2567,"")&gt;5,"",IF(COUNTIF(J2562:J2567,"NO CUMPLE")&gt;0,"NO CUMPLE","CUMPLE"))</f>
        <v/>
      </c>
      <c r="K2568" s="314" t="str">
        <f>IF(OR(AND(F2560=1,N2562="SI"),AND(COUNTIF(H2568:J2568,"CUMPLE")=2)),"CUMPLE","NO CUMPLE")</f>
        <v>CUMPLE</v>
      </c>
      <c r="L2568" s="519"/>
      <c r="M2568" s="519"/>
      <c r="N2568" s="519"/>
      <c r="O2568" s="833" t="str">
        <f ca="1">IF(ISNUMBER(F2541),"",IF(AND(O2567="NO CUMPLE",SUM(N2548:N2554)&lt;Q2567),"EL PROPONENTE SE DEBE REQUERIR POR EXPERIENCIA MINIMA EXIGIDA",""))</f>
        <v/>
      </c>
      <c r="P2568" s="833"/>
      <c r="Q2568" s="833"/>
      <c r="R2568" s="833"/>
      <c r="S2568" s="833"/>
      <c r="T2568" s="522"/>
      <c r="U2568" s="523"/>
      <c r="V2568" s="524"/>
      <c r="W2568" s="284"/>
      <c r="X2568" s="364" t="str">
        <f>IF(Y2568=1,"PROPONENTE INDIVIDUAL","PROPONENTE PLURAL")</f>
        <v>PROPONENTE INDIVIDUAL</v>
      </c>
      <c r="Y2568" s="276">
        <f>F2560</f>
        <v>1</v>
      </c>
      <c r="Z2568" s="277" t="str">
        <f>IF(OR(AND(Z2562="SI APLICA",AA2562="SI APLICA"),AND(Z2563="SI APLICA",AA2563="SI APLICA"),AND(Z2564="SI APLICA",AA2564="SI APLICA"),AND(Z2565="SI APLICA",AA2565="SI APLICA"),AND(Z2566="SI APLICA",AA2566="SI APLICA"),AND(Z2567="SI APLICA",AA2567="SI APLICA")),"SI APLICA","NO APLICA")</f>
        <v>SI APLICA</v>
      </c>
      <c r="AA2568" s="278" t="str">
        <f>IF(OR(AND(AA2562="SI APLICA",AB2562="SI APLICA"),AND(AA2563="SI APLICA",AB2563="SI APLICA"),AND(AA2564="SI APLICA",AB2564="SI APLICA"),AND(AA2565="SI APLICA",AB2565="SI APLICA"),AND(AA2566="SI APLICA",AB2566="SI APLICA"),AND(AA2567="SI APLICA",AB2567="SI APLICA")),"SI APLICA","NO APLICA")</f>
        <v>SI APLICA</v>
      </c>
      <c r="AB2568" s="278" t="str">
        <f>IF(COUNTIF(AB2562:AB2567,"SI APLICA")&gt;0,"SI APLICA","NO APLICA")</f>
        <v>SI APLICA</v>
      </c>
      <c r="AC2568" s="28"/>
    </row>
    <row r="2569" spans="1:29" ht="24.95" customHeight="1"/>
    <row r="2570" spans="1:29" ht="24.95" customHeight="1"/>
    <row r="2571" spans="1:29" s="41" customFormat="1" ht="24" thickBot="1">
      <c r="A2571" s="34">
        <v>86</v>
      </c>
      <c r="B2571" s="828" t="s">
        <v>355</v>
      </c>
      <c r="C2571" s="828"/>
      <c r="D2571" s="828"/>
      <c r="E2571" s="35">
        <f>VLOOKUP(A2571,PROPONENTES!$B$19:$E$108,2,FALSE)</f>
        <v>86</v>
      </c>
      <c r="F2571" s="36" t="str">
        <f>VLOOKUP(A2571,PROPONENTES!$B$19:$E$108,3,FALSE)</f>
        <v>CARLOS ANDRES CHAVARRO CASTRO</v>
      </c>
      <c r="G2571" s="37"/>
      <c r="H2571" s="37"/>
      <c r="I2571" s="36"/>
      <c r="J2571" s="36"/>
      <c r="K2571" s="36"/>
      <c r="L2571" s="36"/>
      <c r="M2571" s="38"/>
      <c r="N2571" s="38"/>
      <c r="O2571" s="37"/>
      <c r="P2571" s="37"/>
      <c r="Q2571" s="39"/>
      <c r="R2571" s="39"/>
      <c r="S2571" s="39"/>
      <c r="T2571" s="39"/>
      <c r="U2571" s="40"/>
      <c r="Y2571" s="52"/>
      <c r="Z2571" s="52"/>
      <c r="AA2571" s="52"/>
      <c r="AB2571" s="28"/>
      <c r="AC2571" s="28"/>
    </row>
    <row r="2572" spans="1:29" s="27" customFormat="1" ht="24.75" customHeight="1">
      <c r="A2572" s="22"/>
      <c r="B2572" s="829" t="s">
        <v>356</v>
      </c>
      <c r="C2572" s="501" t="s">
        <v>357</v>
      </c>
      <c r="D2572" s="502" t="s">
        <v>358</v>
      </c>
      <c r="E2572" s="502"/>
      <c r="F2572" s="502" t="s">
        <v>359</v>
      </c>
      <c r="G2572" s="503"/>
      <c r="H2572" s="803" t="s">
        <v>360</v>
      </c>
      <c r="I2572" s="831" t="s">
        <v>361</v>
      </c>
      <c r="J2572" s="803" t="s">
        <v>362</v>
      </c>
      <c r="K2572" s="803" t="s">
        <v>363</v>
      </c>
      <c r="L2572" s="803" t="s">
        <v>364</v>
      </c>
      <c r="M2572" s="803" t="s">
        <v>365</v>
      </c>
      <c r="N2572" s="804" t="s">
        <v>366</v>
      </c>
      <c r="O2572" s="805"/>
      <c r="P2572" s="806" t="s">
        <v>367</v>
      </c>
      <c r="Q2572" s="807"/>
      <c r="R2572" s="784" t="s">
        <v>368</v>
      </c>
      <c r="S2572" s="774"/>
      <c r="T2572" s="798" t="s">
        <v>369</v>
      </c>
      <c r="U2572" s="799"/>
      <c r="V2572" s="800"/>
      <c r="X2572" s="520"/>
      <c r="Y2572" s="520"/>
    </row>
    <row r="2573" spans="1:29" s="27" customFormat="1" ht="94.5" customHeight="1">
      <c r="A2573" s="22"/>
      <c r="B2573" s="830"/>
      <c r="C2573" s="504" t="s">
        <v>370</v>
      </c>
      <c r="D2573" s="505" t="s">
        <v>41</v>
      </c>
      <c r="E2573" s="505" t="s">
        <v>371</v>
      </c>
      <c r="F2573" s="505" t="s">
        <v>372</v>
      </c>
      <c r="G2573" s="506" t="s">
        <v>373</v>
      </c>
      <c r="H2573" s="793"/>
      <c r="I2573" s="832"/>
      <c r="J2573" s="793"/>
      <c r="K2573" s="793"/>
      <c r="L2573" s="793"/>
      <c r="M2573" s="793"/>
      <c r="N2573" s="504" t="s">
        <v>374</v>
      </c>
      <c r="O2573" s="505" t="s">
        <v>375</v>
      </c>
      <c r="P2573" s="801"/>
      <c r="Q2573" s="802"/>
      <c r="R2573" s="796"/>
      <c r="S2573" s="797"/>
      <c r="T2573" s="507" t="s">
        <v>376</v>
      </c>
      <c r="U2573" s="508" t="s">
        <v>377</v>
      </c>
      <c r="V2573" s="509" t="s">
        <v>378</v>
      </c>
      <c r="X2573" s="521" t="s">
        <v>379</v>
      </c>
      <c r="Y2573" s="521" t="s">
        <v>380</v>
      </c>
    </row>
    <row r="2574" spans="1:29" s="27" customFormat="1" ht="15" customHeight="1">
      <c r="A2574" s="22"/>
      <c r="B2574" s="594"/>
      <c r="C2574" s="595">
        <v>3</v>
      </c>
      <c r="D2574" s="595">
        <v>4</v>
      </c>
      <c r="E2574" s="595">
        <v>5</v>
      </c>
      <c r="F2574" s="595">
        <v>6</v>
      </c>
      <c r="G2574" s="595">
        <v>7</v>
      </c>
      <c r="H2574" s="595">
        <v>8</v>
      </c>
      <c r="I2574" s="595">
        <v>9</v>
      </c>
      <c r="J2574" s="595">
        <v>10</v>
      </c>
      <c r="K2574" s="595">
        <v>11</v>
      </c>
      <c r="L2574" s="595">
        <v>12</v>
      </c>
      <c r="M2574" s="595">
        <v>13</v>
      </c>
      <c r="N2574" s="595">
        <v>14</v>
      </c>
      <c r="O2574" s="595">
        <v>15</v>
      </c>
      <c r="P2574" s="596">
        <v>16</v>
      </c>
      <c r="Q2574" s="597">
        <v>17</v>
      </c>
      <c r="R2574" s="596">
        <v>18</v>
      </c>
      <c r="S2574" s="597">
        <v>19</v>
      </c>
      <c r="T2574" s="598">
        <v>20</v>
      </c>
      <c r="U2574" s="255">
        <v>21</v>
      </c>
      <c r="V2574" s="599">
        <v>22</v>
      </c>
      <c r="X2574" s="589"/>
      <c r="Y2574" s="590"/>
    </row>
    <row r="2575" spans="1:29" s="44" customFormat="1" ht="40.5" customHeight="1">
      <c r="A2575" s="42" t="str">
        <f>"A"&amp;E2571</f>
        <v>A86</v>
      </c>
      <c r="B2575" s="605">
        <f>IF(C2575&lt;&gt;"",B2574+1,"")</f>
        <v>1</v>
      </c>
      <c r="C2575" s="581" t="s">
        <v>738</v>
      </c>
      <c r="D2575" s="581" t="s">
        <v>1067</v>
      </c>
      <c r="E2575" s="581" t="s">
        <v>1068</v>
      </c>
      <c r="F2575" s="581" t="s">
        <v>431</v>
      </c>
      <c r="G2575" s="534">
        <v>0.46</v>
      </c>
      <c r="H2575" s="534" t="s">
        <v>385</v>
      </c>
      <c r="I2575" s="579" t="s">
        <v>384</v>
      </c>
      <c r="J2575" s="580" t="str">
        <f>IF(I2575="","",IF(I2575="I",$F2571,VLOOKUP(I2575,$C2592:$D2597,2,0)))</f>
        <v>CARLOS ANDRES CHAVARRO CASTRO</v>
      </c>
      <c r="K2575" s="535">
        <v>43151</v>
      </c>
      <c r="L2575" s="535">
        <v>43832</v>
      </c>
      <c r="M2575" s="536">
        <v>1336.49</v>
      </c>
      <c r="N2575" s="232">
        <f t="shared" ref="N2575:N2584" si="516">IF(OR(G2575="",M2575=""),"",M2575*G2575)</f>
        <v>614.78539999999998</v>
      </c>
      <c r="O2575" s="260">
        <f t="shared" ref="O2575:O2584" si="517">IF(OR(H2575="",H2575="NO",K2575&lt;$Q$17,K2575&gt;$R$17,K2575="",M2575="",N2575=""),"",ROUND(N2575,7))</f>
        <v>614.78539999999998</v>
      </c>
      <c r="P2575" s="781"/>
      <c r="Q2575" s="782"/>
      <c r="R2575" s="767"/>
      <c r="S2575" s="768"/>
      <c r="T2575" s="538" t="s">
        <v>385</v>
      </c>
      <c r="U2575" s="539">
        <v>29</v>
      </c>
      <c r="V2575" s="540" t="s">
        <v>385</v>
      </c>
      <c r="X2575" s="541" t="s">
        <v>423</v>
      </c>
      <c r="Y2575" s="541" t="s">
        <v>435</v>
      </c>
    </row>
    <row r="2576" spans="1:29" s="44" customFormat="1" ht="39" customHeight="1">
      <c r="A2576" s="42" t="str">
        <f>"B"&amp;E2571</f>
        <v>B86</v>
      </c>
      <c r="B2576" s="605">
        <f t="shared" ref="B2576:B2584" si="518">IF(C2576&lt;&gt;"",B2575+1,"")</f>
        <v>2</v>
      </c>
      <c r="C2576" s="581" t="s">
        <v>738</v>
      </c>
      <c r="D2576" s="581" t="s">
        <v>1069</v>
      </c>
      <c r="E2576" s="581" t="s">
        <v>1070</v>
      </c>
      <c r="F2576" s="581" t="s">
        <v>1071</v>
      </c>
      <c r="G2576" s="534">
        <v>0.34</v>
      </c>
      <c r="H2576" s="534" t="s">
        <v>385</v>
      </c>
      <c r="I2576" s="579" t="s">
        <v>384</v>
      </c>
      <c r="J2576" s="580" t="str">
        <f>IF(I2576="","",IF(I2576="I",$F2571,VLOOKUP(I2576,$C2592:$D2597,2,0)))</f>
        <v>CARLOS ANDRES CHAVARRO CASTRO</v>
      </c>
      <c r="K2576" s="535">
        <v>43654</v>
      </c>
      <c r="L2576" s="535">
        <v>44194</v>
      </c>
      <c r="M2576" s="536">
        <v>780.84</v>
      </c>
      <c r="N2576" s="232">
        <f t="shared" si="516"/>
        <v>265.48560000000003</v>
      </c>
      <c r="O2576" s="260">
        <f t="shared" si="517"/>
        <v>265.48559999999998</v>
      </c>
      <c r="P2576" s="781"/>
      <c r="Q2576" s="782"/>
      <c r="R2576" s="767"/>
      <c r="S2576" s="768"/>
      <c r="T2576" s="538" t="s">
        <v>385</v>
      </c>
      <c r="U2576" s="539">
        <v>31</v>
      </c>
      <c r="V2576" s="540" t="s">
        <v>385</v>
      </c>
      <c r="X2576" s="541" t="s">
        <v>446</v>
      </c>
      <c r="Y2576" s="541" t="s">
        <v>387</v>
      </c>
    </row>
    <row r="2577" spans="1:29" s="44" customFormat="1" ht="24.95" customHeight="1">
      <c r="A2577" s="42" t="str">
        <f>"C"&amp;E2571</f>
        <v>C86</v>
      </c>
      <c r="B2577" s="605" t="str">
        <f t="shared" si="518"/>
        <v/>
      </c>
      <c r="C2577" s="581"/>
      <c r="D2577" s="581"/>
      <c r="E2577" s="581"/>
      <c r="F2577" s="581"/>
      <c r="G2577" s="534"/>
      <c r="H2577" s="534"/>
      <c r="I2577" s="579"/>
      <c r="J2577" s="580" t="str">
        <f>IF(I2577="","",IF(I2577="I",$F2571,VLOOKUP(I2577,$C2592:$D2597,2,0)))</f>
        <v/>
      </c>
      <c r="K2577" s="535"/>
      <c r="L2577" s="535"/>
      <c r="M2577" s="536"/>
      <c r="N2577" s="232" t="str">
        <f t="shared" si="516"/>
        <v/>
      </c>
      <c r="O2577" s="260" t="str">
        <f t="shared" si="517"/>
        <v/>
      </c>
      <c r="P2577" s="781"/>
      <c r="Q2577" s="782"/>
      <c r="R2577" s="767"/>
      <c r="S2577" s="768"/>
      <c r="T2577" s="538"/>
      <c r="U2577" s="539"/>
      <c r="V2577" s="540"/>
      <c r="X2577" s="541"/>
      <c r="Y2577" s="541"/>
    </row>
    <row r="2578" spans="1:29" s="44" customFormat="1" ht="24.95" customHeight="1">
      <c r="A2578" s="42" t="str">
        <f>"D"&amp;E2571</f>
        <v>D86</v>
      </c>
      <c r="B2578" s="605" t="str">
        <f t="shared" si="518"/>
        <v/>
      </c>
      <c r="C2578" s="581"/>
      <c r="D2578" s="581"/>
      <c r="E2578" s="581"/>
      <c r="F2578" s="581"/>
      <c r="G2578" s="534"/>
      <c r="H2578" s="534"/>
      <c r="I2578" s="579"/>
      <c r="J2578" s="580" t="str">
        <f>IF(I2578="","",IF(I2578="I",$F2571,VLOOKUP(I2578,$C2592:$D2597,2,0)))</f>
        <v/>
      </c>
      <c r="K2578" s="535"/>
      <c r="L2578" s="535"/>
      <c r="M2578" s="536"/>
      <c r="N2578" s="232" t="str">
        <f t="shared" si="516"/>
        <v/>
      </c>
      <c r="O2578" s="260" t="str">
        <f t="shared" si="517"/>
        <v/>
      </c>
      <c r="P2578" s="781"/>
      <c r="Q2578" s="782"/>
      <c r="R2578" s="767"/>
      <c r="S2578" s="768"/>
      <c r="T2578" s="538"/>
      <c r="U2578" s="539"/>
      <c r="V2578" s="540"/>
      <c r="X2578" s="541"/>
      <c r="Y2578" s="541"/>
    </row>
    <row r="2579" spans="1:29" s="44" customFormat="1" ht="24.95" customHeight="1">
      <c r="A2579" s="42" t="str">
        <f>"E"&amp;E2571</f>
        <v>E86</v>
      </c>
      <c r="B2579" s="605" t="str">
        <f t="shared" si="518"/>
        <v/>
      </c>
      <c r="C2579" s="581"/>
      <c r="D2579" s="581"/>
      <c r="E2579" s="581"/>
      <c r="F2579" s="581"/>
      <c r="G2579" s="534"/>
      <c r="H2579" s="534"/>
      <c r="I2579" s="579"/>
      <c r="J2579" s="580" t="str">
        <f>IF(I2579="","",IF(I2579="I",$F2571,VLOOKUP(I2579,$C2592:$D2597,2,0)))</f>
        <v/>
      </c>
      <c r="K2579" s="535"/>
      <c r="L2579" s="535"/>
      <c r="M2579" s="536"/>
      <c r="N2579" s="232" t="str">
        <f t="shared" si="516"/>
        <v/>
      </c>
      <c r="O2579" s="260" t="str">
        <f t="shared" si="517"/>
        <v/>
      </c>
      <c r="P2579" s="781"/>
      <c r="Q2579" s="782"/>
      <c r="R2579" s="767"/>
      <c r="S2579" s="768"/>
      <c r="T2579" s="538"/>
      <c r="U2579" s="539"/>
      <c r="V2579" s="540"/>
      <c r="X2579" s="541"/>
      <c r="Y2579" s="541"/>
    </row>
    <row r="2580" spans="1:29" s="44" customFormat="1" ht="24.95" customHeight="1">
      <c r="A2580" s="42" t="str">
        <f>"F"&amp;E2571</f>
        <v>F86</v>
      </c>
      <c r="B2580" s="605" t="str">
        <f t="shared" si="518"/>
        <v/>
      </c>
      <c r="C2580" s="581"/>
      <c r="D2580" s="581"/>
      <c r="E2580" s="581"/>
      <c r="F2580" s="581"/>
      <c r="G2580" s="534"/>
      <c r="H2580" s="534"/>
      <c r="I2580" s="579"/>
      <c r="J2580" s="580" t="str">
        <f>IF(I2580="","",IF(I2580="I",$F2571,VLOOKUP(I2580,$C2592:$D2597,2,0)))</f>
        <v/>
      </c>
      <c r="K2580" s="535"/>
      <c r="L2580" s="535"/>
      <c r="M2580" s="536"/>
      <c r="N2580" s="232" t="str">
        <f t="shared" si="516"/>
        <v/>
      </c>
      <c r="O2580" s="260" t="str">
        <f t="shared" si="517"/>
        <v/>
      </c>
      <c r="P2580" s="781"/>
      <c r="Q2580" s="782"/>
      <c r="R2580" s="767"/>
      <c r="S2580" s="768"/>
      <c r="T2580" s="538"/>
      <c r="U2580" s="539"/>
      <c r="V2580" s="540"/>
      <c r="X2580" s="541"/>
      <c r="Y2580" s="541"/>
    </row>
    <row r="2581" spans="1:29" s="44" customFormat="1" ht="24.95" customHeight="1">
      <c r="A2581" s="42" t="str">
        <f>"G"&amp;E2571</f>
        <v>G86</v>
      </c>
      <c r="B2581" s="605" t="str">
        <f t="shared" si="518"/>
        <v/>
      </c>
      <c r="C2581" s="581"/>
      <c r="D2581" s="581"/>
      <c r="E2581" s="581"/>
      <c r="F2581" s="581"/>
      <c r="G2581" s="534"/>
      <c r="H2581" s="534"/>
      <c r="I2581" s="579"/>
      <c r="J2581" s="580" t="str">
        <f>IF(I2581="","",IF(I2581="I",$F2571,VLOOKUP(I2581,$C2592:$D2597,2,0)))</f>
        <v/>
      </c>
      <c r="K2581" s="535"/>
      <c r="L2581" s="535"/>
      <c r="M2581" s="536"/>
      <c r="N2581" s="43" t="str">
        <f t="shared" si="516"/>
        <v/>
      </c>
      <c r="O2581" s="260" t="str">
        <f t="shared" si="517"/>
        <v/>
      </c>
      <c r="P2581" s="781"/>
      <c r="Q2581" s="782"/>
      <c r="R2581" s="767"/>
      <c r="S2581" s="768"/>
      <c r="T2581" s="538"/>
      <c r="U2581" s="539"/>
      <c r="V2581" s="540"/>
      <c r="X2581" s="541"/>
      <c r="Y2581" s="541"/>
    </row>
    <row r="2582" spans="1:29" s="44" customFormat="1" ht="24.95" customHeight="1">
      <c r="A2582" s="42" t="str">
        <f>"H"&amp;E2571</f>
        <v>H86</v>
      </c>
      <c r="B2582" s="605" t="str">
        <f t="shared" si="518"/>
        <v/>
      </c>
      <c r="C2582" s="581"/>
      <c r="D2582" s="581"/>
      <c r="E2582" s="581"/>
      <c r="F2582" s="581"/>
      <c r="G2582" s="534"/>
      <c r="H2582" s="534"/>
      <c r="I2582" s="579"/>
      <c r="J2582" s="580" t="str">
        <f>IF(I2582="","",IF(I2582="I",$F2571,VLOOKUP(I2582,$C2592:$D2597,2,0)))</f>
        <v/>
      </c>
      <c r="K2582" s="535"/>
      <c r="L2582" s="535"/>
      <c r="M2582" s="537"/>
      <c r="N2582" s="43" t="str">
        <f t="shared" si="516"/>
        <v/>
      </c>
      <c r="O2582" s="260" t="str">
        <f t="shared" si="517"/>
        <v/>
      </c>
      <c r="P2582" s="781"/>
      <c r="Q2582" s="782"/>
      <c r="R2582" s="767"/>
      <c r="S2582" s="768"/>
      <c r="T2582" s="538"/>
      <c r="U2582" s="539"/>
      <c r="V2582" s="540"/>
      <c r="X2582" s="541"/>
      <c r="Y2582" s="541"/>
    </row>
    <row r="2583" spans="1:29" s="44" customFormat="1" ht="24.95" customHeight="1">
      <c r="A2583" s="42" t="str">
        <f>"I"&amp;E2571</f>
        <v>I86</v>
      </c>
      <c r="B2583" s="605" t="str">
        <f t="shared" si="518"/>
        <v/>
      </c>
      <c r="C2583" s="581"/>
      <c r="D2583" s="581"/>
      <c r="E2583" s="581"/>
      <c r="F2583" s="581"/>
      <c r="G2583" s="534"/>
      <c r="H2583" s="534"/>
      <c r="I2583" s="579"/>
      <c r="J2583" s="580" t="str">
        <f>IF(I2583="","",IF(I2583="I",$F2571,VLOOKUP(I2583,$C2592:$D2597,2,0)))</f>
        <v/>
      </c>
      <c r="K2583" s="535"/>
      <c r="L2583" s="535"/>
      <c r="M2583" s="537"/>
      <c r="N2583" s="43" t="str">
        <f t="shared" si="516"/>
        <v/>
      </c>
      <c r="O2583" s="260" t="str">
        <f t="shared" si="517"/>
        <v/>
      </c>
      <c r="P2583" s="781"/>
      <c r="Q2583" s="782"/>
      <c r="R2583" s="767"/>
      <c r="S2583" s="768"/>
      <c r="T2583" s="538"/>
      <c r="U2583" s="539"/>
      <c r="V2583" s="540"/>
      <c r="X2583" s="541"/>
      <c r="Y2583" s="541"/>
    </row>
    <row r="2584" spans="1:29" s="44" customFormat="1" ht="24.95" customHeight="1" thickBot="1">
      <c r="A2584" s="42" t="str">
        <f>"J"&amp;E2571</f>
        <v>J86</v>
      </c>
      <c r="B2584" s="612" t="str">
        <f t="shared" si="518"/>
        <v/>
      </c>
      <c r="C2584" s="582"/>
      <c r="D2584" s="582"/>
      <c r="E2584" s="582"/>
      <c r="F2584" s="582"/>
      <c r="G2584" s="583"/>
      <c r="H2584" s="583"/>
      <c r="I2584" s="584"/>
      <c r="J2584" s="585" t="str">
        <f>IF(I2584="","",IF(I2584="I",$F2571,VLOOKUP(I2584,$C2592:$D2597,2,0)))</f>
        <v/>
      </c>
      <c r="K2584" s="586"/>
      <c r="L2584" s="586"/>
      <c r="M2584" s="587"/>
      <c r="N2584" s="43" t="str">
        <f t="shared" si="516"/>
        <v/>
      </c>
      <c r="O2584" s="260" t="str">
        <f t="shared" si="517"/>
        <v/>
      </c>
      <c r="P2584" s="781"/>
      <c r="Q2584" s="782"/>
      <c r="R2584" s="767"/>
      <c r="S2584" s="768"/>
      <c r="T2584" s="538"/>
      <c r="U2584" s="539"/>
      <c r="V2584" s="540"/>
      <c r="X2584" s="541"/>
      <c r="Y2584" s="541"/>
    </row>
    <row r="2585" spans="1:29" s="27" customFormat="1" ht="12" customHeight="1" thickBot="1">
      <c r="A2585" s="42"/>
      <c r="B2585" s="45"/>
      <c r="C2585" s="46"/>
      <c r="D2585" s="46"/>
      <c r="E2585" s="46"/>
      <c r="F2585" s="46"/>
      <c r="G2585" s="46"/>
      <c r="H2585" s="606"/>
      <c r="I2585" s="46"/>
      <c r="J2585" s="46"/>
      <c r="K2585" s="46"/>
      <c r="L2585" s="46"/>
      <c r="M2585" s="46"/>
      <c r="N2585" s="46"/>
      <c r="O2585" s="259"/>
      <c r="P2585" s="46"/>
      <c r="Q2585" s="46"/>
      <c r="R2585" s="259"/>
      <c r="S2585" s="46"/>
      <c r="T2585" s="46"/>
      <c r="U2585" s="47"/>
      <c r="V2585" s="48"/>
      <c r="X2585" s="592"/>
      <c r="Y2585" s="593"/>
      <c r="AB2585" s="378"/>
    </row>
    <row r="2586" spans="1:29" s="27" customFormat="1" ht="17.25" customHeight="1" thickBot="1">
      <c r="A2586" s="42" t="str">
        <f>"Z"&amp;E2571</f>
        <v>Z86</v>
      </c>
      <c r="B2586" s="510"/>
      <c r="C2586" s="511"/>
      <c r="D2586" s="511"/>
      <c r="E2586" s="511"/>
      <c r="F2586" s="511"/>
      <c r="G2586" s="511"/>
      <c r="H2586" s="511"/>
      <c r="I2586" s="511"/>
      <c r="J2586" s="511"/>
      <c r="K2586" s="511"/>
      <c r="L2586" s="511"/>
      <c r="M2586" s="511"/>
      <c r="N2586" s="437" t="s">
        <v>388</v>
      </c>
      <c r="O2586" s="438">
        <f>IF(COUNTIF(O2575:O2584,"")&gt;9,0,SUM(O2575:O2584)/(COUNTIF(H2575:H2584,"SI")))</f>
        <v>440.13549999999998</v>
      </c>
      <c r="P2586" s="511"/>
      <c r="Q2586" s="511"/>
      <c r="R2586" s="530"/>
      <c r="S2586" s="530"/>
      <c r="T2586" s="531"/>
      <c r="U2586" s="532"/>
      <c r="V2586" s="533"/>
      <c r="W2586" s="285"/>
      <c r="X2586" s="613" t="e">
        <f>COUNTIF(#REF!,"")-COUNTIF(#REF!,"CUMPLE")-1</f>
        <v>#REF!</v>
      </c>
      <c r="Y2586" s="591"/>
      <c r="AB2586" s="28"/>
    </row>
    <row r="2587" spans="1:29" ht="17.25" customHeight="1">
      <c r="B2587" s="50"/>
      <c r="C2587" s="50"/>
      <c r="D2587" s="50"/>
      <c r="E2587" s="50"/>
      <c r="F2587" s="50"/>
      <c r="G2587" s="51"/>
      <c r="H2587" s="51"/>
      <c r="I2587" s="51"/>
      <c r="J2587" s="51"/>
      <c r="K2587" s="51"/>
      <c r="L2587" s="51"/>
      <c r="M2587" s="51"/>
      <c r="N2587" s="51"/>
      <c r="O2587" s="51"/>
      <c r="P2587" s="51"/>
      <c r="Q2587" s="51"/>
      <c r="R2587" s="51"/>
      <c r="S2587" s="51"/>
      <c r="T2587" s="51"/>
      <c r="U2587" s="51"/>
      <c r="V2587" s="51"/>
      <c r="W2587" s="51"/>
      <c r="X2587" s="608"/>
      <c r="Y2587" s="51"/>
      <c r="Z2587" s="51"/>
      <c r="AA2587" s="51"/>
      <c r="AB2587" s="51"/>
      <c r="AC2587" s="50"/>
    </row>
    <row r="2588" spans="1:29" s="27" customFormat="1" ht="16.5" customHeight="1" thickBot="1">
      <c r="A2588" s="22"/>
      <c r="B2588" s="783" t="s">
        <v>389</v>
      </c>
      <c r="C2588" s="783"/>
      <c r="D2588" s="783"/>
      <c r="E2588" s="783"/>
      <c r="F2588" s="783"/>
      <c r="G2588" s="783"/>
      <c r="H2588" s="783"/>
      <c r="I2588" s="783"/>
      <c r="J2588" s="783"/>
      <c r="K2588" s="783"/>
      <c r="L2588" s="783"/>
      <c r="M2588" s="783"/>
      <c r="N2588" s="783"/>
      <c r="O2588" s="783"/>
      <c r="P2588" s="783"/>
      <c r="Q2588" s="783"/>
      <c r="R2588" s="783"/>
      <c r="S2588" s="783"/>
      <c r="T2588" s="783"/>
      <c r="U2588" s="783"/>
      <c r="V2588" s="783"/>
      <c r="W2588" s="286"/>
      <c r="X2588" s="607"/>
      <c r="Y2588" s="52"/>
      <c r="Z2588" s="52"/>
      <c r="AA2588" s="52"/>
      <c r="AB2588" s="28"/>
      <c r="AC2588" s="28"/>
    </row>
    <row r="2589" spans="1:29" s="30" customFormat="1" ht="22.5" customHeight="1">
      <c r="A2589" s="112" t="str">
        <f>"K"&amp;E2571</f>
        <v>K86</v>
      </c>
      <c r="B2589" s="790" t="s">
        <v>390</v>
      </c>
      <c r="C2589" s="772" t="s">
        <v>391</v>
      </c>
      <c r="D2589" s="773"/>
      <c r="E2589" s="773"/>
      <c r="F2589" s="773"/>
      <c r="G2589" s="773"/>
      <c r="H2589" s="773"/>
      <c r="I2589" s="773"/>
      <c r="J2589" s="773"/>
      <c r="K2589" s="773"/>
      <c r="L2589" s="773"/>
      <c r="M2589" s="774"/>
      <c r="N2589" s="525"/>
      <c r="O2589" s="588"/>
      <c r="P2589" s="772" t="s">
        <v>392</v>
      </c>
      <c r="Q2589" s="773"/>
      <c r="R2589" s="773"/>
      <c r="S2589" s="774"/>
      <c r="T2589" s="784" t="s">
        <v>393</v>
      </c>
      <c r="U2589" s="774"/>
      <c r="V2589" s="811"/>
      <c r="W2589" s="284"/>
      <c r="X2589" s="778" t="s">
        <v>394</v>
      </c>
      <c r="Y2589" s="779"/>
      <c r="Z2589" s="779"/>
      <c r="AA2589" s="779" t="s">
        <v>395</v>
      </c>
      <c r="AB2589" s="808" t="s">
        <v>396</v>
      </c>
      <c r="AC2589" s="28"/>
    </row>
    <row r="2590" spans="1:29" s="30" customFormat="1" ht="22.5" customHeight="1">
      <c r="A2590" s="112" t="str">
        <f>"L"&amp;E2571</f>
        <v>L86</v>
      </c>
      <c r="B2590" s="791"/>
      <c r="C2590" s="769" t="s">
        <v>397</v>
      </c>
      <c r="D2590" s="770"/>
      <c r="E2590" s="771"/>
      <c r="F2590" s="512">
        <f>IF(VLOOKUP(E2571,PROPONENTES!$C$19:$E$108,3,0)="","",VLOOKUP(E2571,PROPONENTES!$C$19:$E$108,3,0))</f>
        <v>1</v>
      </c>
      <c r="G2590" s="824" t="s">
        <v>398</v>
      </c>
      <c r="H2590" s="793" t="s">
        <v>399</v>
      </c>
      <c r="I2590" s="793"/>
      <c r="J2590" s="769" t="s">
        <v>400</v>
      </c>
      <c r="K2590" s="823"/>
      <c r="L2590" s="513" t="s">
        <v>401</v>
      </c>
      <c r="M2590" s="513"/>
      <c r="N2590" s="526"/>
      <c r="O2590" s="527"/>
      <c r="P2590" s="775"/>
      <c r="Q2590" s="776"/>
      <c r="R2590" s="776"/>
      <c r="S2590" s="777"/>
      <c r="T2590" s="796"/>
      <c r="U2590" s="797"/>
      <c r="V2590" s="812"/>
      <c r="W2590" s="284"/>
      <c r="X2590" s="780" t="s">
        <v>402</v>
      </c>
      <c r="Y2590" s="810" t="s">
        <v>403</v>
      </c>
      <c r="Z2590" s="810"/>
      <c r="AA2590" s="810"/>
      <c r="AB2590" s="809"/>
      <c r="AC2590" s="28"/>
    </row>
    <row r="2591" spans="1:29" s="30" customFormat="1" ht="51.75" customHeight="1" thickBot="1">
      <c r="A2591" s="112" t="str">
        <f>"M"&amp;E2571</f>
        <v>M86</v>
      </c>
      <c r="B2591" s="791"/>
      <c r="C2591" s="770" t="s">
        <v>404</v>
      </c>
      <c r="D2591" s="771"/>
      <c r="E2591" s="514" t="s">
        <v>405</v>
      </c>
      <c r="F2591" s="515" t="s">
        <v>406</v>
      </c>
      <c r="G2591" s="824"/>
      <c r="H2591" s="793"/>
      <c r="I2591" s="793"/>
      <c r="J2591" s="504" t="s">
        <v>407</v>
      </c>
      <c r="K2591" s="516" t="s">
        <v>408</v>
      </c>
      <c r="L2591" s="517" t="s">
        <v>409</v>
      </c>
      <c r="M2591" s="517"/>
      <c r="N2591" s="528" t="s">
        <v>410</v>
      </c>
      <c r="O2591" s="529"/>
      <c r="P2591" s="386"/>
      <c r="Q2591" s="387" t="s">
        <v>411</v>
      </c>
      <c r="R2591" s="388"/>
      <c r="S2591" s="113">
        <f>COUNTIFS(H2575:H2584,"SI",O2575:O2584,"&gt;0")</f>
        <v>2</v>
      </c>
      <c r="T2591" s="785"/>
      <c r="U2591" s="787"/>
      <c r="V2591" s="813"/>
      <c r="W2591" s="284"/>
      <c r="X2591" s="780"/>
      <c r="Y2591" s="810"/>
      <c r="Z2591" s="810"/>
      <c r="AA2591" s="810"/>
      <c r="AB2591" s="809"/>
      <c r="AC2591" s="28"/>
    </row>
    <row r="2592" spans="1:29" s="30" customFormat="1" ht="15.75" customHeight="1">
      <c r="A2592" s="112" t="str">
        <f>"N"&amp;E2571</f>
        <v>N86</v>
      </c>
      <c r="B2592" s="791"/>
      <c r="C2592" s="54">
        <v>1</v>
      </c>
      <c r="D2592" s="100" t="str">
        <f>IF(AND(C2592&lt;=F2590,F2590&gt;1,F2590&lt;&gt;""),VLOOKUP(VALUE(E2571&amp;","&amp;C2592),INTEGRANTES!$D$19:$F$192,2,0),"")</f>
        <v/>
      </c>
      <c r="E2592" s="107" t="str">
        <f>IF(D2592&lt;&gt;"",VLOOKUP(VALUE(E2571&amp;","&amp;C2592),INTEGRANTES!$D$19:$F$192,3,0),"")</f>
        <v/>
      </c>
      <c r="F2592" s="380" t="str">
        <f>IF(D2592="","",IF(OR(SUMIF($J2578:$J2584,D2592,$O2578:$O2584)=0,N2592="NO"),"NO APORTA",SUMIF($J2578:$J2584,D2592,$O2578:$O2584)))</f>
        <v/>
      </c>
      <c r="G2592" s="380" t="str">
        <f>IF($D2592="","",IF($F2590&lt;=1,"",ROUND(POSMMLV*PORPO,2)))</f>
        <v/>
      </c>
      <c r="H2592" s="765" t="str">
        <f>IF($D2592="","",IF(OR(F2592="NO APORTA",G2592&gt;F2592),"NO CUMPLE","CUMPLE"))</f>
        <v/>
      </c>
      <c r="I2592" s="766"/>
      <c r="J2592" s="108" t="str">
        <f>IF(D2592="","",IF(OR(AND(SUMIF($J2575:$J2584,D2592,$O2575:$O2584)&gt;=5%*POSMMLV,N2592="SI"),AND(SUMIF($J2575:$J2584,D2592,$O2575:$O2584)=0,E2592&lt;=5%,N2592="SI")),"CUMPLE","NO CUMPLE"))</f>
        <v/>
      </c>
      <c r="K2592" s="105" t="str">
        <f>IF(OR(D2592="",J2592=""),"",IF(AND(J2592="NO CUMPLE",F2592="NO APORTA",E2592&gt;5%),"EXP = 0 y PART &gt; 5%",IF(F2592&lt;5%*Q2597,"EXP &lt; 5%*PO","")))</f>
        <v/>
      </c>
      <c r="L2592" s="389" t="str">
        <f>IF(OR(D2592="",E2592=""),"",IF(AND(E2592&gt;=0.25,F2592&lt;&gt;"NO APORTA",F2592&gt;=$R2597*0.25),"SI","NO"))</f>
        <v/>
      </c>
      <c r="M2592" s="389"/>
      <c r="N2592" s="468" t="s">
        <v>385</v>
      </c>
      <c r="O2592" s="396">
        <f>COUNTIFS(O2575:O2584,"&gt;0",H2575:H2584,"SI")</f>
        <v>2</v>
      </c>
      <c r="P2592" s="814" t="s">
        <v>139</v>
      </c>
      <c r="Q2592" s="814"/>
      <c r="R2592" s="817">
        <f>E2571</f>
        <v>86</v>
      </c>
      <c r="S2592" s="818"/>
      <c r="T2592" s="784" t="s">
        <v>412</v>
      </c>
      <c r="U2592" s="773"/>
      <c r="V2592" s="774"/>
      <c r="W2592" s="283"/>
      <c r="X2592" s="542" t="str">
        <f>IF($F2590=1,"NO APLICA",$D2592)</f>
        <v>NO APLICA</v>
      </c>
      <c r="Y2592" s="543" t="str">
        <f>IF(OR($F2592="",$F2592="NO APORTA",$R2597=0,$X2592="NO APLICA"),"",ROUND($F2592/$Q2597,2))</f>
        <v/>
      </c>
      <c r="Z2592" s="544" t="str">
        <f>IF(Y2598=1,"SI APLICA",IF(OR($X2592="",$X2592="NO APLICA",$F2592="",$F2592="NO APORTA"),"",IF(ROUND($F2592/Q2597,7)&gt;=0.4,"SI APLICA","NO APLICA")))</f>
        <v>SI APLICA</v>
      </c>
      <c r="AA2592" s="543" t="s">
        <v>413</v>
      </c>
      <c r="AB2592" s="540" t="str">
        <f>IF(COUNTIF(Z2592:AA2592,"SI APLICA")=2,"SI APLICA","")</f>
        <v>SI APLICA</v>
      </c>
      <c r="AC2592" s="28"/>
    </row>
    <row r="2593" spans="1:29" s="30" customFormat="1" ht="15.75" customHeight="1" thickBot="1">
      <c r="A2593" s="112" t="str">
        <f>"O"&amp;E2571</f>
        <v>O86</v>
      </c>
      <c r="B2593" s="791"/>
      <c r="C2593" s="54">
        <v>2</v>
      </c>
      <c r="D2593" s="100" t="str">
        <f>IF(AND(C2593&lt;=F2590,F2590&lt;&gt;""),VLOOKUP(VALUE(E2571&amp;","&amp;C2593),INTEGRANTES!$D$19:$F$192,2,0),"")</f>
        <v/>
      </c>
      <c r="E2593" s="107" t="str">
        <f>IF(D2593&lt;&gt;"",VLOOKUP(VALUE(E2571&amp;","&amp;C2593),INTEGRANTES!$D$19:$F$192,3,0),"")</f>
        <v/>
      </c>
      <c r="F2593" s="380" t="str">
        <f>IF(D2593="","",IF(OR(SUMIF($J2578:$J2584,D2593,$O2578:$O2584)=0,N2593="NO"),"NO APORTA",SUMIF($J2578:$J2584,D2593,$O2578:$O2584)))</f>
        <v/>
      </c>
      <c r="G2593" s="380" t="str">
        <f>IF($D2593="","",IF($F2590&lt;=1,"",ROUND(POSMMLV*PORPO,2)))</f>
        <v/>
      </c>
      <c r="H2593" s="765" t="str">
        <f t="shared" ref="H2593:H2596" si="519">IF($D2593="","",IF(OR(F2593="NO APORTA",G2593&gt;F2593),"NO CUMPLE","CUMPLE"))</f>
        <v/>
      </c>
      <c r="I2593" s="766"/>
      <c r="J2593" s="108" t="str">
        <f>IF(D2593="","",IF(OR(AND(SUMIF($J2575:$J2584,D2593,$O2575:$O2584)&gt;=5%*POSMMLV,N2593="SI"),AND(SUMIF($J2575:$J2584,D2593,$O2575:$O2584)=0,E2593&lt;=5%,N2593="SI")),"CUMPLE","NO CUMPLE"))</f>
        <v/>
      </c>
      <c r="K2593" s="105" t="str">
        <f>IF(OR(D2593="",J2593=""),"",IF(AND(J2593="NO CUMPLE",F2593="NO APORTA",E2593&gt;5%),"EXP = 0 y PART &gt; 5%",IF(F2593&lt;5%*Q2597,"EXP &lt; 5%*PO","")))</f>
        <v/>
      </c>
      <c r="L2593" s="389" t="str">
        <f>IF(OR(D2593="",E2593=""),"",IF(AND(E2593&gt;=0.25,F2593&lt;&gt;"NO APORTA",F2593&gt;=$R2597*0.25),"SI","NO"))</f>
        <v/>
      </c>
      <c r="M2593" s="389"/>
      <c r="N2593" s="468" t="s">
        <v>385</v>
      </c>
      <c r="O2593" s="396"/>
      <c r="P2593" s="815"/>
      <c r="Q2593" s="815"/>
      <c r="R2593" s="815"/>
      <c r="S2593" s="819"/>
      <c r="T2593" s="785"/>
      <c r="U2593" s="786"/>
      <c r="V2593" s="787"/>
      <c r="W2593" s="283"/>
      <c r="X2593" s="542" t="str">
        <f>IF($F2590=1,"NO APLICA",$D2593)</f>
        <v>NO APLICA</v>
      </c>
      <c r="Y2593" s="543" t="str">
        <f>IF(OR($F2593="",$F2593="NO APORTA",$R2597=0,$X2593="NO APLICA"),"",ROUND($F2593/$Q2597,2))</f>
        <v/>
      </c>
      <c r="Z2593" s="544"/>
      <c r="AA2593" s="543"/>
      <c r="AB2593" s="540" t="str">
        <f t="shared" ref="AB2593" si="520">IF(COUNTIF(Z2593:AA2593,"SI APLICA")=2,"SI APLICA","")</f>
        <v/>
      </c>
      <c r="AC2593" s="28"/>
    </row>
    <row r="2594" spans="1:29" s="30" customFormat="1" ht="15.75" customHeight="1">
      <c r="A2594" s="112" t="str">
        <f>"P"&amp;E2571</f>
        <v>P86</v>
      </c>
      <c r="B2594" s="791"/>
      <c r="C2594" s="54">
        <v>3</v>
      </c>
      <c r="D2594" s="100" t="str">
        <f>IF(AND(C2594&lt;=F2590,F2590&lt;&gt;""),VLOOKUP(VALUE(E2571&amp;","&amp;C2594),INTEGRANTES!$D$19:$F$192,2,0),"")</f>
        <v/>
      </c>
      <c r="E2594" s="107" t="str">
        <f>IF(D2594&lt;&gt;"",VLOOKUP(VALUE(E2571&amp;","&amp;C2594),INTEGRANTES!$D$19:$F$192,3,0),"")</f>
        <v/>
      </c>
      <c r="F2594" s="380" t="str">
        <f>IF(D2594="","",IF(OR(SUMIF($J2578:$J2584,D2594,$O2578:$O2584)=0,N2594="NO"),"NO APORTA",SUMIF($J2578:$J2584,D2594,$O2578:$O2584)))</f>
        <v/>
      </c>
      <c r="G2594" s="380" t="str">
        <f>IF($D2594="","",IF($F2590&lt;=1,"",ROUND(POSMMLV*PORPO,2)))</f>
        <v/>
      </c>
      <c r="H2594" s="765" t="str">
        <f t="shared" si="519"/>
        <v/>
      </c>
      <c r="I2594" s="766"/>
      <c r="J2594" s="108" t="str">
        <f>IF(D2594="","",IF(OR(AND(SUMIF($J2575:$J2584,D2594,$O2575:$O2584)&gt;=5%*POSMMLV,N2594="SI"),AND(SUMIF($J2575:$J2584,D2594,$O2575:$O2584)=0,E2594&lt;=5%,N2594="SI")),"CUMPLE","NO CUMPLE"))</f>
        <v/>
      </c>
      <c r="K2594" s="105" t="str">
        <f>IF(OR(D2594="",J2594=""),"",IF(AND(J2594="NO CUMPLE",F2594="NO APORTA",E2594&gt;5%),"EXP = 0 y PART &gt; 5%",IF(F2594&lt;5%*Q2597,"EXP &lt; 5%*PO","")))</f>
        <v/>
      </c>
      <c r="L2594" s="389" t="str">
        <f>IF(OR(D2594="",E2594=""),"",IF(AND(E2594&gt;=0.25,F2594&lt;&gt;"NO APORTA",F2594&gt;=$R2597*0.25),"SI","NO"))</f>
        <v/>
      </c>
      <c r="M2594" s="389"/>
      <c r="N2594" s="468"/>
      <c r="O2594" s="397"/>
      <c r="P2594" s="816"/>
      <c r="Q2594" s="816"/>
      <c r="R2594" s="816"/>
      <c r="S2594" s="820"/>
      <c r="T2594" s="308"/>
      <c r="U2594" s="308"/>
      <c r="V2594" s="309"/>
      <c r="W2594" s="284"/>
      <c r="X2594" s="542" t="str">
        <f>IF($F2590=1,"NO APLICA",$D2594)</f>
        <v>NO APLICA</v>
      </c>
      <c r="Y2594" s="543" t="str">
        <f>IF(OR($F2594="",$F2594="NO APORTA",$R2597=0,$X2594="NO APLICA"),"",ROUND($F2594/$Q2597,2))</f>
        <v/>
      </c>
      <c r="Z2594" s="544"/>
      <c r="AA2594" s="543"/>
      <c r="AB2594" s="540" t="str">
        <f>IF(COUNTIF(Z2594:AA2594,"SI APLICA")=2,"SI APLICA","")</f>
        <v/>
      </c>
      <c r="AC2594" s="28"/>
    </row>
    <row r="2595" spans="1:29" s="30" customFormat="1" ht="15.75" customHeight="1">
      <c r="A2595" s="112" t="str">
        <f>"Q"&amp;E2571</f>
        <v>Q86</v>
      </c>
      <c r="B2595" s="791"/>
      <c r="C2595" s="54">
        <v>4</v>
      </c>
      <c r="D2595" s="100" t="str">
        <f>IF(AND(C2595&lt;=F2590,F2590&lt;&gt;""),VLOOKUP(VALUE(E2571&amp;","&amp;C2595),INTEGRANTES!$D$19:$F$192,2,0),"")</f>
        <v/>
      </c>
      <c r="E2595" s="107" t="str">
        <f>IF(D2595&lt;&gt;"",VLOOKUP(VALUE(E2571&amp;","&amp;C2595),INTEGRANTES!$D$19:$F$192,3,0),"")</f>
        <v/>
      </c>
      <c r="F2595" s="380" t="str">
        <f>IF(D2595="","",IF(OR(SUMIF($J2578:$J2584,D2595,$O2578:$O2584)=0,N2595="NO"),"NO APORTA",SUMIF($J2578:$J2584,D2595,$O2578:$O2584)))</f>
        <v/>
      </c>
      <c r="G2595" s="380" t="str">
        <f>IF($D2595="","",IF($F2590&lt;=1,"",ROUND(POSMMLV*PORPO,2)))</f>
        <v/>
      </c>
      <c r="H2595" s="765" t="str">
        <f t="shared" si="519"/>
        <v/>
      </c>
      <c r="I2595" s="766"/>
      <c r="J2595" s="108" t="str">
        <f>IF(D2595="","",IF(OR(AND(SUMIF($J2575:$J2584,D2595,$O2575:$O2584)&gt;=5%*POSMMLV,N2595="SI"),AND(SUMIF($J2575:$J2584,D2595,$O2575:$O2584)=0,E2595&lt;=5%,N2595="SI")),"CUMPLE","NO CUMPLE"))</f>
        <v/>
      </c>
      <c r="K2595" s="105" t="str">
        <f>IF(OR(D2595="",J2595=""),"",IF(AND(J2595="NO CUMPLE",F2595="NO APORTA",E2595&gt;5%),"EXP = 0 y PART &gt; 5%",IF(F2595&lt;5%*Q2597,"EXP &lt; 5%*PO","")))</f>
        <v/>
      </c>
      <c r="L2595" s="389" t="str">
        <f>IF(OR(D2595="",E2595=""),"",IF(AND(E2595&gt;=0.25,F2595&lt;&gt;"NO APORTA",F2595&gt;=$R2597*0.25),"SI","NO"))</f>
        <v/>
      </c>
      <c r="M2595" s="389"/>
      <c r="N2595" s="468"/>
      <c r="O2595" s="788" t="s">
        <v>414</v>
      </c>
      <c r="P2595" s="769" t="s">
        <v>415</v>
      </c>
      <c r="Q2595" s="770"/>
      <c r="R2595" s="770"/>
      <c r="S2595" s="771"/>
      <c r="T2595" s="284"/>
      <c r="U2595" s="284"/>
      <c r="V2595" s="310"/>
      <c r="W2595" s="284"/>
      <c r="X2595" s="542" t="str">
        <f>IF($F2590=1,"NO APLICA",$D2595)</f>
        <v>NO APLICA</v>
      </c>
      <c r="Y2595" s="543" t="str">
        <f>IF(OR($F2595="",$F2595="NO APORTA",$R2597=0,$X2595="NO APLICA"),"",ROUND($F2595/$Q2597,2))</f>
        <v/>
      </c>
      <c r="Z2595" s="544"/>
      <c r="AA2595" s="543"/>
      <c r="AB2595" s="540" t="str">
        <f t="shared" ref="AB2595:AB2596" si="521">IF(COUNTIF(Z2595:AA2595,"SI APLICA")=2,"SI APLICA","")</f>
        <v/>
      </c>
      <c r="AC2595" s="28"/>
    </row>
    <row r="2596" spans="1:29" s="30" customFormat="1" ht="17.25" customHeight="1">
      <c r="A2596" s="112" t="str">
        <f>"R"&amp;E2571</f>
        <v>R86</v>
      </c>
      <c r="B2596" s="791"/>
      <c r="C2596" s="54">
        <v>5</v>
      </c>
      <c r="D2596" s="100" t="str">
        <f>IF(AND(C2596&lt;=F2590,F2590&lt;&gt;""),VLOOKUP(VALUE(E2571&amp;","&amp;C2596),INTEGRANTES!$D$19:$F$192,2,0),"")</f>
        <v/>
      </c>
      <c r="E2596" s="107" t="str">
        <f>IF(D2596&lt;&gt;"",VLOOKUP(VALUE(E2571&amp;","&amp;C2596),INTEGRANTES!$D$19:$F$192,3,0),"")</f>
        <v/>
      </c>
      <c r="F2596" s="380" t="str">
        <f>IF(D2596="","",IF(OR(SUMIF($J2578:$J2584,D2596,$O2578:$O2584)=0,N2596="NO"),"NO APORTA",SUMIF($J2578:$J2584,D2596,$O2578:$O2584)))</f>
        <v/>
      </c>
      <c r="G2596" s="380" t="str">
        <f>IF($D2596="","",IF($F2590&lt;=1,"",ROUND(POSMMLV*PORPO,2)))</f>
        <v/>
      </c>
      <c r="H2596" s="765" t="str">
        <f t="shared" si="519"/>
        <v/>
      </c>
      <c r="I2596" s="766"/>
      <c r="J2596" s="108" t="str">
        <f>IF(D2596="","",IF(OR(AND(SUMIF($J2575:$J2584,D2596,$O2575:$O2584)&gt;=5%*POSMMLV,N2596="SI"),AND(SUMIF($J2575:$J2584,D2596,$O2575:$O2584)=0,E2596&lt;=5%,N2596="SI")),"CUMPLE","NO CUMPLE"))</f>
        <v/>
      </c>
      <c r="K2596" s="105" t="str">
        <f>IF(OR(D2596="",J2596=""),"",IF(AND(J2596="NO CUMPLE",F2596="NO APORTA",E2596&gt;5%),"EXP = 0 y PART &gt; 5%",IF(F2596&lt;5%*Q2597,"EXP &lt; 5%*PO","")))</f>
        <v/>
      </c>
      <c r="L2596" s="389" t="str">
        <f>IF(OR(D2596="",E2596=""),"",IF(AND(E2596&gt;=0.25,F2596&lt;&gt;"NO APORTA",F2596&gt;=$R2597*0.25),"SI","NO"))</f>
        <v/>
      </c>
      <c r="M2596" s="389"/>
      <c r="N2596" s="468"/>
      <c r="O2596" s="789"/>
      <c r="P2596" s="504" t="s">
        <v>416</v>
      </c>
      <c r="Q2596" s="504" t="s">
        <v>417</v>
      </c>
      <c r="R2596" s="793" t="s">
        <v>418</v>
      </c>
      <c r="S2596" s="793"/>
      <c r="T2596" s="284"/>
      <c r="U2596" s="284"/>
      <c r="V2596" s="310"/>
      <c r="W2596" s="284"/>
      <c r="X2596" s="542" t="str">
        <f>IF($F2590=1,"NO APLICA",$D2596)</f>
        <v>NO APLICA</v>
      </c>
      <c r="Y2596" s="543" t="str">
        <f>IF(OR($F2596="",$F2596="NO APORTA",$R2597=0,$X2596="NO APLICA"),"",ROUND($F2596/$Q2597,2))</f>
        <v/>
      </c>
      <c r="Z2596" s="544"/>
      <c r="AA2596" s="543"/>
      <c r="AB2596" s="540" t="str">
        <f t="shared" si="521"/>
        <v/>
      </c>
      <c r="AC2596" s="28"/>
    </row>
    <row r="2597" spans="1:29" s="30" customFormat="1" ht="16.5" customHeight="1" thickBot="1">
      <c r="A2597" s="112" t="str">
        <f>"S"&amp;E2571</f>
        <v>S86</v>
      </c>
      <c r="B2597" s="791"/>
      <c r="C2597" s="109">
        <v>6</v>
      </c>
      <c r="D2597" s="110" t="str">
        <f>IF(AND(C2597&lt;=F2590,F2590&lt;&gt;""),VLOOKUP(VALUE(E2571&amp;","&amp;C2597),INTEGRANTES!$D$19:$F$192,2,0),"")</f>
        <v/>
      </c>
      <c r="E2597" s="111" t="str">
        <f>IF(D2597&lt;&gt;"",VLOOKUP(VALUE(E2571&amp;","&amp;C2597),INTEGRANTES!$D$19:$F$192,3,0),"")</f>
        <v/>
      </c>
      <c r="F2597" s="380" t="str">
        <f>IF(D2597="","",IF(OR(SUMIF($J2578:$J2584,D2597,$O2578:$O2584)=0,N2597="NO"),"NO APORTA",SUMIF($J2578:$J2584,D2597,$O2578:$O2584)))</f>
        <v/>
      </c>
      <c r="G2597" s="380" t="str">
        <f>IF($D2597="","",IF($F2590&lt;=1,"",ROUND(POSMMLV*PORPO,2)))</f>
        <v/>
      </c>
      <c r="H2597" s="765" t="str">
        <f>IF($D2597="","",IF(OR(F2597="NO APORTA",G2597&gt;F2597),"NO CUMPLE","CUMPLE"))</f>
        <v/>
      </c>
      <c r="I2597" s="766"/>
      <c r="J2597" s="108" t="str">
        <f>IF(D2597="","",IF(OR(AND(SUMIF($J2575:$J2584,D2597,$O2575:$O2584)&gt;=5%*POSMMLV,N2597="SI"),AND(SUMIF($J2575:$J2584,D2597,$O2575:$O2584)=0,E2597&lt;=5%,N2597="SI")),"CUMPLE","NO CUMPLE"))</f>
        <v/>
      </c>
      <c r="K2597" s="105" t="str">
        <f>IF(OR(D2597="",J2597=""),"",IF(AND(J2597="NO CUMPLE",F2597="NO APORTA",E2597&gt;5%),"EXP = 0 y PART &gt; 5%",IF(F2597&lt;5%*Q2597,"EXP &lt; 5%*PO","")))</f>
        <v/>
      </c>
      <c r="L2597" s="389" t="str">
        <f>IF(OR(D2597="",E2597=""),"",IF(AND(E2597&gt;=0.25,F2597&lt;&gt;"NO APORTA",F2597&gt;=$R2597*0.25),"SI","NO"))</f>
        <v/>
      </c>
      <c r="M2597" s="389"/>
      <c r="N2597" s="468"/>
      <c r="O2597" s="403" t="str">
        <f ca="1">IF(R2597&gt;=Q2597,"CUMPLE","NO CUMPLE")</f>
        <v>CUMPLE</v>
      </c>
      <c r="P2597" s="312">
        <f>NUMMOD</f>
        <v>1</v>
      </c>
      <c r="Q2597" s="313">
        <f ca="1">IF(P2597="","",ROUND(VLOOKUP(P2597,PRESUPUESTOS!$B$16:$L$16,9,FALSE),7))</f>
        <v>300</v>
      </c>
      <c r="R2597" s="834">
        <f>IF(OR(COUNTIF(O2575:O2584,"")&gt;9,S2591&lt;NUMMINCONT),0,SUM(O2575:O2584))</f>
        <v>880.27099999999996</v>
      </c>
      <c r="S2597" s="834"/>
      <c r="T2597" s="284"/>
      <c r="U2597" s="284"/>
      <c r="V2597" s="310"/>
      <c r="W2597" s="284"/>
      <c r="X2597" s="545" t="str">
        <f>IF($F2590=1,"NO APLICA",$D2597)</f>
        <v>NO APLICA</v>
      </c>
      <c r="Y2597" s="543" t="str">
        <f>IF(OR($F2597="",$F2597="NO APORTA",$R2597=0,$X2597="NO APLICA"),"",ROUND($F2597/$Q2597,2))</f>
        <v/>
      </c>
      <c r="Z2597" s="544"/>
      <c r="AA2597" s="546"/>
      <c r="AB2597" s="540" t="str">
        <f>IF(COUNTIF(Z2597:AA2597,"SI APLICA")=2,"SI APLICA","")</f>
        <v/>
      </c>
      <c r="AC2597" s="28"/>
    </row>
    <row r="2598" spans="1:29" s="30" customFormat="1" ht="16.5" customHeight="1" thickBot="1">
      <c r="A2598" s="112" t="str">
        <f>"T"&amp;E2571</f>
        <v>T86</v>
      </c>
      <c r="B2598" s="792"/>
      <c r="C2598" s="821" t="s">
        <v>419</v>
      </c>
      <c r="D2598" s="822"/>
      <c r="E2598" s="822"/>
      <c r="F2598" s="518"/>
      <c r="G2598" s="519"/>
      <c r="H2598" s="794" t="str">
        <f>IF(OR($F2590="",SUM(E2592:E2597)=0),"",IF(COUNTIF(H2592:H2597,"CUMPLE")&gt;=1,"CUMPLE","NO CUMPLE"))</f>
        <v/>
      </c>
      <c r="I2598" s="795"/>
      <c r="J2598" s="314" t="str">
        <f>IF(COUNTIF(J2592:J2597,"")&gt;5,"",IF(COUNTIF(J2592:J2597,"NO CUMPLE")&gt;0,"NO CUMPLE","CUMPLE"))</f>
        <v/>
      </c>
      <c r="K2598" s="314" t="str">
        <f>IF(OR(AND(F2590=1,N2592="SI"),AND(COUNTIF(H2598:J2598,"CUMPLE")=2)),"CUMPLE","NO CUMPLE")</f>
        <v>CUMPLE</v>
      </c>
      <c r="L2598" s="519"/>
      <c r="M2598" s="519"/>
      <c r="N2598" s="519"/>
      <c r="O2598" s="833" t="str">
        <f ca="1">IF(ISNUMBER(F2571),"",IF(AND(O2597="NO CUMPLE",SUM(N2578:N2584)&lt;Q2597),"EL PROPONENTE SE DEBE REQUERIR POR EXPERIENCIA MINIMA EXIGIDA",""))</f>
        <v/>
      </c>
      <c r="P2598" s="833"/>
      <c r="Q2598" s="833"/>
      <c r="R2598" s="833"/>
      <c r="S2598" s="833"/>
      <c r="T2598" s="522"/>
      <c r="U2598" s="523"/>
      <c r="V2598" s="524"/>
      <c r="W2598" s="284"/>
      <c r="X2598" s="364" t="str">
        <f>IF(Y2598=1,"PROPONENTE INDIVIDUAL","PROPONENTE PLURAL")</f>
        <v>PROPONENTE INDIVIDUAL</v>
      </c>
      <c r="Y2598" s="276">
        <f>F2590</f>
        <v>1</v>
      </c>
      <c r="Z2598" s="277" t="str">
        <f>IF(OR(AND(Z2592="SI APLICA",AA2592="SI APLICA"),AND(Z2593="SI APLICA",AA2593="SI APLICA"),AND(Z2594="SI APLICA",AA2594="SI APLICA"),AND(Z2595="SI APLICA",AA2595="SI APLICA"),AND(Z2596="SI APLICA",AA2596="SI APLICA"),AND(Z2597="SI APLICA",AA2597="SI APLICA")),"SI APLICA","NO APLICA")</f>
        <v>SI APLICA</v>
      </c>
      <c r="AA2598" s="278" t="str">
        <f>IF(OR(AND(AA2592="SI APLICA",AB2592="SI APLICA"),AND(AA2593="SI APLICA",AB2593="SI APLICA"),AND(AA2594="SI APLICA",AB2594="SI APLICA"),AND(AA2595="SI APLICA",AB2595="SI APLICA"),AND(AA2596="SI APLICA",AB2596="SI APLICA"),AND(AA2597="SI APLICA",AB2597="SI APLICA")),"SI APLICA","NO APLICA")</f>
        <v>SI APLICA</v>
      </c>
      <c r="AB2598" s="278" t="str">
        <f>IF(COUNTIF(AB2592:AB2597,"SI APLICA")&gt;0,"SI APLICA","NO APLICA")</f>
        <v>SI APLICA</v>
      </c>
      <c r="AC2598" s="28"/>
    </row>
    <row r="2599" spans="1:29" ht="24.95" customHeight="1"/>
    <row r="2600" spans="1:29" ht="24.95" customHeight="1"/>
    <row r="2601" spans="1:29" s="41" customFormat="1" ht="24" thickBot="1">
      <c r="A2601" s="34">
        <v>87</v>
      </c>
      <c r="B2601" s="828" t="s">
        <v>355</v>
      </c>
      <c r="C2601" s="828"/>
      <c r="D2601" s="828"/>
      <c r="E2601" s="35">
        <f>VLOOKUP(A2601,PROPONENTES!$B$19:$E$108,2,FALSE)</f>
        <v>87</v>
      </c>
      <c r="F2601" s="36" t="str">
        <f>VLOOKUP(A2601,PROPONENTES!$B$19:$E$108,3,FALSE)</f>
        <v>CONSORCIO INTERVÍAS TOLIMA 22</v>
      </c>
      <c r="G2601" s="37"/>
      <c r="H2601" s="37"/>
      <c r="I2601" s="36"/>
      <c r="J2601" s="36"/>
      <c r="K2601" s="36"/>
      <c r="L2601" s="36"/>
      <c r="M2601" s="38"/>
      <c r="N2601" s="38"/>
      <c r="O2601" s="37"/>
      <c r="P2601" s="37"/>
      <c r="Q2601" s="39"/>
      <c r="R2601" s="39"/>
      <c r="S2601" s="39"/>
      <c r="T2601" s="39"/>
      <c r="U2601" s="40"/>
      <c r="Y2601" s="52"/>
      <c r="Z2601" s="52"/>
      <c r="AA2601" s="52"/>
      <c r="AB2601" s="28"/>
      <c r="AC2601" s="28"/>
    </row>
    <row r="2602" spans="1:29" s="27" customFormat="1" ht="24.75" customHeight="1">
      <c r="A2602" s="22"/>
      <c r="B2602" s="829" t="s">
        <v>356</v>
      </c>
      <c r="C2602" s="501" t="s">
        <v>357</v>
      </c>
      <c r="D2602" s="502" t="s">
        <v>358</v>
      </c>
      <c r="E2602" s="502"/>
      <c r="F2602" s="502" t="s">
        <v>359</v>
      </c>
      <c r="G2602" s="503"/>
      <c r="H2602" s="803" t="s">
        <v>360</v>
      </c>
      <c r="I2602" s="831" t="s">
        <v>361</v>
      </c>
      <c r="J2602" s="803" t="s">
        <v>362</v>
      </c>
      <c r="K2602" s="803" t="s">
        <v>363</v>
      </c>
      <c r="L2602" s="803" t="s">
        <v>364</v>
      </c>
      <c r="M2602" s="803" t="s">
        <v>365</v>
      </c>
      <c r="N2602" s="804" t="s">
        <v>366</v>
      </c>
      <c r="O2602" s="805"/>
      <c r="P2602" s="806" t="s">
        <v>367</v>
      </c>
      <c r="Q2602" s="807"/>
      <c r="R2602" s="784" t="s">
        <v>368</v>
      </c>
      <c r="S2602" s="774"/>
      <c r="T2602" s="798" t="s">
        <v>369</v>
      </c>
      <c r="U2602" s="799"/>
      <c r="V2602" s="800"/>
      <c r="X2602" s="520"/>
      <c r="Y2602" s="520"/>
    </row>
    <row r="2603" spans="1:29" s="27" customFormat="1" ht="94.5" customHeight="1">
      <c r="A2603" s="22"/>
      <c r="B2603" s="830"/>
      <c r="C2603" s="504" t="s">
        <v>370</v>
      </c>
      <c r="D2603" s="505" t="s">
        <v>41</v>
      </c>
      <c r="E2603" s="505" t="s">
        <v>371</v>
      </c>
      <c r="F2603" s="505" t="s">
        <v>372</v>
      </c>
      <c r="G2603" s="506" t="s">
        <v>373</v>
      </c>
      <c r="H2603" s="793"/>
      <c r="I2603" s="832"/>
      <c r="J2603" s="793"/>
      <c r="K2603" s="793"/>
      <c r="L2603" s="793"/>
      <c r="M2603" s="793"/>
      <c r="N2603" s="504" t="s">
        <v>374</v>
      </c>
      <c r="O2603" s="505" t="s">
        <v>375</v>
      </c>
      <c r="P2603" s="801"/>
      <c r="Q2603" s="802"/>
      <c r="R2603" s="796"/>
      <c r="S2603" s="797"/>
      <c r="T2603" s="507" t="s">
        <v>376</v>
      </c>
      <c r="U2603" s="508" t="s">
        <v>377</v>
      </c>
      <c r="V2603" s="509" t="s">
        <v>378</v>
      </c>
      <c r="X2603" s="521" t="s">
        <v>379</v>
      </c>
      <c r="Y2603" s="521" t="s">
        <v>380</v>
      </c>
    </row>
    <row r="2604" spans="1:29" s="27" customFormat="1" ht="15" customHeight="1">
      <c r="A2604" s="22"/>
      <c r="B2604" s="594"/>
      <c r="C2604" s="595">
        <v>3</v>
      </c>
      <c r="D2604" s="595">
        <v>4</v>
      </c>
      <c r="E2604" s="595">
        <v>5</v>
      </c>
      <c r="F2604" s="595">
        <v>6</v>
      </c>
      <c r="G2604" s="595">
        <v>7</v>
      </c>
      <c r="H2604" s="595">
        <v>8</v>
      </c>
      <c r="I2604" s="595">
        <v>9</v>
      </c>
      <c r="J2604" s="595">
        <v>10</v>
      </c>
      <c r="K2604" s="595">
        <v>11</v>
      </c>
      <c r="L2604" s="595">
        <v>12</v>
      </c>
      <c r="M2604" s="595">
        <v>13</v>
      </c>
      <c r="N2604" s="595">
        <v>14</v>
      </c>
      <c r="O2604" s="595">
        <v>15</v>
      </c>
      <c r="P2604" s="596">
        <v>16</v>
      </c>
      <c r="Q2604" s="597">
        <v>17</v>
      </c>
      <c r="R2604" s="596">
        <v>18</v>
      </c>
      <c r="S2604" s="597">
        <v>19</v>
      </c>
      <c r="T2604" s="598">
        <v>20</v>
      </c>
      <c r="U2604" s="255">
        <v>21</v>
      </c>
      <c r="V2604" s="599">
        <v>22</v>
      </c>
      <c r="X2604" s="589"/>
      <c r="Y2604" s="590"/>
    </row>
    <row r="2605" spans="1:29" s="44" customFormat="1" ht="41.25" customHeight="1">
      <c r="A2605" s="42" t="str">
        <f>"A"&amp;E2601</f>
        <v>A87</v>
      </c>
      <c r="B2605" s="605">
        <f>IF(C2605&lt;&gt;"",B2604+1,"")</f>
        <v>1</v>
      </c>
      <c r="C2605" s="581" t="s">
        <v>1072</v>
      </c>
      <c r="D2605" s="581" t="s">
        <v>1073</v>
      </c>
      <c r="E2605" s="581" t="s">
        <v>1074</v>
      </c>
      <c r="F2605" s="581" t="s">
        <v>384</v>
      </c>
      <c r="G2605" s="534">
        <v>1</v>
      </c>
      <c r="H2605" s="534" t="s">
        <v>385</v>
      </c>
      <c r="I2605" s="579">
        <v>1</v>
      </c>
      <c r="J2605" s="580" t="str">
        <f>IF(I2605="","",IF(I2605="I",$F2601,VLOOKUP(I2605,$C2622:$D2627,2,0)))</f>
        <v>DESARROLLO, TECNOLOGÍA Y PLANEACIÓN SC</v>
      </c>
      <c r="K2605" s="535">
        <v>41827</v>
      </c>
      <c r="L2605" s="535">
        <v>42003</v>
      </c>
      <c r="M2605" s="536">
        <v>1574.79</v>
      </c>
      <c r="N2605" s="232">
        <f t="shared" ref="N2605:N2614" si="522">IF(OR(G2605="",M2605=""),"",M2605*G2605)</f>
        <v>1574.79</v>
      </c>
      <c r="O2605" s="260">
        <f t="shared" ref="O2605:O2614" si="523">IF(OR(H2605="",H2605="NO",K2605&lt;$Q$17,K2605&gt;$R$17,K2605="",M2605="",N2605=""),"",ROUND(N2605,7))</f>
        <v>1574.79</v>
      </c>
      <c r="P2605" s="781"/>
      <c r="Q2605" s="782"/>
      <c r="R2605" s="767"/>
      <c r="S2605" s="768"/>
      <c r="T2605" s="538" t="s">
        <v>385</v>
      </c>
      <c r="U2605" s="539">
        <v>14</v>
      </c>
      <c r="V2605" s="540" t="s">
        <v>385</v>
      </c>
      <c r="X2605" s="541" t="s">
        <v>449</v>
      </c>
      <c r="Y2605" s="541" t="s">
        <v>439</v>
      </c>
    </row>
    <row r="2606" spans="1:29" s="44" customFormat="1" ht="24.95" customHeight="1">
      <c r="A2606" s="42" t="str">
        <f>"B"&amp;E2601</f>
        <v>B87</v>
      </c>
      <c r="B2606" s="605">
        <f t="shared" ref="B2606:B2614" si="524">IF(C2606&lt;&gt;"",B2605+1,"")</f>
        <v>2</v>
      </c>
      <c r="C2606" s="581" t="s">
        <v>1075</v>
      </c>
      <c r="D2606" s="581" t="s">
        <v>1076</v>
      </c>
      <c r="E2606" s="581" t="s">
        <v>1077</v>
      </c>
      <c r="F2606" s="581" t="s">
        <v>431</v>
      </c>
      <c r="G2606" s="534">
        <v>0.5</v>
      </c>
      <c r="H2606" s="534" t="s">
        <v>385</v>
      </c>
      <c r="I2606" s="579">
        <v>2</v>
      </c>
      <c r="J2606" s="580" t="str">
        <f>IF(I2606="","",IF(I2606="I",$F2601,VLOOKUP(I2606,$C2622:$D2627,2,0)))</f>
        <v>ARMANDO JOSE RIVERO GALVIS</v>
      </c>
      <c r="K2606" s="535">
        <v>39015</v>
      </c>
      <c r="L2606" s="535">
        <v>39350</v>
      </c>
      <c r="M2606" s="536">
        <v>867.46</v>
      </c>
      <c r="N2606" s="232">
        <f t="shared" si="522"/>
        <v>433.73</v>
      </c>
      <c r="O2606" s="260">
        <f t="shared" si="523"/>
        <v>433.73</v>
      </c>
      <c r="P2606" s="781"/>
      <c r="Q2606" s="782"/>
      <c r="R2606" s="767"/>
      <c r="S2606" s="768"/>
      <c r="T2606" s="538" t="s">
        <v>385</v>
      </c>
      <c r="U2606" s="539">
        <v>1</v>
      </c>
      <c r="V2606" s="540" t="s">
        <v>385</v>
      </c>
      <c r="X2606" s="541" t="s">
        <v>423</v>
      </c>
      <c r="Y2606" s="541" t="s">
        <v>387</v>
      </c>
    </row>
    <row r="2607" spans="1:29" s="44" customFormat="1" ht="27" customHeight="1">
      <c r="A2607" s="42" t="str">
        <f>"C"&amp;E2601</f>
        <v>C87</v>
      </c>
      <c r="B2607" s="605">
        <f t="shared" si="524"/>
        <v>3</v>
      </c>
      <c r="C2607" s="581" t="s">
        <v>1075</v>
      </c>
      <c r="D2607" s="581" t="s">
        <v>1078</v>
      </c>
      <c r="E2607" s="581" t="s">
        <v>1079</v>
      </c>
      <c r="F2607" s="581" t="s">
        <v>431</v>
      </c>
      <c r="G2607" s="534">
        <v>0.5</v>
      </c>
      <c r="H2607" s="534" t="s">
        <v>385</v>
      </c>
      <c r="I2607" s="579">
        <v>2</v>
      </c>
      <c r="J2607" s="580" t="str">
        <f>IF(I2607="","",IF(I2607="I",$F2601,VLOOKUP(I2607,$C2622:$D2627,2,0)))</f>
        <v>ARMANDO JOSE RIVERO GALVIS</v>
      </c>
      <c r="K2607" s="535">
        <v>38975</v>
      </c>
      <c r="L2607" s="535">
        <v>39110</v>
      </c>
      <c r="M2607" s="536">
        <v>462.18</v>
      </c>
      <c r="N2607" s="232">
        <f t="shared" si="522"/>
        <v>231.09</v>
      </c>
      <c r="O2607" s="260">
        <f t="shared" si="523"/>
        <v>231.09</v>
      </c>
      <c r="P2607" s="781"/>
      <c r="Q2607" s="782"/>
      <c r="R2607" s="767"/>
      <c r="S2607" s="768"/>
      <c r="T2607" s="538" t="s">
        <v>385</v>
      </c>
      <c r="U2607" s="539">
        <v>2</v>
      </c>
      <c r="V2607" s="540" t="s">
        <v>385</v>
      </c>
      <c r="X2607" s="541" t="s">
        <v>423</v>
      </c>
      <c r="Y2607" s="541" t="s">
        <v>435</v>
      </c>
    </row>
    <row r="2608" spans="1:29" s="44" customFormat="1" ht="24.95" customHeight="1">
      <c r="A2608" s="42" t="str">
        <f>"D"&amp;E2601</f>
        <v>D87</v>
      </c>
      <c r="B2608" s="605" t="str">
        <f t="shared" si="524"/>
        <v/>
      </c>
      <c r="C2608" s="581"/>
      <c r="D2608" s="581"/>
      <c r="E2608" s="581"/>
      <c r="F2608" s="581"/>
      <c r="G2608" s="534"/>
      <c r="H2608" s="534"/>
      <c r="I2608" s="579"/>
      <c r="J2608" s="580" t="str">
        <f>IF(I2608="","",IF(I2608="I",$F2601,VLOOKUP(I2608,$C2622:$D2627,2,0)))</f>
        <v/>
      </c>
      <c r="K2608" s="535"/>
      <c r="L2608" s="535"/>
      <c r="M2608" s="536"/>
      <c r="N2608" s="232" t="str">
        <f t="shared" si="522"/>
        <v/>
      </c>
      <c r="O2608" s="260" t="str">
        <f t="shared" si="523"/>
        <v/>
      </c>
      <c r="P2608" s="781"/>
      <c r="Q2608" s="782"/>
      <c r="R2608" s="767"/>
      <c r="S2608" s="768"/>
      <c r="T2608" s="538"/>
      <c r="U2608" s="539"/>
      <c r="V2608" s="540"/>
      <c r="X2608" s="541"/>
      <c r="Y2608" s="541"/>
    </row>
    <row r="2609" spans="1:29" s="44" customFormat="1" ht="24.95" customHeight="1">
      <c r="A2609" s="42" t="str">
        <f>"E"&amp;E2601</f>
        <v>E87</v>
      </c>
      <c r="B2609" s="605" t="str">
        <f t="shared" si="524"/>
        <v/>
      </c>
      <c r="C2609" s="581"/>
      <c r="D2609" s="581"/>
      <c r="E2609" s="581"/>
      <c r="F2609" s="581"/>
      <c r="G2609" s="534"/>
      <c r="H2609" s="534"/>
      <c r="I2609" s="579"/>
      <c r="J2609" s="580" t="str">
        <f>IF(I2609="","",IF(I2609="I",$F2601,VLOOKUP(I2609,$C2622:$D2627,2,0)))</f>
        <v/>
      </c>
      <c r="K2609" s="535"/>
      <c r="L2609" s="535"/>
      <c r="M2609" s="536"/>
      <c r="N2609" s="232" t="str">
        <f t="shared" si="522"/>
        <v/>
      </c>
      <c r="O2609" s="260" t="str">
        <f t="shared" si="523"/>
        <v/>
      </c>
      <c r="P2609" s="781"/>
      <c r="Q2609" s="782"/>
      <c r="R2609" s="767"/>
      <c r="S2609" s="768"/>
      <c r="T2609" s="538"/>
      <c r="U2609" s="539"/>
      <c r="V2609" s="540"/>
      <c r="X2609" s="541"/>
      <c r="Y2609" s="541"/>
    </row>
    <row r="2610" spans="1:29" s="44" customFormat="1" ht="24.95" customHeight="1">
      <c r="A2610" s="42" t="str">
        <f>"F"&amp;E2601</f>
        <v>F87</v>
      </c>
      <c r="B2610" s="605" t="str">
        <f t="shared" si="524"/>
        <v/>
      </c>
      <c r="C2610" s="581"/>
      <c r="D2610" s="581"/>
      <c r="E2610" s="581"/>
      <c r="F2610" s="581"/>
      <c r="G2610" s="534"/>
      <c r="H2610" s="534"/>
      <c r="I2610" s="579"/>
      <c r="J2610" s="580" t="str">
        <f>IF(I2610="","",IF(I2610="I",$F2601,VLOOKUP(I2610,$C2622:$D2627,2,0)))</f>
        <v/>
      </c>
      <c r="K2610" s="535"/>
      <c r="L2610" s="535"/>
      <c r="M2610" s="536"/>
      <c r="N2610" s="232" t="str">
        <f t="shared" si="522"/>
        <v/>
      </c>
      <c r="O2610" s="260" t="str">
        <f t="shared" si="523"/>
        <v/>
      </c>
      <c r="P2610" s="781"/>
      <c r="Q2610" s="782"/>
      <c r="R2610" s="767"/>
      <c r="S2610" s="768"/>
      <c r="T2610" s="538"/>
      <c r="U2610" s="539"/>
      <c r="V2610" s="540"/>
      <c r="X2610" s="541"/>
      <c r="Y2610" s="541"/>
    </row>
    <row r="2611" spans="1:29" s="44" customFormat="1" ht="24.95" customHeight="1">
      <c r="A2611" s="42" t="str">
        <f>"G"&amp;E2601</f>
        <v>G87</v>
      </c>
      <c r="B2611" s="605" t="str">
        <f t="shared" si="524"/>
        <v/>
      </c>
      <c r="C2611" s="581"/>
      <c r="D2611" s="581"/>
      <c r="E2611" s="581"/>
      <c r="F2611" s="581"/>
      <c r="G2611" s="534"/>
      <c r="H2611" s="534"/>
      <c r="I2611" s="579"/>
      <c r="J2611" s="580" t="str">
        <f>IF(I2611="","",IF(I2611="I",$F2601,VLOOKUP(I2611,$C2622:$D2627,2,0)))</f>
        <v/>
      </c>
      <c r="K2611" s="535"/>
      <c r="L2611" s="535"/>
      <c r="M2611" s="536"/>
      <c r="N2611" s="43" t="str">
        <f t="shared" si="522"/>
        <v/>
      </c>
      <c r="O2611" s="260" t="str">
        <f t="shared" si="523"/>
        <v/>
      </c>
      <c r="P2611" s="781"/>
      <c r="Q2611" s="782"/>
      <c r="R2611" s="767"/>
      <c r="S2611" s="768"/>
      <c r="T2611" s="538"/>
      <c r="U2611" s="539"/>
      <c r="V2611" s="540"/>
      <c r="X2611" s="541"/>
      <c r="Y2611" s="541"/>
    </row>
    <row r="2612" spans="1:29" s="44" customFormat="1" ht="24.95" customHeight="1">
      <c r="A2612" s="42" t="str">
        <f>"H"&amp;E2601</f>
        <v>H87</v>
      </c>
      <c r="B2612" s="605" t="str">
        <f t="shared" si="524"/>
        <v/>
      </c>
      <c r="C2612" s="581"/>
      <c r="D2612" s="581"/>
      <c r="E2612" s="581"/>
      <c r="F2612" s="581"/>
      <c r="G2612" s="534"/>
      <c r="H2612" s="534"/>
      <c r="I2612" s="579"/>
      <c r="J2612" s="580" t="str">
        <f>IF(I2612="","",IF(I2612="I",$F2601,VLOOKUP(I2612,$C2622:$D2627,2,0)))</f>
        <v/>
      </c>
      <c r="K2612" s="535"/>
      <c r="L2612" s="535"/>
      <c r="M2612" s="537"/>
      <c r="N2612" s="43" t="str">
        <f t="shared" si="522"/>
        <v/>
      </c>
      <c r="O2612" s="260" t="str">
        <f t="shared" si="523"/>
        <v/>
      </c>
      <c r="P2612" s="781"/>
      <c r="Q2612" s="782"/>
      <c r="R2612" s="767"/>
      <c r="S2612" s="768"/>
      <c r="T2612" s="538"/>
      <c r="U2612" s="539"/>
      <c r="V2612" s="540"/>
      <c r="X2612" s="541"/>
      <c r="Y2612" s="541"/>
    </row>
    <row r="2613" spans="1:29" s="44" customFormat="1" ht="24.95" customHeight="1">
      <c r="A2613" s="42" t="str">
        <f>"I"&amp;E2601</f>
        <v>I87</v>
      </c>
      <c r="B2613" s="605" t="str">
        <f t="shared" si="524"/>
        <v/>
      </c>
      <c r="C2613" s="581"/>
      <c r="D2613" s="581"/>
      <c r="E2613" s="581"/>
      <c r="F2613" s="581"/>
      <c r="G2613" s="534"/>
      <c r="H2613" s="534"/>
      <c r="I2613" s="579"/>
      <c r="J2613" s="580" t="str">
        <f>IF(I2613="","",IF(I2613="I",$F2601,VLOOKUP(I2613,$C2622:$D2627,2,0)))</f>
        <v/>
      </c>
      <c r="K2613" s="535"/>
      <c r="L2613" s="535"/>
      <c r="M2613" s="537"/>
      <c r="N2613" s="43" t="str">
        <f t="shared" si="522"/>
        <v/>
      </c>
      <c r="O2613" s="260" t="str">
        <f t="shared" si="523"/>
        <v/>
      </c>
      <c r="P2613" s="781"/>
      <c r="Q2613" s="782"/>
      <c r="R2613" s="767"/>
      <c r="S2613" s="768"/>
      <c r="T2613" s="538"/>
      <c r="U2613" s="539"/>
      <c r="V2613" s="540"/>
      <c r="X2613" s="541"/>
      <c r="Y2613" s="541"/>
    </row>
    <row r="2614" spans="1:29" s="44" customFormat="1" ht="24.95" customHeight="1" thickBot="1">
      <c r="A2614" s="42" t="str">
        <f>"J"&amp;E2601</f>
        <v>J87</v>
      </c>
      <c r="B2614" s="612" t="str">
        <f t="shared" si="524"/>
        <v/>
      </c>
      <c r="C2614" s="582"/>
      <c r="D2614" s="582"/>
      <c r="E2614" s="582"/>
      <c r="F2614" s="582"/>
      <c r="G2614" s="583"/>
      <c r="H2614" s="583"/>
      <c r="I2614" s="584"/>
      <c r="J2614" s="585" t="str">
        <f>IF(I2614="","",IF(I2614="I",$F2601,VLOOKUP(I2614,$C2622:$D2627,2,0)))</f>
        <v/>
      </c>
      <c r="K2614" s="586"/>
      <c r="L2614" s="586"/>
      <c r="M2614" s="587"/>
      <c r="N2614" s="43" t="str">
        <f t="shared" si="522"/>
        <v/>
      </c>
      <c r="O2614" s="260" t="str">
        <f t="shared" si="523"/>
        <v/>
      </c>
      <c r="P2614" s="781"/>
      <c r="Q2614" s="782"/>
      <c r="R2614" s="767"/>
      <c r="S2614" s="768"/>
      <c r="T2614" s="538"/>
      <c r="U2614" s="539"/>
      <c r="V2614" s="540"/>
      <c r="X2614" s="541"/>
      <c r="Y2614" s="541"/>
    </row>
    <row r="2615" spans="1:29" s="27" customFormat="1" ht="12" customHeight="1" thickBot="1">
      <c r="A2615" s="42"/>
      <c r="B2615" s="45"/>
      <c r="C2615" s="46"/>
      <c r="D2615" s="46"/>
      <c r="E2615" s="46"/>
      <c r="F2615" s="46"/>
      <c r="G2615" s="46"/>
      <c r="H2615" s="606"/>
      <c r="I2615" s="46"/>
      <c r="J2615" s="46"/>
      <c r="K2615" s="46"/>
      <c r="L2615" s="46"/>
      <c r="M2615" s="46"/>
      <c r="N2615" s="46"/>
      <c r="O2615" s="259"/>
      <c r="P2615" s="46"/>
      <c r="Q2615" s="46"/>
      <c r="R2615" s="259"/>
      <c r="S2615" s="46"/>
      <c r="T2615" s="46"/>
      <c r="U2615" s="47"/>
      <c r="V2615" s="48"/>
      <c r="X2615" s="592"/>
      <c r="Y2615" s="593"/>
      <c r="AB2615" s="378"/>
    </row>
    <row r="2616" spans="1:29" s="27" customFormat="1" ht="17.25" customHeight="1" thickBot="1">
      <c r="A2616" s="42" t="str">
        <f>"Z"&amp;E2601</f>
        <v>Z87</v>
      </c>
      <c r="B2616" s="510"/>
      <c r="C2616" s="511"/>
      <c r="D2616" s="511"/>
      <c r="E2616" s="511"/>
      <c r="F2616" s="511"/>
      <c r="G2616" s="511"/>
      <c r="H2616" s="511"/>
      <c r="I2616" s="511"/>
      <c r="J2616" s="511"/>
      <c r="K2616" s="511"/>
      <c r="L2616" s="511"/>
      <c r="M2616" s="511"/>
      <c r="N2616" s="437" t="s">
        <v>388</v>
      </c>
      <c r="O2616" s="438">
        <f>IF(COUNTIF(O2605:O2614,"")&gt;9,0,SUM(O2605:O2614)/(COUNTIF(H2605:H2614,"SI")))</f>
        <v>746.53666666666675</v>
      </c>
      <c r="P2616" s="511"/>
      <c r="Q2616" s="511"/>
      <c r="R2616" s="530"/>
      <c r="S2616" s="530"/>
      <c r="T2616" s="531"/>
      <c r="U2616" s="532"/>
      <c r="V2616" s="533"/>
      <c r="W2616" s="285"/>
      <c r="X2616" s="613" t="e">
        <f>COUNTIF(#REF!,"")-COUNTIF(#REF!,"CUMPLE")-1</f>
        <v>#REF!</v>
      </c>
      <c r="Y2616" s="591"/>
      <c r="AB2616" s="28"/>
    </row>
    <row r="2617" spans="1:29" ht="17.25" customHeight="1">
      <c r="B2617" s="50"/>
      <c r="C2617" s="50"/>
      <c r="D2617" s="50"/>
      <c r="E2617" s="50"/>
      <c r="F2617" s="50"/>
      <c r="G2617" s="51"/>
      <c r="H2617" s="51"/>
      <c r="I2617" s="51"/>
      <c r="J2617" s="51"/>
      <c r="K2617" s="51"/>
      <c r="L2617" s="51"/>
      <c r="M2617" s="51"/>
      <c r="N2617" s="51"/>
      <c r="O2617" s="51"/>
      <c r="P2617" s="51"/>
      <c r="Q2617" s="51"/>
      <c r="R2617" s="51"/>
      <c r="S2617" s="51"/>
      <c r="T2617" s="51"/>
      <c r="U2617" s="51"/>
      <c r="V2617" s="51"/>
      <c r="W2617" s="51"/>
      <c r="X2617" s="608"/>
      <c r="Y2617" s="51"/>
      <c r="Z2617" s="51"/>
      <c r="AA2617" s="51"/>
      <c r="AB2617" s="51"/>
      <c r="AC2617" s="50"/>
    </row>
    <row r="2618" spans="1:29" s="27" customFormat="1" ht="16.5" customHeight="1" thickBot="1">
      <c r="A2618" s="22"/>
      <c r="B2618" s="783" t="s">
        <v>389</v>
      </c>
      <c r="C2618" s="783"/>
      <c r="D2618" s="783"/>
      <c r="E2618" s="783"/>
      <c r="F2618" s="783"/>
      <c r="G2618" s="783"/>
      <c r="H2618" s="783"/>
      <c r="I2618" s="783"/>
      <c r="J2618" s="783"/>
      <c r="K2618" s="783"/>
      <c r="L2618" s="783"/>
      <c r="M2618" s="783"/>
      <c r="N2618" s="783"/>
      <c r="O2618" s="783"/>
      <c r="P2618" s="783"/>
      <c r="Q2618" s="783"/>
      <c r="R2618" s="783"/>
      <c r="S2618" s="783"/>
      <c r="T2618" s="783"/>
      <c r="U2618" s="783"/>
      <c r="V2618" s="783"/>
      <c r="W2618" s="286"/>
      <c r="X2618" s="607"/>
      <c r="Y2618" s="52"/>
      <c r="Z2618" s="52"/>
      <c r="AA2618" s="52"/>
      <c r="AB2618" s="28"/>
      <c r="AC2618" s="28"/>
    </row>
    <row r="2619" spans="1:29" s="30" customFormat="1" ht="22.5" customHeight="1">
      <c r="A2619" s="112" t="str">
        <f>"K"&amp;E2601</f>
        <v>K87</v>
      </c>
      <c r="B2619" s="790" t="s">
        <v>390</v>
      </c>
      <c r="C2619" s="772" t="s">
        <v>391</v>
      </c>
      <c r="D2619" s="773"/>
      <c r="E2619" s="773"/>
      <c r="F2619" s="773"/>
      <c r="G2619" s="773"/>
      <c r="H2619" s="773"/>
      <c r="I2619" s="773"/>
      <c r="J2619" s="773"/>
      <c r="K2619" s="773"/>
      <c r="L2619" s="773"/>
      <c r="M2619" s="774"/>
      <c r="N2619" s="525"/>
      <c r="O2619" s="588"/>
      <c r="P2619" s="772" t="s">
        <v>392</v>
      </c>
      <c r="Q2619" s="773"/>
      <c r="R2619" s="773"/>
      <c r="S2619" s="774"/>
      <c r="T2619" s="784" t="s">
        <v>393</v>
      </c>
      <c r="U2619" s="774"/>
      <c r="V2619" s="811"/>
      <c r="W2619" s="284"/>
      <c r="X2619" s="778" t="s">
        <v>394</v>
      </c>
      <c r="Y2619" s="779"/>
      <c r="Z2619" s="779"/>
      <c r="AA2619" s="779" t="s">
        <v>395</v>
      </c>
      <c r="AB2619" s="808" t="s">
        <v>396</v>
      </c>
      <c r="AC2619" s="28"/>
    </row>
    <row r="2620" spans="1:29" s="30" customFormat="1" ht="22.5" customHeight="1">
      <c r="A2620" s="112" t="str">
        <f>"L"&amp;E2601</f>
        <v>L87</v>
      </c>
      <c r="B2620" s="791"/>
      <c r="C2620" s="769" t="s">
        <v>397</v>
      </c>
      <c r="D2620" s="770"/>
      <c r="E2620" s="771"/>
      <c r="F2620" s="512">
        <f>IF(VLOOKUP(E2601,PROPONENTES!$C$19:$E$108,3,0)="","",VLOOKUP(E2601,PROPONENTES!$C$19:$E$108,3,0))</f>
        <v>2</v>
      </c>
      <c r="G2620" s="824" t="s">
        <v>398</v>
      </c>
      <c r="H2620" s="793" t="s">
        <v>399</v>
      </c>
      <c r="I2620" s="793"/>
      <c r="J2620" s="769" t="s">
        <v>400</v>
      </c>
      <c r="K2620" s="823"/>
      <c r="L2620" s="513" t="s">
        <v>401</v>
      </c>
      <c r="M2620" s="513"/>
      <c r="N2620" s="526"/>
      <c r="O2620" s="527"/>
      <c r="P2620" s="775"/>
      <c r="Q2620" s="776"/>
      <c r="R2620" s="776"/>
      <c r="S2620" s="777"/>
      <c r="T2620" s="796"/>
      <c r="U2620" s="797"/>
      <c r="V2620" s="812"/>
      <c r="W2620" s="284"/>
      <c r="X2620" s="780" t="s">
        <v>402</v>
      </c>
      <c r="Y2620" s="810" t="s">
        <v>403</v>
      </c>
      <c r="Z2620" s="810"/>
      <c r="AA2620" s="810"/>
      <c r="AB2620" s="809"/>
      <c r="AC2620" s="28"/>
    </row>
    <row r="2621" spans="1:29" s="30" customFormat="1" ht="51.75" customHeight="1" thickBot="1">
      <c r="A2621" s="112" t="str">
        <f>"M"&amp;E2601</f>
        <v>M87</v>
      </c>
      <c r="B2621" s="791"/>
      <c r="C2621" s="770" t="s">
        <v>404</v>
      </c>
      <c r="D2621" s="771"/>
      <c r="E2621" s="514" t="s">
        <v>405</v>
      </c>
      <c r="F2621" s="515" t="s">
        <v>406</v>
      </c>
      <c r="G2621" s="824"/>
      <c r="H2621" s="793"/>
      <c r="I2621" s="793"/>
      <c r="J2621" s="504" t="s">
        <v>407</v>
      </c>
      <c r="K2621" s="516" t="s">
        <v>408</v>
      </c>
      <c r="L2621" s="517" t="s">
        <v>409</v>
      </c>
      <c r="M2621" s="517"/>
      <c r="N2621" s="528" t="s">
        <v>410</v>
      </c>
      <c r="O2621" s="529"/>
      <c r="P2621" s="386"/>
      <c r="Q2621" s="387" t="s">
        <v>411</v>
      </c>
      <c r="R2621" s="388"/>
      <c r="S2621" s="113">
        <f>COUNTIFS(H2605:H2614,"SI",O2605:O2614,"&gt;0")</f>
        <v>3</v>
      </c>
      <c r="T2621" s="785"/>
      <c r="U2621" s="787"/>
      <c r="V2621" s="813"/>
      <c r="W2621" s="284"/>
      <c r="X2621" s="780"/>
      <c r="Y2621" s="810"/>
      <c r="Z2621" s="810"/>
      <c r="AA2621" s="810"/>
      <c r="AB2621" s="809"/>
      <c r="AC2621" s="28"/>
    </row>
    <row r="2622" spans="1:29" s="30" customFormat="1" ht="26.25" customHeight="1">
      <c r="A2622" s="112" t="str">
        <f>"N"&amp;E2601</f>
        <v>N87</v>
      </c>
      <c r="B2622" s="791"/>
      <c r="C2622" s="54">
        <v>1</v>
      </c>
      <c r="D2622" s="100" t="str">
        <f>IF(AND(C2622&lt;=F2620,F2620&gt;1,F2620&lt;&gt;""),VLOOKUP(VALUE(E2601&amp;","&amp;C2622),INTEGRANTES!$D$19:$F$192,2,0),"")</f>
        <v>DESARROLLO, TECNOLOGÍA Y PLANEACIÓN SC</v>
      </c>
      <c r="E2622" s="107">
        <f>IF(D2622&lt;&gt;"",VLOOKUP(VALUE(E2601&amp;","&amp;C2622),INTEGRANTES!$D$19:$F$192,3,0),"")</f>
        <v>0.5</v>
      </c>
      <c r="F2622" s="380">
        <f>IF(D2622="","",IF(OR(SUMIF($J2605:$J2614,D2622,$O2605:$O2614)=0,N2622="NO"),"NO APORTA",SUMIF($J2605:$J2614,D2622,$O2605:$O2614)))</f>
        <v>1574.79</v>
      </c>
      <c r="G2622" s="380">
        <f ca="1">IF($D2622="","",IF($F2620&lt;=1,"",ROUND(POSMMLV*PORPO,2)))</f>
        <v>150</v>
      </c>
      <c r="H2622" s="765" t="str">
        <f ca="1">IF($D2622="","",IF(OR(F2622="NO APORTA",G2622&gt;F2622),"NO CUMPLE","CUMPLE"))</f>
        <v>CUMPLE</v>
      </c>
      <c r="I2622" s="766"/>
      <c r="J2622" s="108" t="str">
        <f ca="1">IF(D2622="","",IF(OR(AND(SUMIF($J2605:$J2614,D2622,$O2605:$O2614)&gt;=5%*POSMMLV,N2622="SI"),AND(SUMIF($J2605:$J2614,D2622,$O2605:$O2614)=0,E2622&lt;=5%,N2622="SI")),"CUMPLE","NO CUMPLE"))</f>
        <v>CUMPLE</v>
      </c>
      <c r="K2622" s="105" t="str">
        <f ca="1">IF(OR(D2622="",J2622=""),"",IF(AND(J2622="NO CUMPLE",F2622="NO APORTA",E2622&gt;5%),"EXP = 0 y PART &gt; 5%",IF(F2622&lt;5%*Q2627,"EXP &lt; 5%*PO","")))</f>
        <v/>
      </c>
      <c r="L2622" s="389" t="str">
        <f>IF(OR(D2622="",E2622=""),"",IF(AND(E2622&gt;=0.25,F2622&lt;&gt;"NO APORTA",F2622&gt;=$R2627*0.25),"SI","NO"))</f>
        <v>SI</v>
      </c>
      <c r="M2622" s="389"/>
      <c r="N2622" s="468" t="s">
        <v>385</v>
      </c>
      <c r="O2622" s="396">
        <f>COUNTIFS(O2605:O2614,"&gt;0",H2605:H2614,"SI")</f>
        <v>3</v>
      </c>
      <c r="P2622" s="814" t="s">
        <v>139</v>
      </c>
      <c r="Q2622" s="814"/>
      <c r="R2622" s="817">
        <f>E2601</f>
        <v>87</v>
      </c>
      <c r="S2622" s="818"/>
      <c r="T2622" s="784" t="s">
        <v>412</v>
      </c>
      <c r="U2622" s="773"/>
      <c r="V2622" s="774"/>
      <c r="W2622" s="283"/>
      <c r="X2622" s="542" t="str">
        <f>IF($F2620=1,"NO APLICA",$D2622)</f>
        <v>DESARROLLO, TECNOLOGÍA Y PLANEACIÓN SC</v>
      </c>
      <c r="Y2622" s="543">
        <f ca="1">IF(OR($F2622="",$F2622="NO APORTA",$R2627=0,$X2622="NO APLICA"),"",ROUND($F2622/$Q2627,2))</f>
        <v>5.25</v>
      </c>
      <c r="Z2622" s="544" t="str">
        <f ca="1">IF(Y2628=1,"SI APLICA",IF(OR($X2622="",$X2622="NO APLICA",$F2622="",$F2622="NO APORTA"),"",IF(ROUND($F2622/Q2627,7)&gt;=0.4,"SI APLICA","NO APLICA")))</f>
        <v>SI APLICA</v>
      </c>
      <c r="AA2622" s="543" t="s">
        <v>516</v>
      </c>
      <c r="AB2622" s="540" t="str">
        <f ca="1">IF(COUNTIF(Z2622:AA2622,"SI APLICA")=2,"SI APLICA","")</f>
        <v/>
      </c>
      <c r="AC2622" s="28"/>
    </row>
    <row r="2623" spans="1:29" s="30" customFormat="1" ht="23.25" customHeight="1" thickBot="1">
      <c r="A2623" s="112" t="str">
        <f>"O"&amp;E2601</f>
        <v>O87</v>
      </c>
      <c r="B2623" s="791"/>
      <c r="C2623" s="54">
        <v>2</v>
      </c>
      <c r="D2623" s="100" t="str">
        <f>IF(AND(C2623&lt;=F2620,F2620&lt;&gt;""),VLOOKUP(VALUE(E2601&amp;","&amp;C2623),INTEGRANTES!$D$19:$F$192,2,0),"")</f>
        <v>ARMANDO JOSE RIVERO GALVIS</v>
      </c>
      <c r="E2623" s="107">
        <f>IF(D2623&lt;&gt;"",VLOOKUP(VALUE(E2601&amp;","&amp;C2623),INTEGRANTES!$D$19:$F$192,3,0),"")</f>
        <v>0.5</v>
      </c>
      <c r="F2623" s="380">
        <f>IF(D2623="","",IF(OR(SUMIF($J2605:$J2614,D2623,$O2605:$O2614)=0,N2623="NO"),"NO APORTA",SUMIF($J2605:$J2614,D2623,$O2605:$O2614)))</f>
        <v>664.82</v>
      </c>
      <c r="G2623" s="380">
        <f ca="1">IF($D2623="","",IF($F2620&lt;=1,"",ROUND(POSMMLV*PORPO,2)))</f>
        <v>150</v>
      </c>
      <c r="H2623" s="765" t="str">
        <f t="shared" ref="H2623:H2626" ca="1" si="525">IF($D2623="","",IF(OR(F2623="NO APORTA",G2623&gt;F2623),"NO CUMPLE","CUMPLE"))</f>
        <v>CUMPLE</v>
      </c>
      <c r="I2623" s="766"/>
      <c r="J2623" s="108" t="str">
        <f ca="1">IF(D2623="","",IF(OR(AND(SUMIF($J2605:$J2614,D2623,$O2605:$O2614)&gt;=5%*POSMMLV,N2623="SI"),AND(SUMIF($J2605:$J2614,D2623,$O2605:$O2614)=0,E2623&lt;=5%,N2623="SI")),"CUMPLE","NO CUMPLE"))</f>
        <v>CUMPLE</v>
      </c>
      <c r="K2623" s="105" t="str">
        <f ca="1">IF(OR(D2623="",J2623=""),"",IF(AND(J2623="NO CUMPLE",F2623="NO APORTA",E2623&gt;5%),"EXP = 0 y PART &gt; 5%",IF(F2623&lt;5%*Q2627,"EXP &lt; 5%*PO","")))</f>
        <v/>
      </c>
      <c r="L2623" s="389" t="str">
        <f>IF(OR(D2623="",E2623=""),"",IF(AND(E2623&gt;=0.25,F2623&lt;&gt;"NO APORTA",F2623&gt;=$R2627*0.25),"SI","NO"))</f>
        <v>SI</v>
      </c>
      <c r="M2623" s="389"/>
      <c r="N2623" s="468" t="s">
        <v>385</v>
      </c>
      <c r="O2623" s="396"/>
      <c r="P2623" s="815"/>
      <c r="Q2623" s="815"/>
      <c r="R2623" s="815"/>
      <c r="S2623" s="819"/>
      <c r="T2623" s="785"/>
      <c r="U2623" s="786"/>
      <c r="V2623" s="787"/>
      <c r="W2623" s="283"/>
      <c r="X2623" s="542" t="str">
        <f>IF($F2620=1,"NO APLICA",$D2623)</f>
        <v>ARMANDO JOSE RIVERO GALVIS</v>
      </c>
      <c r="Y2623" s="543">
        <f ca="1">IF(OR($F2623="",$F2623="NO APORTA",$R2627=0,$X2623="NO APLICA"),"",ROUND($F2623/$Q2627,2))</f>
        <v>2.2200000000000002</v>
      </c>
      <c r="Z2623" s="544" t="str">
        <f ca="1">IF(Y2628=1,"SI APLICA",IF(OR($X2623="",$X2623="NO APLICA",$F2623="",$F2623="NO APORTA"),"",IF(ROUND($F2623/Q2627,7)&gt;=0.4,"SI APLICA","NO APLICA")))</f>
        <v>SI APLICA</v>
      </c>
      <c r="AA2623" s="543" t="s">
        <v>413</v>
      </c>
      <c r="AB2623" s="540" t="str">
        <f t="shared" ref="AB2623" ca="1" si="526">IF(COUNTIF(Z2623:AA2623,"SI APLICA")=2,"SI APLICA","")</f>
        <v>SI APLICA</v>
      </c>
      <c r="AC2623" s="28"/>
    </row>
    <row r="2624" spans="1:29" s="30" customFormat="1" ht="15.75" customHeight="1">
      <c r="A2624" s="112" t="str">
        <f>"P"&amp;E2601</f>
        <v>P87</v>
      </c>
      <c r="B2624" s="791"/>
      <c r="C2624" s="54">
        <v>3</v>
      </c>
      <c r="D2624" s="100" t="str">
        <f>IF(AND(C2624&lt;=F2620,F2620&lt;&gt;""),VLOOKUP(VALUE(E2601&amp;","&amp;C2624),INTEGRANTES!$D$19:$F$192,2,0),"")</f>
        <v/>
      </c>
      <c r="E2624" s="107" t="str">
        <f>IF(D2624&lt;&gt;"",VLOOKUP(VALUE(E2601&amp;","&amp;C2624),INTEGRANTES!$D$19:$F$192,3,0),"")</f>
        <v/>
      </c>
      <c r="F2624" s="380" t="str">
        <f>IF(D2624="","",IF(OR(SUMIF($J2608:$J2614,D2624,$O2608:$O2614)=0,N2624="NO"),"NO APORTA",SUMIF($J2608:$J2614,D2624,$O2608:$O2614)))</f>
        <v/>
      </c>
      <c r="G2624" s="380" t="str">
        <f>IF($D2624="","",IF($F2620&lt;=1,"",ROUND(POSMMLV*PORPO,2)))</f>
        <v/>
      </c>
      <c r="H2624" s="765" t="str">
        <f t="shared" si="525"/>
        <v/>
      </c>
      <c r="I2624" s="766"/>
      <c r="J2624" s="108" t="str">
        <f>IF(D2624="","",IF(OR(AND(SUMIF($J2605:$J2614,D2624,$O2605:$O2614)&gt;=5%*POSMMLV,N2624="SI"),AND(SUMIF($J2605:$J2614,D2624,$O2605:$O2614)=0,E2624&lt;=5%,N2624="SI")),"CUMPLE","NO CUMPLE"))</f>
        <v/>
      </c>
      <c r="K2624" s="105" t="str">
        <f>IF(OR(D2624="",J2624=""),"",IF(AND(J2624="NO CUMPLE",F2624="NO APORTA",E2624&gt;5%),"EXP = 0 y PART &gt; 5%",IF(F2624&lt;5%*Q2627,"EXP &lt; 5%*PO","")))</f>
        <v/>
      </c>
      <c r="L2624" s="389" t="str">
        <f>IF(OR(D2624="",E2624=""),"",IF(AND(E2624&gt;=0.25,F2624&lt;&gt;"NO APORTA",F2624&gt;=$R2627*0.25),"SI","NO"))</f>
        <v/>
      </c>
      <c r="M2624" s="389"/>
      <c r="N2624" s="468"/>
      <c r="O2624" s="397"/>
      <c r="P2624" s="816"/>
      <c r="Q2624" s="816"/>
      <c r="R2624" s="816"/>
      <c r="S2624" s="820"/>
      <c r="T2624" s="308"/>
      <c r="U2624" s="308"/>
      <c r="V2624" s="309"/>
      <c r="W2624" s="284"/>
      <c r="X2624" s="542" t="str">
        <f>IF($F2620=1,"NO APLICA",$D2624)</f>
        <v/>
      </c>
      <c r="Y2624" s="543" t="str">
        <f>IF(OR($F2624="",$F2624="NO APORTA",$R2627=0,$X2624="NO APLICA"),"",ROUND($F2624/$Q2627,2))</f>
        <v/>
      </c>
      <c r="Z2624" s="544" t="str">
        <f>IF(Y2628=1,"SI APLICA",IF(OR($X2624="",$X2624="NO APLICA",$F2624="",$F2624="NO APORTA"),"",IF(ROUND($F2624/Q2627,7)&gt;=0.4,"SI APLICA","NO APLICA")))</f>
        <v/>
      </c>
      <c r="AA2624" s="543"/>
      <c r="AB2624" s="540" t="str">
        <f>IF(COUNTIF(Z2624:AA2624,"SI APLICA")=2,"SI APLICA","")</f>
        <v/>
      </c>
      <c r="AC2624" s="28"/>
    </row>
    <row r="2625" spans="1:29" s="30" customFormat="1" ht="15.75" customHeight="1">
      <c r="A2625" s="112" t="str">
        <f>"Q"&amp;E2601</f>
        <v>Q87</v>
      </c>
      <c r="B2625" s="791"/>
      <c r="C2625" s="54">
        <v>4</v>
      </c>
      <c r="D2625" s="100" t="str">
        <f>IF(AND(C2625&lt;=F2620,F2620&lt;&gt;""),VLOOKUP(VALUE(E2601&amp;","&amp;C2625),INTEGRANTES!$D$19:$F$192,2,0),"")</f>
        <v/>
      </c>
      <c r="E2625" s="107" t="str">
        <f>IF(D2625&lt;&gt;"",VLOOKUP(VALUE(E2601&amp;","&amp;C2625),INTEGRANTES!$D$19:$F$192,3,0),"")</f>
        <v/>
      </c>
      <c r="F2625" s="380" t="str">
        <f>IF(D2625="","",IF(OR(SUMIF($J2608:$J2614,D2625,$O2608:$O2614)=0,N2625="NO"),"NO APORTA",SUMIF($J2608:$J2614,D2625,$O2608:$O2614)))</f>
        <v/>
      </c>
      <c r="G2625" s="380" t="str">
        <f>IF($D2625="","",IF($F2620&lt;=1,"",ROUND(POSMMLV*PORPO,2)))</f>
        <v/>
      </c>
      <c r="H2625" s="765" t="str">
        <f t="shared" si="525"/>
        <v/>
      </c>
      <c r="I2625" s="766"/>
      <c r="J2625" s="108" t="str">
        <f>IF(D2625="","",IF(OR(AND(SUMIF($J2605:$J2614,D2625,$O2605:$O2614)&gt;=5%*POSMMLV,N2625="SI"),AND(SUMIF($J2605:$J2614,D2625,$O2605:$O2614)=0,E2625&lt;=5%,N2625="SI")),"CUMPLE","NO CUMPLE"))</f>
        <v/>
      </c>
      <c r="K2625" s="105" t="str">
        <f>IF(OR(D2625="",J2625=""),"",IF(AND(J2625="NO CUMPLE",F2625="NO APORTA",E2625&gt;5%),"EXP = 0 y PART &gt; 5%",IF(F2625&lt;5%*Q2627,"EXP &lt; 5%*PO","")))</f>
        <v/>
      </c>
      <c r="L2625" s="389" t="str">
        <f>IF(OR(D2625="",E2625=""),"",IF(AND(E2625&gt;=0.25,F2625&lt;&gt;"NO APORTA",F2625&gt;=$R2627*0.25),"SI","NO"))</f>
        <v/>
      </c>
      <c r="M2625" s="389"/>
      <c r="N2625" s="468"/>
      <c r="O2625" s="788" t="s">
        <v>414</v>
      </c>
      <c r="P2625" s="769" t="s">
        <v>415</v>
      </c>
      <c r="Q2625" s="770"/>
      <c r="R2625" s="770"/>
      <c r="S2625" s="771"/>
      <c r="T2625" s="284"/>
      <c r="U2625" s="284"/>
      <c r="V2625" s="310"/>
      <c r="W2625" s="284"/>
      <c r="X2625" s="542" t="str">
        <f>IF($F2620=1,"NO APLICA",$D2625)</f>
        <v/>
      </c>
      <c r="Y2625" s="543" t="str">
        <f>IF(OR($F2625="",$F2625="NO APORTA",$R2627=0,$X2625="NO APLICA"),"",ROUND($F2625/$Q2627,2))</f>
        <v/>
      </c>
      <c r="Z2625" s="544" t="str">
        <f>IF(Y2628=1,"SI APLICA",IF(OR($X2625="",$X2625="NO APLICA",$F2625="",$F2625="NO APORTA"),"",IF(ROUND($F2625/Q2627,7)&gt;=0.4,"SI APLICA","NO APLICA")))</f>
        <v/>
      </c>
      <c r="AA2625" s="543"/>
      <c r="AB2625" s="540" t="str">
        <f t="shared" ref="AB2625:AB2626" si="527">IF(COUNTIF(Z2625:AA2625,"SI APLICA")=2,"SI APLICA","")</f>
        <v/>
      </c>
      <c r="AC2625" s="28"/>
    </row>
    <row r="2626" spans="1:29" s="30" customFormat="1" ht="17.25" customHeight="1">
      <c r="A2626" s="112" t="str">
        <f>"R"&amp;E2601</f>
        <v>R87</v>
      </c>
      <c r="B2626" s="791"/>
      <c r="C2626" s="54">
        <v>5</v>
      </c>
      <c r="D2626" s="100" t="str">
        <f>IF(AND(C2626&lt;=F2620,F2620&lt;&gt;""),VLOOKUP(VALUE(E2601&amp;","&amp;C2626),INTEGRANTES!$D$19:$F$192,2,0),"")</f>
        <v/>
      </c>
      <c r="E2626" s="107" t="str">
        <f>IF(D2626&lt;&gt;"",VLOOKUP(VALUE(E2601&amp;","&amp;C2626),INTEGRANTES!$D$19:$F$192,3,0),"")</f>
        <v/>
      </c>
      <c r="F2626" s="380" t="str">
        <f>IF(D2626="","",IF(OR(SUMIF($J2608:$J2614,D2626,$O2608:$O2614)=0,N2626="NO"),"NO APORTA",SUMIF($J2608:$J2614,D2626,$O2608:$O2614)))</f>
        <v/>
      </c>
      <c r="G2626" s="380" t="str">
        <f>IF($D2626="","",IF($F2620&lt;=1,"",ROUND(POSMMLV*PORPO,2)))</f>
        <v/>
      </c>
      <c r="H2626" s="765" t="str">
        <f t="shared" si="525"/>
        <v/>
      </c>
      <c r="I2626" s="766"/>
      <c r="J2626" s="108" t="str">
        <f>IF(D2626="","",IF(OR(AND(SUMIF($J2605:$J2614,D2626,$O2605:$O2614)&gt;=5%*POSMMLV,N2626="SI"),AND(SUMIF($J2605:$J2614,D2626,$O2605:$O2614)=0,E2626&lt;=5%,N2626="SI")),"CUMPLE","NO CUMPLE"))</f>
        <v/>
      </c>
      <c r="K2626" s="105" t="str">
        <f>IF(OR(D2626="",J2626=""),"",IF(AND(J2626="NO CUMPLE",F2626="NO APORTA",E2626&gt;5%),"EXP = 0 y PART &gt; 5%",IF(F2626&lt;5%*Q2627,"EXP &lt; 5%*PO","")))</f>
        <v/>
      </c>
      <c r="L2626" s="389" t="str">
        <f>IF(OR(D2626="",E2626=""),"",IF(AND(E2626&gt;=0.25,F2626&lt;&gt;"NO APORTA",F2626&gt;=$R2627*0.25),"SI","NO"))</f>
        <v/>
      </c>
      <c r="M2626" s="389"/>
      <c r="N2626" s="468"/>
      <c r="O2626" s="789"/>
      <c r="P2626" s="504" t="s">
        <v>416</v>
      </c>
      <c r="Q2626" s="504" t="s">
        <v>417</v>
      </c>
      <c r="R2626" s="793" t="s">
        <v>418</v>
      </c>
      <c r="S2626" s="793"/>
      <c r="T2626" s="284"/>
      <c r="U2626" s="284"/>
      <c r="V2626" s="310"/>
      <c r="W2626" s="284"/>
      <c r="X2626" s="542" t="str">
        <f>IF($F2620=1,"NO APLICA",$D2626)</f>
        <v/>
      </c>
      <c r="Y2626" s="543" t="str">
        <f>IF(OR($F2626="",$F2626="NO APORTA",$R2627=0,$X2626="NO APLICA"),"",ROUND($F2626/$Q2627,2))</f>
        <v/>
      </c>
      <c r="Z2626" s="544" t="str">
        <f>IF(Y2628=1,"SI APLICA",IF(OR($X2626="",$X2626="NO APLICA",$F2626="",$F2626="NO APORTA"),"",IF(ROUND($F2626/Q2627,7)&gt;=0.4,"SI APLICA","NO APLICA")))</f>
        <v/>
      </c>
      <c r="AA2626" s="543"/>
      <c r="AB2626" s="540" t="str">
        <f t="shared" si="527"/>
        <v/>
      </c>
      <c r="AC2626" s="28"/>
    </row>
    <row r="2627" spans="1:29" s="30" customFormat="1" ht="16.5" customHeight="1" thickBot="1">
      <c r="A2627" s="112" t="str">
        <f>"S"&amp;E2601</f>
        <v>S87</v>
      </c>
      <c r="B2627" s="791"/>
      <c r="C2627" s="109">
        <v>6</v>
      </c>
      <c r="D2627" s="110" t="str">
        <f>IF(AND(C2627&lt;=F2620,F2620&lt;&gt;""),VLOOKUP(VALUE(E2601&amp;","&amp;C2627),INTEGRANTES!$D$19:$F$192,2,0),"")</f>
        <v/>
      </c>
      <c r="E2627" s="111" t="str">
        <f>IF(D2627&lt;&gt;"",VLOOKUP(VALUE(E2601&amp;","&amp;C2627),INTEGRANTES!$D$19:$F$192,3,0),"")</f>
        <v/>
      </c>
      <c r="F2627" s="380" t="str">
        <f>IF(D2627="","",IF(OR(SUMIF($J2608:$J2614,D2627,$O2608:$O2614)=0,N2627="NO"),"NO APORTA",SUMIF($J2608:$J2614,D2627,$O2608:$O2614)))</f>
        <v/>
      </c>
      <c r="G2627" s="380" t="str">
        <f>IF($D2627="","",IF($F2620&lt;=1,"",ROUND(POSMMLV*PORPO,2)))</f>
        <v/>
      </c>
      <c r="H2627" s="765" t="str">
        <f>IF($D2627="","",IF(OR(F2627="NO APORTA",G2627&gt;F2627),"NO CUMPLE","CUMPLE"))</f>
        <v/>
      </c>
      <c r="I2627" s="766"/>
      <c r="J2627" s="108" t="str">
        <f>IF(D2627="","",IF(OR(AND(SUMIF($J2605:$J2614,D2627,$O2605:$O2614)&gt;=5%*POSMMLV,N2627="SI"),AND(SUMIF($J2605:$J2614,D2627,$O2605:$O2614)=0,E2627&lt;=5%,N2627="SI")),"CUMPLE","NO CUMPLE"))</f>
        <v/>
      </c>
      <c r="K2627" s="105" t="str">
        <f>IF(OR(D2627="",J2627=""),"",IF(AND(J2627="NO CUMPLE",F2627="NO APORTA",E2627&gt;5%),"EXP = 0 y PART &gt; 5%",IF(F2627&lt;5%*Q2627,"EXP &lt; 5%*PO","")))</f>
        <v/>
      </c>
      <c r="L2627" s="389" t="str">
        <f>IF(OR(D2627="",E2627=""),"",IF(AND(E2627&gt;=0.25,F2627&lt;&gt;"NO APORTA",F2627&gt;=$R2627*0.25),"SI","NO"))</f>
        <v/>
      </c>
      <c r="M2627" s="389"/>
      <c r="N2627" s="468"/>
      <c r="O2627" s="403" t="str">
        <f ca="1">IF(R2627&gt;=Q2627,"CUMPLE","NO CUMPLE")</f>
        <v>CUMPLE</v>
      </c>
      <c r="P2627" s="312">
        <f>NUMMOD</f>
        <v>1</v>
      </c>
      <c r="Q2627" s="313">
        <f ca="1">IF(P2627="","",ROUND(VLOOKUP(P2627,PRESUPUESTOS!$B$16:$L$16,9,FALSE),7))</f>
        <v>300</v>
      </c>
      <c r="R2627" s="834">
        <f>IF(OR(COUNTIF(O2605:O2614,"")&gt;9,S2621&lt;NUMMINCONT),0,SUM(O2605:O2614))</f>
        <v>2239.61</v>
      </c>
      <c r="S2627" s="834"/>
      <c r="T2627" s="284"/>
      <c r="U2627" s="284"/>
      <c r="V2627" s="310"/>
      <c r="W2627" s="284"/>
      <c r="X2627" s="545" t="str">
        <f>IF($F2620=1,"NO APLICA",$D2627)</f>
        <v/>
      </c>
      <c r="Y2627" s="543" t="str">
        <f>IF(OR($F2627="",$F2627="NO APORTA",$R2627=0,$X2627="NO APLICA"),"",ROUND($F2627/$Q2627,2))</f>
        <v/>
      </c>
      <c r="Z2627" s="544" t="str">
        <f>IF(Y2628=1,"SI APLICA",IF(OR($X2627="",$X2627="NO APLICA",$F2627="",$F2627="NO APORTA"),"",IF(ROUND($F2627/Q2627,7)&gt;=0.4,"SI APLICA","NO APLICA")))</f>
        <v/>
      </c>
      <c r="AA2627" s="546"/>
      <c r="AB2627" s="540" t="str">
        <f>IF(COUNTIF(Z2627:AA2627,"SI APLICA")=2,"SI APLICA","")</f>
        <v/>
      </c>
      <c r="AC2627" s="28"/>
    </row>
    <row r="2628" spans="1:29" s="30" customFormat="1" ht="16.5" customHeight="1" thickBot="1">
      <c r="A2628" s="112" t="str">
        <f>"T"&amp;E2601</f>
        <v>T87</v>
      </c>
      <c r="B2628" s="792"/>
      <c r="C2628" s="821" t="s">
        <v>419</v>
      </c>
      <c r="D2628" s="822"/>
      <c r="E2628" s="822"/>
      <c r="F2628" s="518"/>
      <c r="G2628" s="519"/>
      <c r="H2628" s="794" t="str">
        <f ca="1">IF(OR($F2620="",SUM(E2622:E2627)=0),"",IF(COUNTIF(H2622:H2627,"CUMPLE")&gt;=1,"CUMPLE","NO CUMPLE"))</f>
        <v>CUMPLE</v>
      </c>
      <c r="I2628" s="795"/>
      <c r="J2628" s="314" t="str">
        <f ca="1">IF(COUNTIF(J2622:J2627,"")&gt;5,"",IF(COUNTIF(J2622:J2627,"NO CUMPLE")&gt;0,"NO CUMPLE","CUMPLE"))</f>
        <v>CUMPLE</v>
      </c>
      <c r="K2628" s="314" t="str">
        <f ca="1">IF(OR(AND(F2620=1,N2622="SI"),AND(COUNTIF(H2628:J2628,"CUMPLE")=2)),"CUMPLE","NO CUMPLE")</f>
        <v>CUMPLE</v>
      </c>
      <c r="L2628" s="519"/>
      <c r="M2628" s="519"/>
      <c r="N2628" s="519"/>
      <c r="O2628" s="833" t="str">
        <f ca="1">IF(ISNUMBER(F2601),"",IF(AND(O2627="NO CUMPLE",SUM(N2608:N2614)&lt;Q2627),"EL PROPONENTE SE DEBE REQUERIR POR EXPERIENCIA MINIMA EXIGIDA",""))</f>
        <v/>
      </c>
      <c r="P2628" s="833"/>
      <c r="Q2628" s="833"/>
      <c r="R2628" s="833"/>
      <c r="S2628" s="833"/>
      <c r="T2628" s="522"/>
      <c r="U2628" s="523"/>
      <c r="V2628" s="524"/>
      <c r="W2628" s="284"/>
      <c r="X2628" s="364" t="str">
        <f>IF(Y2628=1,"PROPONENTE INDIVIDUAL","PROPONENTE PLURAL")</f>
        <v>PROPONENTE PLURAL</v>
      </c>
      <c r="Y2628" s="276">
        <f>F2620</f>
        <v>2</v>
      </c>
      <c r="Z2628" s="277" t="str">
        <f ca="1">IF(OR(AND(Z2622="SI APLICA",AA2622="SI APLICA"),AND(Z2623="SI APLICA",AA2623="SI APLICA"),AND(Z2624="SI APLICA",AA2624="SI APLICA"),AND(Z2625="SI APLICA",AA2625="SI APLICA"),AND(Z2626="SI APLICA",AA2626="SI APLICA"),AND(Z2627="SI APLICA",AA2627="SI APLICA")),"SI APLICA","NO APLICA")</f>
        <v>SI APLICA</v>
      </c>
      <c r="AA2628" s="278" t="str">
        <f ca="1">IF(OR(AND(AA2622="SI APLICA",AB2622="SI APLICA"),AND(AA2623="SI APLICA",AB2623="SI APLICA"),AND(AA2624="SI APLICA",AB2624="SI APLICA"),AND(AA2625="SI APLICA",AB2625="SI APLICA"),AND(AA2626="SI APLICA",AB2626="SI APLICA"),AND(AA2627="SI APLICA",AB2627="SI APLICA")),"SI APLICA","NO APLICA")</f>
        <v>SI APLICA</v>
      </c>
      <c r="AB2628" s="278" t="str">
        <f ca="1">IF(COUNTIF(AB2622:AB2627,"SI APLICA")&gt;0,"SI APLICA","NO APLICA")</f>
        <v>SI APLICA</v>
      </c>
      <c r="AC2628" s="28"/>
    </row>
    <row r="2629" spans="1:29" ht="24.95" customHeight="1"/>
    <row r="2630" spans="1:29" ht="24.95" customHeight="1"/>
    <row r="2631" spans="1:29" s="41" customFormat="1" ht="24" thickBot="1">
      <c r="A2631" s="34">
        <v>88</v>
      </c>
      <c r="B2631" s="828" t="s">
        <v>355</v>
      </c>
      <c r="C2631" s="828"/>
      <c r="D2631" s="828"/>
      <c r="E2631" s="35">
        <f>VLOOKUP(A2631,PROPONENTES!$B$19:$E$108,2,FALSE)</f>
        <v>88</v>
      </c>
      <c r="F2631" s="36" t="str">
        <f>VLOOKUP(A2631,PROPONENTES!$B$19:$E$108,3,FALSE)</f>
        <v>INGENIERÍA Y CONSULTORÍA INGECON SAS</v>
      </c>
      <c r="G2631" s="37"/>
      <c r="H2631" s="37"/>
      <c r="I2631" s="36"/>
      <c r="J2631" s="36"/>
      <c r="K2631" s="36"/>
      <c r="L2631" s="36"/>
      <c r="M2631" s="38"/>
      <c r="N2631" s="38"/>
      <c r="O2631" s="37"/>
      <c r="P2631" s="37"/>
      <c r="Q2631" s="39"/>
      <c r="R2631" s="39"/>
      <c r="S2631" s="39"/>
      <c r="T2631" s="39"/>
      <c r="U2631" s="40"/>
      <c r="Y2631" s="52"/>
      <c r="Z2631" s="52"/>
      <c r="AA2631" s="52"/>
      <c r="AB2631" s="28"/>
      <c r="AC2631" s="28"/>
    </row>
    <row r="2632" spans="1:29" s="27" customFormat="1" ht="24.75" customHeight="1">
      <c r="A2632" s="22"/>
      <c r="B2632" s="829" t="s">
        <v>356</v>
      </c>
      <c r="C2632" s="501" t="s">
        <v>357</v>
      </c>
      <c r="D2632" s="502" t="s">
        <v>358</v>
      </c>
      <c r="E2632" s="502"/>
      <c r="F2632" s="502" t="s">
        <v>359</v>
      </c>
      <c r="G2632" s="503"/>
      <c r="H2632" s="803" t="s">
        <v>360</v>
      </c>
      <c r="I2632" s="831" t="s">
        <v>361</v>
      </c>
      <c r="J2632" s="803" t="s">
        <v>362</v>
      </c>
      <c r="K2632" s="803" t="s">
        <v>363</v>
      </c>
      <c r="L2632" s="803" t="s">
        <v>364</v>
      </c>
      <c r="M2632" s="803" t="s">
        <v>365</v>
      </c>
      <c r="N2632" s="804" t="s">
        <v>366</v>
      </c>
      <c r="O2632" s="805"/>
      <c r="P2632" s="806" t="s">
        <v>367</v>
      </c>
      <c r="Q2632" s="807"/>
      <c r="R2632" s="784" t="s">
        <v>368</v>
      </c>
      <c r="S2632" s="774"/>
      <c r="T2632" s="798" t="s">
        <v>369</v>
      </c>
      <c r="U2632" s="799"/>
      <c r="V2632" s="800"/>
      <c r="X2632" s="520"/>
      <c r="Y2632" s="520"/>
    </row>
    <row r="2633" spans="1:29" s="27" customFormat="1" ht="94.5" customHeight="1">
      <c r="A2633" s="22"/>
      <c r="B2633" s="830"/>
      <c r="C2633" s="504" t="s">
        <v>370</v>
      </c>
      <c r="D2633" s="505" t="s">
        <v>41</v>
      </c>
      <c r="E2633" s="505" t="s">
        <v>371</v>
      </c>
      <c r="F2633" s="505" t="s">
        <v>372</v>
      </c>
      <c r="G2633" s="506" t="s">
        <v>373</v>
      </c>
      <c r="H2633" s="793"/>
      <c r="I2633" s="832"/>
      <c r="J2633" s="793"/>
      <c r="K2633" s="793"/>
      <c r="L2633" s="793"/>
      <c r="M2633" s="793"/>
      <c r="N2633" s="504" t="s">
        <v>374</v>
      </c>
      <c r="O2633" s="505" t="s">
        <v>375</v>
      </c>
      <c r="P2633" s="801"/>
      <c r="Q2633" s="802"/>
      <c r="R2633" s="796"/>
      <c r="S2633" s="797"/>
      <c r="T2633" s="507" t="s">
        <v>376</v>
      </c>
      <c r="U2633" s="508" t="s">
        <v>377</v>
      </c>
      <c r="V2633" s="509" t="s">
        <v>378</v>
      </c>
      <c r="X2633" s="521" t="s">
        <v>379</v>
      </c>
      <c r="Y2633" s="521" t="s">
        <v>380</v>
      </c>
    </row>
    <row r="2634" spans="1:29" s="27" customFormat="1" ht="15" customHeight="1">
      <c r="A2634" s="22"/>
      <c r="B2634" s="594"/>
      <c r="C2634" s="595">
        <v>3</v>
      </c>
      <c r="D2634" s="595">
        <v>4</v>
      </c>
      <c r="E2634" s="595">
        <v>5</v>
      </c>
      <c r="F2634" s="595">
        <v>6</v>
      </c>
      <c r="G2634" s="595">
        <v>7</v>
      </c>
      <c r="H2634" s="595">
        <v>8</v>
      </c>
      <c r="I2634" s="595">
        <v>9</v>
      </c>
      <c r="J2634" s="595">
        <v>10</v>
      </c>
      <c r="K2634" s="595">
        <v>11</v>
      </c>
      <c r="L2634" s="595">
        <v>12</v>
      </c>
      <c r="M2634" s="595">
        <v>13</v>
      </c>
      <c r="N2634" s="595">
        <v>14</v>
      </c>
      <c r="O2634" s="595">
        <v>15</v>
      </c>
      <c r="P2634" s="596">
        <v>16</v>
      </c>
      <c r="Q2634" s="597">
        <v>17</v>
      </c>
      <c r="R2634" s="596">
        <v>18</v>
      </c>
      <c r="S2634" s="597">
        <v>19</v>
      </c>
      <c r="T2634" s="598">
        <v>20</v>
      </c>
      <c r="U2634" s="255">
        <v>21</v>
      </c>
      <c r="V2634" s="599">
        <v>22</v>
      </c>
      <c r="X2634" s="589"/>
      <c r="Y2634" s="590"/>
    </row>
    <row r="2635" spans="1:29" s="44" customFormat="1" ht="41.25" customHeight="1">
      <c r="A2635" s="42" t="str">
        <f>"A"&amp;E2631</f>
        <v>A88</v>
      </c>
      <c r="B2635" s="605">
        <f>IF(C2635&lt;&gt;"",B2634+1,"")</f>
        <v>1</v>
      </c>
      <c r="C2635" s="581" t="s">
        <v>1080</v>
      </c>
      <c r="D2635" s="581" t="s">
        <v>1081</v>
      </c>
      <c r="E2635" s="581" t="s">
        <v>1082</v>
      </c>
      <c r="F2635" s="581" t="s">
        <v>384</v>
      </c>
      <c r="G2635" s="534">
        <v>1</v>
      </c>
      <c r="H2635" s="534" t="s">
        <v>385</v>
      </c>
      <c r="I2635" s="579" t="s">
        <v>384</v>
      </c>
      <c r="J2635" s="580" t="str">
        <f>IF(I2635="","",IF(I2635="I",$F2631,VLOOKUP(I2635,$C2652:$D2657,2,0)))</f>
        <v>INGENIERÍA Y CONSULTORÍA INGECON SAS</v>
      </c>
      <c r="K2635" s="535">
        <v>36312</v>
      </c>
      <c r="L2635" s="535">
        <v>36495</v>
      </c>
      <c r="M2635" s="536">
        <v>149.78</v>
      </c>
      <c r="N2635" s="232">
        <f t="shared" ref="N2635:N2644" si="528">IF(OR(G2635="",M2635=""),"",M2635*G2635)</f>
        <v>149.78</v>
      </c>
      <c r="O2635" s="260">
        <f t="shared" ref="O2635:O2644" si="529">IF(OR(H2635="",H2635="NO",K2635&lt;$Q$17,K2635&gt;$R$17,K2635="",M2635="",N2635=""),"",ROUND(N2635,7))</f>
        <v>149.78</v>
      </c>
      <c r="P2635" s="781"/>
      <c r="Q2635" s="782"/>
      <c r="R2635" s="767"/>
      <c r="S2635" s="768"/>
      <c r="T2635" s="538" t="s">
        <v>385</v>
      </c>
      <c r="U2635" s="539">
        <v>17</v>
      </c>
      <c r="V2635" s="540" t="s">
        <v>385</v>
      </c>
      <c r="X2635" s="541" t="s">
        <v>386</v>
      </c>
      <c r="Y2635" s="541" t="s">
        <v>435</v>
      </c>
    </row>
    <row r="2636" spans="1:29" s="44" customFormat="1" ht="42" customHeight="1">
      <c r="A2636" s="42" t="str">
        <f>"B"&amp;E2631</f>
        <v>B88</v>
      </c>
      <c r="B2636" s="605">
        <f t="shared" ref="B2636:B2644" si="530">IF(C2636&lt;&gt;"",B2635+1,"")</f>
        <v>2</v>
      </c>
      <c r="C2636" s="581" t="s">
        <v>1083</v>
      </c>
      <c r="D2636" s="581" t="s">
        <v>1084</v>
      </c>
      <c r="E2636" s="581" t="s">
        <v>1085</v>
      </c>
      <c r="F2636" s="581" t="s">
        <v>431</v>
      </c>
      <c r="G2636" s="534">
        <v>0.6</v>
      </c>
      <c r="H2636" s="534" t="s">
        <v>385</v>
      </c>
      <c r="I2636" s="579" t="s">
        <v>384</v>
      </c>
      <c r="J2636" s="580" t="str">
        <f>IF(I2636="","",IF(I2636="I",$F2631,VLOOKUP(I2636,$C2652:$D2657,2,0)))</f>
        <v>INGENIERÍA Y CONSULTORÍA INGECON SAS</v>
      </c>
      <c r="K2636" s="535">
        <v>41257</v>
      </c>
      <c r="L2636" s="535">
        <v>41592</v>
      </c>
      <c r="M2636" s="536">
        <v>943.63</v>
      </c>
      <c r="N2636" s="232">
        <f t="shared" si="528"/>
        <v>566.178</v>
      </c>
      <c r="O2636" s="260">
        <f t="shared" si="529"/>
        <v>566.178</v>
      </c>
      <c r="P2636" s="781"/>
      <c r="Q2636" s="782"/>
      <c r="R2636" s="767"/>
      <c r="S2636" s="768"/>
      <c r="T2636" s="538" t="s">
        <v>385</v>
      </c>
      <c r="U2636" s="539">
        <v>29</v>
      </c>
      <c r="V2636" s="540" t="s">
        <v>385</v>
      </c>
      <c r="X2636" s="541" t="s">
        <v>449</v>
      </c>
      <c r="Y2636" s="541" t="s">
        <v>439</v>
      </c>
    </row>
    <row r="2637" spans="1:29" s="44" customFormat="1" ht="41.25" customHeight="1">
      <c r="A2637" s="42" t="str">
        <f>"C"&amp;E2631</f>
        <v>C88</v>
      </c>
      <c r="B2637" s="605">
        <f t="shared" si="530"/>
        <v>3</v>
      </c>
      <c r="C2637" s="581" t="s">
        <v>1086</v>
      </c>
      <c r="D2637" s="581" t="s">
        <v>1087</v>
      </c>
      <c r="E2637" s="581" t="s">
        <v>1088</v>
      </c>
      <c r="F2637" s="581" t="s">
        <v>384</v>
      </c>
      <c r="G2637" s="534">
        <v>1</v>
      </c>
      <c r="H2637" s="534" t="s">
        <v>385</v>
      </c>
      <c r="I2637" s="579" t="s">
        <v>384</v>
      </c>
      <c r="J2637" s="580" t="str">
        <f>IF(I2637="","",IF(I2637="I",$F2631,VLOOKUP(I2637,$C2652:$D2657,2,0)))</f>
        <v>INGENIERÍA Y CONSULTORÍA INGECON SAS</v>
      </c>
      <c r="K2637" s="535">
        <v>41999</v>
      </c>
      <c r="L2637" s="535">
        <v>42185</v>
      </c>
      <c r="M2637" s="536">
        <v>196.76</v>
      </c>
      <c r="N2637" s="232">
        <f t="shared" si="528"/>
        <v>196.76</v>
      </c>
      <c r="O2637" s="260">
        <f t="shared" si="529"/>
        <v>196.76</v>
      </c>
      <c r="P2637" s="781"/>
      <c r="Q2637" s="782"/>
      <c r="R2637" s="767"/>
      <c r="S2637" s="768"/>
      <c r="T2637" s="538" t="s">
        <v>385</v>
      </c>
      <c r="U2637" s="539">
        <v>44</v>
      </c>
      <c r="V2637" s="540" t="s">
        <v>385</v>
      </c>
      <c r="X2637" s="541" t="s">
        <v>463</v>
      </c>
      <c r="Y2637" s="541" t="s">
        <v>387</v>
      </c>
    </row>
    <row r="2638" spans="1:29" s="44" customFormat="1" ht="24.95" customHeight="1">
      <c r="A2638" s="42" t="str">
        <f>"D"&amp;E2631</f>
        <v>D88</v>
      </c>
      <c r="B2638" s="605">
        <f t="shared" si="530"/>
        <v>4</v>
      </c>
      <c r="C2638" s="581" t="s">
        <v>1089</v>
      </c>
      <c r="D2638" s="581" t="s">
        <v>1090</v>
      </c>
      <c r="E2638" s="581" t="s">
        <v>1091</v>
      </c>
      <c r="F2638" s="581" t="s">
        <v>431</v>
      </c>
      <c r="G2638" s="534">
        <v>0.6</v>
      </c>
      <c r="H2638" s="534" t="s">
        <v>385</v>
      </c>
      <c r="I2638" s="579" t="s">
        <v>384</v>
      </c>
      <c r="J2638" s="580" t="str">
        <f>IF(I2638="","",IF(I2638="I",$F2631,VLOOKUP(I2638,$C2652:$D2657,2,0)))</f>
        <v>INGENIERÍA Y CONSULTORÍA INGECON SAS</v>
      </c>
      <c r="K2638" s="535">
        <v>43563</v>
      </c>
      <c r="L2638" s="535">
        <v>43715</v>
      </c>
      <c r="M2638" s="536">
        <v>709.77</v>
      </c>
      <c r="N2638" s="232">
        <f t="shared" si="528"/>
        <v>425.86199999999997</v>
      </c>
      <c r="O2638" s="260">
        <f t="shared" si="529"/>
        <v>425.86200000000002</v>
      </c>
      <c r="P2638" s="781"/>
      <c r="Q2638" s="782"/>
      <c r="R2638" s="767"/>
      <c r="S2638" s="768"/>
      <c r="T2638" s="538" t="s">
        <v>385</v>
      </c>
      <c r="U2638" s="539">
        <v>54</v>
      </c>
      <c r="V2638" s="540" t="s">
        <v>385</v>
      </c>
      <c r="X2638" s="541" t="s">
        <v>446</v>
      </c>
      <c r="Y2638" s="541" t="s">
        <v>387</v>
      </c>
    </row>
    <row r="2639" spans="1:29" s="44" customFormat="1" ht="24.95" customHeight="1">
      <c r="A2639" s="42" t="str">
        <f>"E"&amp;E2631</f>
        <v>E88</v>
      </c>
      <c r="B2639" s="605" t="str">
        <f t="shared" si="530"/>
        <v/>
      </c>
      <c r="C2639" s="581"/>
      <c r="D2639" s="581"/>
      <c r="E2639" s="581"/>
      <c r="F2639" s="581"/>
      <c r="G2639" s="534"/>
      <c r="H2639" s="534"/>
      <c r="I2639" s="579"/>
      <c r="J2639" s="580" t="str">
        <f>IF(I2639="","",IF(I2639="I",$F2631,VLOOKUP(I2639,$C2652:$D2657,2,0)))</f>
        <v/>
      </c>
      <c r="K2639" s="535"/>
      <c r="L2639" s="535"/>
      <c r="M2639" s="536"/>
      <c r="N2639" s="232" t="str">
        <f t="shared" si="528"/>
        <v/>
      </c>
      <c r="O2639" s="260" t="str">
        <f t="shared" si="529"/>
        <v/>
      </c>
      <c r="P2639" s="781"/>
      <c r="Q2639" s="782"/>
      <c r="R2639" s="767"/>
      <c r="S2639" s="768"/>
      <c r="T2639" s="538"/>
      <c r="U2639" s="539"/>
      <c r="V2639" s="540"/>
      <c r="X2639" s="541"/>
      <c r="Y2639" s="541"/>
    </row>
    <row r="2640" spans="1:29" s="44" customFormat="1" ht="24.95" customHeight="1">
      <c r="A2640" s="42" t="str">
        <f>"F"&amp;E2631</f>
        <v>F88</v>
      </c>
      <c r="B2640" s="605" t="str">
        <f t="shared" si="530"/>
        <v/>
      </c>
      <c r="C2640" s="581"/>
      <c r="D2640" s="581"/>
      <c r="E2640" s="581"/>
      <c r="F2640" s="581"/>
      <c r="G2640" s="534"/>
      <c r="H2640" s="534"/>
      <c r="I2640" s="579"/>
      <c r="J2640" s="580" t="str">
        <f>IF(I2640="","",IF(I2640="I",$F2631,VLOOKUP(I2640,$C2652:$D2657,2,0)))</f>
        <v/>
      </c>
      <c r="K2640" s="535"/>
      <c r="L2640" s="535"/>
      <c r="M2640" s="536"/>
      <c r="N2640" s="232" t="str">
        <f t="shared" si="528"/>
        <v/>
      </c>
      <c r="O2640" s="260" t="str">
        <f t="shared" si="529"/>
        <v/>
      </c>
      <c r="P2640" s="781"/>
      <c r="Q2640" s="782"/>
      <c r="R2640" s="767"/>
      <c r="S2640" s="768"/>
      <c r="T2640" s="538"/>
      <c r="U2640" s="539"/>
      <c r="V2640" s="540"/>
      <c r="X2640" s="541"/>
      <c r="Y2640" s="541"/>
    </row>
    <row r="2641" spans="1:29" s="44" customFormat="1" ht="24.95" customHeight="1">
      <c r="A2641" s="42" t="str">
        <f>"G"&amp;E2631</f>
        <v>G88</v>
      </c>
      <c r="B2641" s="605" t="str">
        <f t="shared" si="530"/>
        <v/>
      </c>
      <c r="C2641" s="581"/>
      <c r="D2641" s="581"/>
      <c r="E2641" s="581"/>
      <c r="F2641" s="581"/>
      <c r="G2641" s="534"/>
      <c r="H2641" s="534"/>
      <c r="I2641" s="579"/>
      <c r="J2641" s="580" t="str">
        <f>IF(I2641="","",IF(I2641="I",$F2631,VLOOKUP(I2641,$C2652:$D2657,2,0)))</f>
        <v/>
      </c>
      <c r="K2641" s="535"/>
      <c r="L2641" s="535"/>
      <c r="M2641" s="536"/>
      <c r="N2641" s="43" t="str">
        <f t="shared" si="528"/>
        <v/>
      </c>
      <c r="O2641" s="260" t="str">
        <f t="shared" si="529"/>
        <v/>
      </c>
      <c r="P2641" s="781"/>
      <c r="Q2641" s="782"/>
      <c r="R2641" s="767"/>
      <c r="S2641" s="768"/>
      <c r="T2641" s="538"/>
      <c r="U2641" s="539"/>
      <c r="V2641" s="540"/>
      <c r="X2641" s="541"/>
      <c r="Y2641" s="541"/>
    </row>
    <row r="2642" spans="1:29" s="44" customFormat="1" ht="24.95" customHeight="1">
      <c r="A2642" s="42" t="str">
        <f>"H"&amp;E2631</f>
        <v>H88</v>
      </c>
      <c r="B2642" s="605" t="str">
        <f t="shared" si="530"/>
        <v/>
      </c>
      <c r="C2642" s="581"/>
      <c r="D2642" s="581"/>
      <c r="E2642" s="581"/>
      <c r="F2642" s="581"/>
      <c r="G2642" s="534"/>
      <c r="H2642" s="534"/>
      <c r="I2642" s="579"/>
      <c r="J2642" s="580" t="str">
        <f>IF(I2642="","",IF(I2642="I",$F2631,VLOOKUP(I2642,$C2652:$D2657,2,0)))</f>
        <v/>
      </c>
      <c r="K2642" s="535"/>
      <c r="L2642" s="535"/>
      <c r="M2642" s="537"/>
      <c r="N2642" s="43" t="str">
        <f t="shared" si="528"/>
        <v/>
      </c>
      <c r="O2642" s="260" t="str">
        <f t="shared" si="529"/>
        <v/>
      </c>
      <c r="P2642" s="781"/>
      <c r="Q2642" s="782"/>
      <c r="R2642" s="767"/>
      <c r="S2642" s="768"/>
      <c r="T2642" s="538"/>
      <c r="U2642" s="539"/>
      <c r="V2642" s="540"/>
      <c r="X2642" s="541"/>
      <c r="Y2642" s="541"/>
    </row>
    <row r="2643" spans="1:29" s="44" customFormat="1" ht="24.95" customHeight="1">
      <c r="A2643" s="42" t="str">
        <f>"I"&amp;E2631</f>
        <v>I88</v>
      </c>
      <c r="B2643" s="605" t="str">
        <f t="shared" si="530"/>
        <v/>
      </c>
      <c r="C2643" s="581"/>
      <c r="D2643" s="581"/>
      <c r="E2643" s="581"/>
      <c r="F2643" s="581"/>
      <c r="G2643" s="534"/>
      <c r="H2643" s="534"/>
      <c r="I2643" s="579"/>
      <c r="J2643" s="580" t="str">
        <f>IF(I2643="","",IF(I2643="I",$F2631,VLOOKUP(I2643,$C2652:$D2657,2,0)))</f>
        <v/>
      </c>
      <c r="K2643" s="535"/>
      <c r="L2643" s="535"/>
      <c r="M2643" s="537"/>
      <c r="N2643" s="43" t="str">
        <f t="shared" si="528"/>
        <v/>
      </c>
      <c r="O2643" s="260" t="str">
        <f t="shared" si="529"/>
        <v/>
      </c>
      <c r="P2643" s="781"/>
      <c r="Q2643" s="782"/>
      <c r="R2643" s="767"/>
      <c r="S2643" s="768"/>
      <c r="T2643" s="538"/>
      <c r="U2643" s="539"/>
      <c r="V2643" s="540"/>
      <c r="X2643" s="541"/>
      <c r="Y2643" s="541"/>
    </row>
    <row r="2644" spans="1:29" s="44" customFormat="1" ht="24.95" customHeight="1" thickBot="1">
      <c r="A2644" s="42" t="str">
        <f>"J"&amp;E2631</f>
        <v>J88</v>
      </c>
      <c r="B2644" s="612" t="str">
        <f t="shared" si="530"/>
        <v/>
      </c>
      <c r="C2644" s="582"/>
      <c r="D2644" s="582"/>
      <c r="E2644" s="582"/>
      <c r="F2644" s="582"/>
      <c r="G2644" s="583"/>
      <c r="H2644" s="583"/>
      <c r="I2644" s="584"/>
      <c r="J2644" s="585" t="str">
        <f>IF(I2644="","",IF(I2644="I",$F2631,VLOOKUP(I2644,$C2652:$D2657,2,0)))</f>
        <v/>
      </c>
      <c r="K2644" s="586"/>
      <c r="L2644" s="586"/>
      <c r="M2644" s="587"/>
      <c r="N2644" s="43" t="str">
        <f t="shared" si="528"/>
        <v/>
      </c>
      <c r="O2644" s="260" t="str">
        <f t="shared" si="529"/>
        <v/>
      </c>
      <c r="P2644" s="781"/>
      <c r="Q2644" s="782"/>
      <c r="R2644" s="767"/>
      <c r="S2644" s="768"/>
      <c r="T2644" s="538"/>
      <c r="U2644" s="539"/>
      <c r="V2644" s="540"/>
      <c r="X2644" s="541"/>
      <c r="Y2644" s="541"/>
    </row>
    <row r="2645" spans="1:29" s="27" customFormat="1" ht="12" customHeight="1" thickBot="1">
      <c r="A2645" s="42"/>
      <c r="B2645" s="45"/>
      <c r="C2645" s="46"/>
      <c r="D2645" s="46"/>
      <c r="E2645" s="46"/>
      <c r="F2645" s="46"/>
      <c r="G2645" s="46"/>
      <c r="H2645" s="606"/>
      <c r="I2645" s="46"/>
      <c r="J2645" s="46"/>
      <c r="K2645" s="46"/>
      <c r="L2645" s="46"/>
      <c r="M2645" s="46"/>
      <c r="N2645" s="46"/>
      <c r="O2645" s="259"/>
      <c r="P2645" s="46"/>
      <c r="Q2645" s="46"/>
      <c r="R2645" s="259"/>
      <c r="S2645" s="46"/>
      <c r="T2645" s="46"/>
      <c r="U2645" s="47"/>
      <c r="V2645" s="48"/>
      <c r="X2645" s="592"/>
      <c r="Y2645" s="593"/>
      <c r="AB2645" s="378"/>
    </row>
    <row r="2646" spans="1:29" s="27" customFormat="1" ht="17.25" customHeight="1" thickBot="1">
      <c r="A2646" s="42" t="str">
        <f>"Z"&amp;E2631</f>
        <v>Z88</v>
      </c>
      <c r="B2646" s="510"/>
      <c r="C2646" s="511"/>
      <c r="D2646" s="511"/>
      <c r="E2646" s="511"/>
      <c r="F2646" s="511"/>
      <c r="G2646" s="511"/>
      <c r="H2646" s="511"/>
      <c r="I2646" s="511"/>
      <c r="J2646" s="511"/>
      <c r="K2646" s="511"/>
      <c r="L2646" s="511"/>
      <c r="M2646" s="511"/>
      <c r="N2646" s="437" t="s">
        <v>388</v>
      </c>
      <c r="O2646" s="438">
        <f>IF(COUNTIF(O2635:O2644,"")&gt;9,0,SUM(O2635:O2644)/(COUNTIF(H2635:H2644,"SI")))</f>
        <v>334.64499999999998</v>
      </c>
      <c r="P2646" s="511"/>
      <c r="Q2646" s="511"/>
      <c r="R2646" s="530"/>
      <c r="S2646" s="530"/>
      <c r="T2646" s="531"/>
      <c r="U2646" s="532"/>
      <c r="V2646" s="533"/>
      <c r="W2646" s="285"/>
      <c r="X2646" s="613" t="e">
        <f>COUNTIF(#REF!,"")-COUNTIF(#REF!,"CUMPLE")-1</f>
        <v>#REF!</v>
      </c>
      <c r="Y2646" s="591"/>
      <c r="AB2646" s="28"/>
    </row>
    <row r="2647" spans="1:29" ht="17.25" customHeight="1">
      <c r="B2647" s="50"/>
      <c r="C2647" s="50"/>
      <c r="D2647" s="50"/>
      <c r="E2647" s="50"/>
      <c r="F2647" s="50"/>
      <c r="G2647" s="51"/>
      <c r="H2647" s="51"/>
      <c r="I2647" s="51"/>
      <c r="J2647" s="51"/>
      <c r="K2647" s="51"/>
      <c r="L2647" s="51"/>
      <c r="M2647" s="51"/>
      <c r="N2647" s="51"/>
      <c r="O2647" s="51"/>
      <c r="P2647" s="51"/>
      <c r="Q2647" s="51"/>
      <c r="R2647" s="51"/>
      <c r="S2647" s="51"/>
      <c r="T2647" s="51"/>
      <c r="U2647" s="51"/>
      <c r="V2647" s="51"/>
      <c r="W2647" s="51"/>
      <c r="X2647" s="608"/>
      <c r="Y2647" s="51"/>
      <c r="Z2647" s="51"/>
      <c r="AA2647" s="51"/>
      <c r="AB2647" s="51"/>
      <c r="AC2647" s="50"/>
    </row>
    <row r="2648" spans="1:29" s="27" customFormat="1" ht="16.5" customHeight="1" thickBot="1">
      <c r="A2648" s="22"/>
      <c r="B2648" s="783" t="s">
        <v>389</v>
      </c>
      <c r="C2648" s="783"/>
      <c r="D2648" s="783"/>
      <c r="E2648" s="783"/>
      <c r="F2648" s="783"/>
      <c r="G2648" s="783"/>
      <c r="H2648" s="783"/>
      <c r="I2648" s="783"/>
      <c r="J2648" s="783"/>
      <c r="K2648" s="783"/>
      <c r="L2648" s="783"/>
      <c r="M2648" s="783"/>
      <c r="N2648" s="783"/>
      <c r="O2648" s="783"/>
      <c r="P2648" s="783"/>
      <c r="Q2648" s="783"/>
      <c r="R2648" s="783"/>
      <c r="S2648" s="783"/>
      <c r="T2648" s="783"/>
      <c r="U2648" s="783"/>
      <c r="V2648" s="783"/>
      <c r="W2648" s="286"/>
      <c r="X2648" s="607"/>
      <c r="Y2648" s="52"/>
      <c r="Z2648" s="52"/>
      <c r="AA2648" s="52"/>
      <c r="AB2648" s="28"/>
      <c r="AC2648" s="28"/>
    </row>
    <row r="2649" spans="1:29" s="30" customFormat="1" ht="22.5" customHeight="1">
      <c r="A2649" s="112" t="str">
        <f>"K"&amp;E2631</f>
        <v>K88</v>
      </c>
      <c r="B2649" s="790" t="s">
        <v>390</v>
      </c>
      <c r="C2649" s="772" t="s">
        <v>391</v>
      </c>
      <c r="D2649" s="773"/>
      <c r="E2649" s="773"/>
      <c r="F2649" s="773"/>
      <c r="G2649" s="773"/>
      <c r="H2649" s="773"/>
      <c r="I2649" s="773"/>
      <c r="J2649" s="773"/>
      <c r="K2649" s="773"/>
      <c r="L2649" s="773"/>
      <c r="M2649" s="774"/>
      <c r="N2649" s="525"/>
      <c r="O2649" s="588"/>
      <c r="P2649" s="772" t="s">
        <v>392</v>
      </c>
      <c r="Q2649" s="773"/>
      <c r="R2649" s="773"/>
      <c r="S2649" s="774"/>
      <c r="T2649" s="784" t="s">
        <v>393</v>
      </c>
      <c r="U2649" s="774"/>
      <c r="V2649" s="811"/>
      <c r="W2649" s="284"/>
      <c r="X2649" s="778" t="s">
        <v>394</v>
      </c>
      <c r="Y2649" s="779"/>
      <c r="Z2649" s="779"/>
      <c r="AA2649" s="779" t="s">
        <v>395</v>
      </c>
      <c r="AB2649" s="808" t="s">
        <v>396</v>
      </c>
      <c r="AC2649" s="28"/>
    </row>
    <row r="2650" spans="1:29" s="30" customFormat="1" ht="22.5" customHeight="1">
      <c r="A2650" s="112" t="str">
        <f>"L"&amp;E2631</f>
        <v>L88</v>
      </c>
      <c r="B2650" s="791"/>
      <c r="C2650" s="769" t="s">
        <v>397</v>
      </c>
      <c r="D2650" s="770"/>
      <c r="E2650" s="771"/>
      <c r="F2650" s="512">
        <f>IF(VLOOKUP(E2631,PROPONENTES!$C$19:$E$108,3,0)="","",VLOOKUP(E2631,PROPONENTES!$C$19:$E$108,3,0))</f>
        <v>1</v>
      </c>
      <c r="G2650" s="824" t="s">
        <v>398</v>
      </c>
      <c r="H2650" s="793" t="s">
        <v>399</v>
      </c>
      <c r="I2650" s="793"/>
      <c r="J2650" s="769" t="s">
        <v>400</v>
      </c>
      <c r="K2650" s="823"/>
      <c r="L2650" s="513" t="s">
        <v>401</v>
      </c>
      <c r="M2650" s="513"/>
      <c r="N2650" s="526"/>
      <c r="O2650" s="527"/>
      <c r="P2650" s="775"/>
      <c r="Q2650" s="776"/>
      <c r="R2650" s="776"/>
      <c r="S2650" s="777"/>
      <c r="T2650" s="796"/>
      <c r="U2650" s="797"/>
      <c r="V2650" s="812"/>
      <c r="W2650" s="284"/>
      <c r="X2650" s="780" t="s">
        <v>402</v>
      </c>
      <c r="Y2650" s="810" t="s">
        <v>403</v>
      </c>
      <c r="Z2650" s="810"/>
      <c r="AA2650" s="810"/>
      <c r="AB2650" s="809"/>
      <c r="AC2650" s="28"/>
    </row>
    <row r="2651" spans="1:29" s="30" customFormat="1" ht="51.75" customHeight="1" thickBot="1">
      <c r="A2651" s="112" t="str">
        <f>"M"&amp;E2631</f>
        <v>M88</v>
      </c>
      <c r="B2651" s="791"/>
      <c r="C2651" s="770" t="s">
        <v>404</v>
      </c>
      <c r="D2651" s="771"/>
      <c r="E2651" s="514" t="s">
        <v>405</v>
      </c>
      <c r="F2651" s="515" t="s">
        <v>406</v>
      </c>
      <c r="G2651" s="824"/>
      <c r="H2651" s="793"/>
      <c r="I2651" s="793"/>
      <c r="J2651" s="504" t="s">
        <v>407</v>
      </c>
      <c r="K2651" s="516" t="s">
        <v>408</v>
      </c>
      <c r="L2651" s="517" t="s">
        <v>409</v>
      </c>
      <c r="M2651" s="517"/>
      <c r="N2651" s="528" t="s">
        <v>410</v>
      </c>
      <c r="O2651" s="529"/>
      <c r="P2651" s="386"/>
      <c r="Q2651" s="387" t="s">
        <v>411</v>
      </c>
      <c r="R2651" s="388"/>
      <c r="S2651" s="113">
        <f>COUNTIFS(H2635:H2644,"SI",O2635:O2644,"&gt;0")</f>
        <v>4</v>
      </c>
      <c r="T2651" s="785"/>
      <c r="U2651" s="787"/>
      <c r="V2651" s="813"/>
      <c r="W2651" s="284"/>
      <c r="X2651" s="780"/>
      <c r="Y2651" s="810"/>
      <c r="Z2651" s="810"/>
      <c r="AA2651" s="810"/>
      <c r="AB2651" s="809"/>
      <c r="AC2651" s="28"/>
    </row>
    <row r="2652" spans="1:29" s="30" customFormat="1" ht="15.75" customHeight="1">
      <c r="A2652" s="112" t="str">
        <f>"N"&amp;E2631</f>
        <v>N88</v>
      </c>
      <c r="B2652" s="791"/>
      <c r="C2652" s="54">
        <v>1</v>
      </c>
      <c r="D2652" s="100" t="str">
        <f>IF(AND(C2652&lt;=F2650,F2650&gt;1,F2650&lt;&gt;""),VLOOKUP(VALUE(E2631&amp;","&amp;C2652),INTEGRANTES!$D$19:$F$192,2,0),"")</f>
        <v/>
      </c>
      <c r="E2652" s="107" t="str">
        <f>IF(D2652&lt;&gt;"",VLOOKUP(VALUE(E2631&amp;","&amp;C2652),INTEGRANTES!$D$19:$F$192,3,0),"")</f>
        <v/>
      </c>
      <c r="F2652" s="380" t="str">
        <f>IF(D2652="","",IF(OR(SUMIF($J2638:$J2644,D2652,$O2638:$O2644)=0,N2652="NO"),"NO APORTA",SUMIF($J2638:$J2644,D2652,$O2638:$O2644)))</f>
        <v/>
      </c>
      <c r="G2652" s="380" t="str">
        <f>IF($D2652="","",IF($F2650&lt;=1,"",ROUND(POSMMLV*PORPO,2)))</f>
        <v/>
      </c>
      <c r="H2652" s="765" t="str">
        <f>IF($D2652="","",IF(OR(F2652="NO APORTA",G2652&gt;F2652),"NO CUMPLE","CUMPLE"))</f>
        <v/>
      </c>
      <c r="I2652" s="766"/>
      <c r="J2652" s="108" t="str">
        <f>IF(D2652="","",IF(OR(AND(SUMIF($J2635:$J2644,D2652,$O2635:$O2644)&gt;=5%*POSMMLV,N2652="SI"),AND(SUMIF($J2635:$J2644,D2652,$O2635:$O2644)=0,E2652&lt;=5%,N2652="SI")),"CUMPLE","NO CUMPLE"))</f>
        <v/>
      </c>
      <c r="K2652" s="105" t="str">
        <f>IF(OR(D2652="",J2652=""),"",IF(AND(J2652="NO CUMPLE",F2652="NO APORTA",E2652&gt;5%),"EXP = 0 y PART &gt; 5%",IF(F2652&lt;5%*Q2657,"EXP &lt; 5%*PO","")))</f>
        <v/>
      </c>
      <c r="L2652" s="389" t="str">
        <f>IF(OR(D2652="",E2652=""),"",IF(AND(E2652&gt;=0.25,F2652&lt;&gt;"NO APORTA",F2652&gt;=$R2657*0.25),"SI","NO"))</f>
        <v/>
      </c>
      <c r="M2652" s="389"/>
      <c r="N2652" s="468" t="s">
        <v>385</v>
      </c>
      <c r="O2652" s="396">
        <f>COUNTIFS(O2635:O2644,"&gt;0",H2635:H2644,"SI")</f>
        <v>4</v>
      </c>
      <c r="P2652" s="814" t="s">
        <v>139</v>
      </c>
      <c r="Q2652" s="814"/>
      <c r="R2652" s="817">
        <f>E2631</f>
        <v>88</v>
      </c>
      <c r="S2652" s="818"/>
      <c r="T2652" s="784" t="s">
        <v>412</v>
      </c>
      <c r="U2652" s="773"/>
      <c r="V2652" s="774"/>
      <c r="W2652" s="283"/>
      <c r="X2652" s="542" t="str">
        <f>IF($F2650=1,"NO APLICA",$D2652)</f>
        <v>NO APLICA</v>
      </c>
      <c r="Y2652" s="543" t="str">
        <f>IF(OR($F2652="",$F2652="NO APORTA",$R2657=0,$X2652="NO APLICA"),"",ROUND($F2652/$Q2657,2))</f>
        <v/>
      </c>
      <c r="Z2652" s="544" t="str">
        <f>IF(Y2658=1,"SI APLICA",IF(OR($X2652="",$X2652="NO APLICA",$F2652="",$F2652="NO APORTA"),"",IF(ROUND($F2652/Q2657,7)&gt;=0.4,"SI APLICA","NO APLICA")))</f>
        <v>SI APLICA</v>
      </c>
      <c r="AA2652" s="543" t="s">
        <v>413</v>
      </c>
      <c r="AB2652" s="540" t="str">
        <f>IF(COUNTIF(Z2652:AA2652,"SI APLICA")=2,"SI APLICA","")</f>
        <v>SI APLICA</v>
      </c>
      <c r="AC2652" s="28"/>
    </row>
    <row r="2653" spans="1:29" s="30" customFormat="1" ht="15.75" customHeight="1" thickBot="1">
      <c r="A2653" s="112" t="str">
        <f>"O"&amp;E2631</f>
        <v>O88</v>
      </c>
      <c r="B2653" s="791"/>
      <c r="C2653" s="54">
        <v>2</v>
      </c>
      <c r="D2653" s="100" t="str">
        <f>IF(AND(C2653&lt;=F2650,F2650&lt;&gt;""),VLOOKUP(VALUE(E2631&amp;","&amp;C2653),INTEGRANTES!$D$19:$F$192,2,0),"")</f>
        <v/>
      </c>
      <c r="E2653" s="107" t="str">
        <f>IF(D2653&lt;&gt;"",VLOOKUP(VALUE(E2631&amp;","&amp;C2653),INTEGRANTES!$D$19:$F$192,3,0),"")</f>
        <v/>
      </c>
      <c r="F2653" s="380" t="str">
        <f>IF(D2653="","",IF(OR(SUMIF($J2638:$J2644,D2653,$O2638:$O2644)=0,N2653="NO"),"NO APORTA",SUMIF($J2638:$J2644,D2653,$O2638:$O2644)))</f>
        <v/>
      </c>
      <c r="G2653" s="380" t="str">
        <f>IF($D2653="","",IF($F2650&lt;=1,"",ROUND(POSMMLV*PORPO,2)))</f>
        <v/>
      </c>
      <c r="H2653" s="765" t="str">
        <f t="shared" ref="H2653:H2656" si="531">IF($D2653="","",IF(OR(F2653="NO APORTA",G2653&gt;F2653),"NO CUMPLE","CUMPLE"))</f>
        <v/>
      </c>
      <c r="I2653" s="766"/>
      <c r="J2653" s="108" t="str">
        <f>IF(D2653="","",IF(OR(AND(SUMIF($J2635:$J2644,D2653,$O2635:$O2644)&gt;=5%*POSMMLV,N2653="SI"),AND(SUMIF($J2635:$J2644,D2653,$O2635:$O2644)=0,E2653&lt;=5%,N2653="SI")),"CUMPLE","NO CUMPLE"))</f>
        <v/>
      </c>
      <c r="K2653" s="105" t="str">
        <f>IF(OR(D2653="",J2653=""),"",IF(AND(J2653="NO CUMPLE",F2653="NO APORTA",E2653&gt;5%),"EXP = 0 y PART &gt; 5%",IF(F2653&lt;5%*Q2657,"EXP &lt; 5%*PO","")))</f>
        <v/>
      </c>
      <c r="L2653" s="389" t="str">
        <f>IF(OR(D2653="",E2653=""),"",IF(AND(E2653&gt;=0.25,F2653&lt;&gt;"NO APORTA",F2653&gt;=$R2657*0.25),"SI","NO"))</f>
        <v/>
      </c>
      <c r="M2653" s="389"/>
      <c r="N2653" s="468" t="s">
        <v>385</v>
      </c>
      <c r="O2653" s="396"/>
      <c r="P2653" s="815"/>
      <c r="Q2653" s="815"/>
      <c r="R2653" s="815"/>
      <c r="S2653" s="819"/>
      <c r="T2653" s="785"/>
      <c r="U2653" s="786"/>
      <c r="V2653" s="787"/>
      <c r="W2653" s="283"/>
      <c r="X2653" s="542" t="str">
        <f>IF($F2650=1,"NO APLICA",$D2653)</f>
        <v>NO APLICA</v>
      </c>
      <c r="Y2653" s="543" t="str">
        <f>IF(OR($F2653="",$F2653="NO APORTA",$R2657=0,$X2653="NO APLICA"),"",ROUND($F2653/$Q2657,2))</f>
        <v/>
      </c>
      <c r="Z2653" s="544"/>
      <c r="AA2653" s="543" t="s">
        <v>413</v>
      </c>
      <c r="AB2653" s="540" t="str">
        <f t="shared" ref="AB2653" si="532">IF(COUNTIF(Z2653:AA2653,"SI APLICA")=2,"SI APLICA","")</f>
        <v/>
      </c>
      <c r="AC2653" s="28"/>
    </row>
    <row r="2654" spans="1:29" s="30" customFormat="1" ht="15.75" customHeight="1">
      <c r="A2654" s="112" t="str">
        <f>"P"&amp;E2631</f>
        <v>P88</v>
      </c>
      <c r="B2654" s="791"/>
      <c r="C2654" s="54">
        <v>3</v>
      </c>
      <c r="D2654" s="100" t="str">
        <f>IF(AND(C2654&lt;=F2650,F2650&lt;&gt;""),VLOOKUP(VALUE(E2631&amp;","&amp;C2654),INTEGRANTES!$D$19:$F$192,2,0),"")</f>
        <v/>
      </c>
      <c r="E2654" s="107" t="str">
        <f>IF(D2654&lt;&gt;"",VLOOKUP(VALUE(E2631&amp;","&amp;C2654),INTEGRANTES!$D$19:$F$192,3,0),"")</f>
        <v/>
      </c>
      <c r="F2654" s="380" t="str">
        <f>IF(D2654="","",IF(OR(SUMIF($J2638:$J2644,D2654,$O2638:$O2644)=0,N2654="NO"),"NO APORTA",SUMIF($J2638:$J2644,D2654,$O2638:$O2644)))</f>
        <v/>
      </c>
      <c r="G2654" s="380" t="str">
        <f>IF($D2654="","",IF($F2650&lt;=1,"",ROUND(POSMMLV*PORPO,2)))</f>
        <v/>
      </c>
      <c r="H2654" s="765" t="str">
        <f t="shared" si="531"/>
        <v/>
      </c>
      <c r="I2654" s="766"/>
      <c r="J2654" s="108" t="str">
        <f>IF(D2654="","",IF(OR(AND(SUMIF($J2635:$J2644,D2654,$O2635:$O2644)&gt;=5%*POSMMLV,N2654="SI"),AND(SUMIF($J2635:$J2644,D2654,$O2635:$O2644)=0,E2654&lt;=5%,N2654="SI")),"CUMPLE","NO CUMPLE"))</f>
        <v/>
      </c>
      <c r="K2654" s="105" t="str">
        <f>IF(OR(D2654="",J2654=""),"",IF(AND(J2654="NO CUMPLE",F2654="NO APORTA",E2654&gt;5%),"EXP = 0 y PART &gt; 5%",IF(F2654&lt;5%*Q2657,"EXP &lt; 5%*PO","")))</f>
        <v/>
      </c>
      <c r="L2654" s="389" t="str">
        <f>IF(OR(D2654="",E2654=""),"",IF(AND(E2654&gt;=0.25,F2654&lt;&gt;"NO APORTA",F2654&gt;=$R2657*0.25),"SI","NO"))</f>
        <v/>
      </c>
      <c r="M2654" s="389"/>
      <c r="N2654" s="468" t="s">
        <v>385</v>
      </c>
      <c r="O2654" s="397"/>
      <c r="P2654" s="816"/>
      <c r="Q2654" s="816"/>
      <c r="R2654" s="816"/>
      <c r="S2654" s="820"/>
      <c r="T2654" s="308"/>
      <c r="U2654" s="308"/>
      <c r="V2654" s="309"/>
      <c r="W2654" s="284"/>
      <c r="X2654" s="542" t="str">
        <f>IF($F2650=1,"NO APLICA",$D2654)</f>
        <v>NO APLICA</v>
      </c>
      <c r="Y2654" s="543" t="str">
        <f>IF(OR($F2654="",$F2654="NO APORTA",$R2657=0,$X2654="NO APLICA"),"",ROUND($F2654/$Q2657,2))</f>
        <v/>
      </c>
      <c r="Z2654" s="544"/>
      <c r="AA2654" s="543"/>
      <c r="AB2654" s="540" t="str">
        <f>IF(COUNTIF(Z2654:AA2654,"SI APLICA")=2,"SI APLICA","")</f>
        <v/>
      </c>
      <c r="AC2654" s="28"/>
    </row>
    <row r="2655" spans="1:29" s="30" customFormat="1" ht="15.75" customHeight="1">
      <c r="A2655" s="112" t="str">
        <f>"Q"&amp;E2631</f>
        <v>Q88</v>
      </c>
      <c r="B2655" s="791"/>
      <c r="C2655" s="54">
        <v>4</v>
      </c>
      <c r="D2655" s="100" t="str">
        <f>IF(AND(C2655&lt;=F2650,F2650&lt;&gt;""),VLOOKUP(VALUE(E2631&amp;","&amp;C2655),INTEGRANTES!$D$19:$F$192,2,0),"")</f>
        <v/>
      </c>
      <c r="E2655" s="107" t="str">
        <f>IF(D2655&lt;&gt;"",VLOOKUP(VALUE(E2631&amp;","&amp;C2655),INTEGRANTES!$D$19:$F$192,3,0),"")</f>
        <v/>
      </c>
      <c r="F2655" s="380" t="str">
        <f>IF(D2655="","",IF(OR(SUMIF($J2638:$J2644,D2655,$O2638:$O2644)=0,N2655="NO"),"NO APORTA",SUMIF($J2638:$J2644,D2655,$O2638:$O2644)))</f>
        <v/>
      </c>
      <c r="G2655" s="380" t="str">
        <f>IF($D2655="","",IF($F2650&lt;=1,"",ROUND(POSMMLV*PORPO,2)))</f>
        <v/>
      </c>
      <c r="H2655" s="765" t="str">
        <f t="shared" si="531"/>
        <v/>
      </c>
      <c r="I2655" s="766"/>
      <c r="J2655" s="108" t="str">
        <f>IF(D2655="","",IF(OR(AND(SUMIF($J2635:$J2644,D2655,$O2635:$O2644)&gt;=5%*POSMMLV,N2655="SI"),AND(SUMIF($J2635:$J2644,D2655,$O2635:$O2644)=0,E2655&lt;=5%,N2655="SI")),"CUMPLE","NO CUMPLE"))</f>
        <v/>
      </c>
      <c r="K2655" s="105" t="str">
        <f>IF(OR(D2655="",J2655=""),"",IF(AND(J2655="NO CUMPLE",F2655="NO APORTA",E2655&gt;5%),"EXP = 0 y PART &gt; 5%",IF(F2655&lt;5%*Q2657,"EXP &lt; 5%*PO","")))</f>
        <v/>
      </c>
      <c r="L2655" s="389" t="str">
        <f>IF(OR(D2655="",E2655=""),"",IF(AND(E2655&gt;=0.25,F2655&lt;&gt;"NO APORTA",F2655&gt;=$R2657*0.25),"SI","NO"))</f>
        <v/>
      </c>
      <c r="M2655" s="389"/>
      <c r="N2655" s="468" t="s">
        <v>385</v>
      </c>
      <c r="O2655" s="788" t="s">
        <v>414</v>
      </c>
      <c r="P2655" s="769" t="s">
        <v>415</v>
      </c>
      <c r="Q2655" s="770"/>
      <c r="R2655" s="770"/>
      <c r="S2655" s="771"/>
      <c r="T2655" s="284"/>
      <c r="U2655" s="284"/>
      <c r="V2655" s="310"/>
      <c r="W2655" s="284"/>
      <c r="X2655" s="542" t="str">
        <f>IF($F2650=1,"NO APLICA",$D2655)</f>
        <v>NO APLICA</v>
      </c>
      <c r="Y2655" s="543" t="str">
        <f>IF(OR($F2655="",$F2655="NO APORTA",$R2657=0,$X2655="NO APLICA"),"",ROUND($F2655/$Q2657,2))</f>
        <v/>
      </c>
      <c r="Z2655" s="544"/>
      <c r="AA2655" s="543"/>
      <c r="AB2655" s="540" t="str">
        <f t="shared" ref="AB2655:AB2656" si="533">IF(COUNTIF(Z2655:AA2655,"SI APLICA")=2,"SI APLICA","")</f>
        <v/>
      </c>
      <c r="AC2655" s="28"/>
    </row>
    <row r="2656" spans="1:29" s="30" customFormat="1" ht="17.25" customHeight="1">
      <c r="A2656" s="112" t="str">
        <f>"R"&amp;E2631</f>
        <v>R88</v>
      </c>
      <c r="B2656" s="791"/>
      <c r="C2656" s="54">
        <v>5</v>
      </c>
      <c r="D2656" s="100" t="str">
        <f>IF(AND(C2656&lt;=F2650,F2650&lt;&gt;""),VLOOKUP(VALUE(E2631&amp;","&amp;C2656),INTEGRANTES!$D$19:$F$192,2,0),"")</f>
        <v/>
      </c>
      <c r="E2656" s="107" t="str">
        <f>IF(D2656&lt;&gt;"",VLOOKUP(VALUE(E2631&amp;","&amp;C2656),INTEGRANTES!$D$19:$F$192,3,0),"")</f>
        <v/>
      </c>
      <c r="F2656" s="380" t="str">
        <f>IF(D2656="","",IF(OR(SUMIF($J2638:$J2644,D2656,$O2638:$O2644)=0,N2656="NO"),"NO APORTA",SUMIF($J2638:$J2644,D2656,$O2638:$O2644)))</f>
        <v/>
      </c>
      <c r="G2656" s="380" t="str">
        <f>IF($D2656="","",IF($F2650&lt;=1,"",ROUND(POSMMLV*PORPO,2)))</f>
        <v/>
      </c>
      <c r="H2656" s="765" t="str">
        <f t="shared" si="531"/>
        <v/>
      </c>
      <c r="I2656" s="766"/>
      <c r="J2656" s="108" t="str">
        <f>IF(D2656="","",IF(OR(AND(SUMIF($J2635:$J2644,D2656,$O2635:$O2644)&gt;=5%*POSMMLV,N2656="SI"),AND(SUMIF($J2635:$J2644,D2656,$O2635:$O2644)=0,E2656&lt;=5%,N2656="SI")),"CUMPLE","NO CUMPLE"))</f>
        <v/>
      </c>
      <c r="K2656" s="105" t="str">
        <f>IF(OR(D2656="",J2656=""),"",IF(AND(J2656="NO CUMPLE",F2656="NO APORTA",E2656&gt;5%),"EXP = 0 y PART &gt; 5%",IF(F2656&lt;5%*Q2657,"EXP &lt; 5%*PO","")))</f>
        <v/>
      </c>
      <c r="L2656" s="389" t="str">
        <f>IF(OR(D2656="",E2656=""),"",IF(AND(E2656&gt;=0.25,F2656&lt;&gt;"NO APORTA",F2656&gt;=$R2657*0.25),"SI","NO"))</f>
        <v/>
      </c>
      <c r="M2656" s="389"/>
      <c r="N2656" s="468" t="s">
        <v>385</v>
      </c>
      <c r="O2656" s="789"/>
      <c r="P2656" s="504" t="s">
        <v>416</v>
      </c>
      <c r="Q2656" s="504" t="s">
        <v>417</v>
      </c>
      <c r="R2656" s="793" t="s">
        <v>418</v>
      </c>
      <c r="S2656" s="793"/>
      <c r="T2656" s="284"/>
      <c r="U2656" s="284"/>
      <c r="V2656" s="310"/>
      <c r="W2656" s="284"/>
      <c r="X2656" s="542" t="str">
        <f>IF($F2650=1,"NO APLICA",$D2656)</f>
        <v>NO APLICA</v>
      </c>
      <c r="Y2656" s="543" t="str">
        <f>IF(OR($F2656="",$F2656="NO APORTA",$R2657=0,$X2656="NO APLICA"),"",ROUND($F2656/$Q2657,2))</f>
        <v/>
      </c>
      <c r="Z2656" s="544"/>
      <c r="AA2656" s="543"/>
      <c r="AB2656" s="540" t="str">
        <f t="shared" si="533"/>
        <v/>
      </c>
      <c r="AC2656" s="28"/>
    </row>
    <row r="2657" spans="1:29" s="30" customFormat="1" ht="16.5" customHeight="1" thickBot="1">
      <c r="A2657" s="112" t="str">
        <f>"S"&amp;E2631</f>
        <v>S88</v>
      </c>
      <c r="B2657" s="791"/>
      <c r="C2657" s="109">
        <v>6</v>
      </c>
      <c r="D2657" s="110" t="str">
        <f>IF(AND(C2657&lt;=F2650,F2650&lt;&gt;""),VLOOKUP(VALUE(E2631&amp;","&amp;C2657),INTEGRANTES!$D$19:$F$192,2,0),"")</f>
        <v/>
      </c>
      <c r="E2657" s="111" t="str">
        <f>IF(D2657&lt;&gt;"",VLOOKUP(VALUE(E2631&amp;","&amp;C2657),INTEGRANTES!$D$19:$F$192,3,0),"")</f>
        <v/>
      </c>
      <c r="F2657" s="380" t="str">
        <f>IF(D2657="","",IF(OR(SUMIF($J2638:$J2644,D2657,$O2638:$O2644)=0,N2657="NO"),"NO APORTA",SUMIF($J2638:$J2644,D2657,$O2638:$O2644)))</f>
        <v/>
      </c>
      <c r="G2657" s="380" t="str">
        <f>IF($D2657="","",IF($F2650&lt;=1,"",ROUND(POSMMLV*PORPO,2)))</f>
        <v/>
      </c>
      <c r="H2657" s="765" t="str">
        <f>IF($D2657="","",IF(OR(F2657="NO APORTA",G2657&gt;F2657),"NO CUMPLE","CUMPLE"))</f>
        <v/>
      </c>
      <c r="I2657" s="766"/>
      <c r="J2657" s="108" t="str">
        <f>IF(D2657="","",IF(OR(AND(SUMIF($J2635:$J2644,D2657,$O2635:$O2644)&gt;=5%*POSMMLV,N2657="SI"),AND(SUMIF($J2635:$J2644,D2657,$O2635:$O2644)=0,E2657&lt;=5%,N2657="SI")),"CUMPLE","NO CUMPLE"))</f>
        <v/>
      </c>
      <c r="K2657" s="105" t="str">
        <f>IF(OR(D2657="",J2657=""),"",IF(AND(J2657="NO CUMPLE",F2657="NO APORTA",E2657&gt;5%),"EXP = 0 y PART &gt; 5%",IF(F2657&lt;5%*Q2657,"EXP &lt; 5%*PO","")))</f>
        <v/>
      </c>
      <c r="L2657" s="389" t="str">
        <f>IF(OR(D2657="",E2657=""),"",IF(AND(E2657&gt;=0.25,F2657&lt;&gt;"NO APORTA",F2657&gt;=$R2657*0.25),"SI","NO"))</f>
        <v/>
      </c>
      <c r="M2657" s="389"/>
      <c r="N2657" s="468" t="s">
        <v>385</v>
      </c>
      <c r="O2657" s="403" t="str">
        <f ca="1">IF(R2657&gt;=Q2657,"CUMPLE","NO CUMPLE")</f>
        <v>CUMPLE</v>
      </c>
      <c r="P2657" s="312">
        <f>NUMMOD</f>
        <v>1</v>
      </c>
      <c r="Q2657" s="313">
        <f ca="1">IF(P2657="","",ROUND(VLOOKUP(P2657,PRESUPUESTOS!$B$16:$L$16,9,FALSE),7))</f>
        <v>300</v>
      </c>
      <c r="R2657" s="834">
        <f>IF(OR(COUNTIF(O2635:O2644,"")&gt;9,S2651&lt;NUMMINCONT),0,SUM(O2635:O2644))</f>
        <v>1338.58</v>
      </c>
      <c r="S2657" s="834"/>
      <c r="T2657" s="284"/>
      <c r="U2657" s="284"/>
      <c r="V2657" s="310"/>
      <c r="W2657" s="284"/>
      <c r="X2657" s="545" t="str">
        <f>IF($F2650=1,"NO APLICA",$D2657)</f>
        <v>NO APLICA</v>
      </c>
      <c r="Y2657" s="543" t="str">
        <f>IF(OR($F2657="",$F2657="NO APORTA",$R2657=0,$X2657="NO APLICA"),"",ROUND($F2657/$Q2657,2))</f>
        <v/>
      </c>
      <c r="Z2657" s="544"/>
      <c r="AA2657" s="546"/>
      <c r="AB2657" s="540" t="str">
        <f>IF(COUNTIF(Z2657:AA2657,"SI APLICA")=2,"SI APLICA","")</f>
        <v/>
      </c>
      <c r="AC2657" s="28"/>
    </row>
    <row r="2658" spans="1:29" s="30" customFormat="1" ht="16.5" customHeight="1" thickBot="1">
      <c r="A2658" s="112" t="str">
        <f>"T"&amp;E2631</f>
        <v>T88</v>
      </c>
      <c r="B2658" s="792"/>
      <c r="C2658" s="821" t="s">
        <v>419</v>
      </c>
      <c r="D2658" s="822"/>
      <c r="E2658" s="822"/>
      <c r="F2658" s="518"/>
      <c r="G2658" s="519"/>
      <c r="H2658" s="794" t="str">
        <f>IF(OR($F2650="",SUM(E2652:E2657)=0),"",IF(COUNTIF(H2652:H2657,"CUMPLE")&gt;=1,"CUMPLE","NO CUMPLE"))</f>
        <v/>
      </c>
      <c r="I2658" s="795"/>
      <c r="J2658" s="314" t="str">
        <f>IF(COUNTIF(J2652:J2657,"")&gt;5,"",IF(COUNTIF(J2652:J2657,"NO CUMPLE")&gt;0,"NO CUMPLE","CUMPLE"))</f>
        <v/>
      </c>
      <c r="K2658" s="314" t="str">
        <f>IF(OR(AND(F2650=1,N2652="SI"),AND(COUNTIF(H2658:J2658,"CUMPLE")=2)),"CUMPLE","NO CUMPLE")</f>
        <v>CUMPLE</v>
      </c>
      <c r="L2658" s="519"/>
      <c r="M2658" s="519"/>
      <c r="N2658" s="519"/>
      <c r="O2658" s="833" t="str">
        <f ca="1">IF(ISNUMBER(F2631),"",IF(AND(O2657="NO CUMPLE",SUM(N2638:N2644)&lt;Q2657),"EL PROPONENTE SE DEBE REQUERIR POR EXPERIENCIA MINIMA EXIGIDA",""))</f>
        <v/>
      </c>
      <c r="P2658" s="833"/>
      <c r="Q2658" s="833"/>
      <c r="R2658" s="833"/>
      <c r="S2658" s="833"/>
      <c r="T2658" s="522"/>
      <c r="U2658" s="523"/>
      <c r="V2658" s="524"/>
      <c r="W2658" s="284"/>
      <c r="X2658" s="364" t="str">
        <f>IF(Y2658=1,"PROPONENTE INDIVIDUAL","PROPONENTE PLURAL")</f>
        <v>PROPONENTE INDIVIDUAL</v>
      </c>
      <c r="Y2658" s="276">
        <f>F2650</f>
        <v>1</v>
      </c>
      <c r="Z2658" s="277" t="str">
        <f>IF(OR(AND(Z2652="SI APLICA",AA2652="SI APLICA"),AND(Z2653="SI APLICA",AA2653="SI APLICA"),AND(Z2654="SI APLICA",AA2654="SI APLICA"),AND(Z2655="SI APLICA",AA2655="SI APLICA"),AND(Z2656="SI APLICA",AA2656="SI APLICA"),AND(Z2657="SI APLICA",AA2657="SI APLICA")),"SI APLICA","NO APLICA")</f>
        <v>SI APLICA</v>
      </c>
      <c r="AA2658" s="278" t="str">
        <f>IF(OR(AND(AA2652="SI APLICA",AB2652="SI APLICA"),AND(AA2653="SI APLICA",AB2653="SI APLICA"),AND(AA2654="SI APLICA",AB2654="SI APLICA"),AND(AA2655="SI APLICA",AB2655="SI APLICA"),AND(AA2656="SI APLICA",AB2656="SI APLICA"),AND(AA2657="SI APLICA",AB2657="SI APLICA")),"SI APLICA","NO APLICA")</f>
        <v>SI APLICA</v>
      </c>
      <c r="AB2658" s="278" t="str">
        <f>IF(COUNTIF(AB2652:AB2657,"SI APLICA")&gt;0,"SI APLICA","NO APLICA")</f>
        <v>SI APLICA</v>
      </c>
      <c r="AC2658" s="28"/>
    </row>
    <row r="2659" spans="1:29" ht="24.95" customHeight="1"/>
    <row r="2660" spans="1:29" ht="24.95" customHeight="1"/>
    <row r="2661" spans="1:29" s="41" customFormat="1" ht="24" thickBot="1">
      <c r="A2661" s="34">
        <v>89</v>
      </c>
      <c r="B2661" s="828" t="s">
        <v>355</v>
      </c>
      <c r="C2661" s="828"/>
      <c r="D2661" s="828"/>
      <c r="E2661" s="35">
        <f>VLOOKUP(A2661,PROPONENTES!$B$19:$E$108,2,FALSE)</f>
        <v>89</v>
      </c>
      <c r="F2661" s="36" t="str">
        <f>VLOOKUP(A2661,PROPONENTES!$B$19:$E$108,3,FALSE)</f>
        <v>CONSORCIO INTER C&amp;R</v>
      </c>
      <c r="G2661" s="37"/>
      <c r="H2661" s="37"/>
      <c r="I2661" s="36"/>
      <c r="J2661" s="36"/>
      <c r="K2661" s="36"/>
      <c r="L2661" s="36"/>
      <c r="M2661" s="38"/>
      <c r="N2661" s="38"/>
      <c r="O2661" s="37"/>
      <c r="P2661" s="37"/>
      <c r="Q2661" s="39"/>
      <c r="R2661" s="39"/>
      <c r="S2661" s="39"/>
      <c r="T2661" s="39"/>
      <c r="U2661" s="40"/>
      <c r="Y2661" s="52"/>
      <c r="Z2661" s="52"/>
      <c r="AA2661" s="52"/>
      <c r="AB2661" s="28"/>
      <c r="AC2661" s="28"/>
    </row>
    <row r="2662" spans="1:29" s="27" customFormat="1" ht="24.75" customHeight="1">
      <c r="A2662" s="22"/>
      <c r="B2662" s="829" t="s">
        <v>356</v>
      </c>
      <c r="C2662" s="501" t="s">
        <v>357</v>
      </c>
      <c r="D2662" s="502" t="s">
        <v>358</v>
      </c>
      <c r="E2662" s="502"/>
      <c r="F2662" s="502" t="s">
        <v>359</v>
      </c>
      <c r="G2662" s="503"/>
      <c r="H2662" s="803" t="s">
        <v>360</v>
      </c>
      <c r="I2662" s="831" t="s">
        <v>361</v>
      </c>
      <c r="J2662" s="803" t="s">
        <v>362</v>
      </c>
      <c r="K2662" s="803" t="s">
        <v>363</v>
      </c>
      <c r="L2662" s="803" t="s">
        <v>364</v>
      </c>
      <c r="M2662" s="803" t="s">
        <v>365</v>
      </c>
      <c r="N2662" s="804" t="s">
        <v>366</v>
      </c>
      <c r="O2662" s="805"/>
      <c r="P2662" s="806" t="s">
        <v>367</v>
      </c>
      <c r="Q2662" s="807"/>
      <c r="R2662" s="784" t="s">
        <v>368</v>
      </c>
      <c r="S2662" s="774"/>
      <c r="T2662" s="798" t="s">
        <v>369</v>
      </c>
      <c r="U2662" s="799"/>
      <c r="V2662" s="800"/>
      <c r="X2662" s="520"/>
      <c r="Y2662" s="520"/>
    </row>
    <row r="2663" spans="1:29" s="27" customFormat="1" ht="94.5" customHeight="1">
      <c r="A2663" s="22"/>
      <c r="B2663" s="830"/>
      <c r="C2663" s="504" t="s">
        <v>370</v>
      </c>
      <c r="D2663" s="505" t="s">
        <v>41</v>
      </c>
      <c r="E2663" s="505" t="s">
        <v>371</v>
      </c>
      <c r="F2663" s="505" t="s">
        <v>372</v>
      </c>
      <c r="G2663" s="506" t="s">
        <v>373</v>
      </c>
      <c r="H2663" s="793"/>
      <c r="I2663" s="832"/>
      <c r="J2663" s="793"/>
      <c r="K2663" s="793"/>
      <c r="L2663" s="793"/>
      <c r="M2663" s="793"/>
      <c r="N2663" s="504" t="s">
        <v>374</v>
      </c>
      <c r="O2663" s="505" t="s">
        <v>375</v>
      </c>
      <c r="P2663" s="801"/>
      <c r="Q2663" s="802"/>
      <c r="R2663" s="796"/>
      <c r="S2663" s="797"/>
      <c r="T2663" s="507" t="s">
        <v>376</v>
      </c>
      <c r="U2663" s="508" t="s">
        <v>377</v>
      </c>
      <c r="V2663" s="509" t="s">
        <v>378</v>
      </c>
      <c r="X2663" s="521" t="s">
        <v>379</v>
      </c>
      <c r="Y2663" s="521" t="s">
        <v>380</v>
      </c>
    </row>
    <row r="2664" spans="1:29" s="27" customFormat="1" ht="15" customHeight="1">
      <c r="A2664" s="22"/>
      <c r="B2664" s="594"/>
      <c r="C2664" s="595">
        <v>3</v>
      </c>
      <c r="D2664" s="595">
        <v>4</v>
      </c>
      <c r="E2664" s="595">
        <v>5</v>
      </c>
      <c r="F2664" s="595">
        <v>6</v>
      </c>
      <c r="G2664" s="595">
        <v>7</v>
      </c>
      <c r="H2664" s="595">
        <v>8</v>
      </c>
      <c r="I2664" s="595">
        <v>9</v>
      </c>
      <c r="J2664" s="595">
        <v>10</v>
      </c>
      <c r="K2664" s="595">
        <v>11</v>
      </c>
      <c r="L2664" s="595">
        <v>12</v>
      </c>
      <c r="M2664" s="595">
        <v>13</v>
      </c>
      <c r="N2664" s="595">
        <v>14</v>
      </c>
      <c r="O2664" s="595">
        <v>15</v>
      </c>
      <c r="P2664" s="596">
        <v>16</v>
      </c>
      <c r="Q2664" s="597">
        <v>17</v>
      </c>
      <c r="R2664" s="596">
        <v>18</v>
      </c>
      <c r="S2664" s="597">
        <v>19</v>
      </c>
      <c r="T2664" s="598">
        <v>20</v>
      </c>
      <c r="U2664" s="255">
        <v>21</v>
      </c>
      <c r="V2664" s="599">
        <v>22</v>
      </c>
      <c r="X2664" s="589"/>
      <c r="Y2664" s="590"/>
    </row>
    <row r="2665" spans="1:29" s="44" customFormat="1" ht="63" customHeight="1">
      <c r="A2665" s="42" t="str">
        <f>"A"&amp;E2661</f>
        <v>A89</v>
      </c>
      <c r="B2665" s="605">
        <f>IF(C2665&lt;&gt;"",B2664+1,"")</f>
        <v>1</v>
      </c>
      <c r="C2665" s="581" t="s">
        <v>1092</v>
      </c>
      <c r="D2665" s="581" t="s">
        <v>1093</v>
      </c>
      <c r="E2665" s="581" t="s">
        <v>1094</v>
      </c>
      <c r="F2665" s="581" t="s">
        <v>431</v>
      </c>
      <c r="G2665" s="534">
        <v>0.55000000000000004</v>
      </c>
      <c r="H2665" s="534" t="s">
        <v>385</v>
      </c>
      <c r="I2665" s="579">
        <v>1</v>
      </c>
      <c r="J2665" s="580" t="str">
        <f>IF(I2665="","",IF(I2665="I",$F2661,VLOOKUP(I2665,$C2682:$D2687,2,0)))</f>
        <v>R&amp;J INGENIERIA SAS</v>
      </c>
      <c r="K2665" s="535">
        <v>43161</v>
      </c>
      <c r="L2665" s="535">
        <v>43374</v>
      </c>
      <c r="M2665" s="536">
        <v>864.11</v>
      </c>
      <c r="N2665" s="232">
        <f t="shared" ref="N2665:N2674" si="534">IF(OR(G2665="",M2665=""),"",M2665*G2665)</f>
        <v>475.26050000000004</v>
      </c>
      <c r="O2665" s="260">
        <f t="shared" ref="O2665:O2674" si="535">IF(OR(H2665="",H2665="NO",K2665&lt;$Q$17,K2665&gt;$R$17,K2665="",M2665="",N2665=""),"",ROUND(N2665,7))</f>
        <v>475.26049999999998</v>
      </c>
      <c r="P2665" s="781"/>
      <c r="Q2665" s="782"/>
      <c r="R2665" s="767"/>
      <c r="S2665" s="768"/>
      <c r="T2665" s="538" t="s">
        <v>385</v>
      </c>
      <c r="U2665" s="539">
        <v>35</v>
      </c>
      <c r="V2665" s="540" t="s">
        <v>385</v>
      </c>
      <c r="X2665" s="541" t="s">
        <v>386</v>
      </c>
      <c r="Y2665" s="541" t="s">
        <v>387</v>
      </c>
    </row>
    <row r="2666" spans="1:29" s="44" customFormat="1" ht="24.95" customHeight="1">
      <c r="A2666" s="42" t="str">
        <f>"B"&amp;E2661</f>
        <v>B89</v>
      </c>
      <c r="B2666" s="605" t="str">
        <f t="shared" ref="B2666:B2674" si="536">IF(C2666&lt;&gt;"",B2665+1,"")</f>
        <v/>
      </c>
      <c r="C2666" s="581"/>
      <c r="D2666" s="581"/>
      <c r="E2666" s="581"/>
      <c r="F2666" s="581"/>
      <c r="G2666" s="534"/>
      <c r="H2666" s="534"/>
      <c r="I2666" s="579"/>
      <c r="J2666" s="580" t="str">
        <f>IF(I2666="","",IF(I2666="I",$F2661,VLOOKUP(I2666,$C2682:$D2687,2,0)))</f>
        <v/>
      </c>
      <c r="K2666" s="535"/>
      <c r="L2666" s="535"/>
      <c r="M2666" s="536"/>
      <c r="N2666" s="232" t="str">
        <f t="shared" si="534"/>
        <v/>
      </c>
      <c r="O2666" s="260" t="str">
        <f t="shared" si="535"/>
        <v/>
      </c>
      <c r="P2666" s="781"/>
      <c r="Q2666" s="782"/>
      <c r="R2666" s="767"/>
      <c r="S2666" s="768"/>
      <c r="T2666" s="538"/>
      <c r="U2666" s="539"/>
      <c r="V2666" s="540"/>
      <c r="X2666" s="541"/>
      <c r="Y2666" s="541"/>
    </row>
    <row r="2667" spans="1:29" s="44" customFormat="1" ht="24.95" customHeight="1">
      <c r="A2667" s="42" t="str">
        <f>"C"&amp;E2661</f>
        <v>C89</v>
      </c>
      <c r="B2667" s="605" t="str">
        <f t="shared" si="536"/>
        <v/>
      </c>
      <c r="C2667" s="581"/>
      <c r="D2667" s="581"/>
      <c r="E2667" s="581"/>
      <c r="F2667" s="581"/>
      <c r="G2667" s="534"/>
      <c r="H2667" s="534"/>
      <c r="I2667" s="579"/>
      <c r="J2667" s="580" t="str">
        <f>IF(I2667="","",IF(I2667="I",$F2661,VLOOKUP(I2667,$C2682:$D2687,2,0)))</f>
        <v/>
      </c>
      <c r="K2667" s="535"/>
      <c r="L2667" s="535"/>
      <c r="M2667" s="536"/>
      <c r="N2667" s="232" t="str">
        <f t="shared" si="534"/>
        <v/>
      </c>
      <c r="O2667" s="260" t="str">
        <f t="shared" si="535"/>
        <v/>
      </c>
      <c r="P2667" s="781"/>
      <c r="Q2667" s="782"/>
      <c r="R2667" s="767"/>
      <c r="S2667" s="768"/>
      <c r="T2667" s="538"/>
      <c r="U2667" s="539"/>
      <c r="V2667" s="540"/>
      <c r="X2667" s="541"/>
      <c r="Y2667" s="541"/>
    </row>
    <row r="2668" spans="1:29" s="44" customFormat="1" ht="24.95" customHeight="1">
      <c r="A2668" s="42" t="str">
        <f>"D"&amp;E2661</f>
        <v>D89</v>
      </c>
      <c r="B2668" s="605" t="str">
        <f t="shared" si="536"/>
        <v/>
      </c>
      <c r="C2668" s="581"/>
      <c r="D2668" s="581"/>
      <c r="E2668" s="581"/>
      <c r="F2668" s="581"/>
      <c r="G2668" s="534"/>
      <c r="H2668" s="534"/>
      <c r="I2668" s="579"/>
      <c r="J2668" s="580" t="str">
        <f>IF(I2668="","",IF(I2668="I",$F2661,VLOOKUP(I2668,$C2682:$D2687,2,0)))</f>
        <v/>
      </c>
      <c r="K2668" s="535"/>
      <c r="L2668" s="535"/>
      <c r="M2668" s="536"/>
      <c r="N2668" s="232" t="str">
        <f t="shared" si="534"/>
        <v/>
      </c>
      <c r="O2668" s="260" t="str">
        <f t="shared" si="535"/>
        <v/>
      </c>
      <c r="P2668" s="781"/>
      <c r="Q2668" s="782"/>
      <c r="R2668" s="767"/>
      <c r="S2668" s="768"/>
      <c r="T2668" s="538"/>
      <c r="U2668" s="539"/>
      <c r="V2668" s="540"/>
      <c r="X2668" s="541"/>
      <c r="Y2668" s="541"/>
    </row>
    <row r="2669" spans="1:29" s="44" customFormat="1" ht="24.95" customHeight="1">
      <c r="A2669" s="42" t="str">
        <f>"E"&amp;E2661</f>
        <v>E89</v>
      </c>
      <c r="B2669" s="605" t="str">
        <f t="shared" si="536"/>
        <v/>
      </c>
      <c r="C2669" s="581"/>
      <c r="D2669" s="581"/>
      <c r="E2669" s="581"/>
      <c r="F2669" s="581"/>
      <c r="G2669" s="534"/>
      <c r="H2669" s="534"/>
      <c r="I2669" s="579"/>
      <c r="J2669" s="580" t="str">
        <f>IF(I2669="","",IF(I2669="I",$F2661,VLOOKUP(I2669,$C2682:$D2687,2,0)))</f>
        <v/>
      </c>
      <c r="K2669" s="535"/>
      <c r="L2669" s="535"/>
      <c r="M2669" s="536"/>
      <c r="N2669" s="232" t="str">
        <f t="shared" si="534"/>
        <v/>
      </c>
      <c r="O2669" s="260" t="str">
        <f t="shared" si="535"/>
        <v/>
      </c>
      <c r="P2669" s="781"/>
      <c r="Q2669" s="782"/>
      <c r="R2669" s="767"/>
      <c r="S2669" s="768"/>
      <c r="T2669" s="538"/>
      <c r="U2669" s="539"/>
      <c r="V2669" s="540"/>
      <c r="X2669" s="541"/>
      <c r="Y2669" s="541"/>
    </row>
    <row r="2670" spans="1:29" s="44" customFormat="1" ht="24.95" customHeight="1">
      <c r="A2670" s="42" t="str">
        <f>"F"&amp;E2661</f>
        <v>F89</v>
      </c>
      <c r="B2670" s="605" t="str">
        <f t="shared" si="536"/>
        <v/>
      </c>
      <c r="C2670" s="581"/>
      <c r="D2670" s="581"/>
      <c r="E2670" s="581"/>
      <c r="F2670" s="581"/>
      <c r="G2670" s="534"/>
      <c r="H2670" s="534"/>
      <c r="I2670" s="579"/>
      <c r="J2670" s="580" t="str">
        <f>IF(I2670="","",IF(I2670="I",$F2661,VLOOKUP(I2670,$C2682:$D2687,2,0)))</f>
        <v/>
      </c>
      <c r="K2670" s="535"/>
      <c r="L2670" s="535"/>
      <c r="M2670" s="536"/>
      <c r="N2670" s="232" t="str">
        <f t="shared" si="534"/>
        <v/>
      </c>
      <c r="O2670" s="260" t="str">
        <f t="shared" si="535"/>
        <v/>
      </c>
      <c r="P2670" s="781"/>
      <c r="Q2670" s="782"/>
      <c r="R2670" s="767"/>
      <c r="S2670" s="768"/>
      <c r="T2670" s="538"/>
      <c r="U2670" s="539"/>
      <c r="V2670" s="540"/>
      <c r="X2670" s="541"/>
      <c r="Y2670" s="541"/>
    </row>
    <row r="2671" spans="1:29" s="44" customFormat="1" ht="24.95" customHeight="1">
      <c r="A2671" s="42" t="str">
        <f>"G"&amp;E2661</f>
        <v>G89</v>
      </c>
      <c r="B2671" s="605" t="str">
        <f t="shared" si="536"/>
        <v/>
      </c>
      <c r="C2671" s="581"/>
      <c r="D2671" s="581"/>
      <c r="E2671" s="581"/>
      <c r="F2671" s="581"/>
      <c r="G2671" s="534"/>
      <c r="H2671" s="534"/>
      <c r="I2671" s="579"/>
      <c r="J2671" s="580" t="str">
        <f>IF(I2671="","",IF(I2671="I",$F2661,VLOOKUP(I2671,$C2682:$D2687,2,0)))</f>
        <v/>
      </c>
      <c r="K2671" s="535"/>
      <c r="L2671" s="535"/>
      <c r="M2671" s="536"/>
      <c r="N2671" s="43" t="str">
        <f t="shared" si="534"/>
        <v/>
      </c>
      <c r="O2671" s="260" t="str">
        <f t="shared" si="535"/>
        <v/>
      </c>
      <c r="P2671" s="781"/>
      <c r="Q2671" s="782"/>
      <c r="R2671" s="767"/>
      <c r="S2671" s="768"/>
      <c r="T2671" s="538"/>
      <c r="U2671" s="539"/>
      <c r="V2671" s="540"/>
      <c r="X2671" s="541"/>
      <c r="Y2671" s="541"/>
    </row>
    <row r="2672" spans="1:29" s="44" customFormat="1" ht="24.95" customHeight="1">
      <c r="A2672" s="42" t="str">
        <f>"H"&amp;E2661</f>
        <v>H89</v>
      </c>
      <c r="B2672" s="605" t="str">
        <f t="shared" si="536"/>
        <v/>
      </c>
      <c r="C2672" s="581"/>
      <c r="D2672" s="581"/>
      <c r="E2672" s="581"/>
      <c r="F2672" s="581"/>
      <c r="G2672" s="534"/>
      <c r="H2672" s="534"/>
      <c r="I2672" s="579"/>
      <c r="J2672" s="580" t="str">
        <f>IF(I2672="","",IF(I2672="I",$F2661,VLOOKUP(I2672,$C2682:$D2687,2,0)))</f>
        <v/>
      </c>
      <c r="K2672" s="535"/>
      <c r="L2672" s="535"/>
      <c r="M2672" s="537"/>
      <c r="N2672" s="43" t="str">
        <f t="shared" si="534"/>
        <v/>
      </c>
      <c r="O2672" s="260" t="str">
        <f t="shared" si="535"/>
        <v/>
      </c>
      <c r="P2672" s="781"/>
      <c r="Q2672" s="782"/>
      <c r="R2672" s="767"/>
      <c r="S2672" s="768"/>
      <c r="T2672" s="538"/>
      <c r="U2672" s="539"/>
      <c r="V2672" s="540"/>
      <c r="X2672" s="541"/>
      <c r="Y2672" s="541"/>
    </row>
    <row r="2673" spans="1:29" s="44" customFormat="1" ht="24.95" customHeight="1">
      <c r="A2673" s="42" t="str">
        <f>"I"&amp;E2661</f>
        <v>I89</v>
      </c>
      <c r="B2673" s="605" t="str">
        <f t="shared" si="536"/>
        <v/>
      </c>
      <c r="C2673" s="581"/>
      <c r="D2673" s="581"/>
      <c r="E2673" s="581"/>
      <c r="F2673" s="581"/>
      <c r="G2673" s="534"/>
      <c r="H2673" s="534"/>
      <c r="I2673" s="579"/>
      <c r="J2673" s="580" t="str">
        <f>IF(I2673="","",IF(I2673="I",$F2661,VLOOKUP(I2673,$C2682:$D2687,2,0)))</f>
        <v/>
      </c>
      <c r="K2673" s="535"/>
      <c r="L2673" s="535"/>
      <c r="M2673" s="537"/>
      <c r="N2673" s="43" t="str">
        <f t="shared" si="534"/>
        <v/>
      </c>
      <c r="O2673" s="260" t="str">
        <f t="shared" si="535"/>
        <v/>
      </c>
      <c r="P2673" s="781"/>
      <c r="Q2673" s="782"/>
      <c r="R2673" s="767"/>
      <c r="S2673" s="768"/>
      <c r="T2673" s="538"/>
      <c r="U2673" s="539"/>
      <c r="V2673" s="540"/>
      <c r="X2673" s="541"/>
      <c r="Y2673" s="541"/>
    </row>
    <row r="2674" spans="1:29" s="44" customFormat="1" ht="24.95" customHeight="1" thickBot="1">
      <c r="A2674" s="42" t="str">
        <f>"J"&amp;E2661</f>
        <v>J89</v>
      </c>
      <c r="B2674" s="612" t="str">
        <f t="shared" si="536"/>
        <v/>
      </c>
      <c r="C2674" s="582"/>
      <c r="D2674" s="582"/>
      <c r="E2674" s="582"/>
      <c r="F2674" s="582"/>
      <c r="G2674" s="583"/>
      <c r="H2674" s="583"/>
      <c r="I2674" s="584"/>
      <c r="J2674" s="585" t="str">
        <f>IF(I2674="","",IF(I2674="I",$F2661,VLOOKUP(I2674,$C2682:$D2687,2,0)))</f>
        <v/>
      </c>
      <c r="K2674" s="586"/>
      <c r="L2674" s="586"/>
      <c r="M2674" s="587"/>
      <c r="N2674" s="43" t="str">
        <f t="shared" si="534"/>
        <v/>
      </c>
      <c r="O2674" s="260" t="str">
        <f t="shared" si="535"/>
        <v/>
      </c>
      <c r="P2674" s="781"/>
      <c r="Q2674" s="782"/>
      <c r="R2674" s="767"/>
      <c r="S2674" s="768"/>
      <c r="T2674" s="538"/>
      <c r="U2674" s="539"/>
      <c r="V2674" s="540"/>
      <c r="X2674" s="541"/>
      <c r="Y2674" s="541"/>
    </row>
    <row r="2675" spans="1:29" s="27" customFormat="1" ht="12" customHeight="1" thickBot="1">
      <c r="A2675" s="42"/>
      <c r="B2675" s="45"/>
      <c r="C2675" s="46"/>
      <c r="D2675" s="46"/>
      <c r="E2675" s="46"/>
      <c r="F2675" s="46"/>
      <c r="G2675" s="46"/>
      <c r="H2675" s="606"/>
      <c r="I2675" s="46"/>
      <c r="J2675" s="46"/>
      <c r="K2675" s="46"/>
      <c r="L2675" s="46"/>
      <c r="M2675" s="46"/>
      <c r="N2675" s="46"/>
      <c r="O2675" s="259"/>
      <c r="P2675" s="46"/>
      <c r="Q2675" s="46"/>
      <c r="R2675" s="259"/>
      <c r="S2675" s="46"/>
      <c r="T2675" s="46"/>
      <c r="U2675" s="47"/>
      <c r="V2675" s="48"/>
      <c r="X2675" s="592"/>
      <c r="Y2675" s="593"/>
      <c r="AB2675" s="378"/>
    </row>
    <row r="2676" spans="1:29" s="27" customFormat="1" ht="17.25" customHeight="1" thickBot="1">
      <c r="A2676" s="42" t="str">
        <f>"Z"&amp;E2661</f>
        <v>Z89</v>
      </c>
      <c r="B2676" s="510"/>
      <c r="C2676" s="511"/>
      <c r="D2676" s="511"/>
      <c r="E2676" s="511"/>
      <c r="F2676" s="511"/>
      <c r="G2676" s="511"/>
      <c r="H2676" s="511"/>
      <c r="I2676" s="511"/>
      <c r="J2676" s="511"/>
      <c r="K2676" s="511"/>
      <c r="L2676" s="511"/>
      <c r="M2676" s="511"/>
      <c r="N2676" s="437" t="s">
        <v>388</v>
      </c>
      <c r="O2676" s="438">
        <f>IF(COUNTIF(O2665:O2674,"")&gt;9,0,SUM(O2665:O2674)/(COUNTIF(H2665:H2674,"SI")))</f>
        <v>475.26049999999998</v>
      </c>
      <c r="P2676" s="511"/>
      <c r="Q2676" s="511"/>
      <c r="R2676" s="530"/>
      <c r="S2676" s="530"/>
      <c r="T2676" s="531"/>
      <c r="U2676" s="532"/>
      <c r="V2676" s="533"/>
      <c r="W2676" s="285"/>
      <c r="X2676" s="613" t="e">
        <f>COUNTIF(#REF!,"")-COUNTIF(#REF!,"CUMPLE")-1</f>
        <v>#REF!</v>
      </c>
      <c r="Y2676" s="591"/>
      <c r="AB2676" s="28"/>
    </row>
    <row r="2677" spans="1:29" ht="17.25" customHeight="1">
      <c r="B2677" s="50"/>
      <c r="C2677" s="50"/>
      <c r="D2677" s="50"/>
      <c r="E2677" s="50"/>
      <c r="F2677" s="50"/>
      <c r="G2677" s="51"/>
      <c r="H2677" s="51"/>
      <c r="I2677" s="51"/>
      <c r="J2677" s="51"/>
      <c r="K2677" s="51"/>
      <c r="L2677" s="51"/>
      <c r="M2677" s="51"/>
      <c r="N2677" s="51"/>
      <c r="O2677" s="51"/>
      <c r="P2677" s="51"/>
      <c r="Q2677" s="51"/>
      <c r="R2677" s="51"/>
      <c r="S2677" s="51"/>
      <c r="T2677" s="51"/>
      <c r="U2677" s="51"/>
      <c r="V2677" s="51"/>
      <c r="W2677" s="51"/>
      <c r="X2677" s="608"/>
      <c r="Y2677" s="51"/>
      <c r="Z2677" s="51"/>
      <c r="AA2677" s="51"/>
      <c r="AB2677" s="51"/>
      <c r="AC2677" s="50"/>
    </row>
    <row r="2678" spans="1:29" s="27" customFormat="1" ht="16.5" customHeight="1" thickBot="1">
      <c r="A2678" s="22"/>
      <c r="B2678" s="783" t="s">
        <v>389</v>
      </c>
      <c r="C2678" s="783"/>
      <c r="D2678" s="783"/>
      <c r="E2678" s="783"/>
      <c r="F2678" s="783"/>
      <c r="G2678" s="783"/>
      <c r="H2678" s="783"/>
      <c r="I2678" s="783"/>
      <c r="J2678" s="783"/>
      <c r="K2678" s="783"/>
      <c r="L2678" s="783"/>
      <c r="M2678" s="783"/>
      <c r="N2678" s="783"/>
      <c r="O2678" s="783"/>
      <c r="P2678" s="783"/>
      <c r="Q2678" s="783"/>
      <c r="R2678" s="783"/>
      <c r="S2678" s="783"/>
      <c r="T2678" s="783"/>
      <c r="U2678" s="783"/>
      <c r="V2678" s="783"/>
      <c r="W2678" s="286"/>
      <c r="X2678" s="607"/>
      <c r="Y2678" s="52"/>
      <c r="Z2678" s="52"/>
      <c r="AA2678" s="52"/>
      <c r="AB2678" s="28"/>
      <c r="AC2678" s="28"/>
    </row>
    <row r="2679" spans="1:29" s="30" customFormat="1" ht="22.5" customHeight="1">
      <c r="A2679" s="112" t="str">
        <f>"K"&amp;E2661</f>
        <v>K89</v>
      </c>
      <c r="B2679" s="790" t="s">
        <v>390</v>
      </c>
      <c r="C2679" s="772" t="s">
        <v>391</v>
      </c>
      <c r="D2679" s="773"/>
      <c r="E2679" s="773"/>
      <c r="F2679" s="773"/>
      <c r="G2679" s="773"/>
      <c r="H2679" s="773"/>
      <c r="I2679" s="773"/>
      <c r="J2679" s="773"/>
      <c r="K2679" s="773"/>
      <c r="L2679" s="773"/>
      <c r="M2679" s="774"/>
      <c r="N2679" s="525"/>
      <c r="O2679" s="588"/>
      <c r="P2679" s="772" t="s">
        <v>392</v>
      </c>
      <c r="Q2679" s="773"/>
      <c r="R2679" s="773"/>
      <c r="S2679" s="774"/>
      <c r="T2679" s="784" t="s">
        <v>393</v>
      </c>
      <c r="U2679" s="774"/>
      <c r="V2679" s="811"/>
      <c r="W2679" s="284"/>
      <c r="X2679" s="778" t="s">
        <v>394</v>
      </c>
      <c r="Y2679" s="779"/>
      <c r="Z2679" s="779"/>
      <c r="AA2679" s="779" t="s">
        <v>395</v>
      </c>
      <c r="AB2679" s="808" t="s">
        <v>396</v>
      </c>
      <c r="AC2679" s="28"/>
    </row>
    <row r="2680" spans="1:29" s="30" customFormat="1" ht="22.5" customHeight="1">
      <c r="A2680" s="112" t="str">
        <f>"L"&amp;E2661</f>
        <v>L89</v>
      </c>
      <c r="B2680" s="791"/>
      <c r="C2680" s="769" t="s">
        <v>397</v>
      </c>
      <c r="D2680" s="770"/>
      <c r="E2680" s="771"/>
      <c r="F2680" s="512">
        <f>IF(VLOOKUP(E2661,PROPONENTES!$C$19:$E$108,3,0)="","",VLOOKUP(E2661,PROPONENTES!$C$19:$E$108,3,0))</f>
        <v>2</v>
      </c>
      <c r="G2680" s="824" t="s">
        <v>398</v>
      </c>
      <c r="H2680" s="793" t="s">
        <v>399</v>
      </c>
      <c r="I2680" s="793"/>
      <c r="J2680" s="769" t="s">
        <v>400</v>
      </c>
      <c r="K2680" s="823"/>
      <c r="L2680" s="513" t="s">
        <v>401</v>
      </c>
      <c r="M2680" s="513"/>
      <c r="N2680" s="526"/>
      <c r="O2680" s="527"/>
      <c r="P2680" s="775"/>
      <c r="Q2680" s="776"/>
      <c r="R2680" s="776"/>
      <c r="S2680" s="777"/>
      <c r="T2680" s="796"/>
      <c r="U2680" s="797"/>
      <c r="V2680" s="812"/>
      <c r="W2680" s="284"/>
      <c r="X2680" s="780" t="s">
        <v>402</v>
      </c>
      <c r="Y2680" s="810" t="s">
        <v>403</v>
      </c>
      <c r="Z2680" s="810"/>
      <c r="AA2680" s="810"/>
      <c r="AB2680" s="809"/>
      <c r="AC2680" s="28"/>
    </row>
    <row r="2681" spans="1:29" s="30" customFormat="1" ht="51.75" customHeight="1" thickBot="1">
      <c r="A2681" s="112" t="str">
        <f>"M"&amp;E2661</f>
        <v>M89</v>
      </c>
      <c r="B2681" s="791"/>
      <c r="C2681" s="770" t="s">
        <v>404</v>
      </c>
      <c r="D2681" s="771"/>
      <c r="E2681" s="514" t="s">
        <v>405</v>
      </c>
      <c r="F2681" s="515" t="s">
        <v>406</v>
      </c>
      <c r="G2681" s="824"/>
      <c r="H2681" s="793"/>
      <c r="I2681" s="793"/>
      <c r="J2681" s="504" t="s">
        <v>407</v>
      </c>
      <c r="K2681" s="516" t="s">
        <v>408</v>
      </c>
      <c r="L2681" s="517" t="s">
        <v>409</v>
      </c>
      <c r="M2681" s="517"/>
      <c r="N2681" s="528" t="s">
        <v>410</v>
      </c>
      <c r="O2681" s="529"/>
      <c r="P2681" s="386"/>
      <c r="Q2681" s="387" t="s">
        <v>411</v>
      </c>
      <c r="R2681" s="388"/>
      <c r="S2681" s="113">
        <f>COUNTIFS(H2665:H2674,"SI",O2665:O2674,"&gt;0")</f>
        <v>1</v>
      </c>
      <c r="T2681" s="785"/>
      <c r="U2681" s="787"/>
      <c r="V2681" s="813"/>
      <c r="W2681" s="284"/>
      <c r="X2681" s="780"/>
      <c r="Y2681" s="810"/>
      <c r="Z2681" s="810"/>
      <c r="AA2681" s="810"/>
      <c r="AB2681" s="809"/>
      <c r="AC2681" s="28"/>
    </row>
    <row r="2682" spans="1:29" s="30" customFormat="1" ht="15.75" customHeight="1">
      <c r="A2682" s="112" t="str">
        <f>"N"&amp;E2661</f>
        <v>N89</v>
      </c>
      <c r="B2682" s="791"/>
      <c r="C2682" s="54">
        <v>1</v>
      </c>
      <c r="D2682" s="100" t="str">
        <f>IF(AND(C2682&lt;=F2680,F2680&gt;1,F2680&lt;&gt;""),VLOOKUP(VALUE(E2661&amp;","&amp;C2682),INTEGRANTES!$D$19:$F$192,2,0),"")</f>
        <v>R&amp;J INGENIERIA SAS</v>
      </c>
      <c r="E2682" s="107">
        <f>IF(D2682&lt;&gt;"",VLOOKUP(VALUE(E2661&amp;","&amp;C2682),INTEGRANTES!$D$19:$F$192,3,0),"")</f>
        <v>0.95</v>
      </c>
      <c r="F2682" s="380">
        <f>IF(D2682="","",IF(OR(SUMIF($J2665:$J2674,D2682,$O2665:$O2674)=0,N2682="NO"),"NO APORTA",SUMIF($J2665:$J2674,D2682,$O2665:$O2674)))</f>
        <v>475.26049999999998</v>
      </c>
      <c r="G2682" s="380">
        <f ca="1">IF($D2682="","",IF($F2680&lt;=1,"",ROUND(POSMMLV*PORPO,2)))</f>
        <v>150</v>
      </c>
      <c r="H2682" s="765" t="str">
        <f ca="1">IF($D2682="","",IF(OR(F2682="NO APORTA",G2682&gt;F2682),"NO CUMPLE","CUMPLE"))</f>
        <v>CUMPLE</v>
      </c>
      <c r="I2682" s="766"/>
      <c r="J2682" s="108" t="str">
        <f ca="1">IF(D2682="","",IF(OR(AND(SUMIF($J2665:$J2674,D2682,$O2665:$O2674)&gt;=5%*POSMMLV,N2682="SI"),AND(SUMIF($J2665:$J2674,D2682,$O2665:$O2674)=0,E2682&lt;=5%,N2682="SI")),"CUMPLE","NO CUMPLE"))</f>
        <v>CUMPLE</v>
      </c>
      <c r="K2682" s="105" t="str">
        <f ca="1">IF(OR(D2682="",J2682=""),"",IF(AND(J2682="NO CUMPLE",F2682="NO APORTA",E2682&gt;5%),"EXP = 0 y PART &gt; 5%",IF(F2682&lt;5%*Q2687,"EXP &lt; 5%*PO","")))</f>
        <v/>
      </c>
      <c r="L2682" s="389" t="str">
        <f>IF(OR(D2682="",E2682=""),"",IF(AND(E2682&gt;=0.25,F2682&lt;&gt;"NO APORTA",F2682&gt;=$R2687*0.25),"SI","NO"))</f>
        <v>SI</v>
      </c>
      <c r="M2682" s="389"/>
      <c r="N2682" s="468" t="s">
        <v>385</v>
      </c>
      <c r="O2682" s="396">
        <f>COUNTIFS(O2665:O2674,"&gt;0",H2665:H2674,"SI")</f>
        <v>1</v>
      </c>
      <c r="P2682" s="814" t="s">
        <v>139</v>
      </c>
      <c r="Q2682" s="814"/>
      <c r="R2682" s="817">
        <f>E2661</f>
        <v>89</v>
      </c>
      <c r="S2682" s="818"/>
      <c r="T2682" s="784" t="s">
        <v>412</v>
      </c>
      <c r="U2682" s="773"/>
      <c r="V2682" s="774"/>
      <c r="W2682" s="283"/>
      <c r="X2682" s="542" t="str">
        <f>IF($F2680=1,"NO APLICA",$D2682)</f>
        <v>R&amp;J INGENIERIA SAS</v>
      </c>
      <c r="Y2682" s="543">
        <f ca="1">IF(OR($F2682="",$F2682="NO APORTA",$R2687=0,$X2682="NO APLICA"),"",ROUND($F2682/$Q2687,2))</f>
        <v>1.58</v>
      </c>
      <c r="Z2682" s="544" t="str">
        <f ca="1">IF(Y2688=1,"SI APLICA",IF(OR($X2682="",$X2682="NO APLICA",$F2682="",$F2682="NO APORTA"),"",IF(ROUND($F2682/Q2687,7)&gt;=0.4,"SI APLICA","NO APLICA")))</f>
        <v>SI APLICA</v>
      </c>
      <c r="AA2682" s="543" t="s">
        <v>413</v>
      </c>
      <c r="AB2682" s="540" t="str">
        <f ca="1">IF(COUNTIF(Z2682:AA2682,"SI APLICA")=2,"SI APLICA","")</f>
        <v>SI APLICA</v>
      </c>
      <c r="AC2682" s="28"/>
    </row>
    <row r="2683" spans="1:29" s="30" customFormat="1" ht="15.75" customHeight="1" thickBot="1">
      <c r="A2683" s="112" t="str">
        <f>"O"&amp;E2661</f>
        <v>O89</v>
      </c>
      <c r="B2683" s="791"/>
      <c r="C2683" s="54">
        <v>2</v>
      </c>
      <c r="D2683" s="100" t="str">
        <f>IF(AND(C2683&lt;=F2680,F2680&lt;&gt;""),VLOOKUP(VALUE(E2661&amp;","&amp;C2683),INTEGRANTES!$D$19:$F$192,2,0),"")</f>
        <v>CONSTRUMAJ S.A.S</v>
      </c>
      <c r="E2683" s="107">
        <f>IF(D2683&lt;&gt;"",VLOOKUP(VALUE(E2661&amp;","&amp;C2683),INTEGRANTES!$D$19:$F$192,3,0),"")</f>
        <v>0.05</v>
      </c>
      <c r="F2683" s="380" t="str">
        <f>IF(D2683="","",IF(OR(SUMIF($J2665:$J2674,D2683,$O2665:$O2674)=0,N2683="NO"),"NO APORTA",SUMIF($J2665:$J2674,D2683,$O2665:$O2674)))</f>
        <v>NO APORTA</v>
      </c>
      <c r="G2683" s="380">
        <f ca="1">IF($D2683="","",IF($F2680&lt;=1,"",ROUND(POSMMLV*PORPO,2)))</f>
        <v>150</v>
      </c>
      <c r="H2683" s="765" t="str">
        <f t="shared" ref="H2683:H2686" ca="1" si="537">IF($D2683="","",IF(OR(F2683="NO APORTA",G2683&gt;F2683),"NO CUMPLE","CUMPLE"))</f>
        <v>NO CUMPLE</v>
      </c>
      <c r="I2683" s="766"/>
      <c r="J2683" s="108" t="str">
        <f ca="1">IF(D2683="","",IF(OR(AND(SUMIF($J2665:$J2674,D2683,$O2665:$O2674)&gt;=5%*POSMMLV,N2683="SI"),AND(SUMIF($J2665:$J2674,D2683,$O2665:$O2674)=0,E2683&lt;=5%,N2683="SI")),"CUMPLE","NO CUMPLE"))</f>
        <v>CUMPLE</v>
      </c>
      <c r="K2683" s="105" t="str">
        <f ca="1">IF(OR(D2683="",J2683=""),"",IF(AND(J2683="NO CUMPLE",F2683="NO APORTA",E2683&gt;5%),"EXP = 0 y PART &gt; 5%",IF(F2683&lt;5%*Q2687,"EXP &lt; 5%*PO","")))</f>
        <v/>
      </c>
      <c r="L2683" s="389" t="str">
        <f>IF(OR(D2683="",E2683=""),"",IF(AND(E2683&gt;=0.25,F2683&lt;&gt;"NO APORTA",F2683&gt;=$R2687*0.25),"SI","NO"))</f>
        <v>NO</v>
      </c>
      <c r="M2683" s="389"/>
      <c r="N2683" s="468" t="s">
        <v>385</v>
      </c>
      <c r="O2683" s="396"/>
      <c r="P2683" s="815"/>
      <c r="Q2683" s="815"/>
      <c r="R2683" s="815"/>
      <c r="S2683" s="819"/>
      <c r="T2683" s="785"/>
      <c r="U2683" s="786"/>
      <c r="V2683" s="787"/>
      <c r="W2683" s="283"/>
      <c r="X2683" s="542" t="str">
        <f>IF($F2680=1,"NO APLICA",$D2683)</f>
        <v>CONSTRUMAJ S.A.S</v>
      </c>
      <c r="Y2683" s="543" t="str">
        <f>IF(OR($F2683="",$F2683="NO APORTA",$R2688=0,$X2683="NO APLICA"),"",ROUND($F2683/$Q2688,2))</f>
        <v/>
      </c>
      <c r="Z2683" s="544" t="str">
        <f>IF(Y2688=1,"SI APLICA",IF(OR($X2683="",$X2683="NO APLICA",$F2683="",$F2683="NO APORTA"),"",IF(ROUND($F2683/Q2687,7)&gt;=0.4,"SI APLICA","NO APLICA")))</f>
        <v/>
      </c>
      <c r="AA2683" s="543"/>
      <c r="AB2683" s="540" t="str">
        <f t="shared" ref="AB2683" si="538">IF(COUNTIF(Z2683:AA2683,"SI APLICA")=2,"SI APLICA","")</f>
        <v/>
      </c>
      <c r="AC2683" s="28"/>
    </row>
    <row r="2684" spans="1:29" s="30" customFormat="1" ht="15.75" customHeight="1">
      <c r="A2684" s="112" t="str">
        <f>"P"&amp;E2661</f>
        <v>P89</v>
      </c>
      <c r="B2684" s="791"/>
      <c r="C2684" s="54">
        <v>3</v>
      </c>
      <c r="D2684" s="100" t="str">
        <f>IF(AND(C2684&lt;=F2680,F2680&lt;&gt;""),VLOOKUP(VALUE(E2661&amp;","&amp;C2684),INTEGRANTES!$D$19:$F$192,2,0),"")</f>
        <v/>
      </c>
      <c r="E2684" s="107" t="str">
        <f>IF(D2684&lt;&gt;"",VLOOKUP(VALUE(E2661&amp;","&amp;C2684),INTEGRANTES!$D$19:$F$192,3,0),"")</f>
        <v/>
      </c>
      <c r="F2684" s="380" t="str">
        <f>IF(D2684="","",IF(OR(SUMIF($J2668:$J2674,D2684,$O2668:$O2674)=0,N2684="NO"),"NO APORTA",SUMIF($J2668:$J2674,D2684,$O2668:$O2674)))</f>
        <v/>
      </c>
      <c r="G2684" s="380" t="str">
        <f>IF($D2684="","",IF($F2680&lt;=1,"",ROUND(POSMMLV*PORPO,2)))</f>
        <v/>
      </c>
      <c r="H2684" s="765" t="str">
        <f t="shared" si="537"/>
        <v/>
      </c>
      <c r="I2684" s="766"/>
      <c r="J2684" s="108" t="str">
        <f>IF(D2684="","",IF(OR(AND(SUMIF($J2665:$J2674,D2684,$O2665:$O2674)&gt;=5%*POSMMLV,N2684="SI"),AND(SUMIF($J2665:$J2674,D2684,$O2665:$O2674)=0,E2684&lt;=5%,N2684="SI")),"CUMPLE","NO CUMPLE"))</f>
        <v/>
      </c>
      <c r="K2684" s="105" t="str">
        <f>IF(OR(D2684="",J2684=""),"",IF(AND(J2684="NO CUMPLE",F2684="NO APORTA",E2684&gt;5%),"EXP = 0 y PART &gt; 5%",IF(F2684&lt;5%*Q2687,"EXP &lt; 5%*PO","")))</f>
        <v/>
      </c>
      <c r="L2684" s="389" t="str">
        <f>IF(OR(D2684="",E2684=""),"",IF(AND(E2684&gt;=0.25,F2684&lt;&gt;"NO APORTA",F2684&gt;=$R2687*0.25),"SI","NO"))</f>
        <v/>
      </c>
      <c r="M2684" s="389"/>
      <c r="N2684" s="468"/>
      <c r="O2684" s="397"/>
      <c r="P2684" s="816"/>
      <c r="Q2684" s="816"/>
      <c r="R2684" s="816"/>
      <c r="S2684" s="820"/>
      <c r="T2684" s="308"/>
      <c r="U2684" s="308"/>
      <c r="V2684" s="309"/>
      <c r="W2684" s="284"/>
      <c r="X2684" s="542" t="str">
        <f>IF($F2680=1,"NO APLICA",$D2684)</f>
        <v/>
      </c>
      <c r="Y2684" s="543" t="str">
        <f>IF(OR($F2684="",$F2684="NO APORTA",$R2687=0,$X2684="NO APLICA"),"",ROUND($F2684/$Q2687,2))</f>
        <v/>
      </c>
      <c r="Z2684" s="544" t="str">
        <f>IF(Y2688=1,"SI APLICA",IF(OR($X2684="",$X2684="NO APLICA",$F2684="",$F2684="NO APORTA"),"",IF(ROUND($F2684/Q2687,7)&gt;=0.4,"SI APLICA","NO APLICA")))</f>
        <v/>
      </c>
      <c r="AA2684" s="543"/>
      <c r="AB2684" s="540" t="str">
        <f>IF(COUNTIF(Z2684:AA2684,"SI APLICA")=2,"SI APLICA","")</f>
        <v/>
      </c>
      <c r="AC2684" s="28"/>
    </row>
    <row r="2685" spans="1:29" s="30" customFormat="1" ht="15.75" customHeight="1">
      <c r="A2685" s="112" t="str">
        <f>"Q"&amp;E2661</f>
        <v>Q89</v>
      </c>
      <c r="B2685" s="791"/>
      <c r="C2685" s="54">
        <v>4</v>
      </c>
      <c r="D2685" s="100" t="str">
        <f>IF(AND(C2685&lt;=F2680,F2680&lt;&gt;""),VLOOKUP(VALUE(E2661&amp;","&amp;C2685),INTEGRANTES!$D$19:$F$192,2,0),"")</f>
        <v/>
      </c>
      <c r="E2685" s="107" t="str">
        <f>IF(D2685&lt;&gt;"",VLOOKUP(VALUE(E2661&amp;","&amp;C2685),INTEGRANTES!$D$19:$F$192,3,0),"")</f>
        <v/>
      </c>
      <c r="F2685" s="380" t="str">
        <f>IF(D2685="","",IF(OR(SUMIF($J2668:$J2674,D2685,$O2668:$O2674)=0,N2685="NO"),"NO APORTA",SUMIF($J2668:$J2674,D2685,$O2668:$O2674)))</f>
        <v/>
      </c>
      <c r="G2685" s="380" t="str">
        <f>IF($D2685="","",IF($F2680&lt;=1,"",ROUND(POSMMLV*PORPO,2)))</f>
        <v/>
      </c>
      <c r="H2685" s="765" t="str">
        <f t="shared" si="537"/>
        <v/>
      </c>
      <c r="I2685" s="766"/>
      <c r="J2685" s="108" t="str">
        <f>IF(D2685="","",IF(OR(AND(SUMIF($J2665:$J2674,D2685,$O2665:$O2674)&gt;=5%*POSMMLV,N2685="SI"),AND(SUMIF($J2665:$J2674,D2685,$O2665:$O2674)=0,E2685&lt;=5%,N2685="SI")),"CUMPLE","NO CUMPLE"))</f>
        <v/>
      </c>
      <c r="K2685" s="105" t="str">
        <f>IF(OR(D2685="",J2685=""),"",IF(AND(J2685="NO CUMPLE",F2685="NO APORTA",E2685&gt;5%),"EXP = 0 y PART &gt; 5%",IF(F2685&lt;5%*Q2687,"EXP &lt; 5%*PO","")))</f>
        <v/>
      </c>
      <c r="L2685" s="389" t="str">
        <f>IF(OR(D2685="",E2685=""),"",IF(AND(E2685&gt;=0.25,F2685&lt;&gt;"NO APORTA",F2685&gt;=$R2687*0.25),"SI","NO"))</f>
        <v/>
      </c>
      <c r="M2685" s="389"/>
      <c r="N2685" s="468"/>
      <c r="O2685" s="788" t="s">
        <v>414</v>
      </c>
      <c r="P2685" s="769" t="s">
        <v>415</v>
      </c>
      <c r="Q2685" s="770"/>
      <c r="R2685" s="770"/>
      <c r="S2685" s="771"/>
      <c r="T2685" s="284"/>
      <c r="U2685" s="284"/>
      <c r="V2685" s="310"/>
      <c r="W2685" s="284"/>
      <c r="X2685" s="542" t="str">
        <f>IF($F2680=1,"NO APLICA",$D2685)</f>
        <v/>
      </c>
      <c r="Y2685" s="543" t="str">
        <f>IF(OR($F2685="",$F2685="NO APORTA",$R2687=0,$X2685="NO APLICA"),"",ROUND($F2685/$Q2687,2))</f>
        <v/>
      </c>
      <c r="Z2685" s="544" t="str">
        <f>IF(Y2688=1,"SI APLICA",IF(OR($X2685="",$X2685="NO APLICA",$F2685="",$F2685="NO APORTA"),"",IF(ROUND($F2685/Q2687,7)&gt;=0.4,"SI APLICA","NO APLICA")))</f>
        <v/>
      </c>
      <c r="AA2685" s="543"/>
      <c r="AB2685" s="540" t="str">
        <f t="shared" ref="AB2685:AB2686" si="539">IF(COUNTIF(Z2685:AA2685,"SI APLICA")=2,"SI APLICA","")</f>
        <v/>
      </c>
      <c r="AC2685" s="28"/>
    </row>
    <row r="2686" spans="1:29" s="30" customFormat="1" ht="17.25" customHeight="1">
      <c r="A2686" s="112" t="str">
        <f>"R"&amp;E2661</f>
        <v>R89</v>
      </c>
      <c r="B2686" s="791"/>
      <c r="C2686" s="54">
        <v>5</v>
      </c>
      <c r="D2686" s="100" t="str">
        <f>IF(AND(C2686&lt;=F2680,F2680&lt;&gt;""),VLOOKUP(VALUE(E2661&amp;","&amp;C2686),INTEGRANTES!$D$19:$F$192,2,0),"")</f>
        <v/>
      </c>
      <c r="E2686" s="107" t="str">
        <f>IF(D2686&lt;&gt;"",VLOOKUP(VALUE(E2661&amp;","&amp;C2686),INTEGRANTES!$D$19:$F$192,3,0),"")</f>
        <v/>
      </c>
      <c r="F2686" s="380" t="str">
        <f>IF(D2686="","",IF(OR(SUMIF($J2668:$J2674,D2686,$O2668:$O2674)=0,N2686="NO"),"NO APORTA",SUMIF($J2668:$J2674,D2686,$O2668:$O2674)))</f>
        <v/>
      </c>
      <c r="G2686" s="380" t="str">
        <f>IF($D2686="","",IF($F2680&lt;=1,"",ROUND(POSMMLV*PORPO,2)))</f>
        <v/>
      </c>
      <c r="H2686" s="765" t="str">
        <f t="shared" si="537"/>
        <v/>
      </c>
      <c r="I2686" s="766"/>
      <c r="J2686" s="108" t="str">
        <f>IF(D2686="","",IF(OR(AND(SUMIF($J2665:$J2674,D2686,$O2665:$O2674)&gt;=5%*POSMMLV,N2686="SI"),AND(SUMIF($J2665:$J2674,D2686,$O2665:$O2674)=0,E2686&lt;=5%,N2686="SI")),"CUMPLE","NO CUMPLE"))</f>
        <v/>
      </c>
      <c r="K2686" s="105" t="str">
        <f>IF(OR(D2686="",J2686=""),"",IF(AND(J2686="NO CUMPLE",F2686="NO APORTA",E2686&gt;5%),"EXP = 0 y PART &gt; 5%",IF(F2686&lt;5%*Q2687,"EXP &lt; 5%*PO","")))</f>
        <v/>
      </c>
      <c r="L2686" s="389" t="str">
        <f>IF(OR(D2686="",E2686=""),"",IF(AND(E2686&gt;=0.25,F2686&lt;&gt;"NO APORTA",F2686&gt;=$R2687*0.25),"SI","NO"))</f>
        <v/>
      </c>
      <c r="M2686" s="389"/>
      <c r="N2686" s="468"/>
      <c r="O2686" s="789"/>
      <c r="P2686" s="504" t="s">
        <v>416</v>
      </c>
      <c r="Q2686" s="504" t="s">
        <v>417</v>
      </c>
      <c r="R2686" s="793" t="s">
        <v>418</v>
      </c>
      <c r="S2686" s="793"/>
      <c r="T2686" s="284"/>
      <c r="U2686" s="284"/>
      <c r="V2686" s="310"/>
      <c r="W2686" s="284"/>
      <c r="X2686" s="542" t="str">
        <f>IF($F2680=1,"NO APLICA",$D2686)</f>
        <v/>
      </c>
      <c r="Y2686" s="543" t="str">
        <f>IF(OR($F2686="",$F2686="NO APORTA",$R2687=0,$X2686="NO APLICA"),"",ROUND($F2686/$Q2687,2))</f>
        <v/>
      </c>
      <c r="Z2686" s="544" t="str">
        <f>IF(Y2688=1,"SI APLICA",IF(OR($X2686="",$X2686="NO APLICA",$F2686="",$F2686="NO APORTA"),"",IF(ROUND($F2686/Q2687,7)&gt;=0.4,"SI APLICA","NO APLICA")))</f>
        <v/>
      </c>
      <c r="AA2686" s="543"/>
      <c r="AB2686" s="540" t="str">
        <f t="shared" si="539"/>
        <v/>
      </c>
      <c r="AC2686" s="28"/>
    </row>
    <row r="2687" spans="1:29" s="30" customFormat="1" ht="16.5" customHeight="1" thickBot="1">
      <c r="A2687" s="112" t="str">
        <f>"S"&amp;E2661</f>
        <v>S89</v>
      </c>
      <c r="B2687" s="791"/>
      <c r="C2687" s="109">
        <v>6</v>
      </c>
      <c r="D2687" s="110" t="str">
        <f>IF(AND(C2687&lt;=F2680,F2680&lt;&gt;""),VLOOKUP(VALUE(E2661&amp;","&amp;C2687),INTEGRANTES!$D$19:$F$192,2,0),"")</f>
        <v/>
      </c>
      <c r="E2687" s="111" t="str">
        <f>IF(D2687&lt;&gt;"",VLOOKUP(VALUE(E2661&amp;","&amp;C2687),INTEGRANTES!$D$19:$F$192,3,0),"")</f>
        <v/>
      </c>
      <c r="F2687" s="380" t="str">
        <f>IF(D2687="","",IF(OR(SUMIF($J2668:$J2674,D2687,$O2668:$O2674)=0,N2687="NO"),"NO APORTA",SUMIF($J2668:$J2674,D2687,$O2668:$O2674)))</f>
        <v/>
      </c>
      <c r="G2687" s="380" t="str">
        <f>IF($D2687="","",IF($F2680&lt;=1,"",ROUND(POSMMLV*PORPO,2)))</f>
        <v/>
      </c>
      <c r="H2687" s="765" t="str">
        <f>IF($D2687="","",IF(OR(F2687="NO APORTA",G2687&gt;F2687),"NO CUMPLE","CUMPLE"))</f>
        <v/>
      </c>
      <c r="I2687" s="766"/>
      <c r="J2687" s="108" t="str">
        <f>IF(D2687="","",IF(OR(AND(SUMIF($J2665:$J2674,D2687,$O2665:$O2674)&gt;=5%*POSMMLV,N2687="SI"),AND(SUMIF($J2665:$J2674,D2687,$O2665:$O2674)=0,E2687&lt;=5%,N2687="SI")),"CUMPLE","NO CUMPLE"))</f>
        <v/>
      </c>
      <c r="K2687" s="105" t="str">
        <f>IF(OR(D2687="",J2687=""),"",IF(AND(J2687="NO CUMPLE",F2687="NO APORTA",E2687&gt;5%),"EXP = 0 y PART &gt; 5%",IF(F2687&lt;5%*Q2687,"EXP &lt; 5%*PO","")))</f>
        <v/>
      </c>
      <c r="L2687" s="389" t="str">
        <f>IF(OR(D2687="",E2687=""),"",IF(AND(E2687&gt;=0.25,F2687&lt;&gt;"NO APORTA",F2687&gt;=$R2687*0.25),"SI","NO"))</f>
        <v/>
      </c>
      <c r="M2687" s="389"/>
      <c r="N2687" s="468"/>
      <c r="O2687" s="403" t="str">
        <f ca="1">IF(R2687&gt;=Q2687,"CUMPLE","NO CUMPLE")</f>
        <v>CUMPLE</v>
      </c>
      <c r="P2687" s="312">
        <f>NUMMOD</f>
        <v>1</v>
      </c>
      <c r="Q2687" s="313">
        <f ca="1">IF(P2687="","",ROUND(VLOOKUP(P2687,PRESUPUESTOS!$B$16:$L$16,9,FALSE),7))</f>
        <v>300</v>
      </c>
      <c r="R2687" s="834">
        <f>IF(OR(COUNTIF(O2665:O2674,"")&gt;9,S2681&lt;NUMMINCONT),0,SUM(O2665:O2674))</f>
        <v>475.26049999999998</v>
      </c>
      <c r="S2687" s="834"/>
      <c r="T2687" s="284"/>
      <c r="U2687" s="284"/>
      <c r="V2687" s="310"/>
      <c r="W2687" s="284"/>
      <c r="X2687" s="545" t="str">
        <f>IF($F2680=1,"NO APLICA",$D2687)</f>
        <v/>
      </c>
      <c r="Y2687" s="543" t="str">
        <f>IF(OR($F2687="",$F2687="NO APORTA",$R2687=0,$X2687="NO APLICA"),"",ROUND($F2687/$Q2687,2))</f>
        <v/>
      </c>
      <c r="Z2687" s="544" t="str">
        <f>IF(Y2688=1,"SI APLICA",IF(OR($X2687="",$X2687="NO APLICA",$F2687="",$F2687="NO APORTA"),"",IF(ROUND($F2687/Q2687,7)&gt;=0.4,"SI APLICA","NO APLICA")))</f>
        <v/>
      </c>
      <c r="AA2687" s="546"/>
      <c r="AB2687" s="540" t="str">
        <f>IF(COUNTIF(Z2687:AA2687,"SI APLICA")=2,"SI APLICA","")</f>
        <v/>
      </c>
      <c r="AC2687" s="28"/>
    </row>
    <row r="2688" spans="1:29" s="30" customFormat="1" ht="16.5" customHeight="1" thickBot="1">
      <c r="A2688" s="112" t="str">
        <f>"T"&amp;E2661</f>
        <v>T89</v>
      </c>
      <c r="B2688" s="792"/>
      <c r="C2688" s="821" t="s">
        <v>419</v>
      </c>
      <c r="D2688" s="822"/>
      <c r="E2688" s="822"/>
      <c r="F2688" s="518"/>
      <c r="G2688" s="519"/>
      <c r="H2688" s="794" t="str">
        <f ca="1">IF(OR($F2680="",SUM(E2682:E2687)=0),"",IF(COUNTIF(H2682:H2687,"CUMPLE")&gt;=1,"CUMPLE","NO CUMPLE"))</f>
        <v>CUMPLE</v>
      </c>
      <c r="I2688" s="795"/>
      <c r="J2688" s="314" t="str">
        <f ca="1">IF(COUNTIF(J2682:J2687,"")&gt;5,"",IF(COUNTIF(J2682:J2687,"NO CUMPLE")&gt;0,"NO CUMPLE","CUMPLE"))</f>
        <v>CUMPLE</v>
      </c>
      <c r="K2688" s="314" t="str">
        <f ca="1">IF(OR(AND(F2680=1,N2682="SI"),AND(COUNTIF(H2688:J2688,"CUMPLE")=2)),"CUMPLE","NO CUMPLE")</f>
        <v>CUMPLE</v>
      </c>
      <c r="L2688" s="519"/>
      <c r="M2688" s="519"/>
      <c r="N2688" s="519"/>
      <c r="O2688" s="833" t="str">
        <f ca="1">IF(ISNUMBER(F2661),"",IF(AND(O2687="NO CUMPLE",SUM(N2668:N2674)&lt;Q2687),"EL PROPONENTE SE DEBE REQUERIR POR EXPERIENCIA MINIMA EXIGIDA",""))</f>
        <v/>
      </c>
      <c r="P2688" s="833"/>
      <c r="Q2688" s="833"/>
      <c r="R2688" s="833"/>
      <c r="S2688" s="833"/>
      <c r="T2688" s="522"/>
      <c r="U2688" s="523"/>
      <c r="V2688" s="524"/>
      <c r="W2688" s="284"/>
      <c r="X2688" s="364" t="str">
        <f>IF(Y2688=1,"PROPONENTE INDIVIDUAL","PROPONENTE PLURAL")</f>
        <v>PROPONENTE PLURAL</v>
      </c>
      <c r="Y2688" s="276">
        <f>F2680</f>
        <v>2</v>
      </c>
      <c r="Z2688" s="277" t="str">
        <f ca="1">IF(OR(AND(Z2682="SI APLICA",AA2682="SI APLICA"),AND(Z2683="SI APLICA",AA2683="SI APLICA"),AND(Z2684="SI APLICA",AA2684="SI APLICA"),AND(Z2685="SI APLICA",AA2685="SI APLICA"),AND(Z2686="SI APLICA",AA2686="SI APLICA"),AND(Z2687="SI APLICA",AA2687="SI APLICA")),"SI APLICA","NO APLICA")</f>
        <v>SI APLICA</v>
      </c>
      <c r="AA2688" s="278" t="str">
        <f ca="1">IF(OR(AND(AA2682="SI APLICA",AB2682="SI APLICA"),AND(AA2683="SI APLICA",AB2683="SI APLICA"),AND(AA2684="SI APLICA",AB2684="SI APLICA"),AND(AA2685="SI APLICA",AB2685="SI APLICA"),AND(AA2686="SI APLICA",AB2686="SI APLICA"),AND(AA2687="SI APLICA",AB2687="SI APLICA")),"SI APLICA","NO APLICA")</f>
        <v>SI APLICA</v>
      </c>
      <c r="AB2688" s="278" t="str">
        <f ca="1">IF(COUNTIF(AB2682:AB2687,"SI APLICA")&gt;0,"SI APLICA","NO APLICA")</f>
        <v>SI APLICA</v>
      </c>
      <c r="AC2688" s="28"/>
    </row>
    <row r="2689" spans="1:29" ht="24.95" customHeight="1"/>
    <row r="2690" spans="1:29" ht="24.95" customHeight="1"/>
    <row r="2691" spans="1:29" s="41" customFormat="1" ht="24" thickBot="1">
      <c r="A2691" s="34">
        <v>90</v>
      </c>
      <c r="B2691" s="828" t="s">
        <v>355</v>
      </c>
      <c r="C2691" s="828"/>
      <c r="D2691" s="828"/>
      <c r="E2691" s="35">
        <f>VLOOKUP(A2691,PROPONENTES!$B$19:$E$108,2,FALSE)</f>
        <v>90</v>
      </c>
      <c r="F2691" s="36" t="str">
        <f>VLOOKUP(A2691,PROPONENTES!$B$19:$E$108,3,FALSE)</f>
        <v>GM SOLUTIONS S.A.S</v>
      </c>
      <c r="G2691" s="37"/>
      <c r="H2691" s="37"/>
      <c r="I2691" s="36"/>
      <c r="J2691" s="36"/>
      <c r="K2691" s="36"/>
      <c r="L2691" s="36"/>
      <c r="M2691" s="38"/>
      <c r="N2691" s="38"/>
      <c r="O2691" s="37"/>
      <c r="P2691" s="37"/>
      <c r="Q2691" s="39"/>
      <c r="R2691" s="39"/>
      <c r="S2691" s="39"/>
      <c r="T2691" s="39"/>
      <c r="U2691" s="40"/>
      <c r="Y2691" s="52"/>
      <c r="Z2691" s="52"/>
      <c r="AA2691" s="52"/>
      <c r="AB2691" s="28"/>
      <c r="AC2691" s="28"/>
    </row>
    <row r="2692" spans="1:29" s="27" customFormat="1" ht="24.75" customHeight="1">
      <c r="A2692" s="22"/>
      <c r="B2692" s="829" t="s">
        <v>356</v>
      </c>
      <c r="C2692" s="501" t="s">
        <v>357</v>
      </c>
      <c r="D2692" s="502" t="s">
        <v>358</v>
      </c>
      <c r="E2692" s="502"/>
      <c r="F2692" s="502" t="s">
        <v>359</v>
      </c>
      <c r="G2692" s="503"/>
      <c r="H2692" s="803" t="s">
        <v>360</v>
      </c>
      <c r="I2692" s="831" t="s">
        <v>361</v>
      </c>
      <c r="J2692" s="803" t="s">
        <v>362</v>
      </c>
      <c r="K2692" s="803" t="s">
        <v>363</v>
      </c>
      <c r="L2692" s="803" t="s">
        <v>364</v>
      </c>
      <c r="M2692" s="803" t="s">
        <v>365</v>
      </c>
      <c r="N2692" s="804" t="s">
        <v>366</v>
      </c>
      <c r="O2692" s="805"/>
      <c r="P2692" s="806" t="s">
        <v>367</v>
      </c>
      <c r="Q2692" s="807"/>
      <c r="R2692" s="784" t="s">
        <v>368</v>
      </c>
      <c r="S2692" s="774"/>
      <c r="T2692" s="798" t="s">
        <v>369</v>
      </c>
      <c r="U2692" s="799"/>
      <c r="V2692" s="800"/>
      <c r="X2692" s="520"/>
      <c r="Y2692" s="520"/>
    </row>
    <row r="2693" spans="1:29" s="27" customFormat="1" ht="94.5" customHeight="1">
      <c r="A2693" s="22"/>
      <c r="B2693" s="830"/>
      <c r="C2693" s="504" t="s">
        <v>370</v>
      </c>
      <c r="D2693" s="505" t="s">
        <v>41</v>
      </c>
      <c r="E2693" s="505" t="s">
        <v>371</v>
      </c>
      <c r="F2693" s="505" t="s">
        <v>372</v>
      </c>
      <c r="G2693" s="506" t="s">
        <v>373</v>
      </c>
      <c r="H2693" s="793"/>
      <c r="I2693" s="832"/>
      <c r="J2693" s="793"/>
      <c r="K2693" s="793"/>
      <c r="L2693" s="793"/>
      <c r="M2693" s="793"/>
      <c r="N2693" s="504" t="s">
        <v>374</v>
      </c>
      <c r="O2693" s="505" t="s">
        <v>375</v>
      </c>
      <c r="P2693" s="801"/>
      <c r="Q2693" s="802"/>
      <c r="R2693" s="796"/>
      <c r="S2693" s="797"/>
      <c r="T2693" s="507" t="s">
        <v>376</v>
      </c>
      <c r="U2693" s="508" t="s">
        <v>377</v>
      </c>
      <c r="V2693" s="509" t="s">
        <v>378</v>
      </c>
      <c r="X2693" s="521" t="s">
        <v>379</v>
      </c>
      <c r="Y2693" s="521" t="s">
        <v>380</v>
      </c>
    </row>
    <row r="2694" spans="1:29" s="27" customFormat="1" ht="15" customHeight="1">
      <c r="A2694" s="22"/>
      <c r="B2694" s="594"/>
      <c r="C2694" s="595">
        <v>3</v>
      </c>
      <c r="D2694" s="595">
        <v>4</v>
      </c>
      <c r="E2694" s="595">
        <v>5</v>
      </c>
      <c r="F2694" s="595">
        <v>6</v>
      </c>
      <c r="G2694" s="595">
        <v>7</v>
      </c>
      <c r="H2694" s="595">
        <v>8</v>
      </c>
      <c r="I2694" s="595">
        <v>9</v>
      </c>
      <c r="J2694" s="595">
        <v>10</v>
      </c>
      <c r="K2694" s="595">
        <v>11</v>
      </c>
      <c r="L2694" s="595">
        <v>12</v>
      </c>
      <c r="M2694" s="595">
        <v>13</v>
      </c>
      <c r="N2694" s="595">
        <v>14</v>
      </c>
      <c r="O2694" s="595">
        <v>15</v>
      </c>
      <c r="P2694" s="596">
        <v>16</v>
      </c>
      <c r="Q2694" s="597">
        <v>17</v>
      </c>
      <c r="R2694" s="596">
        <v>18</v>
      </c>
      <c r="S2694" s="597">
        <v>19</v>
      </c>
      <c r="T2694" s="598">
        <v>20</v>
      </c>
      <c r="U2694" s="255">
        <v>21</v>
      </c>
      <c r="V2694" s="599">
        <v>22</v>
      </c>
      <c r="X2694" s="589"/>
      <c r="Y2694" s="590"/>
    </row>
    <row r="2695" spans="1:29" s="44" customFormat="1" ht="24.95" customHeight="1">
      <c r="A2695" s="42" t="str">
        <f>"A"&amp;E2691</f>
        <v>A90</v>
      </c>
      <c r="B2695" s="605">
        <f>IF(C2695&lt;&gt;"",B2694+1,"")</f>
        <v>1</v>
      </c>
      <c r="C2695" s="581" t="s">
        <v>1095</v>
      </c>
      <c r="D2695" s="581" t="s">
        <v>1096</v>
      </c>
      <c r="E2695" s="581" t="s">
        <v>1097</v>
      </c>
      <c r="F2695" s="581" t="s">
        <v>384</v>
      </c>
      <c r="G2695" s="534">
        <v>1</v>
      </c>
      <c r="H2695" s="534" t="s">
        <v>385</v>
      </c>
      <c r="I2695" s="579" t="s">
        <v>384</v>
      </c>
      <c r="J2695" s="580" t="str">
        <f>IF(I2695="","",IF(I2695="I",$F2691,VLOOKUP(I2695,$C2712:$D2717,2,0)))</f>
        <v>GM SOLUTIONS S.A.S</v>
      </c>
      <c r="K2695" s="535">
        <v>37638</v>
      </c>
      <c r="L2695" s="535">
        <v>38149</v>
      </c>
      <c r="M2695" s="536">
        <v>363.81</v>
      </c>
      <c r="N2695" s="232">
        <f t="shared" ref="N2695:N2704" si="540">IF(OR(G2695="",M2695=""),"",M2695*G2695)</f>
        <v>363.81</v>
      </c>
      <c r="O2695" s="260">
        <f t="shared" ref="O2695:O2704" si="541">IF(OR(H2695="",H2695="NO",K2695&lt;$Q$17,K2695&gt;$R$17,K2695="",M2695="",N2695=""),"",ROUND(N2695,7))</f>
        <v>363.81</v>
      </c>
      <c r="P2695" s="781"/>
      <c r="Q2695" s="782"/>
      <c r="R2695" s="767"/>
      <c r="S2695" s="768"/>
      <c r="T2695" s="538" t="s">
        <v>385</v>
      </c>
      <c r="U2695" s="539">
        <v>4</v>
      </c>
      <c r="V2695" s="540" t="s">
        <v>385</v>
      </c>
      <c r="X2695" s="541" t="s">
        <v>446</v>
      </c>
      <c r="Y2695" s="541" t="s">
        <v>435</v>
      </c>
    </row>
    <row r="2696" spans="1:29" s="44" customFormat="1" ht="24.95" customHeight="1">
      <c r="A2696" s="42" t="str">
        <f>"B"&amp;E2691</f>
        <v>B90</v>
      </c>
      <c r="B2696" s="605" t="str">
        <f t="shared" ref="B2696:B2704" si="542">IF(C2696&lt;&gt;"",B2695+1,"")</f>
        <v/>
      </c>
      <c r="C2696" s="581"/>
      <c r="D2696" s="581"/>
      <c r="E2696" s="581"/>
      <c r="F2696" s="581"/>
      <c r="G2696" s="534"/>
      <c r="H2696" s="534"/>
      <c r="I2696" s="579"/>
      <c r="J2696" s="580" t="str">
        <f>IF(I2696="","",IF(I2696="I",$F2691,VLOOKUP(I2696,$C2712:$D2717,2,0)))</f>
        <v/>
      </c>
      <c r="K2696" s="535"/>
      <c r="L2696" s="535"/>
      <c r="M2696" s="536"/>
      <c r="N2696" s="232" t="str">
        <f t="shared" si="540"/>
        <v/>
      </c>
      <c r="O2696" s="260" t="str">
        <f t="shared" si="541"/>
        <v/>
      </c>
      <c r="P2696" s="781"/>
      <c r="Q2696" s="782"/>
      <c r="R2696" s="767"/>
      <c r="S2696" s="768"/>
      <c r="T2696" s="538"/>
      <c r="U2696" s="539"/>
      <c r="V2696" s="540"/>
      <c r="X2696" s="541"/>
      <c r="Y2696" s="541"/>
    </row>
    <row r="2697" spans="1:29" s="44" customFormat="1" ht="24.95" customHeight="1">
      <c r="A2697" s="42" t="str">
        <f>"C"&amp;E2691</f>
        <v>C90</v>
      </c>
      <c r="B2697" s="605" t="str">
        <f t="shared" si="542"/>
        <v/>
      </c>
      <c r="C2697" s="581"/>
      <c r="D2697" s="581"/>
      <c r="E2697" s="581"/>
      <c r="F2697" s="581"/>
      <c r="G2697" s="534"/>
      <c r="H2697" s="534"/>
      <c r="I2697" s="579"/>
      <c r="J2697" s="580" t="str">
        <f>IF(I2697="","",IF(I2697="I",$F2691,VLOOKUP(I2697,$C2712:$D2717,2,0)))</f>
        <v/>
      </c>
      <c r="K2697" s="535"/>
      <c r="L2697" s="535"/>
      <c r="M2697" s="536"/>
      <c r="N2697" s="232" t="str">
        <f t="shared" si="540"/>
        <v/>
      </c>
      <c r="O2697" s="260" t="str">
        <f t="shared" si="541"/>
        <v/>
      </c>
      <c r="P2697" s="781"/>
      <c r="Q2697" s="782"/>
      <c r="R2697" s="767"/>
      <c r="S2697" s="768"/>
      <c r="T2697" s="538"/>
      <c r="U2697" s="539"/>
      <c r="V2697" s="540"/>
      <c r="X2697" s="541"/>
      <c r="Y2697" s="541"/>
    </row>
    <row r="2698" spans="1:29" s="44" customFormat="1" ht="24.95" customHeight="1">
      <c r="A2698" s="42" t="str">
        <f>"D"&amp;E2691</f>
        <v>D90</v>
      </c>
      <c r="B2698" s="605" t="str">
        <f t="shared" si="542"/>
        <v/>
      </c>
      <c r="C2698" s="581"/>
      <c r="D2698" s="581"/>
      <c r="E2698" s="581"/>
      <c r="F2698" s="581"/>
      <c r="G2698" s="534"/>
      <c r="H2698" s="534"/>
      <c r="I2698" s="579"/>
      <c r="J2698" s="580" t="str">
        <f>IF(I2698="","",IF(I2698="I",$F2691,VLOOKUP(I2698,$C2712:$D2717,2,0)))</f>
        <v/>
      </c>
      <c r="K2698" s="535"/>
      <c r="L2698" s="535"/>
      <c r="M2698" s="536"/>
      <c r="N2698" s="232" t="str">
        <f t="shared" si="540"/>
        <v/>
      </c>
      <c r="O2698" s="260" t="str">
        <f t="shared" si="541"/>
        <v/>
      </c>
      <c r="P2698" s="781"/>
      <c r="Q2698" s="782"/>
      <c r="R2698" s="767"/>
      <c r="S2698" s="768"/>
      <c r="T2698" s="538"/>
      <c r="U2698" s="539"/>
      <c r="V2698" s="540"/>
      <c r="X2698" s="541"/>
      <c r="Y2698" s="541"/>
    </row>
    <row r="2699" spans="1:29" s="44" customFormat="1" ht="24.95" customHeight="1">
      <c r="A2699" s="42" t="str">
        <f>"E"&amp;E2691</f>
        <v>E90</v>
      </c>
      <c r="B2699" s="605" t="str">
        <f t="shared" si="542"/>
        <v/>
      </c>
      <c r="C2699" s="581"/>
      <c r="D2699" s="581"/>
      <c r="E2699" s="581"/>
      <c r="F2699" s="581"/>
      <c r="G2699" s="534"/>
      <c r="H2699" s="534"/>
      <c r="I2699" s="579"/>
      <c r="J2699" s="580" t="str">
        <f>IF(I2699="","",IF(I2699="I",$F2691,VLOOKUP(I2699,$C2712:$D2717,2,0)))</f>
        <v/>
      </c>
      <c r="K2699" s="535"/>
      <c r="L2699" s="535"/>
      <c r="M2699" s="536"/>
      <c r="N2699" s="232" t="str">
        <f t="shared" si="540"/>
        <v/>
      </c>
      <c r="O2699" s="260" t="str">
        <f t="shared" si="541"/>
        <v/>
      </c>
      <c r="P2699" s="781"/>
      <c r="Q2699" s="782"/>
      <c r="R2699" s="767"/>
      <c r="S2699" s="768"/>
      <c r="T2699" s="538"/>
      <c r="U2699" s="539"/>
      <c r="V2699" s="540"/>
      <c r="X2699" s="541"/>
      <c r="Y2699" s="541"/>
    </row>
    <row r="2700" spans="1:29" s="44" customFormat="1" ht="24.95" customHeight="1">
      <c r="A2700" s="42" t="str">
        <f>"F"&amp;E2691</f>
        <v>F90</v>
      </c>
      <c r="B2700" s="605" t="str">
        <f t="shared" si="542"/>
        <v/>
      </c>
      <c r="C2700" s="581"/>
      <c r="D2700" s="581"/>
      <c r="E2700" s="581"/>
      <c r="F2700" s="581"/>
      <c r="G2700" s="534"/>
      <c r="H2700" s="534"/>
      <c r="I2700" s="579"/>
      <c r="J2700" s="580" t="str">
        <f>IF(I2700="","",IF(I2700="I",$F2691,VLOOKUP(I2700,$C2712:$D2717,2,0)))</f>
        <v/>
      </c>
      <c r="K2700" s="535"/>
      <c r="L2700" s="535"/>
      <c r="M2700" s="536"/>
      <c r="N2700" s="232" t="str">
        <f t="shared" si="540"/>
        <v/>
      </c>
      <c r="O2700" s="260" t="str">
        <f t="shared" si="541"/>
        <v/>
      </c>
      <c r="P2700" s="781"/>
      <c r="Q2700" s="782"/>
      <c r="R2700" s="767"/>
      <c r="S2700" s="768"/>
      <c r="T2700" s="538"/>
      <c r="U2700" s="539"/>
      <c r="V2700" s="540"/>
      <c r="X2700" s="541"/>
      <c r="Y2700" s="541"/>
    </row>
    <row r="2701" spans="1:29" s="44" customFormat="1" ht="24.95" customHeight="1">
      <c r="A2701" s="42" t="str">
        <f>"G"&amp;E2691</f>
        <v>G90</v>
      </c>
      <c r="B2701" s="605" t="str">
        <f t="shared" si="542"/>
        <v/>
      </c>
      <c r="C2701" s="581"/>
      <c r="D2701" s="581"/>
      <c r="E2701" s="581"/>
      <c r="F2701" s="581"/>
      <c r="G2701" s="534"/>
      <c r="H2701" s="534"/>
      <c r="I2701" s="579"/>
      <c r="J2701" s="580" t="str">
        <f>IF(I2701="","",IF(I2701="I",$F2691,VLOOKUP(I2701,$C2712:$D2717,2,0)))</f>
        <v/>
      </c>
      <c r="K2701" s="535"/>
      <c r="L2701" s="535"/>
      <c r="M2701" s="536"/>
      <c r="N2701" s="43" t="str">
        <f t="shared" si="540"/>
        <v/>
      </c>
      <c r="O2701" s="260" t="str">
        <f t="shared" si="541"/>
        <v/>
      </c>
      <c r="P2701" s="781"/>
      <c r="Q2701" s="782"/>
      <c r="R2701" s="767"/>
      <c r="S2701" s="768"/>
      <c r="T2701" s="538"/>
      <c r="U2701" s="539"/>
      <c r="V2701" s="540"/>
      <c r="X2701" s="541"/>
      <c r="Y2701" s="541"/>
    </row>
    <row r="2702" spans="1:29" s="44" customFormat="1" ht="24.95" customHeight="1">
      <c r="A2702" s="42" t="str">
        <f>"H"&amp;E2691</f>
        <v>H90</v>
      </c>
      <c r="B2702" s="605" t="str">
        <f t="shared" si="542"/>
        <v/>
      </c>
      <c r="C2702" s="581"/>
      <c r="D2702" s="581"/>
      <c r="E2702" s="581"/>
      <c r="F2702" s="581"/>
      <c r="G2702" s="534"/>
      <c r="H2702" s="534"/>
      <c r="I2702" s="579"/>
      <c r="J2702" s="580" t="str">
        <f>IF(I2702="","",IF(I2702="I",$F2691,VLOOKUP(I2702,$C2712:$D2717,2,0)))</f>
        <v/>
      </c>
      <c r="K2702" s="535"/>
      <c r="L2702" s="535"/>
      <c r="M2702" s="537"/>
      <c r="N2702" s="43" t="str">
        <f t="shared" si="540"/>
        <v/>
      </c>
      <c r="O2702" s="260" t="str">
        <f t="shared" si="541"/>
        <v/>
      </c>
      <c r="P2702" s="781"/>
      <c r="Q2702" s="782"/>
      <c r="R2702" s="767"/>
      <c r="S2702" s="768"/>
      <c r="T2702" s="538"/>
      <c r="U2702" s="539"/>
      <c r="V2702" s="540"/>
      <c r="X2702" s="541"/>
      <c r="Y2702" s="541"/>
    </row>
    <row r="2703" spans="1:29" s="44" customFormat="1" ht="24.95" customHeight="1">
      <c r="A2703" s="42" t="str">
        <f>"I"&amp;E2691</f>
        <v>I90</v>
      </c>
      <c r="B2703" s="605" t="str">
        <f t="shared" si="542"/>
        <v/>
      </c>
      <c r="C2703" s="581"/>
      <c r="D2703" s="581"/>
      <c r="E2703" s="581"/>
      <c r="F2703" s="581"/>
      <c r="G2703" s="534"/>
      <c r="H2703" s="534"/>
      <c r="I2703" s="579"/>
      <c r="J2703" s="580" t="str">
        <f>IF(I2703="","",IF(I2703="I",$F2691,VLOOKUP(I2703,$C2712:$D2717,2,0)))</f>
        <v/>
      </c>
      <c r="K2703" s="535"/>
      <c r="L2703" s="535"/>
      <c r="M2703" s="537"/>
      <c r="N2703" s="43" t="str">
        <f t="shared" si="540"/>
        <v/>
      </c>
      <c r="O2703" s="260" t="str">
        <f t="shared" si="541"/>
        <v/>
      </c>
      <c r="P2703" s="781"/>
      <c r="Q2703" s="782"/>
      <c r="R2703" s="767"/>
      <c r="S2703" s="768"/>
      <c r="T2703" s="538"/>
      <c r="U2703" s="539"/>
      <c r="V2703" s="540"/>
      <c r="X2703" s="541"/>
      <c r="Y2703" s="541"/>
    </row>
    <row r="2704" spans="1:29" s="44" customFormat="1" ht="24.95" customHeight="1" thickBot="1">
      <c r="A2704" s="42" t="str">
        <f>"J"&amp;E2691</f>
        <v>J90</v>
      </c>
      <c r="B2704" s="612" t="str">
        <f t="shared" si="542"/>
        <v/>
      </c>
      <c r="C2704" s="582"/>
      <c r="D2704" s="582"/>
      <c r="E2704" s="582"/>
      <c r="F2704" s="582"/>
      <c r="G2704" s="583"/>
      <c r="H2704" s="583"/>
      <c r="I2704" s="584"/>
      <c r="J2704" s="585" t="str">
        <f>IF(I2704="","",IF(I2704="I",$F2691,VLOOKUP(I2704,$C2712:$D2717,2,0)))</f>
        <v/>
      </c>
      <c r="K2704" s="586"/>
      <c r="L2704" s="586"/>
      <c r="M2704" s="587"/>
      <c r="N2704" s="43" t="str">
        <f t="shared" si="540"/>
        <v/>
      </c>
      <c r="O2704" s="260" t="str">
        <f t="shared" si="541"/>
        <v/>
      </c>
      <c r="P2704" s="781"/>
      <c r="Q2704" s="782"/>
      <c r="R2704" s="767"/>
      <c r="S2704" s="768"/>
      <c r="T2704" s="538"/>
      <c r="U2704" s="539"/>
      <c r="V2704" s="540"/>
      <c r="X2704" s="541"/>
      <c r="Y2704" s="541"/>
    </row>
    <row r="2705" spans="1:29" s="27" customFormat="1" ht="12" customHeight="1" thickBot="1">
      <c r="A2705" s="42"/>
      <c r="B2705" s="45"/>
      <c r="C2705" s="46"/>
      <c r="D2705" s="46"/>
      <c r="E2705" s="46"/>
      <c r="F2705" s="46"/>
      <c r="G2705" s="46"/>
      <c r="H2705" s="606"/>
      <c r="I2705" s="46"/>
      <c r="J2705" s="46"/>
      <c r="K2705" s="46"/>
      <c r="L2705" s="46"/>
      <c r="M2705" s="46"/>
      <c r="N2705" s="46"/>
      <c r="O2705" s="259"/>
      <c r="P2705" s="46"/>
      <c r="Q2705" s="46"/>
      <c r="R2705" s="259"/>
      <c r="S2705" s="46"/>
      <c r="T2705" s="46"/>
      <c r="U2705" s="47"/>
      <c r="V2705" s="48"/>
      <c r="X2705" s="592"/>
      <c r="Y2705" s="593"/>
      <c r="AB2705" s="378"/>
    </row>
    <row r="2706" spans="1:29" s="27" customFormat="1" ht="17.25" customHeight="1" thickBot="1">
      <c r="A2706" s="42" t="str">
        <f>"Z"&amp;E2691</f>
        <v>Z90</v>
      </c>
      <c r="B2706" s="510"/>
      <c r="C2706" s="511"/>
      <c r="D2706" s="511"/>
      <c r="E2706" s="511"/>
      <c r="F2706" s="511"/>
      <c r="G2706" s="511"/>
      <c r="H2706" s="511"/>
      <c r="I2706" s="511"/>
      <c r="J2706" s="511"/>
      <c r="K2706" s="511"/>
      <c r="L2706" s="511"/>
      <c r="M2706" s="511"/>
      <c r="N2706" s="437" t="s">
        <v>388</v>
      </c>
      <c r="O2706" s="438">
        <f>IF(COUNTIF(O2695:O2704,"")&gt;9,0,SUM(O2695:O2704)/(COUNTIF(H2695:H2704,"SI")))</f>
        <v>363.81</v>
      </c>
      <c r="P2706" s="511"/>
      <c r="Q2706" s="511"/>
      <c r="R2706" s="530"/>
      <c r="S2706" s="530"/>
      <c r="T2706" s="531"/>
      <c r="U2706" s="532"/>
      <c r="V2706" s="533"/>
      <c r="W2706" s="285"/>
      <c r="X2706" s="613" t="e">
        <f>COUNTIF(#REF!,"")-COUNTIF(#REF!,"CUMPLE")-1</f>
        <v>#REF!</v>
      </c>
      <c r="Y2706" s="591"/>
      <c r="AB2706" s="28"/>
    </row>
    <row r="2707" spans="1:29" ht="17.25" customHeight="1">
      <c r="B2707" s="50"/>
      <c r="C2707" s="50"/>
      <c r="D2707" s="50"/>
      <c r="E2707" s="50"/>
      <c r="F2707" s="50"/>
      <c r="G2707" s="51"/>
      <c r="H2707" s="51"/>
      <c r="I2707" s="51"/>
      <c r="J2707" s="51"/>
      <c r="K2707" s="51"/>
      <c r="L2707" s="51"/>
      <c r="M2707" s="51"/>
      <c r="N2707" s="51"/>
      <c r="O2707" s="51"/>
      <c r="P2707" s="51"/>
      <c r="Q2707" s="51"/>
      <c r="R2707" s="51"/>
      <c r="S2707" s="51"/>
      <c r="T2707" s="51"/>
      <c r="U2707" s="51"/>
      <c r="V2707" s="51"/>
      <c r="W2707" s="51"/>
      <c r="X2707" s="608"/>
      <c r="Y2707" s="51"/>
      <c r="Z2707" s="51"/>
      <c r="AA2707" s="51"/>
      <c r="AB2707" s="51"/>
      <c r="AC2707" s="50"/>
    </row>
    <row r="2708" spans="1:29" s="27" customFormat="1" ht="16.5" customHeight="1" thickBot="1">
      <c r="A2708" s="22"/>
      <c r="B2708" s="783" t="s">
        <v>389</v>
      </c>
      <c r="C2708" s="783"/>
      <c r="D2708" s="783"/>
      <c r="E2708" s="783"/>
      <c r="F2708" s="783"/>
      <c r="G2708" s="783"/>
      <c r="H2708" s="783"/>
      <c r="I2708" s="783"/>
      <c r="J2708" s="783"/>
      <c r="K2708" s="783"/>
      <c r="L2708" s="783"/>
      <c r="M2708" s="783"/>
      <c r="N2708" s="783"/>
      <c r="O2708" s="783"/>
      <c r="P2708" s="783"/>
      <c r="Q2708" s="783"/>
      <c r="R2708" s="783"/>
      <c r="S2708" s="783"/>
      <c r="T2708" s="783"/>
      <c r="U2708" s="783"/>
      <c r="V2708" s="783"/>
      <c r="W2708" s="286"/>
      <c r="X2708" s="607"/>
      <c r="Y2708" s="52"/>
      <c r="Z2708" s="52"/>
      <c r="AA2708" s="52"/>
      <c r="AB2708" s="28"/>
      <c r="AC2708" s="28"/>
    </row>
    <row r="2709" spans="1:29" s="30" customFormat="1" ht="22.5" customHeight="1">
      <c r="A2709" s="112" t="str">
        <f>"K"&amp;E2691</f>
        <v>K90</v>
      </c>
      <c r="B2709" s="790" t="s">
        <v>390</v>
      </c>
      <c r="C2709" s="772" t="s">
        <v>391</v>
      </c>
      <c r="D2709" s="773"/>
      <c r="E2709" s="773"/>
      <c r="F2709" s="773"/>
      <c r="G2709" s="773"/>
      <c r="H2709" s="773"/>
      <c r="I2709" s="773"/>
      <c r="J2709" s="773"/>
      <c r="K2709" s="773"/>
      <c r="L2709" s="773"/>
      <c r="M2709" s="774"/>
      <c r="N2709" s="525"/>
      <c r="O2709" s="588"/>
      <c r="P2709" s="772" t="s">
        <v>392</v>
      </c>
      <c r="Q2709" s="773"/>
      <c r="R2709" s="773"/>
      <c r="S2709" s="774"/>
      <c r="T2709" s="784" t="s">
        <v>393</v>
      </c>
      <c r="U2709" s="774"/>
      <c r="V2709" s="811"/>
      <c r="W2709" s="284"/>
      <c r="X2709" s="778" t="s">
        <v>394</v>
      </c>
      <c r="Y2709" s="779"/>
      <c r="Z2709" s="779"/>
      <c r="AA2709" s="779" t="s">
        <v>395</v>
      </c>
      <c r="AB2709" s="808" t="s">
        <v>396</v>
      </c>
      <c r="AC2709" s="28"/>
    </row>
    <row r="2710" spans="1:29" s="30" customFormat="1" ht="22.5" customHeight="1">
      <c r="A2710" s="112" t="str">
        <f>"L"&amp;E2691</f>
        <v>L90</v>
      </c>
      <c r="B2710" s="791"/>
      <c r="C2710" s="769" t="s">
        <v>397</v>
      </c>
      <c r="D2710" s="770"/>
      <c r="E2710" s="771"/>
      <c r="F2710" s="512">
        <f>IF(VLOOKUP(E2691,PROPONENTES!$C$19:$E$108,3,0)="","",VLOOKUP(E2691,PROPONENTES!$C$19:$E$108,3,0))</f>
        <v>1</v>
      </c>
      <c r="G2710" s="824" t="s">
        <v>398</v>
      </c>
      <c r="H2710" s="793" t="s">
        <v>399</v>
      </c>
      <c r="I2710" s="793"/>
      <c r="J2710" s="769" t="s">
        <v>400</v>
      </c>
      <c r="K2710" s="823"/>
      <c r="L2710" s="513" t="s">
        <v>401</v>
      </c>
      <c r="M2710" s="513"/>
      <c r="N2710" s="526"/>
      <c r="O2710" s="527"/>
      <c r="P2710" s="775"/>
      <c r="Q2710" s="776"/>
      <c r="R2710" s="776"/>
      <c r="S2710" s="777"/>
      <c r="T2710" s="796"/>
      <c r="U2710" s="797"/>
      <c r="V2710" s="812"/>
      <c r="W2710" s="284"/>
      <c r="X2710" s="780" t="s">
        <v>402</v>
      </c>
      <c r="Y2710" s="810" t="s">
        <v>403</v>
      </c>
      <c r="Z2710" s="810"/>
      <c r="AA2710" s="810"/>
      <c r="AB2710" s="809"/>
      <c r="AC2710" s="28"/>
    </row>
    <row r="2711" spans="1:29" s="30" customFormat="1" ht="51.75" customHeight="1" thickBot="1">
      <c r="A2711" s="112" t="str">
        <f>"M"&amp;E2691</f>
        <v>M90</v>
      </c>
      <c r="B2711" s="791"/>
      <c r="C2711" s="770" t="s">
        <v>404</v>
      </c>
      <c r="D2711" s="771"/>
      <c r="E2711" s="514" t="s">
        <v>405</v>
      </c>
      <c r="F2711" s="515" t="s">
        <v>406</v>
      </c>
      <c r="G2711" s="824"/>
      <c r="H2711" s="793"/>
      <c r="I2711" s="793"/>
      <c r="J2711" s="504" t="s">
        <v>407</v>
      </c>
      <c r="K2711" s="516" t="s">
        <v>408</v>
      </c>
      <c r="L2711" s="517" t="s">
        <v>409</v>
      </c>
      <c r="M2711" s="517"/>
      <c r="N2711" s="528" t="s">
        <v>410</v>
      </c>
      <c r="O2711" s="529"/>
      <c r="P2711" s="386"/>
      <c r="Q2711" s="387" t="s">
        <v>411</v>
      </c>
      <c r="R2711" s="388"/>
      <c r="S2711" s="113">
        <f>COUNTIFS(H2695:H2704,"SI",O2695:O2704,"&gt;0")</f>
        <v>1</v>
      </c>
      <c r="T2711" s="785"/>
      <c r="U2711" s="787"/>
      <c r="V2711" s="813"/>
      <c r="W2711" s="284"/>
      <c r="X2711" s="780"/>
      <c r="Y2711" s="810"/>
      <c r="Z2711" s="810"/>
      <c r="AA2711" s="810"/>
      <c r="AB2711" s="809"/>
      <c r="AC2711" s="28"/>
    </row>
    <row r="2712" spans="1:29" s="30" customFormat="1" ht="15.75" customHeight="1">
      <c r="A2712" s="112" t="str">
        <f>"N"&amp;E2691</f>
        <v>N90</v>
      </c>
      <c r="B2712" s="791"/>
      <c r="C2712" s="54">
        <v>1</v>
      </c>
      <c r="D2712" s="100" t="str">
        <f>IF(AND(C2712&lt;=F2710,F2710&gt;1,F2710&lt;&gt;""),VLOOKUP(VALUE(E2691&amp;","&amp;C2712),INTEGRANTES!$D$19:$F$192,2,0),"")</f>
        <v/>
      </c>
      <c r="E2712" s="107" t="str">
        <f>IF(D2712&lt;&gt;"",VLOOKUP(VALUE(E2691&amp;","&amp;C2712),INTEGRANTES!$D$19:$F$192,3,0),"")</f>
        <v/>
      </c>
      <c r="F2712" s="380" t="str">
        <f>IF(D2712="","",IF(OR(SUMIF($J2698:$J2704,D2712,$O2698:$O2704)=0,N2712="NO"),"NO APORTA",SUMIF($J2698:$J2704,D2712,$O2698:$O2704)))</f>
        <v/>
      </c>
      <c r="G2712" s="380" t="str">
        <f>IF($D2712="","",IF($F2710&lt;=1,"",ROUND(POSMMLV*PORPO,2)))</f>
        <v/>
      </c>
      <c r="H2712" s="765" t="str">
        <f>IF($D2712="","",IF(OR(F2712="NO APORTA",G2712&gt;F2712),"NO CUMPLE","CUMPLE"))</f>
        <v/>
      </c>
      <c r="I2712" s="766"/>
      <c r="J2712" s="108" t="str">
        <f>IF(D2712="","",IF(OR(AND(SUMIF($J2695:$J2704,D2712,$O2695:$O2704)&gt;=5%*POSMMLV,N2712="SI"),AND(SUMIF($J2695:$J2704,D2712,$O2695:$O2704)=0,E2712&lt;=5%,N2712="SI")),"CUMPLE","NO CUMPLE"))</f>
        <v/>
      </c>
      <c r="K2712" s="105" t="str">
        <f>IF(OR(D2712="",J2712=""),"",IF(AND(J2712="NO CUMPLE",F2712="NO APORTA",E2712&gt;5%),"EXP = 0 y PART &gt; 5%",IF(F2712&lt;5%*Q2717,"EXP &lt; 5%*PO","")))</f>
        <v/>
      </c>
      <c r="L2712" s="389" t="str">
        <f>IF(OR(D2712="",E2712=""),"",IF(AND(E2712&gt;=0.25,F2712&lt;&gt;"NO APORTA",F2712&gt;=$R2717*0.25),"SI","NO"))</f>
        <v/>
      </c>
      <c r="M2712" s="389"/>
      <c r="N2712" s="468" t="s">
        <v>385</v>
      </c>
      <c r="O2712" s="396">
        <f>COUNTIFS(O2695:O2704,"&gt;0",H2695:H2704,"SI")</f>
        <v>1</v>
      </c>
      <c r="P2712" s="814" t="s">
        <v>139</v>
      </c>
      <c r="Q2712" s="814"/>
      <c r="R2712" s="817">
        <f>E2691</f>
        <v>90</v>
      </c>
      <c r="S2712" s="818"/>
      <c r="T2712" s="784" t="s">
        <v>412</v>
      </c>
      <c r="U2712" s="773"/>
      <c r="V2712" s="774"/>
      <c r="W2712" s="283"/>
      <c r="X2712" s="542" t="str">
        <f>IF($F2710=1,"NO APLICA",$D2712)</f>
        <v>NO APLICA</v>
      </c>
      <c r="Y2712" s="543" t="str">
        <f>IF(OR($F2712="",$F2712="NO APORTA",$R2717=0,$X2712="NO APLICA"),"",ROUND($F2712/$Q2717,2))</f>
        <v/>
      </c>
      <c r="Z2712" s="544" t="str">
        <f>IF(Y2718=1,"SI APLICA",IF(OR($X2712="",$X2712="NO APLICA",$F2712="",$F2712="NO APORTA"),"",IF(ROUND($F2712/Q2717,7)&gt;=0.4,"SI APLICA","NO APLICA")))</f>
        <v>SI APLICA</v>
      </c>
      <c r="AA2712" s="543" t="s">
        <v>516</v>
      </c>
      <c r="AB2712" s="540" t="str">
        <f>IF(COUNTIF(Z2712:AA2712,"SI APLICA")=2,"SI APLICA","")</f>
        <v/>
      </c>
      <c r="AC2712" s="28"/>
    </row>
    <row r="2713" spans="1:29" s="30" customFormat="1" ht="15.75" customHeight="1" thickBot="1">
      <c r="A2713" s="112" t="str">
        <f>"O"&amp;E2691</f>
        <v>O90</v>
      </c>
      <c r="B2713" s="791"/>
      <c r="C2713" s="54">
        <v>2</v>
      </c>
      <c r="D2713" s="100" t="str">
        <f>IF(AND(C2713&lt;=F2710,F2710&lt;&gt;""),VLOOKUP(VALUE(E2691&amp;","&amp;C2713),INTEGRANTES!$D$19:$F$192,2,0),"")</f>
        <v/>
      </c>
      <c r="E2713" s="107" t="str">
        <f>IF(D2713&lt;&gt;"",VLOOKUP(VALUE(E2691&amp;","&amp;C2713),INTEGRANTES!$D$19:$F$192,3,0),"")</f>
        <v/>
      </c>
      <c r="F2713" s="380" t="str">
        <f>IF(D2713="","",IF(OR(SUMIF($J2698:$J2704,D2713,$O2698:$O2704)=0,N2713="NO"),"NO APORTA",SUMIF($J2698:$J2704,D2713,$O2698:$O2704)))</f>
        <v/>
      </c>
      <c r="G2713" s="380" t="str">
        <f>IF($D2713="","",IF($F2710&lt;=1,"",ROUND(POSMMLV*PORPO,2)))</f>
        <v/>
      </c>
      <c r="H2713" s="765" t="str">
        <f t="shared" ref="H2713:H2716" si="543">IF($D2713="","",IF(OR(F2713="NO APORTA",G2713&gt;F2713),"NO CUMPLE","CUMPLE"))</f>
        <v/>
      </c>
      <c r="I2713" s="766"/>
      <c r="J2713" s="108" t="str">
        <f>IF(D2713="","",IF(OR(AND(SUMIF($J2695:$J2704,D2713,$O2695:$O2704)&gt;=5%*POSMMLV,N2713="SI"),AND(SUMIF($J2695:$J2704,D2713,$O2695:$O2704)=0,E2713&lt;=5%,N2713="SI")),"CUMPLE","NO CUMPLE"))</f>
        <v/>
      </c>
      <c r="K2713" s="105" t="str">
        <f>IF(OR(D2713="",J2713=""),"",IF(AND(J2713="NO CUMPLE",F2713="NO APORTA",E2713&gt;5%),"EXP = 0 y PART &gt; 5%",IF(F2713&lt;5%*Q2717,"EXP &lt; 5%*PO","")))</f>
        <v/>
      </c>
      <c r="L2713" s="389" t="str">
        <f>IF(OR(D2713="",E2713=""),"",IF(AND(E2713&gt;=0.25,F2713&lt;&gt;"NO APORTA",F2713&gt;=$R2717*0.25),"SI","NO"))</f>
        <v/>
      </c>
      <c r="M2713" s="389"/>
      <c r="N2713" s="468"/>
      <c r="O2713" s="396"/>
      <c r="P2713" s="815"/>
      <c r="Q2713" s="815"/>
      <c r="R2713" s="815"/>
      <c r="S2713" s="819"/>
      <c r="T2713" s="785"/>
      <c r="U2713" s="786"/>
      <c r="V2713" s="787"/>
      <c r="W2713" s="283"/>
      <c r="X2713" s="542" t="str">
        <f>IF($F2710=1,"NO APLICA",$D2713)</f>
        <v>NO APLICA</v>
      </c>
      <c r="Y2713" s="543" t="str">
        <f>IF(OR($F2713="",$F2713="NO APORTA",$R2717=0,$X2713="NO APLICA"),"",ROUND($F2713/$Q2717,2))</f>
        <v/>
      </c>
      <c r="Z2713" s="544"/>
      <c r="AA2713" s="543"/>
      <c r="AB2713" s="540" t="str">
        <f t="shared" ref="AB2713" si="544">IF(COUNTIF(Z2713:AA2713,"SI APLICA")=2,"SI APLICA","")</f>
        <v/>
      </c>
      <c r="AC2713" s="28"/>
    </row>
    <row r="2714" spans="1:29" s="30" customFormat="1" ht="15.75" customHeight="1">
      <c r="A2714" s="112" t="str">
        <f>"P"&amp;E2691</f>
        <v>P90</v>
      </c>
      <c r="B2714" s="791"/>
      <c r="C2714" s="54">
        <v>3</v>
      </c>
      <c r="D2714" s="100" t="str">
        <f>IF(AND(C2714&lt;=F2710,F2710&lt;&gt;""),VLOOKUP(VALUE(E2691&amp;","&amp;C2714),INTEGRANTES!$D$19:$F$192,2,0),"")</f>
        <v/>
      </c>
      <c r="E2714" s="107" t="str">
        <f>IF(D2714&lt;&gt;"",VLOOKUP(VALUE(E2691&amp;","&amp;C2714),INTEGRANTES!$D$19:$F$192,3,0),"")</f>
        <v/>
      </c>
      <c r="F2714" s="380" t="str">
        <f>IF(D2714="","",IF(OR(SUMIF($J2698:$J2704,D2714,$O2698:$O2704)=0,N2714="NO"),"NO APORTA",SUMIF($J2698:$J2704,D2714,$O2698:$O2704)))</f>
        <v/>
      </c>
      <c r="G2714" s="380" t="str">
        <f>IF($D2714="","",IF($F2710&lt;=1,"",ROUND(POSMMLV*PORPO,2)))</f>
        <v/>
      </c>
      <c r="H2714" s="765" t="str">
        <f t="shared" si="543"/>
        <v/>
      </c>
      <c r="I2714" s="766"/>
      <c r="J2714" s="108" t="str">
        <f>IF(D2714="","",IF(OR(AND(SUMIF($J2695:$J2704,D2714,$O2695:$O2704)&gt;=5%*POSMMLV,N2714="SI"),AND(SUMIF($J2695:$J2704,D2714,$O2695:$O2704)=0,E2714&lt;=5%,N2714="SI")),"CUMPLE","NO CUMPLE"))</f>
        <v/>
      </c>
      <c r="K2714" s="105" t="str">
        <f>IF(OR(D2714="",J2714=""),"",IF(AND(J2714="NO CUMPLE",F2714="NO APORTA",E2714&gt;5%),"EXP = 0 y PART &gt; 5%",IF(F2714&lt;5%*Q2717,"EXP &lt; 5%*PO","")))</f>
        <v/>
      </c>
      <c r="L2714" s="389" t="str">
        <f>IF(OR(D2714="",E2714=""),"",IF(AND(E2714&gt;=0.25,F2714&lt;&gt;"NO APORTA",F2714&gt;=$R2717*0.25),"SI","NO"))</f>
        <v/>
      </c>
      <c r="M2714" s="389"/>
      <c r="N2714" s="468"/>
      <c r="O2714" s="397"/>
      <c r="P2714" s="816"/>
      <c r="Q2714" s="816"/>
      <c r="R2714" s="816"/>
      <c r="S2714" s="820"/>
      <c r="T2714" s="308"/>
      <c r="U2714" s="308"/>
      <c r="V2714" s="309"/>
      <c r="W2714" s="284"/>
      <c r="X2714" s="542" t="str">
        <f>IF($F2710=1,"NO APLICA",$D2714)</f>
        <v>NO APLICA</v>
      </c>
      <c r="Y2714" s="543" t="str">
        <f>IF(OR($F2714="",$F2714="NO APORTA",$R2717=0,$X2714="NO APLICA"),"",ROUND($F2714/$Q2717,2))</f>
        <v/>
      </c>
      <c r="Z2714" s="544"/>
      <c r="AA2714" s="543"/>
      <c r="AB2714" s="540" t="str">
        <f>IF(COUNTIF(Z2714:AA2714,"SI APLICA")=2,"SI APLICA","")</f>
        <v/>
      </c>
      <c r="AC2714" s="28"/>
    </row>
    <row r="2715" spans="1:29" s="30" customFormat="1" ht="15.75" customHeight="1">
      <c r="A2715" s="112" t="str">
        <f>"Q"&amp;E2691</f>
        <v>Q90</v>
      </c>
      <c r="B2715" s="791"/>
      <c r="C2715" s="54">
        <v>4</v>
      </c>
      <c r="D2715" s="100" t="str">
        <f>IF(AND(C2715&lt;=F2710,F2710&lt;&gt;""),VLOOKUP(VALUE(E2691&amp;","&amp;C2715),INTEGRANTES!$D$19:$F$192,2,0),"")</f>
        <v/>
      </c>
      <c r="E2715" s="107" t="str">
        <f>IF(D2715&lt;&gt;"",VLOOKUP(VALUE(E2691&amp;","&amp;C2715),INTEGRANTES!$D$19:$F$192,3,0),"")</f>
        <v/>
      </c>
      <c r="F2715" s="380" t="str">
        <f>IF(D2715="","",IF(OR(SUMIF($J2698:$J2704,D2715,$O2698:$O2704)=0,N2715="NO"),"NO APORTA",SUMIF($J2698:$J2704,D2715,$O2698:$O2704)))</f>
        <v/>
      </c>
      <c r="G2715" s="380" t="str">
        <f>IF($D2715="","",IF($F2710&lt;=1,"",ROUND(POSMMLV*PORPO,2)))</f>
        <v/>
      </c>
      <c r="H2715" s="765" t="str">
        <f t="shared" si="543"/>
        <v/>
      </c>
      <c r="I2715" s="766"/>
      <c r="J2715" s="108" t="str">
        <f>IF(D2715="","",IF(OR(AND(SUMIF($J2695:$J2704,D2715,$O2695:$O2704)&gt;=5%*POSMMLV,N2715="SI"),AND(SUMIF($J2695:$J2704,D2715,$O2695:$O2704)=0,E2715&lt;=5%,N2715="SI")),"CUMPLE","NO CUMPLE"))</f>
        <v/>
      </c>
      <c r="K2715" s="105" t="str">
        <f>IF(OR(D2715="",J2715=""),"",IF(AND(J2715="NO CUMPLE",F2715="NO APORTA",E2715&gt;5%),"EXP = 0 y PART &gt; 5%",IF(F2715&lt;5%*Q2717,"EXP &lt; 5%*PO","")))</f>
        <v/>
      </c>
      <c r="L2715" s="389" t="str">
        <f>IF(OR(D2715="",E2715=""),"",IF(AND(E2715&gt;=0.25,F2715&lt;&gt;"NO APORTA",F2715&gt;=$R2717*0.25),"SI","NO"))</f>
        <v/>
      </c>
      <c r="M2715" s="389"/>
      <c r="N2715" s="468"/>
      <c r="O2715" s="788" t="s">
        <v>414</v>
      </c>
      <c r="P2715" s="769" t="s">
        <v>415</v>
      </c>
      <c r="Q2715" s="770"/>
      <c r="R2715" s="770"/>
      <c r="S2715" s="771"/>
      <c r="T2715" s="284"/>
      <c r="U2715" s="284"/>
      <c r="V2715" s="310"/>
      <c r="W2715" s="284"/>
      <c r="X2715" s="542" t="str">
        <f>IF($F2710=1,"NO APLICA",$D2715)</f>
        <v>NO APLICA</v>
      </c>
      <c r="Y2715" s="543" t="str">
        <f>IF(OR($F2715="",$F2715="NO APORTA",$R2717=0,$X2715="NO APLICA"),"",ROUND($F2715/$Q2717,2))</f>
        <v/>
      </c>
      <c r="Z2715" s="544"/>
      <c r="AA2715" s="543"/>
      <c r="AB2715" s="540" t="str">
        <f t="shared" ref="AB2715:AB2716" si="545">IF(COUNTIF(Z2715:AA2715,"SI APLICA")=2,"SI APLICA","")</f>
        <v/>
      </c>
      <c r="AC2715" s="28"/>
    </row>
    <row r="2716" spans="1:29" s="30" customFormat="1" ht="17.25" customHeight="1">
      <c r="A2716" s="112" t="str">
        <f>"R"&amp;E2691</f>
        <v>R90</v>
      </c>
      <c r="B2716" s="791"/>
      <c r="C2716" s="54">
        <v>5</v>
      </c>
      <c r="D2716" s="100" t="str">
        <f>IF(AND(C2716&lt;=F2710,F2710&lt;&gt;""),VLOOKUP(VALUE(E2691&amp;","&amp;C2716),INTEGRANTES!$D$19:$F$192,2,0),"")</f>
        <v/>
      </c>
      <c r="E2716" s="107" t="str">
        <f>IF(D2716&lt;&gt;"",VLOOKUP(VALUE(E2691&amp;","&amp;C2716),INTEGRANTES!$D$19:$F$192,3,0),"")</f>
        <v/>
      </c>
      <c r="F2716" s="380" t="str">
        <f>IF(D2716="","",IF(OR(SUMIF($J2698:$J2704,D2716,$O2698:$O2704)=0,N2716="NO"),"NO APORTA",SUMIF($J2698:$J2704,D2716,$O2698:$O2704)))</f>
        <v/>
      </c>
      <c r="G2716" s="380" t="str">
        <f>IF($D2716="","",IF($F2710&lt;=1,"",ROUND(POSMMLV*PORPO,2)))</f>
        <v/>
      </c>
      <c r="H2716" s="765" t="str">
        <f t="shared" si="543"/>
        <v/>
      </c>
      <c r="I2716" s="766"/>
      <c r="J2716" s="108" t="str">
        <f>IF(D2716="","",IF(OR(AND(SUMIF($J2695:$J2704,D2716,$O2695:$O2704)&gt;=5%*POSMMLV,N2716="SI"),AND(SUMIF($J2695:$J2704,D2716,$O2695:$O2704)=0,E2716&lt;=5%,N2716="SI")),"CUMPLE","NO CUMPLE"))</f>
        <v/>
      </c>
      <c r="K2716" s="105" t="str">
        <f>IF(OR(D2716="",J2716=""),"",IF(AND(J2716="NO CUMPLE",F2716="NO APORTA",E2716&gt;5%),"EXP = 0 y PART &gt; 5%",IF(F2716&lt;5%*Q2717,"EXP &lt; 5%*PO","")))</f>
        <v/>
      </c>
      <c r="L2716" s="389" t="str">
        <f>IF(OR(D2716="",E2716=""),"",IF(AND(E2716&gt;=0.25,F2716&lt;&gt;"NO APORTA",F2716&gt;=$R2717*0.25),"SI","NO"))</f>
        <v/>
      </c>
      <c r="M2716" s="389"/>
      <c r="N2716" s="468"/>
      <c r="O2716" s="789"/>
      <c r="P2716" s="504" t="s">
        <v>416</v>
      </c>
      <c r="Q2716" s="504" t="s">
        <v>417</v>
      </c>
      <c r="R2716" s="793" t="s">
        <v>418</v>
      </c>
      <c r="S2716" s="793"/>
      <c r="T2716" s="284"/>
      <c r="U2716" s="284"/>
      <c r="V2716" s="310"/>
      <c r="W2716" s="284"/>
      <c r="X2716" s="542" t="str">
        <f>IF($F2710=1,"NO APLICA",$D2716)</f>
        <v>NO APLICA</v>
      </c>
      <c r="Y2716" s="543" t="str">
        <f>IF(OR($F2716="",$F2716="NO APORTA",$R2717=0,$X2716="NO APLICA"),"",ROUND($F2716/$Q2717,2))</f>
        <v/>
      </c>
      <c r="Z2716" s="544"/>
      <c r="AA2716" s="543"/>
      <c r="AB2716" s="540" t="str">
        <f t="shared" si="545"/>
        <v/>
      </c>
      <c r="AC2716" s="28"/>
    </row>
    <row r="2717" spans="1:29" s="30" customFormat="1" ht="16.5" customHeight="1" thickBot="1">
      <c r="A2717" s="112" t="str">
        <f>"S"&amp;E2691</f>
        <v>S90</v>
      </c>
      <c r="B2717" s="791"/>
      <c r="C2717" s="109">
        <v>6</v>
      </c>
      <c r="D2717" s="110" t="str">
        <f>IF(AND(C2717&lt;=F2710,F2710&lt;&gt;""),VLOOKUP(VALUE(E2691&amp;","&amp;C2717),INTEGRANTES!$D$19:$F$192,2,0),"")</f>
        <v/>
      </c>
      <c r="E2717" s="111" t="str">
        <f>IF(D2717&lt;&gt;"",VLOOKUP(VALUE(E2691&amp;","&amp;C2717),INTEGRANTES!$D$19:$F$192,3,0),"")</f>
        <v/>
      </c>
      <c r="F2717" s="380" t="str">
        <f>IF(D2717="","",IF(OR(SUMIF($J2698:$J2704,D2717,$O2698:$O2704)=0,N2717="NO"),"NO APORTA",SUMIF($J2698:$J2704,D2717,$O2698:$O2704)))</f>
        <v/>
      </c>
      <c r="G2717" s="380" t="str">
        <f>IF($D2717="","",IF($F2710&lt;=1,"",ROUND(POSMMLV*PORPO,2)))</f>
        <v/>
      </c>
      <c r="H2717" s="765" t="str">
        <f>IF($D2717="","",IF(OR(F2717="NO APORTA",G2717&gt;F2717),"NO CUMPLE","CUMPLE"))</f>
        <v/>
      </c>
      <c r="I2717" s="766"/>
      <c r="J2717" s="108" t="str">
        <f>IF(D2717="","",IF(OR(AND(SUMIF($J2695:$J2704,D2717,$O2695:$O2704)&gt;=5%*POSMMLV,N2717="SI"),AND(SUMIF($J2695:$J2704,D2717,$O2695:$O2704)=0,E2717&lt;=5%,N2717="SI")),"CUMPLE","NO CUMPLE"))</f>
        <v/>
      </c>
      <c r="K2717" s="105" t="str">
        <f>IF(OR(D2717="",J2717=""),"",IF(AND(J2717="NO CUMPLE",F2717="NO APORTA",E2717&gt;5%),"EXP = 0 y PART &gt; 5%",IF(F2717&lt;5%*Q2717,"EXP &lt; 5%*PO","")))</f>
        <v/>
      </c>
      <c r="L2717" s="389" t="str">
        <f>IF(OR(D2717="",E2717=""),"",IF(AND(E2717&gt;=0.25,F2717&lt;&gt;"NO APORTA",F2717&gt;=$R2717*0.25),"SI","NO"))</f>
        <v/>
      </c>
      <c r="M2717" s="389"/>
      <c r="N2717" s="468"/>
      <c r="O2717" s="403" t="str">
        <f ca="1">IF(R2717&gt;=Q2717,"CUMPLE","NO CUMPLE")</f>
        <v>CUMPLE</v>
      </c>
      <c r="P2717" s="312">
        <f>NUMMOD</f>
        <v>1</v>
      </c>
      <c r="Q2717" s="313">
        <f ca="1">IF(P2717="","",ROUND(VLOOKUP(P2717,PRESUPUESTOS!$B$16:$L$16,9,FALSE),7))</f>
        <v>300</v>
      </c>
      <c r="R2717" s="834">
        <f>IF(OR(COUNTIF(O2695:O2704,"")&gt;9,S2711&lt;NUMMINCONT),0,SUM(O2695:O2704))</f>
        <v>363.81</v>
      </c>
      <c r="S2717" s="834"/>
      <c r="T2717" s="284"/>
      <c r="U2717" s="284"/>
      <c r="V2717" s="310"/>
      <c r="W2717" s="284"/>
      <c r="X2717" s="545" t="str">
        <f>IF($F2710=1,"NO APLICA",$D2717)</f>
        <v>NO APLICA</v>
      </c>
      <c r="Y2717" s="543" t="str">
        <f>IF(OR($F2717="",$F2717="NO APORTA",$R2717=0,$X2717="NO APLICA"),"",ROUND($F2717/$Q2717,2))</f>
        <v/>
      </c>
      <c r="Z2717" s="544"/>
      <c r="AA2717" s="546"/>
      <c r="AB2717" s="540" t="str">
        <f>IF(COUNTIF(Z2717:AA2717,"SI APLICA")=2,"SI APLICA","")</f>
        <v/>
      </c>
      <c r="AC2717" s="28"/>
    </row>
    <row r="2718" spans="1:29" s="30" customFormat="1" ht="16.5" customHeight="1" thickBot="1">
      <c r="A2718" s="112" t="str">
        <f>"T"&amp;E2691</f>
        <v>T90</v>
      </c>
      <c r="B2718" s="792"/>
      <c r="C2718" s="821" t="s">
        <v>419</v>
      </c>
      <c r="D2718" s="822"/>
      <c r="E2718" s="822"/>
      <c r="F2718" s="518"/>
      <c r="G2718" s="519"/>
      <c r="H2718" s="794" t="str">
        <f>IF(OR($F2710="",SUM(E2712:E2717)=0),"",IF(COUNTIF(H2712:H2717,"CUMPLE")&gt;=1,"CUMPLE","NO CUMPLE"))</f>
        <v/>
      </c>
      <c r="I2718" s="795"/>
      <c r="J2718" s="314" t="str">
        <f>IF(COUNTIF(J2712:J2717,"")&gt;5,"",IF(COUNTIF(J2712:J2717,"NO CUMPLE")&gt;0,"NO CUMPLE","CUMPLE"))</f>
        <v/>
      </c>
      <c r="K2718" s="314" t="str">
        <f>IF(OR(AND(F2710=1,N2712="SI"),AND(COUNTIF(H2718:J2718,"CUMPLE")=2)),"CUMPLE","NO CUMPLE")</f>
        <v>CUMPLE</v>
      </c>
      <c r="L2718" s="519"/>
      <c r="M2718" s="519"/>
      <c r="N2718" s="519"/>
      <c r="O2718" s="833" t="str">
        <f ca="1">IF(ISNUMBER(F2691),"",IF(AND(O2717="NO CUMPLE",SUM(N2698:N2704)&lt;Q2717),"EL PROPONENTE SE DEBE REQUERIR POR EXPERIENCIA MINIMA EXIGIDA",""))</f>
        <v/>
      </c>
      <c r="P2718" s="833"/>
      <c r="Q2718" s="833"/>
      <c r="R2718" s="833"/>
      <c r="S2718" s="833"/>
      <c r="T2718" s="522"/>
      <c r="U2718" s="523"/>
      <c r="V2718" s="524"/>
      <c r="W2718" s="284"/>
      <c r="X2718" s="364" t="str">
        <f>IF(Y2718=1,"PROPONENTE INDIVIDUAL","PROPONENTE PLURAL")</f>
        <v>PROPONENTE INDIVIDUAL</v>
      </c>
      <c r="Y2718" s="276">
        <f>F2710</f>
        <v>1</v>
      </c>
      <c r="Z2718" s="277" t="str">
        <f>IF(OR(AND(Z2712="SI APLICA",AA2712="SI APLICA"),AND(Z2713="SI APLICA",AA2713="SI APLICA"),AND(Z2714="SI APLICA",AA2714="SI APLICA"),AND(Z2715="SI APLICA",AA2715="SI APLICA"),AND(Z2716="SI APLICA",AA2716="SI APLICA"),AND(Z2717="SI APLICA",AA2717="SI APLICA")),"SI APLICA","NO APLICA")</f>
        <v>NO APLICA</v>
      </c>
      <c r="AA2718" s="278" t="str">
        <f>IF(OR(AND(AA2712="SI APLICA",AB2712="SI APLICA"),AND(AA2713="SI APLICA",AB2713="SI APLICA"),AND(AA2714="SI APLICA",AB2714="SI APLICA"),AND(AA2715="SI APLICA",AB2715="SI APLICA"),AND(AA2716="SI APLICA",AB2716="SI APLICA"),AND(AA2717="SI APLICA",AB2717="SI APLICA")),"SI APLICA","NO APLICA")</f>
        <v>NO APLICA</v>
      </c>
      <c r="AB2718" s="278" t="str">
        <f>IF(COUNTIF(AB2712:AB2717,"SI APLICA")&gt;0,"SI APLICA","NO APLICA")</f>
        <v>NO APLICA</v>
      </c>
      <c r="AC2718" s="28"/>
    </row>
    <row r="2719" spans="1:29" ht="24.95" customHeight="1"/>
    <row r="2720" spans="1:29"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row r="42794"/>
    <row r="42795"/>
    <row r="42796"/>
    <row r="42797"/>
    <row r="42798"/>
    <row r="42799"/>
    <row r="42800"/>
    <row r="42801"/>
    <row r="42802"/>
    <row r="42803"/>
    <row r="42804"/>
  </sheetData>
  <dataConsolidate/>
  <mergeCells count="5862">
    <mergeCell ref="R2716:S2716"/>
    <mergeCell ref="H2717:I2717"/>
    <mergeCell ref="R2717:S2717"/>
    <mergeCell ref="C2718:E2718"/>
    <mergeCell ref="H2718:I2718"/>
    <mergeCell ref="O2718:S2718"/>
    <mergeCell ref="X2709:Z2709"/>
    <mergeCell ref="AA2709:AA2711"/>
    <mergeCell ref="AB2709:AB2711"/>
    <mergeCell ref="C2710:E2710"/>
    <mergeCell ref="G2710:G2711"/>
    <mergeCell ref="H2710:I2711"/>
    <mergeCell ref="J2710:K2710"/>
    <mergeCell ref="X2710:X2711"/>
    <mergeCell ref="Y2710:Z2711"/>
    <mergeCell ref="C2711:D2711"/>
    <mergeCell ref="B2708:V2708"/>
    <mergeCell ref="B2709:B2718"/>
    <mergeCell ref="C2709:M2709"/>
    <mergeCell ref="P2709:S2710"/>
    <mergeCell ref="T2709:U2711"/>
    <mergeCell ref="V2709:V2711"/>
    <mergeCell ref="H2712:I2712"/>
    <mergeCell ref="P2712:Q2714"/>
    <mergeCell ref="R2712:S2714"/>
    <mergeCell ref="T2712:V2713"/>
    <mergeCell ref="H2713:I2713"/>
    <mergeCell ref="H2714:I2714"/>
    <mergeCell ref="H2715:I2715"/>
    <mergeCell ref="O2715:O2716"/>
    <mergeCell ref="P2715:S2715"/>
    <mergeCell ref="H2716:I2716"/>
    <mergeCell ref="P2702:Q2702"/>
    <mergeCell ref="R2702:S2702"/>
    <mergeCell ref="P2703:Q2703"/>
    <mergeCell ref="R2703:S2703"/>
    <mergeCell ref="P2704:Q2704"/>
    <mergeCell ref="R2704:S2704"/>
    <mergeCell ref="P2699:Q2699"/>
    <mergeCell ref="R2699:S2699"/>
    <mergeCell ref="P2700:Q2700"/>
    <mergeCell ref="R2700:S2700"/>
    <mergeCell ref="P2701:Q2701"/>
    <mergeCell ref="R2701:S2701"/>
    <mergeCell ref="P2696:Q2696"/>
    <mergeCell ref="R2696:S2696"/>
    <mergeCell ref="P2697:Q2697"/>
    <mergeCell ref="R2697:S2697"/>
    <mergeCell ref="P2698:Q2698"/>
    <mergeCell ref="R2698:S2698"/>
    <mergeCell ref="R2692:S2693"/>
    <mergeCell ref="T2692:V2692"/>
    <mergeCell ref="P2693:Q2693"/>
    <mergeCell ref="P2695:Q2695"/>
    <mergeCell ref="R2695:S2695"/>
    <mergeCell ref="K2692:K2693"/>
    <mergeCell ref="L2692:L2693"/>
    <mergeCell ref="M2692:M2693"/>
    <mergeCell ref="N2692:O2692"/>
    <mergeCell ref="P2692:Q2692"/>
    <mergeCell ref="B2691:D2691"/>
    <mergeCell ref="B2692:B2693"/>
    <mergeCell ref="H2692:H2693"/>
    <mergeCell ref="I2692:I2693"/>
    <mergeCell ref="J2692:J2693"/>
    <mergeCell ref="R2686:S2686"/>
    <mergeCell ref="H2687:I2687"/>
    <mergeCell ref="R2687:S2687"/>
    <mergeCell ref="C2688:E2688"/>
    <mergeCell ref="H2688:I2688"/>
    <mergeCell ref="O2688:S2688"/>
    <mergeCell ref="X2679:Z2679"/>
    <mergeCell ref="AA2679:AA2681"/>
    <mergeCell ref="AB2679:AB2681"/>
    <mergeCell ref="C2680:E2680"/>
    <mergeCell ref="G2680:G2681"/>
    <mergeCell ref="H2680:I2681"/>
    <mergeCell ref="J2680:K2680"/>
    <mergeCell ref="X2680:X2681"/>
    <mergeCell ref="Y2680:Z2681"/>
    <mergeCell ref="C2681:D2681"/>
    <mergeCell ref="B2678:V2678"/>
    <mergeCell ref="B2679:B2688"/>
    <mergeCell ref="C2679:M2679"/>
    <mergeCell ref="P2679:S2680"/>
    <mergeCell ref="T2679:U2681"/>
    <mergeCell ref="V2679:V2681"/>
    <mergeCell ref="H2682:I2682"/>
    <mergeCell ref="P2682:Q2684"/>
    <mergeCell ref="R2682:S2684"/>
    <mergeCell ref="T2682:V2683"/>
    <mergeCell ref="H2683:I2683"/>
    <mergeCell ref="H2684:I2684"/>
    <mergeCell ref="H2685:I2685"/>
    <mergeCell ref="O2685:O2686"/>
    <mergeCell ref="P2685:S2685"/>
    <mergeCell ref="H2686:I2686"/>
    <mergeCell ref="P2672:Q2672"/>
    <mergeCell ref="R2672:S2672"/>
    <mergeCell ref="P2673:Q2673"/>
    <mergeCell ref="R2673:S2673"/>
    <mergeCell ref="P2674:Q2674"/>
    <mergeCell ref="R2674:S2674"/>
    <mergeCell ref="P2669:Q2669"/>
    <mergeCell ref="R2669:S2669"/>
    <mergeCell ref="P2670:Q2670"/>
    <mergeCell ref="R2670:S2670"/>
    <mergeCell ref="P2671:Q2671"/>
    <mergeCell ref="R2671:S2671"/>
    <mergeCell ref="P2666:Q2666"/>
    <mergeCell ref="R2666:S2666"/>
    <mergeCell ref="P2667:Q2667"/>
    <mergeCell ref="R2667:S2667"/>
    <mergeCell ref="P2668:Q2668"/>
    <mergeCell ref="R2668:S2668"/>
    <mergeCell ref="R2662:S2663"/>
    <mergeCell ref="T2662:V2662"/>
    <mergeCell ref="P2663:Q2663"/>
    <mergeCell ref="P2665:Q2665"/>
    <mergeCell ref="R2665:S2665"/>
    <mergeCell ref="K2662:K2663"/>
    <mergeCell ref="L2662:L2663"/>
    <mergeCell ref="M2662:M2663"/>
    <mergeCell ref="N2662:O2662"/>
    <mergeCell ref="P2662:Q2662"/>
    <mergeCell ref="B2661:D2661"/>
    <mergeCell ref="B2662:B2663"/>
    <mergeCell ref="H2662:H2663"/>
    <mergeCell ref="I2662:I2663"/>
    <mergeCell ref="J2662:J2663"/>
    <mergeCell ref="R2656:S2656"/>
    <mergeCell ref="H2657:I2657"/>
    <mergeCell ref="R2657:S2657"/>
    <mergeCell ref="C2658:E2658"/>
    <mergeCell ref="H2658:I2658"/>
    <mergeCell ref="O2658:S2658"/>
    <mergeCell ref="X2649:Z2649"/>
    <mergeCell ref="AA2649:AA2651"/>
    <mergeCell ref="AB2649:AB2651"/>
    <mergeCell ref="C2650:E2650"/>
    <mergeCell ref="G2650:G2651"/>
    <mergeCell ref="H2650:I2651"/>
    <mergeCell ref="J2650:K2650"/>
    <mergeCell ref="X2650:X2651"/>
    <mergeCell ref="Y2650:Z2651"/>
    <mergeCell ref="C2651:D2651"/>
    <mergeCell ref="B2648:V2648"/>
    <mergeCell ref="B2649:B2658"/>
    <mergeCell ref="C2649:M2649"/>
    <mergeCell ref="P2649:S2650"/>
    <mergeCell ref="T2649:U2651"/>
    <mergeCell ref="V2649:V2651"/>
    <mergeCell ref="H2652:I2652"/>
    <mergeCell ref="P2652:Q2654"/>
    <mergeCell ref="R2652:S2654"/>
    <mergeCell ref="T2652:V2653"/>
    <mergeCell ref="H2653:I2653"/>
    <mergeCell ref="H2654:I2654"/>
    <mergeCell ref="H2655:I2655"/>
    <mergeCell ref="O2655:O2656"/>
    <mergeCell ref="P2655:S2655"/>
    <mergeCell ref="H2656:I2656"/>
    <mergeCell ref="P2642:Q2642"/>
    <mergeCell ref="R2642:S2642"/>
    <mergeCell ref="P2643:Q2643"/>
    <mergeCell ref="R2643:S2643"/>
    <mergeCell ref="P2644:Q2644"/>
    <mergeCell ref="R2644:S2644"/>
    <mergeCell ref="P2639:Q2639"/>
    <mergeCell ref="R2639:S2639"/>
    <mergeCell ref="P2640:Q2640"/>
    <mergeCell ref="R2640:S2640"/>
    <mergeCell ref="P2641:Q2641"/>
    <mergeCell ref="R2641:S2641"/>
    <mergeCell ref="P2636:Q2636"/>
    <mergeCell ref="R2636:S2636"/>
    <mergeCell ref="P2637:Q2637"/>
    <mergeCell ref="R2637:S2637"/>
    <mergeCell ref="P2638:Q2638"/>
    <mergeCell ref="R2638:S2638"/>
    <mergeCell ref="R2632:S2633"/>
    <mergeCell ref="T2632:V2632"/>
    <mergeCell ref="P2633:Q2633"/>
    <mergeCell ref="P2635:Q2635"/>
    <mergeCell ref="R2635:S2635"/>
    <mergeCell ref="K2632:K2633"/>
    <mergeCell ref="L2632:L2633"/>
    <mergeCell ref="M2632:M2633"/>
    <mergeCell ref="N2632:O2632"/>
    <mergeCell ref="P2632:Q2632"/>
    <mergeCell ref="B2631:D2631"/>
    <mergeCell ref="B2632:B2633"/>
    <mergeCell ref="H2632:H2633"/>
    <mergeCell ref="I2632:I2633"/>
    <mergeCell ref="J2632:J2633"/>
    <mergeCell ref="R2626:S2626"/>
    <mergeCell ref="H2627:I2627"/>
    <mergeCell ref="R2627:S2627"/>
    <mergeCell ref="C2628:E2628"/>
    <mergeCell ref="H2628:I2628"/>
    <mergeCell ref="O2628:S2628"/>
    <mergeCell ref="X2619:Z2619"/>
    <mergeCell ref="AA2619:AA2621"/>
    <mergeCell ref="AB2619:AB2621"/>
    <mergeCell ref="C2620:E2620"/>
    <mergeCell ref="G2620:G2621"/>
    <mergeCell ref="H2620:I2621"/>
    <mergeCell ref="J2620:K2620"/>
    <mergeCell ref="X2620:X2621"/>
    <mergeCell ref="Y2620:Z2621"/>
    <mergeCell ref="C2621:D2621"/>
    <mergeCell ref="B2618:V2618"/>
    <mergeCell ref="B2619:B2628"/>
    <mergeCell ref="C2619:M2619"/>
    <mergeCell ref="P2619:S2620"/>
    <mergeCell ref="T2619:U2621"/>
    <mergeCell ref="V2619:V2621"/>
    <mergeCell ref="H2622:I2622"/>
    <mergeCell ref="P2622:Q2624"/>
    <mergeCell ref="R2622:S2624"/>
    <mergeCell ref="T2622:V2623"/>
    <mergeCell ref="H2623:I2623"/>
    <mergeCell ref="H2624:I2624"/>
    <mergeCell ref="H2625:I2625"/>
    <mergeCell ref="O2625:O2626"/>
    <mergeCell ref="P2625:S2625"/>
    <mergeCell ref="H2626:I2626"/>
    <mergeCell ref="P2612:Q2612"/>
    <mergeCell ref="R2612:S2612"/>
    <mergeCell ref="P2613:Q2613"/>
    <mergeCell ref="R2613:S2613"/>
    <mergeCell ref="P2614:Q2614"/>
    <mergeCell ref="R2614:S2614"/>
    <mergeCell ref="P2609:Q2609"/>
    <mergeCell ref="R2609:S2609"/>
    <mergeCell ref="P2610:Q2610"/>
    <mergeCell ref="R2610:S2610"/>
    <mergeCell ref="P2611:Q2611"/>
    <mergeCell ref="R2611:S2611"/>
    <mergeCell ref="P2606:Q2606"/>
    <mergeCell ref="R2606:S2606"/>
    <mergeCell ref="P2607:Q2607"/>
    <mergeCell ref="R2607:S2607"/>
    <mergeCell ref="P2608:Q2608"/>
    <mergeCell ref="R2608:S2608"/>
    <mergeCell ref="R2602:S2603"/>
    <mergeCell ref="T2602:V2602"/>
    <mergeCell ref="P2603:Q2603"/>
    <mergeCell ref="P2605:Q2605"/>
    <mergeCell ref="R2605:S2605"/>
    <mergeCell ref="K2602:K2603"/>
    <mergeCell ref="L2602:L2603"/>
    <mergeCell ref="M2602:M2603"/>
    <mergeCell ref="N2602:O2602"/>
    <mergeCell ref="P2602:Q2602"/>
    <mergeCell ref="B2601:D2601"/>
    <mergeCell ref="B2602:B2603"/>
    <mergeCell ref="H2602:H2603"/>
    <mergeCell ref="I2602:I2603"/>
    <mergeCell ref="J2602:J2603"/>
    <mergeCell ref="R2596:S2596"/>
    <mergeCell ref="H2597:I2597"/>
    <mergeCell ref="R2597:S2597"/>
    <mergeCell ref="C2598:E2598"/>
    <mergeCell ref="H2598:I2598"/>
    <mergeCell ref="O2598:S2598"/>
    <mergeCell ref="X2589:Z2589"/>
    <mergeCell ref="AA2589:AA2591"/>
    <mergeCell ref="AB2589:AB2591"/>
    <mergeCell ref="C2590:E2590"/>
    <mergeCell ref="G2590:G2591"/>
    <mergeCell ref="H2590:I2591"/>
    <mergeCell ref="J2590:K2590"/>
    <mergeCell ref="X2590:X2591"/>
    <mergeCell ref="Y2590:Z2591"/>
    <mergeCell ref="C2591:D2591"/>
    <mergeCell ref="B2588:V2588"/>
    <mergeCell ref="B2589:B2598"/>
    <mergeCell ref="C2589:M2589"/>
    <mergeCell ref="P2589:S2590"/>
    <mergeCell ref="T2589:U2591"/>
    <mergeCell ref="V2589:V2591"/>
    <mergeCell ref="H2592:I2592"/>
    <mergeCell ref="P2592:Q2594"/>
    <mergeCell ref="R2592:S2594"/>
    <mergeCell ref="T2592:V2593"/>
    <mergeCell ref="H2593:I2593"/>
    <mergeCell ref="H2594:I2594"/>
    <mergeCell ref="H2595:I2595"/>
    <mergeCell ref="O2595:O2596"/>
    <mergeCell ref="P2595:S2595"/>
    <mergeCell ref="H2596:I2596"/>
    <mergeCell ref="P2582:Q2582"/>
    <mergeCell ref="R2582:S2582"/>
    <mergeCell ref="P2583:Q2583"/>
    <mergeCell ref="R2583:S2583"/>
    <mergeCell ref="P2584:Q2584"/>
    <mergeCell ref="R2584:S2584"/>
    <mergeCell ref="P2579:Q2579"/>
    <mergeCell ref="R2579:S2579"/>
    <mergeCell ref="P2580:Q2580"/>
    <mergeCell ref="R2580:S2580"/>
    <mergeCell ref="P2581:Q2581"/>
    <mergeCell ref="R2581:S2581"/>
    <mergeCell ref="P2576:Q2576"/>
    <mergeCell ref="R2576:S2576"/>
    <mergeCell ref="P2577:Q2577"/>
    <mergeCell ref="R2577:S2577"/>
    <mergeCell ref="P2578:Q2578"/>
    <mergeCell ref="R2578:S2578"/>
    <mergeCell ref="R2572:S2573"/>
    <mergeCell ref="T2572:V2572"/>
    <mergeCell ref="P2573:Q2573"/>
    <mergeCell ref="P2575:Q2575"/>
    <mergeCell ref="R2575:S2575"/>
    <mergeCell ref="K2572:K2573"/>
    <mergeCell ref="L2572:L2573"/>
    <mergeCell ref="M2572:M2573"/>
    <mergeCell ref="N2572:O2572"/>
    <mergeCell ref="P2572:Q2572"/>
    <mergeCell ref="B2571:D2571"/>
    <mergeCell ref="B2572:B2573"/>
    <mergeCell ref="H2572:H2573"/>
    <mergeCell ref="I2572:I2573"/>
    <mergeCell ref="J2572:J2573"/>
    <mergeCell ref="R2566:S2566"/>
    <mergeCell ref="H2567:I2567"/>
    <mergeCell ref="R2567:S2567"/>
    <mergeCell ref="C2568:E2568"/>
    <mergeCell ref="H2568:I2568"/>
    <mergeCell ref="O2568:S2568"/>
    <mergeCell ref="X2559:Z2559"/>
    <mergeCell ref="AA2559:AA2561"/>
    <mergeCell ref="AB2559:AB2561"/>
    <mergeCell ref="C2560:E2560"/>
    <mergeCell ref="G2560:G2561"/>
    <mergeCell ref="H2560:I2561"/>
    <mergeCell ref="J2560:K2560"/>
    <mergeCell ref="X2560:X2561"/>
    <mergeCell ref="Y2560:Z2561"/>
    <mergeCell ref="C2561:D2561"/>
    <mergeCell ref="B2558:V2558"/>
    <mergeCell ref="B2559:B2568"/>
    <mergeCell ref="C2559:M2559"/>
    <mergeCell ref="P2559:S2560"/>
    <mergeCell ref="T2559:U2561"/>
    <mergeCell ref="V2559:V2561"/>
    <mergeCell ref="H2562:I2562"/>
    <mergeCell ref="P2562:Q2564"/>
    <mergeCell ref="R2562:S2564"/>
    <mergeCell ref="T2562:V2563"/>
    <mergeCell ref="H2563:I2563"/>
    <mergeCell ref="H2564:I2564"/>
    <mergeCell ref="H2565:I2565"/>
    <mergeCell ref="O2565:O2566"/>
    <mergeCell ref="P2565:S2565"/>
    <mergeCell ref="H2566:I2566"/>
    <mergeCell ref="P2552:Q2552"/>
    <mergeCell ref="R2552:S2552"/>
    <mergeCell ref="P2553:Q2553"/>
    <mergeCell ref="R2553:S2553"/>
    <mergeCell ref="P2554:Q2554"/>
    <mergeCell ref="R2554:S2554"/>
    <mergeCell ref="P2549:Q2549"/>
    <mergeCell ref="R2549:S2549"/>
    <mergeCell ref="P2550:Q2550"/>
    <mergeCell ref="R2550:S2550"/>
    <mergeCell ref="P2551:Q2551"/>
    <mergeCell ref="R2551:S2551"/>
    <mergeCell ref="P2546:Q2546"/>
    <mergeCell ref="R2546:S2546"/>
    <mergeCell ref="P2547:Q2547"/>
    <mergeCell ref="R2547:S2547"/>
    <mergeCell ref="P2548:Q2548"/>
    <mergeCell ref="R2548:S2548"/>
    <mergeCell ref="R2542:S2543"/>
    <mergeCell ref="T2542:V2542"/>
    <mergeCell ref="P2543:Q2543"/>
    <mergeCell ref="P2545:Q2545"/>
    <mergeCell ref="R2545:S2545"/>
    <mergeCell ref="K2542:K2543"/>
    <mergeCell ref="L2542:L2543"/>
    <mergeCell ref="M2542:M2543"/>
    <mergeCell ref="N2542:O2542"/>
    <mergeCell ref="P2542:Q2542"/>
    <mergeCell ref="B2541:D2541"/>
    <mergeCell ref="B2542:B2543"/>
    <mergeCell ref="H2542:H2543"/>
    <mergeCell ref="I2542:I2543"/>
    <mergeCell ref="J2542:J2543"/>
    <mergeCell ref="R2536:S2536"/>
    <mergeCell ref="H2537:I2537"/>
    <mergeCell ref="R2537:S2537"/>
    <mergeCell ref="C2538:E2538"/>
    <mergeCell ref="H2538:I2538"/>
    <mergeCell ref="O2538:S2538"/>
    <mergeCell ref="X2529:Z2529"/>
    <mergeCell ref="AA2529:AA2531"/>
    <mergeCell ref="AB2529:AB2531"/>
    <mergeCell ref="C2530:E2530"/>
    <mergeCell ref="G2530:G2531"/>
    <mergeCell ref="H2530:I2531"/>
    <mergeCell ref="J2530:K2530"/>
    <mergeCell ref="X2530:X2531"/>
    <mergeCell ref="Y2530:Z2531"/>
    <mergeCell ref="C2531:D2531"/>
    <mergeCell ref="B2528:V2528"/>
    <mergeCell ref="B2529:B2538"/>
    <mergeCell ref="C2529:M2529"/>
    <mergeCell ref="P2529:S2530"/>
    <mergeCell ref="T2529:U2531"/>
    <mergeCell ref="V2529:V2531"/>
    <mergeCell ref="H2532:I2532"/>
    <mergeCell ref="P2532:Q2534"/>
    <mergeCell ref="R2532:S2534"/>
    <mergeCell ref="T2532:V2533"/>
    <mergeCell ref="H2533:I2533"/>
    <mergeCell ref="H2534:I2534"/>
    <mergeCell ref="H2535:I2535"/>
    <mergeCell ref="O2535:O2536"/>
    <mergeCell ref="P2535:S2535"/>
    <mergeCell ref="H2536:I2536"/>
    <mergeCell ref="P2522:Q2522"/>
    <mergeCell ref="R2522:S2522"/>
    <mergeCell ref="P2523:Q2523"/>
    <mergeCell ref="R2523:S2523"/>
    <mergeCell ref="P2524:Q2524"/>
    <mergeCell ref="R2524:S2524"/>
    <mergeCell ref="P2519:Q2519"/>
    <mergeCell ref="R2519:S2519"/>
    <mergeCell ref="P2520:Q2520"/>
    <mergeCell ref="R2520:S2520"/>
    <mergeCell ref="P2521:Q2521"/>
    <mergeCell ref="R2521:S2521"/>
    <mergeCell ref="P2516:Q2516"/>
    <mergeCell ref="R2516:S2516"/>
    <mergeCell ref="P2517:Q2517"/>
    <mergeCell ref="R2517:S2517"/>
    <mergeCell ref="P2518:Q2518"/>
    <mergeCell ref="R2518:S2518"/>
    <mergeCell ref="R2512:S2513"/>
    <mergeCell ref="T2512:V2512"/>
    <mergeCell ref="P2513:Q2513"/>
    <mergeCell ref="P2515:Q2515"/>
    <mergeCell ref="R2515:S2515"/>
    <mergeCell ref="K2512:K2513"/>
    <mergeCell ref="L2512:L2513"/>
    <mergeCell ref="M2512:M2513"/>
    <mergeCell ref="N2512:O2512"/>
    <mergeCell ref="P2512:Q2512"/>
    <mergeCell ref="B2511:D2511"/>
    <mergeCell ref="B2512:B2513"/>
    <mergeCell ref="H2512:H2513"/>
    <mergeCell ref="I2512:I2513"/>
    <mergeCell ref="J2512:J2513"/>
    <mergeCell ref="R2506:S2506"/>
    <mergeCell ref="H2507:I2507"/>
    <mergeCell ref="R2507:S2507"/>
    <mergeCell ref="C2508:E2508"/>
    <mergeCell ref="H2508:I2508"/>
    <mergeCell ref="O2508:S2508"/>
    <mergeCell ref="X2499:Z2499"/>
    <mergeCell ref="AA2499:AA2501"/>
    <mergeCell ref="AB2499:AB2501"/>
    <mergeCell ref="C2500:E2500"/>
    <mergeCell ref="G2500:G2501"/>
    <mergeCell ref="H2500:I2501"/>
    <mergeCell ref="J2500:K2500"/>
    <mergeCell ref="X2500:X2501"/>
    <mergeCell ref="Y2500:Z2501"/>
    <mergeCell ref="C2501:D2501"/>
    <mergeCell ref="B2498:V2498"/>
    <mergeCell ref="B2499:B2508"/>
    <mergeCell ref="C2499:M2499"/>
    <mergeCell ref="P2499:S2500"/>
    <mergeCell ref="T2499:U2501"/>
    <mergeCell ref="V2499:V2501"/>
    <mergeCell ref="H2502:I2502"/>
    <mergeCell ref="P2502:Q2504"/>
    <mergeCell ref="R2502:S2504"/>
    <mergeCell ref="T2502:V2503"/>
    <mergeCell ref="H2503:I2503"/>
    <mergeCell ref="H2504:I2504"/>
    <mergeCell ref="H2505:I2505"/>
    <mergeCell ref="O2505:O2506"/>
    <mergeCell ref="P2505:S2505"/>
    <mergeCell ref="H2506:I2506"/>
    <mergeCell ref="P2492:Q2492"/>
    <mergeCell ref="R2492:S2492"/>
    <mergeCell ref="P2493:Q2493"/>
    <mergeCell ref="R2493:S2493"/>
    <mergeCell ref="P2494:Q2494"/>
    <mergeCell ref="R2494:S2494"/>
    <mergeCell ref="P2489:Q2489"/>
    <mergeCell ref="R2489:S2489"/>
    <mergeCell ref="P2490:Q2490"/>
    <mergeCell ref="R2490:S2490"/>
    <mergeCell ref="P2491:Q2491"/>
    <mergeCell ref="R2491:S2491"/>
    <mergeCell ref="P2486:Q2486"/>
    <mergeCell ref="R2486:S2486"/>
    <mergeCell ref="P2487:Q2487"/>
    <mergeCell ref="R2487:S2487"/>
    <mergeCell ref="P2488:Q2488"/>
    <mergeCell ref="R2488:S2488"/>
    <mergeCell ref="R2482:S2483"/>
    <mergeCell ref="T2482:V2482"/>
    <mergeCell ref="P2483:Q2483"/>
    <mergeCell ref="P2485:Q2485"/>
    <mergeCell ref="R2485:S2485"/>
    <mergeCell ref="K2482:K2483"/>
    <mergeCell ref="L2482:L2483"/>
    <mergeCell ref="M2482:M2483"/>
    <mergeCell ref="N2482:O2482"/>
    <mergeCell ref="P2482:Q2482"/>
    <mergeCell ref="B2481:D2481"/>
    <mergeCell ref="B2482:B2483"/>
    <mergeCell ref="H2482:H2483"/>
    <mergeCell ref="I2482:I2483"/>
    <mergeCell ref="J2482:J2483"/>
    <mergeCell ref="R2476:S2476"/>
    <mergeCell ref="H2477:I2477"/>
    <mergeCell ref="R2477:S2477"/>
    <mergeCell ref="C2478:E2478"/>
    <mergeCell ref="H2478:I2478"/>
    <mergeCell ref="O2478:S2478"/>
    <mergeCell ref="X2469:Z2469"/>
    <mergeCell ref="AA2469:AA2471"/>
    <mergeCell ref="AB2469:AB2471"/>
    <mergeCell ref="C2470:E2470"/>
    <mergeCell ref="G2470:G2471"/>
    <mergeCell ref="H2470:I2471"/>
    <mergeCell ref="J2470:K2470"/>
    <mergeCell ref="X2470:X2471"/>
    <mergeCell ref="Y2470:Z2471"/>
    <mergeCell ref="C2471:D2471"/>
    <mergeCell ref="B2468:V2468"/>
    <mergeCell ref="B2469:B2478"/>
    <mergeCell ref="C2469:M2469"/>
    <mergeCell ref="P2469:S2470"/>
    <mergeCell ref="T2469:U2471"/>
    <mergeCell ref="V2469:V2471"/>
    <mergeCell ref="H2472:I2472"/>
    <mergeCell ref="P2472:Q2474"/>
    <mergeCell ref="R2472:S2474"/>
    <mergeCell ref="T2472:V2473"/>
    <mergeCell ref="H2473:I2473"/>
    <mergeCell ref="H2474:I2474"/>
    <mergeCell ref="H2475:I2475"/>
    <mergeCell ref="O2475:O2476"/>
    <mergeCell ref="P2475:S2475"/>
    <mergeCell ref="H2476:I2476"/>
    <mergeCell ref="P2462:Q2462"/>
    <mergeCell ref="R2462:S2462"/>
    <mergeCell ref="P2463:Q2463"/>
    <mergeCell ref="R2463:S2463"/>
    <mergeCell ref="P2464:Q2464"/>
    <mergeCell ref="R2464:S2464"/>
    <mergeCell ref="P2459:Q2459"/>
    <mergeCell ref="R2459:S2459"/>
    <mergeCell ref="P2460:Q2460"/>
    <mergeCell ref="R2460:S2460"/>
    <mergeCell ref="P2461:Q2461"/>
    <mergeCell ref="R2461:S2461"/>
    <mergeCell ref="P2456:Q2456"/>
    <mergeCell ref="R2456:S2456"/>
    <mergeCell ref="P2457:Q2457"/>
    <mergeCell ref="R2457:S2457"/>
    <mergeCell ref="P2458:Q2458"/>
    <mergeCell ref="R2458:S2458"/>
    <mergeCell ref="R2452:S2453"/>
    <mergeCell ref="T2452:V2452"/>
    <mergeCell ref="P2453:Q2453"/>
    <mergeCell ref="P2455:Q2455"/>
    <mergeCell ref="R2455:S2455"/>
    <mergeCell ref="K2452:K2453"/>
    <mergeCell ref="L2452:L2453"/>
    <mergeCell ref="M2452:M2453"/>
    <mergeCell ref="N2452:O2452"/>
    <mergeCell ref="P2452:Q2452"/>
    <mergeCell ref="B2451:D2451"/>
    <mergeCell ref="B2452:B2453"/>
    <mergeCell ref="H2452:H2453"/>
    <mergeCell ref="I2452:I2453"/>
    <mergeCell ref="J2452:J2453"/>
    <mergeCell ref="R2446:S2446"/>
    <mergeCell ref="H2447:I2447"/>
    <mergeCell ref="R2447:S2447"/>
    <mergeCell ref="C2448:E2448"/>
    <mergeCell ref="H2448:I2448"/>
    <mergeCell ref="O2448:S2448"/>
    <mergeCell ref="X2439:Z2439"/>
    <mergeCell ref="AA2439:AA2441"/>
    <mergeCell ref="AB2439:AB2441"/>
    <mergeCell ref="C2440:E2440"/>
    <mergeCell ref="G2440:G2441"/>
    <mergeCell ref="H2440:I2441"/>
    <mergeCell ref="J2440:K2440"/>
    <mergeCell ref="X2440:X2441"/>
    <mergeCell ref="Y2440:Z2441"/>
    <mergeCell ref="C2441:D2441"/>
    <mergeCell ref="B2438:V2438"/>
    <mergeCell ref="B2439:B2448"/>
    <mergeCell ref="C2439:M2439"/>
    <mergeCell ref="P2439:S2440"/>
    <mergeCell ref="T2439:U2441"/>
    <mergeCell ref="V2439:V2441"/>
    <mergeCell ref="H2442:I2442"/>
    <mergeCell ref="P2442:Q2444"/>
    <mergeCell ref="R2442:S2444"/>
    <mergeCell ref="T2442:V2443"/>
    <mergeCell ref="H2443:I2443"/>
    <mergeCell ref="H2444:I2444"/>
    <mergeCell ref="H2445:I2445"/>
    <mergeCell ref="O2445:O2446"/>
    <mergeCell ref="P2445:S2445"/>
    <mergeCell ref="H2446:I2446"/>
    <mergeCell ref="P2432:Q2432"/>
    <mergeCell ref="R2432:S2432"/>
    <mergeCell ref="P2433:Q2433"/>
    <mergeCell ref="R2433:S2433"/>
    <mergeCell ref="P2434:Q2434"/>
    <mergeCell ref="R2434:S2434"/>
    <mergeCell ref="P2429:Q2429"/>
    <mergeCell ref="R2429:S2429"/>
    <mergeCell ref="P2430:Q2430"/>
    <mergeCell ref="R2430:S2430"/>
    <mergeCell ref="P2431:Q2431"/>
    <mergeCell ref="R2431:S2431"/>
    <mergeCell ref="P2426:Q2426"/>
    <mergeCell ref="R2426:S2426"/>
    <mergeCell ref="P2427:Q2427"/>
    <mergeCell ref="R2427:S2427"/>
    <mergeCell ref="P2428:Q2428"/>
    <mergeCell ref="R2428:S2428"/>
    <mergeCell ref="R2422:S2423"/>
    <mergeCell ref="T2422:V2422"/>
    <mergeCell ref="P2423:Q2423"/>
    <mergeCell ref="P2425:Q2425"/>
    <mergeCell ref="R2425:S2425"/>
    <mergeCell ref="K2422:K2423"/>
    <mergeCell ref="L2422:L2423"/>
    <mergeCell ref="M2422:M2423"/>
    <mergeCell ref="N2422:O2422"/>
    <mergeCell ref="P2422:Q2422"/>
    <mergeCell ref="B2421:D2421"/>
    <mergeCell ref="B2422:B2423"/>
    <mergeCell ref="H2422:H2423"/>
    <mergeCell ref="I2422:I2423"/>
    <mergeCell ref="J2422:J2423"/>
    <mergeCell ref="R2416:S2416"/>
    <mergeCell ref="H2417:I2417"/>
    <mergeCell ref="R2417:S2417"/>
    <mergeCell ref="C2418:E2418"/>
    <mergeCell ref="H2418:I2418"/>
    <mergeCell ref="O2418:S2418"/>
    <mergeCell ref="X2409:Z2409"/>
    <mergeCell ref="AA2409:AA2411"/>
    <mergeCell ref="AB2409:AB2411"/>
    <mergeCell ref="C2410:E2410"/>
    <mergeCell ref="G2410:G2411"/>
    <mergeCell ref="H2410:I2411"/>
    <mergeCell ref="J2410:K2410"/>
    <mergeCell ref="X2410:X2411"/>
    <mergeCell ref="Y2410:Z2411"/>
    <mergeCell ref="C2411:D2411"/>
    <mergeCell ref="B2408:V2408"/>
    <mergeCell ref="B2409:B2418"/>
    <mergeCell ref="C2409:M2409"/>
    <mergeCell ref="P2409:S2410"/>
    <mergeCell ref="T2409:U2411"/>
    <mergeCell ref="V2409:V2411"/>
    <mergeCell ref="H2412:I2412"/>
    <mergeCell ref="P2412:Q2414"/>
    <mergeCell ref="R2412:S2414"/>
    <mergeCell ref="T2412:V2413"/>
    <mergeCell ref="H2413:I2413"/>
    <mergeCell ref="H2414:I2414"/>
    <mergeCell ref="H2415:I2415"/>
    <mergeCell ref="O2415:O2416"/>
    <mergeCell ref="P2415:S2415"/>
    <mergeCell ref="H2416:I2416"/>
    <mergeCell ref="P2402:Q2402"/>
    <mergeCell ref="R2402:S2402"/>
    <mergeCell ref="P2403:Q2403"/>
    <mergeCell ref="R2403:S2403"/>
    <mergeCell ref="P2404:Q2404"/>
    <mergeCell ref="R2404:S2404"/>
    <mergeCell ref="P2399:Q2399"/>
    <mergeCell ref="R2399:S2399"/>
    <mergeCell ref="P2400:Q2400"/>
    <mergeCell ref="R2400:S2400"/>
    <mergeCell ref="P2401:Q2401"/>
    <mergeCell ref="R2401:S2401"/>
    <mergeCell ref="P2396:Q2396"/>
    <mergeCell ref="R2396:S2396"/>
    <mergeCell ref="P2397:Q2397"/>
    <mergeCell ref="R2397:S2397"/>
    <mergeCell ref="P2398:Q2398"/>
    <mergeCell ref="R2398:S2398"/>
    <mergeCell ref="R2392:S2393"/>
    <mergeCell ref="T2392:V2392"/>
    <mergeCell ref="P2393:Q2393"/>
    <mergeCell ref="P2395:Q2395"/>
    <mergeCell ref="R2395:S2395"/>
    <mergeCell ref="K2392:K2393"/>
    <mergeCell ref="L2392:L2393"/>
    <mergeCell ref="M2392:M2393"/>
    <mergeCell ref="N2392:O2392"/>
    <mergeCell ref="P2392:Q2392"/>
    <mergeCell ref="B2391:D2391"/>
    <mergeCell ref="B2392:B2393"/>
    <mergeCell ref="H2392:H2393"/>
    <mergeCell ref="I2392:I2393"/>
    <mergeCell ref="J2392:J2393"/>
    <mergeCell ref="R2386:S2386"/>
    <mergeCell ref="H2387:I2387"/>
    <mergeCell ref="R2387:S2387"/>
    <mergeCell ref="C2388:E2388"/>
    <mergeCell ref="H2388:I2388"/>
    <mergeCell ref="O2388:S2388"/>
    <mergeCell ref="X2379:Z2379"/>
    <mergeCell ref="AA2379:AA2381"/>
    <mergeCell ref="AB2379:AB2381"/>
    <mergeCell ref="C2380:E2380"/>
    <mergeCell ref="G2380:G2381"/>
    <mergeCell ref="H2380:I2381"/>
    <mergeCell ref="J2380:K2380"/>
    <mergeCell ref="X2380:X2381"/>
    <mergeCell ref="Y2380:Z2381"/>
    <mergeCell ref="C2381:D2381"/>
    <mergeCell ref="B2378:V2378"/>
    <mergeCell ref="B2379:B2388"/>
    <mergeCell ref="C2379:M2379"/>
    <mergeCell ref="P2379:S2380"/>
    <mergeCell ref="T2379:U2381"/>
    <mergeCell ref="V2379:V2381"/>
    <mergeCell ref="H2382:I2382"/>
    <mergeCell ref="P2382:Q2384"/>
    <mergeCell ref="R2382:S2384"/>
    <mergeCell ref="T2382:V2383"/>
    <mergeCell ref="H2383:I2383"/>
    <mergeCell ref="H2384:I2384"/>
    <mergeCell ref="H2385:I2385"/>
    <mergeCell ref="O2385:O2386"/>
    <mergeCell ref="P2385:S2385"/>
    <mergeCell ref="H2386:I2386"/>
    <mergeCell ref="P2372:Q2372"/>
    <mergeCell ref="R2372:S2372"/>
    <mergeCell ref="P2373:Q2373"/>
    <mergeCell ref="R2373:S2373"/>
    <mergeCell ref="P2374:Q2374"/>
    <mergeCell ref="R2374:S2374"/>
    <mergeCell ref="P2369:Q2369"/>
    <mergeCell ref="R2369:S2369"/>
    <mergeCell ref="P2370:Q2370"/>
    <mergeCell ref="R2370:S2370"/>
    <mergeCell ref="P2371:Q2371"/>
    <mergeCell ref="R2371:S2371"/>
    <mergeCell ref="P2366:Q2366"/>
    <mergeCell ref="R2366:S2366"/>
    <mergeCell ref="P2367:Q2367"/>
    <mergeCell ref="R2367:S2367"/>
    <mergeCell ref="P2368:Q2368"/>
    <mergeCell ref="R2368:S2368"/>
    <mergeCell ref="R2362:S2363"/>
    <mergeCell ref="T2362:V2362"/>
    <mergeCell ref="P2363:Q2363"/>
    <mergeCell ref="P2365:Q2365"/>
    <mergeCell ref="R2365:S2365"/>
    <mergeCell ref="K2362:K2363"/>
    <mergeCell ref="L2362:L2363"/>
    <mergeCell ref="M2362:M2363"/>
    <mergeCell ref="N2362:O2362"/>
    <mergeCell ref="P2362:Q2362"/>
    <mergeCell ref="B2361:D2361"/>
    <mergeCell ref="B2362:B2363"/>
    <mergeCell ref="H2362:H2363"/>
    <mergeCell ref="I2362:I2363"/>
    <mergeCell ref="J2362:J2363"/>
    <mergeCell ref="R2356:S2356"/>
    <mergeCell ref="H2357:I2357"/>
    <mergeCell ref="R2357:S2357"/>
    <mergeCell ref="C2358:E2358"/>
    <mergeCell ref="H2358:I2358"/>
    <mergeCell ref="O2358:S2358"/>
    <mergeCell ref="X2349:Z2349"/>
    <mergeCell ref="AA2349:AA2351"/>
    <mergeCell ref="AB2349:AB2351"/>
    <mergeCell ref="C2350:E2350"/>
    <mergeCell ref="G2350:G2351"/>
    <mergeCell ref="H2350:I2351"/>
    <mergeCell ref="J2350:K2350"/>
    <mergeCell ref="X2350:X2351"/>
    <mergeCell ref="Y2350:Z2351"/>
    <mergeCell ref="C2351:D2351"/>
    <mergeCell ref="B2348:V2348"/>
    <mergeCell ref="B2349:B2358"/>
    <mergeCell ref="C2349:M2349"/>
    <mergeCell ref="P2349:S2350"/>
    <mergeCell ref="T2349:U2351"/>
    <mergeCell ref="V2349:V2351"/>
    <mergeCell ref="H2352:I2352"/>
    <mergeCell ref="P2352:Q2354"/>
    <mergeCell ref="R2352:S2354"/>
    <mergeCell ref="T2352:V2353"/>
    <mergeCell ref="H2353:I2353"/>
    <mergeCell ref="H2354:I2354"/>
    <mergeCell ref="H2355:I2355"/>
    <mergeCell ref="O2355:O2356"/>
    <mergeCell ref="P2355:S2355"/>
    <mergeCell ref="H2356:I2356"/>
    <mergeCell ref="P2342:Q2342"/>
    <mergeCell ref="R2342:S2342"/>
    <mergeCell ref="P2343:Q2343"/>
    <mergeCell ref="R2343:S2343"/>
    <mergeCell ref="P2344:Q2344"/>
    <mergeCell ref="R2344:S2344"/>
    <mergeCell ref="P2339:Q2339"/>
    <mergeCell ref="R2339:S2339"/>
    <mergeCell ref="P2340:Q2340"/>
    <mergeCell ref="R2340:S2340"/>
    <mergeCell ref="P2341:Q2341"/>
    <mergeCell ref="R2341:S2341"/>
    <mergeCell ref="P2336:Q2336"/>
    <mergeCell ref="R2336:S2336"/>
    <mergeCell ref="P2337:Q2337"/>
    <mergeCell ref="R2337:S2337"/>
    <mergeCell ref="P2338:Q2338"/>
    <mergeCell ref="R2338:S2338"/>
    <mergeCell ref="R2332:S2333"/>
    <mergeCell ref="T2332:V2332"/>
    <mergeCell ref="P2333:Q2333"/>
    <mergeCell ref="P2335:Q2335"/>
    <mergeCell ref="R2335:S2335"/>
    <mergeCell ref="K2332:K2333"/>
    <mergeCell ref="L2332:L2333"/>
    <mergeCell ref="M2332:M2333"/>
    <mergeCell ref="N2332:O2332"/>
    <mergeCell ref="P2332:Q2332"/>
    <mergeCell ref="B2331:D2331"/>
    <mergeCell ref="B2332:B2333"/>
    <mergeCell ref="H2332:H2333"/>
    <mergeCell ref="I2332:I2333"/>
    <mergeCell ref="J2332:J2333"/>
    <mergeCell ref="R2326:S2326"/>
    <mergeCell ref="H2327:I2327"/>
    <mergeCell ref="R2327:S2327"/>
    <mergeCell ref="C2328:E2328"/>
    <mergeCell ref="H2328:I2328"/>
    <mergeCell ref="O2328:S2328"/>
    <mergeCell ref="X2319:Z2319"/>
    <mergeCell ref="AA2319:AA2321"/>
    <mergeCell ref="AB2319:AB2321"/>
    <mergeCell ref="C2320:E2320"/>
    <mergeCell ref="G2320:G2321"/>
    <mergeCell ref="H2320:I2321"/>
    <mergeCell ref="J2320:K2320"/>
    <mergeCell ref="X2320:X2321"/>
    <mergeCell ref="Y2320:Z2321"/>
    <mergeCell ref="C2321:D2321"/>
    <mergeCell ref="B2318:V2318"/>
    <mergeCell ref="B2319:B2328"/>
    <mergeCell ref="C2319:M2319"/>
    <mergeCell ref="P2319:S2320"/>
    <mergeCell ref="T2319:U2321"/>
    <mergeCell ref="V2319:V2321"/>
    <mergeCell ref="H2322:I2322"/>
    <mergeCell ref="P2322:Q2324"/>
    <mergeCell ref="R2322:S2324"/>
    <mergeCell ref="T2322:V2323"/>
    <mergeCell ref="H2323:I2323"/>
    <mergeCell ref="H2324:I2324"/>
    <mergeCell ref="H2325:I2325"/>
    <mergeCell ref="O2325:O2326"/>
    <mergeCell ref="P2325:S2325"/>
    <mergeCell ref="H2326:I2326"/>
    <mergeCell ref="P2312:Q2312"/>
    <mergeCell ref="R2312:S2312"/>
    <mergeCell ref="P2313:Q2313"/>
    <mergeCell ref="R2313:S2313"/>
    <mergeCell ref="P2314:Q2314"/>
    <mergeCell ref="R2314:S2314"/>
    <mergeCell ref="P2309:Q2309"/>
    <mergeCell ref="R2309:S2309"/>
    <mergeCell ref="P2310:Q2310"/>
    <mergeCell ref="R2310:S2310"/>
    <mergeCell ref="P2311:Q2311"/>
    <mergeCell ref="R2311:S2311"/>
    <mergeCell ref="P2306:Q2306"/>
    <mergeCell ref="R2306:S2306"/>
    <mergeCell ref="P2307:Q2307"/>
    <mergeCell ref="R2307:S2307"/>
    <mergeCell ref="P2308:Q2308"/>
    <mergeCell ref="R2308:S2308"/>
    <mergeCell ref="R2302:S2303"/>
    <mergeCell ref="T2302:V2302"/>
    <mergeCell ref="P2303:Q2303"/>
    <mergeCell ref="P2305:Q2305"/>
    <mergeCell ref="R2305:S2305"/>
    <mergeCell ref="K2302:K2303"/>
    <mergeCell ref="L2302:L2303"/>
    <mergeCell ref="M2302:M2303"/>
    <mergeCell ref="N2302:O2302"/>
    <mergeCell ref="P2302:Q2302"/>
    <mergeCell ref="B2301:D2301"/>
    <mergeCell ref="B2302:B2303"/>
    <mergeCell ref="H2302:H2303"/>
    <mergeCell ref="I2302:I2303"/>
    <mergeCell ref="J2302:J2303"/>
    <mergeCell ref="R2296:S2296"/>
    <mergeCell ref="H2297:I2297"/>
    <mergeCell ref="R2297:S2297"/>
    <mergeCell ref="C2298:E2298"/>
    <mergeCell ref="H2298:I2298"/>
    <mergeCell ref="O2298:S2298"/>
    <mergeCell ref="X2289:Z2289"/>
    <mergeCell ref="AA2289:AA2291"/>
    <mergeCell ref="AB2289:AB2291"/>
    <mergeCell ref="C2290:E2290"/>
    <mergeCell ref="G2290:G2291"/>
    <mergeCell ref="H2290:I2291"/>
    <mergeCell ref="J2290:K2290"/>
    <mergeCell ref="X2290:X2291"/>
    <mergeCell ref="Y2290:Z2291"/>
    <mergeCell ref="C2291:D2291"/>
    <mergeCell ref="B2288:V2288"/>
    <mergeCell ref="B2289:B2298"/>
    <mergeCell ref="C2289:M2289"/>
    <mergeCell ref="P2289:S2290"/>
    <mergeCell ref="T2289:U2291"/>
    <mergeCell ref="V2289:V2291"/>
    <mergeCell ref="H2292:I2292"/>
    <mergeCell ref="P2292:Q2294"/>
    <mergeCell ref="R2292:S2294"/>
    <mergeCell ref="T2292:V2293"/>
    <mergeCell ref="H2293:I2293"/>
    <mergeCell ref="H2294:I2294"/>
    <mergeCell ref="H2295:I2295"/>
    <mergeCell ref="O2295:O2296"/>
    <mergeCell ref="P2295:S2295"/>
    <mergeCell ref="H2296:I2296"/>
    <mergeCell ref="P2282:Q2282"/>
    <mergeCell ref="R2282:S2282"/>
    <mergeCell ref="P2283:Q2283"/>
    <mergeCell ref="R2283:S2283"/>
    <mergeCell ref="P2284:Q2284"/>
    <mergeCell ref="R2284:S2284"/>
    <mergeCell ref="P2279:Q2279"/>
    <mergeCell ref="R2279:S2279"/>
    <mergeCell ref="P2280:Q2280"/>
    <mergeCell ref="R2280:S2280"/>
    <mergeCell ref="P2281:Q2281"/>
    <mergeCell ref="R2281:S2281"/>
    <mergeCell ref="P2276:Q2276"/>
    <mergeCell ref="R2276:S2276"/>
    <mergeCell ref="P2277:Q2277"/>
    <mergeCell ref="R2277:S2277"/>
    <mergeCell ref="P2278:Q2278"/>
    <mergeCell ref="R2278:S2278"/>
    <mergeCell ref="R2272:S2273"/>
    <mergeCell ref="T2272:V2272"/>
    <mergeCell ref="P2273:Q2273"/>
    <mergeCell ref="P2275:Q2275"/>
    <mergeCell ref="R2275:S2275"/>
    <mergeCell ref="K2272:K2273"/>
    <mergeCell ref="L2272:L2273"/>
    <mergeCell ref="M2272:M2273"/>
    <mergeCell ref="N2272:O2272"/>
    <mergeCell ref="P2272:Q2272"/>
    <mergeCell ref="B2271:D2271"/>
    <mergeCell ref="B2272:B2273"/>
    <mergeCell ref="H2272:H2273"/>
    <mergeCell ref="I2272:I2273"/>
    <mergeCell ref="J2272:J2273"/>
    <mergeCell ref="R2266:S2266"/>
    <mergeCell ref="H2267:I2267"/>
    <mergeCell ref="R2267:S2267"/>
    <mergeCell ref="C2268:E2268"/>
    <mergeCell ref="H2268:I2268"/>
    <mergeCell ref="O2268:S2268"/>
    <mergeCell ref="X2259:Z2259"/>
    <mergeCell ref="AA2259:AA2261"/>
    <mergeCell ref="AB2259:AB2261"/>
    <mergeCell ref="C2260:E2260"/>
    <mergeCell ref="G2260:G2261"/>
    <mergeCell ref="H2260:I2261"/>
    <mergeCell ref="J2260:K2260"/>
    <mergeCell ref="X2260:X2261"/>
    <mergeCell ref="Y2260:Z2261"/>
    <mergeCell ref="C2261:D2261"/>
    <mergeCell ref="B2258:V2258"/>
    <mergeCell ref="B2259:B2268"/>
    <mergeCell ref="C2259:M2259"/>
    <mergeCell ref="P2259:S2260"/>
    <mergeCell ref="T2259:U2261"/>
    <mergeCell ref="V2259:V2261"/>
    <mergeCell ref="H2262:I2262"/>
    <mergeCell ref="P2262:Q2264"/>
    <mergeCell ref="R2262:S2264"/>
    <mergeCell ref="T2262:V2263"/>
    <mergeCell ref="H2263:I2263"/>
    <mergeCell ref="H2264:I2264"/>
    <mergeCell ref="H2265:I2265"/>
    <mergeCell ref="O2265:O2266"/>
    <mergeCell ref="P2265:S2265"/>
    <mergeCell ref="H2266:I2266"/>
    <mergeCell ref="P2252:Q2252"/>
    <mergeCell ref="R2252:S2252"/>
    <mergeCell ref="P2253:Q2253"/>
    <mergeCell ref="R2253:S2253"/>
    <mergeCell ref="P2254:Q2254"/>
    <mergeCell ref="R2254:S2254"/>
    <mergeCell ref="P2249:Q2249"/>
    <mergeCell ref="R2249:S2249"/>
    <mergeCell ref="P2250:Q2250"/>
    <mergeCell ref="R2250:S2250"/>
    <mergeCell ref="P2251:Q2251"/>
    <mergeCell ref="R2251:S2251"/>
    <mergeCell ref="P2246:Q2246"/>
    <mergeCell ref="R2246:S2246"/>
    <mergeCell ref="P2247:Q2247"/>
    <mergeCell ref="R2247:S2247"/>
    <mergeCell ref="P2248:Q2248"/>
    <mergeCell ref="R2248:S2248"/>
    <mergeCell ref="R2242:S2243"/>
    <mergeCell ref="T2242:V2242"/>
    <mergeCell ref="P2243:Q2243"/>
    <mergeCell ref="P2245:Q2245"/>
    <mergeCell ref="R2245:S2245"/>
    <mergeCell ref="K2242:K2243"/>
    <mergeCell ref="L2242:L2243"/>
    <mergeCell ref="M2242:M2243"/>
    <mergeCell ref="N2242:O2242"/>
    <mergeCell ref="P2242:Q2242"/>
    <mergeCell ref="B2241:D2241"/>
    <mergeCell ref="B2242:B2243"/>
    <mergeCell ref="H2242:H2243"/>
    <mergeCell ref="I2242:I2243"/>
    <mergeCell ref="J2242:J2243"/>
    <mergeCell ref="R2236:S2236"/>
    <mergeCell ref="H2237:I2237"/>
    <mergeCell ref="R2237:S2237"/>
    <mergeCell ref="C2238:E2238"/>
    <mergeCell ref="H2238:I2238"/>
    <mergeCell ref="O2238:S2238"/>
    <mergeCell ref="X2229:Z2229"/>
    <mergeCell ref="AA2229:AA2231"/>
    <mergeCell ref="AB2229:AB2231"/>
    <mergeCell ref="C2230:E2230"/>
    <mergeCell ref="G2230:G2231"/>
    <mergeCell ref="H2230:I2231"/>
    <mergeCell ref="J2230:K2230"/>
    <mergeCell ref="X2230:X2231"/>
    <mergeCell ref="Y2230:Z2231"/>
    <mergeCell ref="C2231:D2231"/>
    <mergeCell ref="B2228:V2228"/>
    <mergeCell ref="B2229:B2238"/>
    <mergeCell ref="C2229:M2229"/>
    <mergeCell ref="P2229:S2230"/>
    <mergeCell ref="T2229:U2231"/>
    <mergeCell ref="V2229:V2231"/>
    <mergeCell ref="H2232:I2232"/>
    <mergeCell ref="P2232:Q2234"/>
    <mergeCell ref="R2232:S2234"/>
    <mergeCell ref="T2232:V2233"/>
    <mergeCell ref="H2233:I2233"/>
    <mergeCell ref="H2234:I2234"/>
    <mergeCell ref="H2235:I2235"/>
    <mergeCell ref="O2235:O2236"/>
    <mergeCell ref="P2235:S2235"/>
    <mergeCell ref="H2236:I2236"/>
    <mergeCell ref="P2222:Q2222"/>
    <mergeCell ref="R2222:S2222"/>
    <mergeCell ref="P2223:Q2223"/>
    <mergeCell ref="R2223:S2223"/>
    <mergeCell ref="P2224:Q2224"/>
    <mergeCell ref="R2224:S2224"/>
    <mergeCell ref="P2219:Q2219"/>
    <mergeCell ref="R2219:S2219"/>
    <mergeCell ref="P2220:Q2220"/>
    <mergeCell ref="R2220:S2220"/>
    <mergeCell ref="P2221:Q2221"/>
    <mergeCell ref="R2221:S2221"/>
    <mergeCell ref="P2216:Q2216"/>
    <mergeCell ref="R2216:S2216"/>
    <mergeCell ref="P2217:Q2217"/>
    <mergeCell ref="R2217:S2217"/>
    <mergeCell ref="P2218:Q2218"/>
    <mergeCell ref="R2218:S2218"/>
    <mergeCell ref="R2212:S2213"/>
    <mergeCell ref="T2212:V2212"/>
    <mergeCell ref="P2213:Q2213"/>
    <mergeCell ref="P2215:Q2215"/>
    <mergeCell ref="R2215:S2215"/>
    <mergeCell ref="K2212:K2213"/>
    <mergeCell ref="L2212:L2213"/>
    <mergeCell ref="M2212:M2213"/>
    <mergeCell ref="N2212:O2212"/>
    <mergeCell ref="P2212:Q2212"/>
    <mergeCell ref="B2211:D2211"/>
    <mergeCell ref="B2212:B2213"/>
    <mergeCell ref="H2212:H2213"/>
    <mergeCell ref="I2212:I2213"/>
    <mergeCell ref="J2212:J2213"/>
    <mergeCell ref="R2206:S2206"/>
    <mergeCell ref="H2207:I2207"/>
    <mergeCell ref="R2207:S2207"/>
    <mergeCell ref="C2208:E2208"/>
    <mergeCell ref="H2208:I2208"/>
    <mergeCell ref="O2208:S2208"/>
    <mergeCell ref="X2199:Z2199"/>
    <mergeCell ref="AA2199:AA2201"/>
    <mergeCell ref="AB2199:AB2201"/>
    <mergeCell ref="C2200:E2200"/>
    <mergeCell ref="G2200:G2201"/>
    <mergeCell ref="H2200:I2201"/>
    <mergeCell ref="J2200:K2200"/>
    <mergeCell ref="X2200:X2201"/>
    <mergeCell ref="Y2200:Z2201"/>
    <mergeCell ref="C2201:D2201"/>
    <mergeCell ref="B2198:V2198"/>
    <mergeCell ref="B2199:B2208"/>
    <mergeCell ref="C2199:M2199"/>
    <mergeCell ref="P2199:S2200"/>
    <mergeCell ref="T2199:U2201"/>
    <mergeCell ref="V2199:V2201"/>
    <mergeCell ref="H2202:I2202"/>
    <mergeCell ref="P2202:Q2204"/>
    <mergeCell ref="R2202:S2204"/>
    <mergeCell ref="T2202:V2203"/>
    <mergeCell ref="H2203:I2203"/>
    <mergeCell ref="H2204:I2204"/>
    <mergeCell ref="H2205:I2205"/>
    <mergeCell ref="O2205:O2206"/>
    <mergeCell ref="P2205:S2205"/>
    <mergeCell ref="H2206:I2206"/>
    <mergeCell ref="P2192:Q2192"/>
    <mergeCell ref="R2192:S2192"/>
    <mergeCell ref="P2193:Q2193"/>
    <mergeCell ref="R2193:S2193"/>
    <mergeCell ref="P2194:Q2194"/>
    <mergeCell ref="R2194:S2194"/>
    <mergeCell ref="P2189:Q2189"/>
    <mergeCell ref="R2189:S2189"/>
    <mergeCell ref="P2190:Q2190"/>
    <mergeCell ref="R2190:S2190"/>
    <mergeCell ref="P2191:Q2191"/>
    <mergeCell ref="R2191:S2191"/>
    <mergeCell ref="P2186:Q2186"/>
    <mergeCell ref="R2186:S2186"/>
    <mergeCell ref="P2187:Q2187"/>
    <mergeCell ref="R2187:S2187"/>
    <mergeCell ref="P2188:Q2188"/>
    <mergeCell ref="R2188:S2188"/>
    <mergeCell ref="R2182:S2183"/>
    <mergeCell ref="T2182:V2182"/>
    <mergeCell ref="P2183:Q2183"/>
    <mergeCell ref="P2185:Q2185"/>
    <mergeCell ref="R2185:S2185"/>
    <mergeCell ref="K2182:K2183"/>
    <mergeCell ref="L2182:L2183"/>
    <mergeCell ref="M2182:M2183"/>
    <mergeCell ref="N2182:O2182"/>
    <mergeCell ref="P2182:Q2182"/>
    <mergeCell ref="B2181:D2181"/>
    <mergeCell ref="B2182:B2183"/>
    <mergeCell ref="H2182:H2183"/>
    <mergeCell ref="I2182:I2183"/>
    <mergeCell ref="J2182:J2183"/>
    <mergeCell ref="R2176:S2176"/>
    <mergeCell ref="H2177:I2177"/>
    <mergeCell ref="R2177:S2177"/>
    <mergeCell ref="C2178:E2178"/>
    <mergeCell ref="H2178:I2178"/>
    <mergeCell ref="O2178:S2178"/>
    <mergeCell ref="X2169:Z2169"/>
    <mergeCell ref="AA2169:AA2171"/>
    <mergeCell ref="AB2169:AB2171"/>
    <mergeCell ref="C2170:E2170"/>
    <mergeCell ref="G2170:G2171"/>
    <mergeCell ref="H2170:I2171"/>
    <mergeCell ref="J2170:K2170"/>
    <mergeCell ref="X2170:X2171"/>
    <mergeCell ref="Y2170:Z2171"/>
    <mergeCell ref="C2171:D2171"/>
    <mergeCell ref="B2168:V2168"/>
    <mergeCell ref="B2169:B2178"/>
    <mergeCell ref="C2169:M2169"/>
    <mergeCell ref="P2169:S2170"/>
    <mergeCell ref="T2169:U2171"/>
    <mergeCell ref="V2169:V2171"/>
    <mergeCell ref="H2172:I2172"/>
    <mergeCell ref="P2172:Q2174"/>
    <mergeCell ref="R2172:S2174"/>
    <mergeCell ref="T2172:V2173"/>
    <mergeCell ref="H2173:I2173"/>
    <mergeCell ref="H2174:I2174"/>
    <mergeCell ref="H2175:I2175"/>
    <mergeCell ref="O2175:O2176"/>
    <mergeCell ref="P2175:S2175"/>
    <mergeCell ref="H2176:I2176"/>
    <mergeCell ref="P2162:Q2162"/>
    <mergeCell ref="R2162:S2162"/>
    <mergeCell ref="P2163:Q2163"/>
    <mergeCell ref="R2163:S2163"/>
    <mergeCell ref="P2164:Q2164"/>
    <mergeCell ref="R2164:S2164"/>
    <mergeCell ref="P2159:Q2159"/>
    <mergeCell ref="R2159:S2159"/>
    <mergeCell ref="P2160:Q2160"/>
    <mergeCell ref="R2160:S2160"/>
    <mergeCell ref="P2161:Q2161"/>
    <mergeCell ref="R2161:S2161"/>
    <mergeCell ref="P2156:Q2156"/>
    <mergeCell ref="R2156:S2156"/>
    <mergeCell ref="P2157:Q2157"/>
    <mergeCell ref="R2157:S2157"/>
    <mergeCell ref="P2158:Q2158"/>
    <mergeCell ref="R2158:S2158"/>
    <mergeCell ref="R2152:S2153"/>
    <mergeCell ref="T2152:V2152"/>
    <mergeCell ref="P2153:Q2153"/>
    <mergeCell ref="P2155:Q2155"/>
    <mergeCell ref="R2155:S2155"/>
    <mergeCell ref="K2152:K2153"/>
    <mergeCell ref="L2152:L2153"/>
    <mergeCell ref="M2152:M2153"/>
    <mergeCell ref="N2152:O2152"/>
    <mergeCell ref="P2152:Q2152"/>
    <mergeCell ref="B2151:D2151"/>
    <mergeCell ref="B2152:B2153"/>
    <mergeCell ref="H2152:H2153"/>
    <mergeCell ref="I2152:I2153"/>
    <mergeCell ref="J2152:J2153"/>
    <mergeCell ref="R2146:S2146"/>
    <mergeCell ref="H2147:I2147"/>
    <mergeCell ref="R2147:S2147"/>
    <mergeCell ref="C2148:E2148"/>
    <mergeCell ref="H2148:I2148"/>
    <mergeCell ref="O2148:S2148"/>
    <mergeCell ref="X2139:Z2139"/>
    <mergeCell ref="AA2139:AA2141"/>
    <mergeCell ref="AB2139:AB2141"/>
    <mergeCell ref="C2140:E2140"/>
    <mergeCell ref="G2140:G2141"/>
    <mergeCell ref="H2140:I2141"/>
    <mergeCell ref="J2140:K2140"/>
    <mergeCell ref="X2140:X2141"/>
    <mergeCell ref="Y2140:Z2141"/>
    <mergeCell ref="C2141:D2141"/>
    <mergeCell ref="B2138:V2138"/>
    <mergeCell ref="B2139:B2148"/>
    <mergeCell ref="C2139:M2139"/>
    <mergeCell ref="P2139:S2140"/>
    <mergeCell ref="T2139:U2141"/>
    <mergeCell ref="V2139:V2141"/>
    <mergeCell ref="H2142:I2142"/>
    <mergeCell ref="P2142:Q2144"/>
    <mergeCell ref="R2142:S2144"/>
    <mergeCell ref="T2142:V2143"/>
    <mergeCell ref="H2143:I2143"/>
    <mergeCell ref="H2144:I2144"/>
    <mergeCell ref="H2145:I2145"/>
    <mergeCell ref="O2145:O2146"/>
    <mergeCell ref="P2145:S2145"/>
    <mergeCell ref="H2146:I2146"/>
    <mergeCell ref="P2132:Q2132"/>
    <mergeCell ref="R2132:S2132"/>
    <mergeCell ref="P2133:Q2133"/>
    <mergeCell ref="R2133:S2133"/>
    <mergeCell ref="P2134:Q2134"/>
    <mergeCell ref="R2134:S2134"/>
    <mergeCell ref="P2129:Q2129"/>
    <mergeCell ref="R2129:S2129"/>
    <mergeCell ref="P2130:Q2130"/>
    <mergeCell ref="R2130:S2130"/>
    <mergeCell ref="P2131:Q2131"/>
    <mergeCell ref="R2131:S2131"/>
    <mergeCell ref="P2126:Q2126"/>
    <mergeCell ref="R2126:S2126"/>
    <mergeCell ref="P2127:Q2127"/>
    <mergeCell ref="R2127:S2127"/>
    <mergeCell ref="P2128:Q2128"/>
    <mergeCell ref="R2128:S2128"/>
    <mergeCell ref="R2122:S2123"/>
    <mergeCell ref="T2122:V2122"/>
    <mergeCell ref="P2123:Q2123"/>
    <mergeCell ref="P2125:Q2125"/>
    <mergeCell ref="R2125:S2125"/>
    <mergeCell ref="K2122:K2123"/>
    <mergeCell ref="L2122:L2123"/>
    <mergeCell ref="M2122:M2123"/>
    <mergeCell ref="N2122:O2122"/>
    <mergeCell ref="P2122:Q2122"/>
    <mergeCell ref="B2121:D2121"/>
    <mergeCell ref="B2122:B2123"/>
    <mergeCell ref="H2122:H2123"/>
    <mergeCell ref="I2122:I2123"/>
    <mergeCell ref="J2122:J2123"/>
    <mergeCell ref="R2116:S2116"/>
    <mergeCell ref="H2117:I2117"/>
    <mergeCell ref="R2117:S2117"/>
    <mergeCell ref="C2118:E2118"/>
    <mergeCell ref="H2118:I2118"/>
    <mergeCell ref="O2118:S2118"/>
    <mergeCell ref="X2109:Z2109"/>
    <mergeCell ref="AA2109:AA2111"/>
    <mergeCell ref="AB2109:AB2111"/>
    <mergeCell ref="C2110:E2110"/>
    <mergeCell ref="G2110:G2111"/>
    <mergeCell ref="H2110:I2111"/>
    <mergeCell ref="J2110:K2110"/>
    <mergeCell ref="X2110:X2111"/>
    <mergeCell ref="Y2110:Z2111"/>
    <mergeCell ref="C2111:D2111"/>
    <mergeCell ref="B2108:V2108"/>
    <mergeCell ref="B2109:B2118"/>
    <mergeCell ref="C2109:M2109"/>
    <mergeCell ref="P2109:S2110"/>
    <mergeCell ref="T2109:U2111"/>
    <mergeCell ref="V2109:V2111"/>
    <mergeCell ref="H2112:I2112"/>
    <mergeCell ref="P2112:Q2114"/>
    <mergeCell ref="R2112:S2114"/>
    <mergeCell ref="T2112:V2113"/>
    <mergeCell ref="H2113:I2113"/>
    <mergeCell ref="H2114:I2114"/>
    <mergeCell ref="H2115:I2115"/>
    <mergeCell ref="O2115:O2116"/>
    <mergeCell ref="P2115:S2115"/>
    <mergeCell ref="H2116:I2116"/>
    <mergeCell ref="P2102:Q2102"/>
    <mergeCell ref="R2102:S2102"/>
    <mergeCell ref="P2103:Q2103"/>
    <mergeCell ref="R2103:S2103"/>
    <mergeCell ref="P2104:Q2104"/>
    <mergeCell ref="R2104:S2104"/>
    <mergeCell ref="P2099:Q2099"/>
    <mergeCell ref="R2099:S2099"/>
    <mergeCell ref="P2100:Q2100"/>
    <mergeCell ref="R2100:S2100"/>
    <mergeCell ref="P2101:Q2101"/>
    <mergeCell ref="R2101:S2101"/>
    <mergeCell ref="P2096:Q2096"/>
    <mergeCell ref="R2096:S2096"/>
    <mergeCell ref="P2097:Q2097"/>
    <mergeCell ref="R2097:S2097"/>
    <mergeCell ref="P2098:Q2098"/>
    <mergeCell ref="R2098:S2098"/>
    <mergeCell ref="R2092:S2093"/>
    <mergeCell ref="T2092:V2092"/>
    <mergeCell ref="P2093:Q2093"/>
    <mergeCell ref="P2095:Q2095"/>
    <mergeCell ref="R2095:S2095"/>
    <mergeCell ref="K2092:K2093"/>
    <mergeCell ref="L2092:L2093"/>
    <mergeCell ref="M2092:M2093"/>
    <mergeCell ref="N2092:O2092"/>
    <mergeCell ref="P2092:Q2092"/>
    <mergeCell ref="B2091:D2091"/>
    <mergeCell ref="B2092:B2093"/>
    <mergeCell ref="H2092:H2093"/>
    <mergeCell ref="I2092:I2093"/>
    <mergeCell ref="J2092:J2093"/>
    <mergeCell ref="R2086:S2086"/>
    <mergeCell ref="H2087:I2087"/>
    <mergeCell ref="R2087:S2087"/>
    <mergeCell ref="C2088:E2088"/>
    <mergeCell ref="H2088:I2088"/>
    <mergeCell ref="O2088:S2088"/>
    <mergeCell ref="X2079:Z2079"/>
    <mergeCell ref="AA2079:AA2081"/>
    <mergeCell ref="AB2079:AB2081"/>
    <mergeCell ref="C2080:E2080"/>
    <mergeCell ref="G2080:G2081"/>
    <mergeCell ref="H2080:I2081"/>
    <mergeCell ref="J2080:K2080"/>
    <mergeCell ref="X2080:X2081"/>
    <mergeCell ref="Y2080:Z2081"/>
    <mergeCell ref="C2081:D2081"/>
    <mergeCell ref="B2078:V2078"/>
    <mergeCell ref="B2079:B2088"/>
    <mergeCell ref="C2079:M2079"/>
    <mergeCell ref="P2079:S2080"/>
    <mergeCell ref="T2079:U2081"/>
    <mergeCell ref="V2079:V2081"/>
    <mergeCell ref="H2082:I2082"/>
    <mergeCell ref="P2082:Q2084"/>
    <mergeCell ref="R2082:S2084"/>
    <mergeCell ref="T2082:V2083"/>
    <mergeCell ref="H2083:I2083"/>
    <mergeCell ref="H2084:I2084"/>
    <mergeCell ref="H2085:I2085"/>
    <mergeCell ref="O2085:O2086"/>
    <mergeCell ref="P2085:S2085"/>
    <mergeCell ref="H2086:I2086"/>
    <mergeCell ref="P2072:Q2072"/>
    <mergeCell ref="R2072:S2072"/>
    <mergeCell ref="P2073:Q2073"/>
    <mergeCell ref="R2073:S2073"/>
    <mergeCell ref="P2074:Q2074"/>
    <mergeCell ref="R2074:S2074"/>
    <mergeCell ref="P2069:Q2069"/>
    <mergeCell ref="R2069:S2069"/>
    <mergeCell ref="P2070:Q2070"/>
    <mergeCell ref="R2070:S2070"/>
    <mergeCell ref="P2071:Q2071"/>
    <mergeCell ref="R2071:S2071"/>
    <mergeCell ref="P2066:Q2066"/>
    <mergeCell ref="R2066:S2066"/>
    <mergeCell ref="P2067:Q2067"/>
    <mergeCell ref="R2067:S2067"/>
    <mergeCell ref="P2068:Q2068"/>
    <mergeCell ref="R2068:S2068"/>
    <mergeCell ref="R2062:S2063"/>
    <mergeCell ref="T2062:V2062"/>
    <mergeCell ref="P2063:Q2063"/>
    <mergeCell ref="P2065:Q2065"/>
    <mergeCell ref="R2065:S2065"/>
    <mergeCell ref="K2062:K2063"/>
    <mergeCell ref="L2062:L2063"/>
    <mergeCell ref="M2062:M2063"/>
    <mergeCell ref="N2062:O2062"/>
    <mergeCell ref="P2062:Q2062"/>
    <mergeCell ref="B2061:D2061"/>
    <mergeCell ref="B2062:B2063"/>
    <mergeCell ref="H2062:H2063"/>
    <mergeCell ref="I2062:I2063"/>
    <mergeCell ref="J2062:J2063"/>
    <mergeCell ref="R2056:S2056"/>
    <mergeCell ref="H2057:I2057"/>
    <mergeCell ref="R2057:S2057"/>
    <mergeCell ref="C2058:E2058"/>
    <mergeCell ref="H2058:I2058"/>
    <mergeCell ref="O2058:S2058"/>
    <mergeCell ref="X2049:Z2049"/>
    <mergeCell ref="AA2049:AA2051"/>
    <mergeCell ref="AB2049:AB2051"/>
    <mergeCell ref="C2050:E2050"/>
    <mergeCell ref="G2050:G2051"/>
    <mergeCell ref="H2050:I2051"/>
    <mergeCell ref="J2050:K2050"/>
    <mergeCell ref="X2050:X2051"/>
    <mergeCell ref="Y2050:Z2051"/>
    <mergeCell ref="C2051:D2051"/>
    <mergeCell ref="B2048:V2048"/>
    <mergeCell ref="B2049:B2058"/>
    <mergeCell ref="C2049:M2049"/>
    <mergeCell ref="P2049:S2050"/>
    <mergeCell ref="T2049:U2051"/>
    <mergeCell ref="V2049:V2051"/>
    <mergeCell ref="H2052:I2052"/>
    <mergeCell ref="P2052:Q2054"/>
    <mergeCell ref="R2052:S2054"/>
    <mergeCell ref="T2052:V2053"/>
    <mergeCell ref="H2053:I2053"/>
    <mergeCell ref="H2054:I2054"/>
    <mergeCell ref="H2055:I2055"/>
    <mergeCell ref="O2055:O2056"/>
    <mergeCell ref="P2055:S2055"/>
    <mergeCell ref="H2056:I2056"/>
    <mergeCell ref="P2042:Q2042"/>
    <mergeCell ref="R2042:S2042"/>
    <mergeCell ref="P2043:Q2043"/>
    <mergeCell ref="R2043:S2043"/>
    <mergeCell ref="P2044:Q2044"/>
    <mergeCell ref="R2044:S2044"/>
    <mergeCell ref="P2039:Q2039"/>
    <mergeCell ref="R2039:S2039"/>
    <mergeCell ref="P2040:Q2040"/>
    <mergeCell ref="R2040:S2040"/>
    <mergeCell ref="P2041:Q2041"/>
    <mergeCell ref="R2041:S2041"/>
    <mergeCell ref="P2036:Q2036"/>
    <mergeCell ref="R2036:S2036"/>
    <mergeCell ref="P2037:Q2037"/>
    <mergeCell ref="R2037:S2037"/>
    <mergeCell ref="P2038:Q2038"/>
    <mergeCell ref="R2038:S2038"/>
    <mergeCell ref="R2032:S2033"/>
    <mergeCell ref="T2032:V2032"/>
    <mergeCell ref="P2033:Q2033"/>
    <mergeCell ref="P2035:Q2035"/>
    <mergeCell ref="R2035:S2035"/>
    <mergeCell ref="K2032:K2033"/>
    <mergeCell ref="L2032:L2033"/>
    <mergeCell ref="M2032:M2033"/>
    <mergeCell ref="N2032:O2032"/>
    <mergeCell ref="P2032:Q2032"/>
    <mergeCell ref="B2031:D2031"/>
    <mergeCell ref="B2032:B2033"/>
    <mergeCell ref="H2032:H2033"/>
    <mergeCell ref="I2032:I2033"/>
    <mergeCell ref="J2032:J2033"/>
    <mergeCell ref="R2026:S2026"/>
    <mergeCell ref="H2027:I2027"/>
    <mergeCell ref="R2027:S2027"/>
    <mergeCell ref="C2028:E2028"/>
    <mergeCell ref="H2028:I2028"/>
    <mergeCell ref="O2028:S2028"/>
    <mergeCell ref="X2019:Z2019"/>
    <mergeCell ref="AA2019:AA2021"/>
    <mergeCell ref="AB2019:AB2021"/>
    <mergeCell ref="C2020:E2020"/>
    <mergeCell ref="G2020:G2021"/>
    <mergeCell ref="H2020:I2021"/>
    <mergeCell ref="J2020:K2020"/>
    <mergeCell ref="X2020:X2021"/>
    <mergeCell ref="Y2020:Z2021"/>
    <mergeCell ref="C2021:D2021"/>
    <mergeCell ref="B2018:V2018"/>
    <mergeCell ref="B2019:B2028"/>
    <mergeCell ref="C2019:M2019"/>
    <mergeCell ref="P2019:S2020"/>
    <mergeCell ref="T2019:U2021"/>
    <mergeCell ref="V2019:V2021"/>
    <mergeCell ref="H2022:I2022"/>
    <mergeCell ref="P2022:Q2024"/>
    <mergeCell ref="R2022:S2024"/>
    <mergeCell ref="T2022:V2023"/>
    <mergeCell ref="H2023:I2023"/>
    <mergeCell ref="H2024:I2024"/>
    <mergeCell ref="H2025:I2025"/>
    <mergeCell ref="O2025:O2026"/>
    <mergeCell ref="P2025:S2025"/>
    <mergeCell ref="H2026:I2026"/>
    <mergeCell ref="P2012:Q2012"/>
    <mergeCell ref="R2012:S2012"/>
    <mergeCell ref="P2013:Q2013"/>
    <mergeCell ref="R2013:S2013"/>
    <mergeCell ref="P2014:Q2014"/>
    <mergeCell ref="R2014:S2014"/>
    <mergeCell ref="P2009:Q2009"/>
    <mergeCell ref="R2009:S2009"/>
    <mergeCell ref="P2010:Q2010"/>
    <mergeCell ref="R2010:S2010"/>
    <mergeCell ref="P2011:Q2011"/>
    <mergeCell ref="R2011:S2011"/>
    <mergeCell ref="P2006:Q2006"/>
    <mergeCell ref="R2006:S2006"/>
    <mergeCell ref="P2007:Q2007"/>
    <mergeCell ref="R2007:S2007"/>
    <mergeCell ref="P2008:Q2008"/>
    <mergeCell ref="R2008:S2008"/>
    <mergeCell ref="R2002:S2003"/>
    <mergeCell ref="T2002:V2002"/>
    <mergeCell ref="P2003:Q2003"/>
    <mergeCell ref="P2005:Q2005"/>
    <mergeCell ref="R2005:S2005"/>
    <mergeCell ref="K2002:K2003"/>
    <mergeCell ref="L2002:L2003"/>
    <mergeCell ref="M2002:M2003"/>
    <mergeCell ref="N2002:O2002"/>
    <mergeCell ref="P2002:Q2002"/>
    <mergeCell ref="B2001:D2001"/>
    <mergeCell ref="B2002:B2003"/>
    <mergeCell ref="H2002:H2003"/>
    <mergeCell ref="I2002:I2003"/>
    <mergeCell ref="J2002:J2003"/>
    <mergeCell ref="R1996:S1996"/>
    <mergeCell ref="H1997:I1997"/>
    <mergeCell ref="R1997:S1997"/>
    <mergeCell ref="C1998:E1998"/>
    <mergeCell ref="H1998:I1998"/>
    <mergeCell ref="O1998:S1998"/>
    <mergeCell ref="X1989:Z1989"/>
    <mergeCell ref="AA1989:AA1991"/>
    <mergeCell ref="AB1989:AB1991"/>
    <mergeCell ref="C1990:E1990"/>
    <mergeCell ref="G1990:G1991"/>
    <mergeCell ref="H1990:I1991"/>
    <mergeCell ref="J1990:K1990"/>
    <mergeCell ref="X1990:X1991"/>
    <mergeCell ref="Y1990:Z1991"/>
    <mergeCell ref="C1991:D1991"/>
    <mergeCell ref="B1988:V1988"/>
    <mergeCell ref="B1989:B1998"/>
    <mergeCell ref="C1989:M1989"/>
    <mergeCell ref="P1989:S1990"/>
    <mergeCell ref="T1989:U1991"/>
    <mergeCell ref="V1989:V1991"/>
    <mergeCell ref="H1992:I1992"/>
    <mergeCell ref="P1992:Q1994"/>
    <mergeCell ref="R1992:S1994"/>
    <mergeCell ref="T1992:V1993"/>
    <mergeCell ref="H1993:I1993"/>
    <mergeCell ref="H1994:I1994"/>
    <mergeCell ref="H1995:I1995"/>
    <mergeCell ref="O1995:O1996"/>
    <mergeCell ref="P1995:S1995"/>
    <mergeCell ref="H1996:I1996"/>
    <mergeCell ref="P1982:Q1982"/>
    <mergeCell ref="R1982:S1982"/>
    <mergeCell ref="P1983:Q1983"/>
    <mergeCell ref="R1983:S1983"/>
    <mergeCell ref="P1984:Q1984"/>
    <mergeCell ref="R1984:S1984"/>
    <mergeCell ref="P1979:Q1979"/>
    <mergeCell ref="R1979:S1979"/>
    <mergeCell ref="P1980:Q1980"/>
    <mergeCell ref="R1980:S1980"/>
    <mergeCell ref="P1981:Q1981"/>
    <mergeCell ref="R1981:S1981"/>
    <mergeCell ref="P1976:Q1976"/>
    <mergeCell ref="R1976:S1976"/>
    <mergeCell ref="P1977:Q1977"/>
    <mergeCell ref="R1977:S1977"/>
    <mergeCell ref="P1978:Q1978"/>
    <mergeCell ref="R1978:S1978"/>
    <mergeCell ref="R1972:S1973"/>
    <mergeCell ref="T1972:V1972"/>
    <mergeCell ref="P1973:Q1973"/>
    <mergeCell ref="P1975:Q1975"/>
    <mergeCell ref="R1975:S1975"/>
    <mergeCell ref="K1972:K1973"/>
    <mergeCell ref="L1972:L1973"/>
    <mergeCell ref="M1972:M1973"/>
    <mergeCell ref="N1972:O1972"/>
    <mergeCell ref="P1972:Q1972"/>
    <mergeCell ref="B1971:D1971"/>
    <mergeCell ref="B1972:B1973"/>
    <mergeCell ref="H1972:H1973"/>
    <mergeCell ref="I1972:I1973"/>
    <mergeCell ref="J1972:J1973"/>
    <mergeCell ref="R1966:S1966"/>
    <mergeCell ref="H1967:I1967"/>
    <mergeCell ref="R1967:S1967"/>
    <mergeCell ref="C1968:E1968"/>
    <mergeCell ref="H1968:I1968"/>
    <mergeCell ref="O1968:S1968"/>
    <mergeCell ref="X1959:Z1959"/>
    <mergeCell ref="AA1959:AA1961"/>
    <mergeCell ref="AB1959:AB1961"/>
    <mergeCell ref="C1960:E1960"/>
    <mergeCell ref="G1960:G1961"/>
    <mergeCell ref="H1960:I1961"/>
    <mergeCell ref="J1960:K1960"/>
    <mergeCell ref="X1960:X1961"/>
    <mergeCell ref="Y1960:Z1961"/>
    <mergeCell ref="C1961:D1961"/>
    <mergeCell ref="B1958:V1958"/>
    <mergeCell ref="B1959:B1968"/>
    <mergeCell ref="C1959:M1959"/>
    <mergeCell ref="P1959:S1960"/>
    <mergeCell ref="T1959:U1961"/>
    <mergeCell ref="V1959:V1961"/>
    <mergeCell ref="H1962:I1962"/>
    <mergeCell ref="P1962:Q1964"/>
    <mergeCell ref="R1962:S1964"/>
    <mergeCell ref="T1962:V1963"/>
    <mergeCell ref="H1963:I1963"/>
    <mergeCell ref="H1964:I1964"/>
    <mergeCell ref="H1965:I1965"/>
    <mergeCell ref="O1965:O1966"/>
    <mergeCell ref="P1965:S1965"/>
    <mergeCell ref="H1966:I1966"/>
    <mergeCell ref="P1952:Q1952"/>
    <mergeCell ref="R1952:S1952"/>
    <mergeCell ref="P1953:Q1953"/>
    <mergeCell ref="R1953:S1953"/>
    <mergeCell ref="P1954:Q1954"/>
    <mergeCell ref="R1954:S1954"/>
    <mergeCell ref="P1949:Q1949"/>
    <mergeCell ref="R1949:S1949"/>
    <mergeCell ref="P1950:Q1950"/>
    <mergeCell ref="R1950:S1950"/>
    <mergeCell ref="P1951:Q1951"/>
    <mergeCell ref="R1951:S1951"/>
    <mergeCell ref="P1946:Q1946"/>
    <mergeCell ref="R1946:S1946"/>
    <mergeCell ref="P1947:Q1947"/>
    <mergeCell ref="R1947:S1947"/>
    <mergeCell ref="P1948:Q1948"/>
    <mergeCell ref="R1948:S1948"/>
    <mergeCell ref="R1942:S1943"/>
    <mergeCell ref="T1942:V1942"/>
    <mergeCell ref="P1943:Q1943"/>
    <mergeCell ref="P1945:Q1945"/>
    <mergeCell ref="R1945:S1945"/>
    <mergeCell ref="K1942:K1943"/>
    <mergeCell ref="L1942:L1943"/>
    <mergeCell ref="M1942:M1943"/>
    <mergeCell ref="N1942:O1942"/>
    <mergeCell ref="P1942:Q1942"/>
    <mergeCell ref="B1941:D1941"/>
    <mergeCell ref="B1942:B1943"/>
    <mergeCell ref="H1942:H1943"/>
    <mergeCell ref="I1942:I1943"/>
    <mergeCell ref="J1942:J1943"/>
    <mergeCell ref="R1936:S1936"/>
    <mergeCell ref="H1937:I1937"/>
    <mergeCell ref="R1937:S1937"/>
    <mergeCell ref="C1938:E1938"/>
    <mergeCell ref="H1938:I1938"/>
    <mergeCell ref="O1938:S1938"/>
    <mergeCell ref="X1929:Z1929"/>
    <mergeCell ref="AA1929:AA1931"/>
    <mergeCell ref="AB1929:AB1931"/>
    <mergeCell ref="C1930:E1930"/>
    <mergeCell ref="G1930:G1931"/>
    <mergeCell ref="H1930:I1931"/>
    <mergeCell ref="J1930:K1930"/>
    <mergeCell ref="X1930:X1931"/>
    <mergeCell ref="Y1930:Z1931"/>
    <mergeCell ref="C1931:D1931"/>
    <mergeCell ref="B1928:V1928"/>
    <mergeCell ref="B1929:B1938"/>
    <mergeCell ref="C1929:M1929"/>
    <mergeCell ref="P1929:S1930"/>
    <mergeCell ref="T1929:U1931"/>
    <mergeCell ref="V1929:V1931"/>
    <mergeCell ref="H1932:I1932"/>
    <mergeCell ref="P1932:Q1934"/>
    <mergeCell ref="R1932:S1934"/>
    <mergeCell ref="T1932:V1933"/>
    <mergeCell ref="H1933:I1933"/>
    <mergeCell ref="H1934:I1934"/>
    <mergeCell ref="H1935:I1935"/>
    <mergeCell ref="O1935:O1936"/>
    <mergeCell ref="P1935:S1935"/>
    <mergeCell ref="H1936:I1936"/>
    <mergeCell ref="P1922:Q1922"/>
    <mergeCell ref="R1922:S1922"/>
    <mergeCell ref="P1923:Q1923"/>
    <mergeCell ref="R1923:S1923"/>
    <mergeCell ref="P1924:Q1924"/>
    <mergeCell ref="R1924:S1924"/>
    <mergeCell ref="P1919:Q1919"/>
    <mergeCell ref="R1919:S1919"/>
    <mergeCell ref="P1920:Q1920"/>
    <mergeCell ref="R1920:S1920"/>
    <mergeCell ref="P1921:Q1921"/>
    <mergeCell ref="R1921:S1921"/>
    <mergeCell ref="P1916:Q1916"/>
    <mergeCell ref="R1916:S1916"/>
    <mergeCell ref="P1917:Q1917"/>
    <mergeCell ref="R1917:S1917"/>
    <mergeCell ref="P1918:Q1918"/>
    <mergeCell ref="R1918:S1918"/>
    <mergeCell ref="R1912:S1913"/>
    <mergeCell ref="T1912:V1912"/>
    <mergeCell ref="P1913:Q1913"/>
    <mergeCell ref="P1915:Q1915"/>
    <mergeCell ref="R1915:S1915"/>
    <mergeCell ref="K1912:K1913"/>
    <mergeCell ref="L1912:L1913"/>
    <mergeCell ref="M1912:M1913"/>
    <mergeCell ref="N1912:O1912"/>
    <mergeCell ref="P1912:Q1912"/>
    <mergeCell ref="B1911:D1911"/>
    <mergeCell ref="B1912:B1913"/>
    <mergeCell ref="H1912:H1913"/>
    <mergeCell ref="I1912:I1913"/>
    <mergeCell ref="J1912:J1913"/>
    <mergeCell ref="R1906:S1906"/>
    <mergeCell ref="H1907:I1907"/>
    <mergeCell ref="R1907:S1907"/>
    <mergeCell ref="C1908:E1908"/>
    <mergeCell ref="H1908:I1908"/>
    <mergeCell ref="O1908:S1908"/>
    <mergeCell ref="X1899:Z1899"/>
    <mergeCell ref="AA1899:AA1901"/>
    <mergeCell ref="AB1899:AB1901"/>
    <mergeCell ref="C1900:E1900"/>
    <mergeCell ref="G1900:G1901"/>
    <mergeCell ref="H1900:I1901"/>
    <mergeCell ref="J1900:K1900"/>
    <mergeCell ref="X1900:X1901"/>
    <mergeCell ref="Y1900:Z1901"/>
    <mergeCell ref="C1901:D1901"/>
    <mergeCell ref="B1898:V1898"/>
    <mergeCell ref="B1899:B1908"/>
    <mergeCell ref="C1899:M1899"/>
    <mergeCell ref="P1899:S1900"/>
    <mergeCell ref="T1899:U1901"/>
    <mergeCell ref="V1899:V1901"/>
    <mergeCell ref="H1902:I1902"/>
    <mergeCell ref="P1902:Q1904"/>
    <mergeCell ref="R1902:S1904"/>
    <mergeCell ref="T1902:V1903"/>
    <mergeCell ref="H1903:I1903"/>
    <mergeCell ref="H1904:I1904"/>
    <mergeCell ref="H1905:I1905"/>
    <mergeCell ref="O1905:O1906"/>
    <mergeCell ref="P1905:S1905"/>
    <mergeCell ref="H1906:I1906"/>
    <mergeCell ref="P1892:Q1892"/>
    <mergeCell ref="R1892:S1892"/>
    <mergeCell ref="P1893:Q1893"/>
    <mergeCell ref="R1893:S1893"/>
    <mergeCell ref="P1894:Q1894"/>
    <mergeCell ref="R1894:S1894"/>
    <mergeCell ref="P1889:Q1889"/>
    <mergeCell ref="R1889:S1889"/>
    <mergeCell ref="P1890:Q1890"/>
    <mergeCell ref="R1890:S1890"/>
    <mergeCell ref="P1891:Q1891"/>
    <mergeCell ref="R1891:S1891"/>
    <mergeCell ref="P1886:Q1886"/>
    <mergeCell ref="R1886:S1886"/>
    <mergeCell ref="P1887:Q1887"/>
    <mergeCell ref="R1887:S1887"/>
    <mergeCell ref="P1888:Q1888"/>
    <mergeCell ref="R1888:S1888"/>
    <mergeCell ref="R1882:S1883"/>
    <mergeCell ref="T1882:V1882"/>
    <mergeCell ref="P1883:Q1883"/>
    <mergeCell ref="P1885:Q1885"/>
    <mergeCell ref="R1885:S1885"/>
    <mergeCell ref="K1882:K1883"/>
    <mergeCell ref="L1882:L1883"/>
    <mergeCell ref="M1882:M1883"/>
    <mergeCell ref="N1882:O1882"/>
    <mergeCell ref="P1882:Q1882"/>
    <mergeCell ref="B1881:D1881"/>
    <mergeCell ref="B1882:B1883"/>
    <mergeCell ref="H1882:H1883"/>
    <mergeCell ref="I1882:I1883"/>
    <mergeCell ref="J1882:J1883"/>
    <mergeCell ref="R1876:S1876"/>
    <mergeCell ref="H1877:I1877"/>
    <mergeCell ref="R1877:S1877"/>
    <mergeCell ref="C1878:E1878"/>
    <mergeCell ref="H1878:I1878"/>
    <mergeCell ref="O1878:S1878"/>
    <mergeCell ref="X1869:Z1869"/>
    <mergeCell ref="AA1869:AA1871"/>
    <mergeCell ref="AB1869:AB1871"/>
    <mergeCell ref="C1870:E1870"/>
    <mergeCell ref="G1870:G1871"/>
    <mergeCell ref="H1870:I1871"/>
    <mergeCell ref="J1870:K1870"/>
    <mergeCell ref="X1870:X1871"/>
    <mergeCell ref="Y1870:Z1871"/>
    <mergeCell ref="C1871:D1871"/>
    <mergeCell ref="B1868:V1868"/>
    <mergeCell ref="B1869:B1878"/>
    <mergeCell ref="C1869:M1869"/>
    <mergeCell ref="P1869:S1870"/>
    <mergeCell ref="T1869:U1871"/>
    <mergeCell ref="V1869:V1871"/>
    <mergeCell ref="H1872:I1872"/>
    <mergeCell ref="P1872:Q1874"/>
    <mergeCell ref="R1872:S1874"/>
    <mergeCell ref="T1872:V1873"/>
    <mergeCell ref="H1873:I1873"/>
    <mergeCell ref="H1874:I1874"/>
    <mergeCell ref="H1875:I1875"/>
    <mergeCell ref="O1875:O1876"/>
    <mergeCell ref="P1875:S1875"/>
    <mergeCell ref="H1876:I1876"/>
    <mergeCell ref="P1862:Q1862"/>
    <mergeCell ref="R1862:S1862"/>
    <mergeCell ref="P1863:Q1863"/>
    <mergeCell ref="R1863:S1863"/>
    <mergeCell ref="P1864:Q1864"/>
    <mergeCell ref="R1864:S1864"/>
    <mergeCell ref="P1859:Q1859"/>
    <mergeCell ref="R1859:S1859"/>
    <mergeCell ref="P1860:Q1860"/>
    <mergeCell ref="R1860:S1860"/>
    <mergeCell ref="P1861:Q1861"/>
    <mergeCell ref="R1861:S1861"/>
    <mergeCell ref="P1856:Q1856"/>
    <mergeCell ref="R1856:S1856"/>
    <mergeCell ref="P1857:Q1857"/>
    <mergeCell ref="R1857:S1857"/>
    <mergeCell ref="P1858:Q1858"/>
    <mergeCell ref="R1858:S1858"/>
    <mergeCell ref="R1852:S1853"/>
    <mergeCell ref="T1852:V1852"/>
    <mergeCell ref="P1853:Q1853"/>
    <mergeCell ref="P1855:Q1855"/>
    <mergeCell ref="R1855:S1855"/>
    <mergeCell ref="K1852:K1853"/>
    <mergeCell ref="L1852:L1853"/>
    <mergeCell ref="M1852:M1853"/>
    <mergeCell ref="N1852:O1852"/>
    <mergeCell ref="P1852:Q1852"/>
    <mergeCell ref="B1851:D1851"/>
    <mergeCell ref="B1852:B1853"/>
    <mergeCell ref="H1852:H1853"/>
    <mergeCell ref="I1852:I1853"/>
    <mergeCell ref="J1852:J1853"/>
    <mergeCell ref="R1846:S1846"/>
    <mergeCell ref="H1847:I1847"/>
    <mergeCell ref="R1847:S1847"/>
    <mergeCell ref="C1848:E1848"/>
    <mergeCell ref="H1848:I1848"/>
    <mergeCell ref="O1848:S1848"/>
    <mergeCell ref="X1839:Z1839"/>
    <mergeCell ref="AA1839:AA1841"/>
    <mergeCell ref="AB1839:AB1841"/>
    <mergeCell ref="C1840:E1840"/>
    <mergeCell ref="G1840:G1841"/>
    <mergeCell ref="H1840:I1841"/>
    <mergeCell ref="J1840:K1840"/>
    <mergeCell ref="X1840:X1841"/>
    <mergeCell ref="Y1840:Z1841"/>
    <mergeCell ref="C1841:D1841"/>
    <mergeCell ref="B1838:V1838"/>
    <mergeCell ref="B1839:B1848"/>
    <mergeCell ref="C1839:M1839"/>
    <mergeCell ref="P1839:S1840"/>
    <mergeCell ref="T1839:U1841"/>
    <mergeCell ref="V1839:V1841"/>
    <mergeCell ref="H1842:I1842"/>
    <mergeCell ref="P1842:Q1844"/>
    <mergeCell ref="R1842:S1844"/>
    <mergeCell ref="T1842:V1843"/>
    <mergeCell ref="H1843:I1843"/>
    <mergeCell ref="H1844:I1844"/>
    <mergeCell ref="H1845:I1845"/>
    <mergeCell ref="O1845:O1846"/>
    <mergeCell ref="P1845:S1845"/>
    <mergeCell ref="H1846:I1846"/>
    <mergeCell ref="P1832:Q1832"/>
    <mergeCell ref="R1832:S1832"/>
    <mergeCell ref="P1833:Q1833"/>
    <mergeCell ref="R1833:S1833"/>
    <mergeCell ref="P1834:Q1834"/>
    <mergeCell ref="R1834:S1834"/>
    <mergeCell ref="P1829:Q1829"/>
    <mergeCell ref="R1829:S1829"/>
    <mergeCell ref="P1830:Q1830"/>
    <mergeCell ref="R1830:S1830"/>
    <mergeCell ref="P1831:Q1831"/>
    <mergeCell ref="R1831:S1831"/>
    <mergeCell ref="P1826:Q1826"/>
    <mergeCell ref="R1826:S1826"/>
    <mergeCell ref="P1827:Q1827"/>
    <mergeCell ref="R1827:S1827"/>
    <mergeCell ref="P1828:Q1828"/>
    <mergeCell ref="R1828:S1828"/>
    <mergeCell ref="R1822:S1823"/>
    <mergeCell ref="T1822:V1822"/>
    <mergeCell ref="P1823:Q1823"/>
    <mergeCell ref="P1825:Q1825"/>
    <mergeCell ref="R1825:S1825"/>
    <mergeCell ref="K1822:K1823"/>
    <mergeCell ref="L1822:L1823"/>
    <mergeCell ref="M1822:M1823"/>
    <mergeCell ref="N1822:O1822"/>
    <mergeCell ref="P1822:Q1822"/>
    <mergeCell ref="B1821:D1821"/>
    <mergeCell ref="B1822:B1823"/>
    <mergeCell ref="H1822:H1823"/>
    <mergeCell ref="I1822:I1823"/>
    <mergeCell ref="J1822:J1823"/>
    <mergeCell ref="R1816:S1816"/>
    <mergeCell ref="H1817:I1817"/>
    <mergeCell ref="R1817:S1817"/>
    <mergeCell ref="C1818:E1818"/>
    <mergeCell ref="H1818:I1818"/>
    <mergeCell ref="O1818:S1818"/>
    <mergeCell ref="X1809:Z1809"/>
    <mergeCell ref="AA1809:AA1811"/>
    <mergeCell ref="AB1809:AB1811"/>
    <mergeCell ref="C1810:E1810"/>
    <mergeCell ref="G1810:G1811"/>
    <mergeCell ref="H1810:I1811"/>
    <mergeCell ref="J1810:K1810"/>
    <mergeCell ref="X1810:X1811"/>
    <mergeCell ref="Y1810:Z1811"/>
    <mergeCell ref="C1811:D1811"/>
    <mergeCell ref="B1808:V1808"/>
    <mergeCell ref="B1809:B1818"/>
    <mergeCell ref="C1809:M1809"/>
    <mergeCell ref="P1809:S1810"/>
    <mergeCell ref="T1809:U1811"/>
    <mergeCell ref="V1809:V1811"/>
    <mergeCell ref="H1812:I1812"/>
    <mergeCell ref="P1812:Q1814"/>
    <mergeCell ref="R1812:S1814"/>
    <mergeCell ref="T1812:V1813"/>
    <mergeCell ref="H1813:I1813"/>
    <mergeCell ref="H1814:I1814"/>
    <mergeCell ref="H1815:I1815"/>
    <mergeCell ref="O1815:O1816"/>
    <mergeCell ref="P1815:S1815"/>
    <mergeCell ref="H1816:I1816"/>
    <mergeCell ref="P1802:Q1802"/>
    <mergeCell ref="R1802:S1802"/>
    <mergeCell ref="P1803:Q1803"/>
    <mergeCell ref="R1803:S1803"/>
    <mergeCell ref="P1804:Q1804"/>
    <mergeCell ref="R1804:S1804"/>
    <mergeCell ref="P1799:Q1799"/>
    <mergeCell ref="R1799:S1799"/>
    <mergeCell ref="P1800:Q1800"/>
    <mergeCell ref="R1800:S1800"/>
    <mergeCell ref="P1801:Q1801"/>
    <mergeCell ref="R1801:S1801"/>
    <mergeCell ref="P1796:Q1796"/>
    <mergeCell ref="R1796:S1796"/>
    <mergeCell ref="P1797:Q1797"/>
    <mergeCell ref="R1797:S1797"/>
    <mergeCell ref="P1798:Q1798"/>
    <mergeCell ref="R1798:S1798"/>
    <mergeCell ref="R1792:S1793"/>
    <mergeCell ref="T1792:V1792"/>
    <mergeCell ref="P1793:Q1793"/>
    <mergeCell ref="P1795:Q1795"/>
    <mergeCell ref="R1795:S1795"/>
    <mergeCell ref="K1792:K1793"/>
    <mergeCell ref="L1792:L1793"/>
    <mergeCell ref="M1792:M1793"/>
    <mergeCell ref="N1792:O1792"/>
    <mergeCell ref="P1792:Q1792"/>
    <mergeCell ref="B1791:D1791"/>
    <mergeCell ref="B1792:B1793"/>
    <mergeCell ref="H1792:H1793"/>
    <mergeCell ref="I1792:I1793"/>
    <mergeCell ref="J1792:J1793"/>
    <mergeCell ref="R1786:S1786"/>
    <mergeCell ref="H1787:I1787"/>
    <mergeCell ref="R1787:S1787"/>
    <mergeCell ref="C1788:E1788"/>
    <mergeCell ref="H1788:I1788"/>
    <mergeCell ref="O1788:S1788"/>
    <mergeCell ref="X1779:Z1779"/>
    <mergeCell ref="AA1779:AA1781"/>
    <mergeCell ref="AB1779:AB1781"/>
    <mergeCell ref="C1780:E1780"/>
    <mergeCell ref="G1780:G1781"/>
    <mergeCell ref="H1780:I1781"/>
    <mergeCell ref="J1780:K1780"/>
    <mergeCell ref="X1780:X1781"/>
    <mergeCell ref="Y1780:Z1781"/>
    <mergeCell ref="C1781:D1781"/>
    <mergeCell ref="B1778:V1778"/>
    <mergeCell ref="B1779:B1788"/>
    <mergeCell ref="C1779:M1779"/>
    <mergeCell ref="P1779:S1780"/>
    <mergeCell ref="T1779:U1781"/>
    <mergeCell ref="V1779:V1781"/>
    <mergeCell ref="H1782:I1782"/>
    <mergeCell ref="P1782:Q1784"/>
    <mergeCell ref="R1782:S1784"/>
    <mergeCell ref="T1782:V1783"/>
    <mergeCell ref="H1783:I1783"/>
    <mergeCell ref="H1784:I1784"/>
    <mergeCell ref="H1785:I1785"/>
    <mergeCell ref="O1785:O1786"/>
    <mergeCell ref="P1785:S1785"/>
    <mergeCell ref="H1786:I1786"/>
    <mergeCell ref="P1772:Q1772"/>
    <mergeCell ref="R1772:S1772"/>
    <mergeCell ref="P1773:Q1773"/>
    <mergeCell ref="R1773:S1773"/>
    <mergeCell ref="P1774:Q1774"/>
    <mergeCell ref="R1774:S1774"/>
    <mergeCell ref="P1769:Q1769"/>
    <mergeCell ref="R1769:S1769"/>
    <mergeCell ref="P1770:Q1770"/>
    <mergeCell ref="R1770:S1770"/>
    <mergeCell ref="P1771:Q1771"/>
    <mergeCell ref="R1771:S1771"/>
    <mergeCell ref="P1766:Q1766"/>
    <mergeCell ref="R1766:S1766"/>
    <mergeCell ref="P1767:Q1767"/>
    <mergeCell ref="R1767:S1767"/>
    <mergeCell ref="P1768:Q1768"/>
    <mergeCell ref="R1768:S1768"/>
    <mergeCell ref="R1762:S1763"/>
    <mergeCell ref="T1762:V1762"/>
    <mergeCell ref="P1763:Q1763"/>
    <mergeCell ref="P1765:Q1765"/>
    <mergeCell ref="R1765:S1765"/>
    <mergeCell ref="K1762:K1763"/>
    <mergeCell ref="L1762:L1763"/>
    <mergeCell ref="M1762:M1763"/>
    <mergeCell ref="N1762:O1762"/>
    <mergeCell ref="P1762:Q1762"/>
    <mergeCell ref="B1761:D1761"/>
    <mergeCell ref="B1762:B1763"/>
    <mergeCell ref="H1762:H1763"/>
    <mergeCell ref="I1762:I1763"/>
    <mergeCell ref="J1762:J1763"/>
    <mergeCell ref="R1756:S1756"/>
    <mergeCell ref="H1757:I1757"/>
    <mergeCell ref="R1757:S1757"/>
    <mergeCell ref="C1758:E1758"/>
    <mergeCell ref="H1758:I1758"/>
    <mergeCell ref="O1758:S1758"/>
    <mergeCell ref="X1749:Z1749"/>
    <mergeCell ref="AA1749:AA1751"/>
    <mergeCell ref="AB1749:AB1751"/>
    <mergeCell ref="C1750:E1750"/>
    <mergeCell ref="G1750:G1751"/>
    <mergeCell ref="H1750:I1751"/>
    <mergeCell ref="J1750:K1750"/>
    <mergeCell ref="X1750:X1751"/>
    <mergeCell ref="Y1750:Z1751"/>
    <mergeCell ref="C1751:D1751"/>
    <mergeCell ref="B1748:V1748"/>
    <mergeCell ref="B1749:B1758"/>
    <mergeCell ref="C1749:M1749"/>
    <mergeCell ref="P1749:S1750"/>
    <mergeCell ref="T1749:U1751"/>
    <mergeCell ref="V1749:V1751"/>
    <mergeCell ref="H1752:I1752"/>
    <mergeCell ref="P1752:Q1754"/>
    <mergeCell ref="R1752:S1754"/>
    <mergeCell ref="T1752:V1753"/>
    <mergeCell ref="H1753:I1753"/>
    <mergeCell ref="H1754:I1754"/>
    <mergeCell ref="H1755:I1755"/>
    <mergeCell ref="O1755:O1756"/>
    <mergeCell ref="P1755:S1755"/>
    <mergeCell ref="H1756:I1756"/>
    <mergeCell ref="P1742:Q1742"/>
    <mergeCell ref="R1742:S1742"/>
    <mergeCell ref="P1743:Q1743"/>
    <mergeCell ref="R1743:S1743"/>
    <mergeCell ref="P1744:Q1744"/>
    <mergeCell ref="R1744:S1744"/>
    <mergeCell ref="P1739:Q1739"/>
    <mergeCell ref="R1739:S1739"/>
    <mergeCell ref="P1740:Q1740"/>
    <mergeCell ref="R1740:S1740"/>
    <mergeCell ref="P1741:Q1741"/>
    <mergeCell ref="R1741:S1741"/>
    <mergeCell ref="P1736:Q1736"/>
    <mergeCell ref="R1736:S1736"/>
    <mergeCell ref="P1737:Q1737"/>
    <mergeCell ref="R1737:S1737"/>
    <mergeCell ref="P1738:Q1738"/>
    <mergeCell ref="R1738:S1738"/>
    <mergeCell ref="R1732:S1733"/>
    <mergeCell ref="T1732:V1732"/>
    <mergeCell ref="P1733:Q1733"/>
    <mergeCell ref="P1735:Q1735"/>
    <mergeCell ref="R1735:S1735"/>
    <mergeCell ref="K1732:K1733"/>
    <mergeCell ref="L1732:L1733"/>
    <mergeCell ref="M1732:M1733"/>
    <mergeCell ref="N1732:O1732"/>
    <mergeCell ref="P1732:Q1732"/>
    <mergeCell ref="B1731:D1731"/>
    <mergeCell ref="B1732:B1733"/>
    <mergeCell ref="H1732:H1733"/>
    <mergeCell ref="I1732:I1733"/>
    <mergeCell ref="J1732:J1733"/>
    <mergeCell ref="R1726:S1726"/>
    <mergeCell ref="H1727:I1727"/>
    <mergeCell ref="R1727:S1727"/>
    <mergeCell ref="C1728:E1728"/>
    <mergeCell ref="H1728:I1728"/>
    <mergeCell ref="O1728:S1728"/>
    <mergeCell ref="X1719:Z1719"/>
    <mergeCell ref="AA1719:AA1721"/>
    <mergeCell ref="AB1719:AB1721"/>
    <mergeCell ref="C1720:E1720"/>
    <mergeCell ref="G1720:G1721"/>
    <mergeCell ref="H1720:I1721"/>
    <mergeCell ref="J1720:K1720"/>
    <mergeCell ref="X1720:X1721"/>
    <mergeCell ref="Y1720:Z1721"/>
    <mergeCell ref="C1721:D1721"/>
    <mergeCell ref="B1718:V1718"/>
    <mergeCell ref="B1719:B1728"/>
    <mergeCell ref="C1719:M1719"/>
    <mergeCell ref="P1719:S1720"/>
    <mergeCell ref="T1719:U1721"/>
    <mergeCell ref="V1719:V1721"/>
    <mergeCell ref="H1722:I1722"/>
    <mergeCell ref="P1722:Q1724"/>
    <mergeCell ref="R1722:S1724"/>
    <mergeCell ref="T1722:V1723"/>
    <mergeCell ref="H1723:I1723"/>
    <mergeCell ref="H1724:I1724"/>
    <mergeCell ref="H1725:I1725"/>
    <mergeCell ref="O1725:O1726"/>
    <mergeCell ref="P1725:S1725"/>
    <mergeCell ref="H1726:I1726"/>
    <mergeCell ref="P1712:Q1712"/>
    <mergeCell ref="R1712:S1712"/>
    <mergeCell ref="P1713:Q1713"/>
    <mergeCell ref="R1713:S1713"/>
    <mergeCell ref="P1714:Q1714"/>
    <mergeCell ref="R1714:S1714"/>
    <mergeCell ref="P1709:Q1709"/>
    <mergeCell ref="R1709:S1709"/>
    <mergeCell ref="P1710:Q1710"/>
    <mergeCell ref="R1710:S1710"/>
    <mergeCell ref="P1711:Q1711"/>
    <mergeCell ref="R1711:S1711"/>
    <mergeCell ref="P1706:Q1706"/>
    <mergeCell ref="R1706:S1706"/>
    <mergeCell ref="P1707:Q1707"/>
    <mergeCell ref="R1707:S1707"/>
    <mergeCell ref="P1708:Q1708"/>
    <mergeCell ref="R1708:S1708"/>
    <mergeCell ref="R1702:S1703"/>
    <mergeCell ref="T1702:V1702"/>
    <mergeCell ref="P1703:Q1703"/>
    <mergeCell ref="P1705:Q1705"/>
    <mergeCell ref="R1705:S1705"/>
    <mergeCell ref="K1702:K1703"/>
    <mergeCell ref="L1702:L1703"/>
    <mergeCell ref="M1702:M1703"/>
    <mergeCell ref="N1702:O1702"/>
    <mergeCell ref="P1702:Q1702"/>
    <mergeCell ref="B1701:D1701"/>
    <mergeCell ref="B1702:B1703"/>
    <mergeCell ref="H1702:H1703"/>
    <mergeCell ref="I1702:I1703"/>
    <mergeCell ref="J1702:J1703"/>
    <mergeCell ref="R1696:S1696"/>
    <mergeCell ref="H1697:I1697"/>
    <mergeCell ref="R1697:S1697"/>
    <mergeCell ref="C1698:E1698"/>
    <mergeCell ref="H1698:I1698"/>
    <mergeCell ref="O1698:S1698"/>
    <mergeCell ref="X1689:Z1689"/>
    <mergeCell ref="AA1689:AA1691"/>
    <mergeCell ref="AB1689:AB1691"/>
    <mergeCell ref="C1690:E1690"/>
    <mergeCell ref="G1690:G1691"/>
    <mergeCell ref="H1690:I1691"/>
    <mergeCell ref="J1690:K1690"/>
    <mergeCell ref="X1690:X1691"/>
    <mergeCell ref="Y1690:Z1691"/>
    <mergeCell ref="C1691:D1691"/>
    <mergeCell ref="B1688:V1688"/>
    <mergeCell ref="B1689:B1698"/>
    <mergeCell ref="C1689:M1689"/>
    <mergeCell ref="P1689:S1690"/>
    <mergeCell ref="T1689:U1691"/>
    <mergeCell ref="V1689:V1691"/>
    <mergeCell ref="H1692:I1692"/>
    <mergeCell ref="P1692:Q1694"/>
    <mergeCell ref="R1692:S1694"/>
    <mergeCell ref="T1692:V1693"/>
    <mergeCell ref="H1693:I1693"/>
    <mergeCell ref="H1694:I1694"/>
    <mergeCell ref="H1695:I1695"/>
    <mergeCell ref="O1695:O1696"/>
    <mergeCell ref="P1695:S1695"/>
    <mergeCell ref="H1696:I1696"/>
    <mergeCell ref="P1682:Q1682"/>
    <mergeCell ref="R1682:S1682"/>
    <mergeCell ref="P1683:Q1683"/>
    <mergeCell ref="R1683:S1683"/>
    <mergeCell ref="P1684:Q1684"/>
    <mergeCell ref="R1684:S1684"/>
    <mergeCell ref="P1679:Q1679"/>
    <mergeCell ref="R1679:S1679"/>
    <mergeCell ref="P1680:Q1680"/>
    <mergeCell ref="R1680:S1680"/>
    <mergeCell ref="P1681:Q1681"/>
    <mergeCell ref="R1681:S1681"/>
    <mergeCell ref="P1676:Q1676"/>
    <mergeCell ref="R1676:S1676"/>
    <mergeCell ref="P1677:Q1677"/>
    <mergeCell ref="R1677:S1677"/>
    <mergeCell ref="P1678:Q1678"/>
    <mergeCell ref="R1678:S1678"/>
    <mergeCell ref="R1672:S1673"/>
    <mergeCell ref="T1672:V1672"/>
    <mergeCell ref="P1673:Q1673"/>
    <mergeCell ref="P1675:Q1675"/>
    <mergeCell ref="R1675:S1675"/>
    <mergeCell ref="K1672:K1673"/>
    <mergeCell ref="L1672:L1673"/>
    <mergeCell ref="M1672:M1673"/>
    <mergeCell ref="N1672:O1672"/>
    <mergeCell ref="P1672:Q1672"/>
    <mergeCell ref="B1671:D1671"/>
    <mergeCell ref="B1672:B1673"/>
    <mergeCell ref="H1672:H1673"/>
    <mergeCell ref="I1672:I1673"/>
    <mergeCell ref="J1672:J1673"/>
    <mergeCell ref="R1666:S1666"/>
    <mergeCell ref="H1667:I1667"/>
    <mergeCell ref="R1667:S1667"/>
    <mergeCell ref="C1668:E1668"/>
    <mergeCell ref="H1668:I1668"/>
    <mergeCell ref="O1668:S1668"/>
    <mergeCell ref="X1659:Z1659"/>
    <mergeCell ref="AA1659:AA1661"/>
    <mergeCell ref="AB1659:AB1661"/>
    <mergeCell ref="C1660:E1660"/>
    <mergeCell ref="G1660:G1661"/>
    <mergeCell ref="H1660:I1661"/>
    <mergeCell ref="J1660:K1660"/>
    <mergeCell ref="X1660:X1661"/>
    <mergeCell ref="Y1660:Z1661"/>
    <mergeCell ref="C1661:D1661"/>
    <mergeCell ref="B1658:V1658"/>
    <mergeCell ref="B1659:B1668"/>
    <mergeCell ref="C1659:M1659"/>
    <mergeCell ref="P1659:S1660"/>
    <mergeCell ref="T1659:U1661"/>
    <mergeCell ref="V1659:V1661"/>
    <mergeCell ref="H1662:I1662"/>
    <mergeCell ref="P1662:Q1664"/>
    <mergeCell ref="R1662:S1664"/>
    <mergeCell ref="T1662:V1663"/>
    <mergeCell ref="H1663:I1663"/>
    <mergeCell ref="H1664:I1664"/>
    <mergeCell ref="H1665:I1665"/>
    <mergeCell ref="O1665:O1666"/>
    <mergeCell ref="P1665:S1665"/>
    <mergeCell ref="H1666:I1666"/>
    <mergeCell ref="P1652:Q1652"/>
    <mergeCell ref="R1652:S1652"/>
    <mergeCell ref="P1653:Q1653"/>
    <mergeCell ref="R1653:S1653"/>
    <mergeCell ref="P1654:Q1654"/>
    <mergeCell ref="R1654:S1654"/>
    <mergeCell ref="P1649:Q1649"/>
    <mergeCell ref="R1649:S1649"/>
    <mergeCell ref="P1650:Q1650"/>
    <mergeCell ref="R1650:S1650"/>
    <mergeCell ref="P1651:Q1651"/>
    <mergeCell ref="R1651:S1651"/>
    <mergeCell ref="P1646:Q1646"/>
    <mergeCell ref="R1646:S1646"/>
    <mergeCell ref="P1647:Q1647"/>
    <mergeCell ref="R1647:S1647"/>
    <mergeCell ref="P1648:Q1648"/>
    <mergeCell ref="R1648:S1648"/>
    <mergeCell ref="R1642:S1643"/>
    <mergeCell ref="T1642:V1642"/>
    <mergeCell ref="P1643:Q1643"/>
    <mergeCell ref="P1645:Q1645"/>
    <mergeCell ref="R1645:S1645"/>
    <mergeCell ref="K1642:K1643"/>
    <mergeCell ref="L1642:L1643"/>
    <mergeCell ref="M1642:M1643"/>
    <mergeCell ref="N1642:O1642"/>
    <mergeCell ref="P1642:Q1642"/>
    <mergeCell ref="B1641:D1641"/>
    <mergeCell ref="B1642:B1643"/>
    <mergeCell ref="H1642:H1643"/>
    <mergeCell ref="I1642:I1643"/>
    <mergeCell ref="J1642:J1643"/>
    <mergeCell ref="R1636:S1636"/>
    <mergeCell ref="H1637:I1637"/>
    <mergeCell ref="R1637:S1637"/>
    <mergeCell ref="C1638:E1638"/>
    <mergeCell ref="H1638:I1638"/>
    <mergeCell ref="O1638:S1638"/>
    <mergeCell ref="X1629:Z1629"/>
    <mergeCell ref="AA1629:AA1631"/>
    <mergeCell ref="AB1629:AB1631"/>
    <mergeCell ref="C1630:E1630"/>
    <mergeCell ref="G1630:G1631"/>
    <mergeCell ref="H1630:I1631"/>
    <mergeCell ref="J1630:K1630"/>
    <mergeCell ref="X1630:X1631"/>
    <mergeCell ref="Y1630:Z1631"/>
    <mergeCell ref="C1631:D1631"/>
    <mergeCell ref="B1628:V1628"/>
    <mergeCell ref="B1629:B1638"/>
    <mergeCell ref="C1629:M1629"/>
    <mergeCell ref="P1629:S1630"/>
    <mergeCell ref="T1629:U1631"/>
    <mergeCell ref="V1629:V1631"/>
    <mergeCell ref="H1632:I1632"/>
    <mergeCell ref="P1632:Q1634"/>
    <mergeCell ref="R1632:S1634"/>
    <mergeCell ref="T1632:V1633"/>
    <mergeCell ref="H1633:I1633"/>
    <mergeCell ref="H1634:I1634"/>
    <mergeCell ref="H1635:I1635"/>
    <mergeCell ref="O1635:O1636"/>
    <mergeCell ref="P1635:S1635"/>
    <mergeCell ref="H1636:I1636"/>
    <mergeCell ref="P1622:Q1622"/>
    <mergeCell ref="R1622:S1622"/>
    <mergeCell ref="P1623:Q1623"/>
    <mergeCell ref="R1623:S1623"/>
    <mergeCell ref="P1624:Q1624"/>
    <mergeCell ref="R1624:S1624"/>
    <mergeCell ref="P1619:Q1619"/>
    <mergeCell ref="R1619:S1619"/>
    <mergeCell ref="P1620:Q1620"/>
    <mergeCell ref="R1620:S1620"/>
    <mergeCell ref="P1621:Q1621"/>
    <mergeCell ref="R1621:S1621"/>
    <mergeCell ref="P1616:Q1616"/>
    <mergeCell ref="R1616:S1616"/>
    <mergeCell ref="P1617:Q1617"/>
    <mergeCell ref="R1617:S1617"/>
    <mergeCell ref="P1618:Q1618"/>
    <mergeCell ref="R1618:S1618"/>
    <mergeCell ref="R1612:S1613"/>
    <mergeCell ref="T1612:V1612"/>
    <mergeCell ref="P1613:Q1613"/>
    <mergeCell ref="P1615:Q1615"/>
    <mergeCell ref="R1615:S1615"/>
    <mergeCell ref="K1612:K1613"/>
    <mergeCell ref="L1612:L1613"/>
    <mergeCell ref="M1612:M1613"/>
    <mergeCell ref="N1612:O1612"/>
    <mergeCell ref="P1612:Q1612"/>
    <mergeCell ref="B1611:D1611"/>
    <mergeCell ref="B1612:B1613"/>
    <mergeCell ref="H1612:H1613"/>
    <mergeCell ref="I1612:I1613"/>
    <mergeCell ref="J1612:J1613"/>
    <mergeCell ref="R1606:S1606"/>
    <mergeCell ref="H1607:I1607"/>
    <mergeCell ref="R1607:S1607"/>
    <mergeCell ref="C1608:E1608"/>
    <mergeCell ref="H1608:I1608"/>
    <mergeCell ref="O1608:S1608"/>
    <mergeCell ref="X1599:Z1599"/>
    <mergeCell ref="AA1599:AA1601"/>
    <mergeCell ref="AB1599:AB1601"/>
    <mergeCell ref="C1600:E1600"/>
    <mergeCell ref="G1600:G1601"/>
    <mergeCell ref="H1600:I1601"/>
    <mergeCell ref="J1600:K1600"/>
    <mergeCell ref="X1600:X1601"/>
    <mergeCell ref="Y1600:Z1601"/>
    <mergeCell ref="C1601:D1601"/>
    <mergeCell ref="B1598:V1598"/>
    <mergeCell ref="B1599:B1608"/>
    <mergeCell ref="C1599:M1599"/>
    <mergeCell ref="P1599:S1600"/>
    <mergeCell ref="T1599:U1601"/>
    <mergeCell ref="V1599:V1601"/>
    <mergeCell ref="H1602:I1602"/>
    <mergeCell ref="P1602:Q1604"/>
    <mergeCell ref="R1602:S1604"/>
    <mergeCell ref="T1602:V1603"/>
    <mergeCell ref="H1603:I1603"/>
    <mergeCell ref="H1604:I1604"/>
    <mergeCell ref="H1605:I1605"/>
    <mergeCell ref="O1605:O1606"/>
    <mergeCell ref="P1605:S1605"/>
    <mergeCell ref="H1606:I1606"/>
    <mergeCell ref="P1592:Q1592"/>
    <mergeCell ref="R1592:S1592"/>
    <mergeCell ref="P1593:Q1593"/>
    <mergeCell ref="R1593:S1593"/>
    <mergeCell ref="P1594:Q1594"/>
    <mergeCell ref="R1594:S1594"/>
    <mergeCell ref="P1589:Q1589"/>
    <mergeCell ref="R1589:S1589"/>
    <mergeCell ref="P1590:Q1590"/>
    <mergeCell ref="R1590:S1590"/>
    <mergeCell ref="P1591:Q1591"/>
    <mergeCell ref="R1591:S1591"/>
    <mergeCell ref="P1586:Q1586"/>
    <mergeCell ref="R1586:S1586"/>
    <mergeCell ref="P1587:Q1587"/>
    <mergeCell ref="R1587:S1587"/>
    <mergeCell ref="P1588:Q1588"/>
    <mergeCell ref="R1588:S1588"/>
    <mergeCell ref="R1582:S1583"/>
    <mergeCell ref="T1582:V1582"/>
    <mergeCell ref="P1583:Q1583"/>
    <mergeCell ref="P1585:Q1585"/>
    <mergeCell ref="R1585:S1585"/>
    <mergeCell ref="K1582:K1583"/>
    <mergeCell ref="L1582:L1583"/>
    <mergeCell ref="M1582:M1583"/>
    <mergeCell ref="N1582:O1582"/>
    <mergeCell ref="P1582:Q1582"/>
    <mergeCell ref="B1581:D1581"/>
    <mergeCell ref="B1582:B1583"/>
    <mergeCell ref="H1582:H1583"/>
    <mergeCell ref="I1582:I1583"/>
    <mergeCell ref="J1582:J1583"/>
    <mergeCell ref="R1576:S1576"/>
    <mergeCell ref="H1577:I1577"/>
    <mergeCell ref="R1577:S1577"/>
    <mergeCell ref="C1578:E1578"/>
    <mergeCell ref="H1578:I1578"/>
    <mergeCell ref="O1578:S1578"/>
    <mergeCell ref="X1569:Z1569"/>
    <mergeCell ref="AA1569:AA1571"/>
    <mergeCell ref="AB1569:AB1571"/>
    <mergeCell ref="C1570:E1570"/>
    <mergeCell ref="G1570:G1571"/>
    <mergeCell ref="H1570:I1571"/>
    <mergeCell ref="J1570:K1570"/>
    <mergeCell ref="X1570:X1571"/>
    <mergeCell ref="Y1570:Z1571"/>
    <mergeCell ref="C1571:D1571"/>
    <mergeCell ref="B1568:V1568"/>
    <mergeCell ref="B1569:B1578"/>
    <mergeCell ref="C1569:M1569"/>
    <mergeCell ref="P1569:S1570"/>
    <mergeCell ref="T1569:U1571"/>
    <mergeCell ref="V1569:V1571"/>
    <mergeCell ref="H1572:I1572"/>
    <mergeCell ref="P1572:Q1574"/>
    <mergeCell ref="R1572:S1574"/>
    <mergeCell ref="T1572:V1573"/>
    <mergeCell ref="H1573:I1573"/>
    <mergeCell ref="H1574:I1574"/>
    <mergeCell ref="H1575:I1575"/>
    <mergeCell ref="O1575:O1576"/>
    <mergeCell ref="P1575:S1575"/>
    <mergeCell ref="H1576:I1576"/>
    <mergeCell ref="P1562:Q1562"/>
    <mergeCell ref="R1562:S1562"/>
    <mergeCell ref="P1563:Q1563"/>
    <mergeCell ref="R1563:S1563"/>
    <mergeCell ref="P1564:Q1564"/>
    <mergeCell ref="R1564:S1564"/>
    <mergeCell ref="P1559:Q1559"/>
    <mergeCell ref="R1559:S1559"/>
    <mergeCell ref="P1560:Q1560"/>
    <mergeCell ref="R1560:S1560"/>
    <mergeCell ref="P1561:Q1561"/>
    <mergeCell ref="R1561:S1561"/>
    <mergeCell ref="P1556:Q1556"/>
    <mergeCell ref="R1556:S1556"/>
    <mergeCell ref="P1557:Q1557"/>
    <mergeCell ref="R1557:S1557"/>
    <mergeCell ref="P1558:Q1558"/>
    <mergeCell ref="R1558:S1558"/>
    <mergeCell ref="R1552:S1553"/>
    <mergeCell ref="T1552:V1552"/>
    <mergeCell ref="P1553:Q1553"/>
    <mergeCell ref="P1555:Q1555"/>
    <mergeCell ref="R1555:S1555"/>
    <mergeCell ref="K1552:K1553"/>
    <mergeCell ref="L1552:L1553"/>
    <mergeCell ref="M1552:M1553"/>
    <mergeCell ref="N1552:O1552"/>
    <mergeCell ref="P1552:Q1552"/>
    <mergeCell ref="B1551:D1551"/>
    <mergeCell ref="B1552:B1553"/>
    <mergeCell ref="H1552:H1553"/>
    <mergeCell ref="I1552:I1553"/>
    <mergeCell ref="J1552:J1553"/>
    <mergeCell ref="R1546:S1546"/>
    <mergeCell ref="H1547:I1547"/>
    <mergeCell ref="R1547:S1547"/>
    <mergeCell ref="C1548:E1548"/>
    <mergeCell ref="H1548:I1548"/>
    <mergeCell ref="O1548:S1548"/>
    <mergeCell ref="X1539:Z1539"/>
    <mergeCell ref="AA1539:AA1541"/>
    <mergeCell ref="AB1539:AB1541"/>
    <mergeCell ref="C1540:E1540"/>
    <mergeCell ref="G1540:G1541"/>
    <mergeCell ref="H1540:I1541"/>
    <mergeCell ref="J1540:K1540"/>
    <mergeCell ref="X1540:X1541"/>
    <mergeCell ref="Y1540:Z1541"/>
    <mergeCell ref="C1541:D1541"/>
    <mergeCell ref="B1538:V1538"/>
    <mergeCell ref="B1539:B1548"/>
    <mergeCell ref="C1539:M1539"/>
    <mergeCell ref="P1539:S1540"/>
    <mergeCell ref="T1539:U1541"/>
    <mergeCell ref="V1539:V1541"/>
    <mergeCell ref="H1542:I1542"/>
    <mergeCell ref="P1542:Q1544"/>
    <mergeCell ref="R1542:S1544"/>
    <mergeCell ref="T1542:V1543"/>
    <mergeCell ref="H1543:I1543"/>
    <mergeCell ref="H1544:I1544"/>
    <mergeCell ref="H1545:I1545"/>
    <mergeCell ref="O1545:O1546"/>
    <mergeCell ref="P1545:S1545"/>
    <mergeCell ref="H1546:I1546"/>
    <mergeCell ref="P1532:Q1532"/>
    <mergeCell ref="R1532:S1532"/>
    <mergeCell ref="P1533:Q1533"/>
    <mergeCell ref="R1533:S1533"/>
    <mergeCell ref="P1534:Q1534"/>
    <mergeCell ref="R1534:S1534"/>
    <mergeCell ref="P1529:Q1529"/>
    <mergeCell ref="R1529:S1529"/>
    <mergeCell ref="P1530:Q1530"/>
    <mergeCell ref="R1530:S1530"/>
    <mergeCell ref="P1531:Q1531"/>
    <mergeCell ref="R1531:S1531"/>
    <mergeCell ref="P1526:Q1526"/>
    <mergeCell ref="R1526:S1526"/>
    <mergeCell ref="P1527:Q1527"/>
    <mergeCell ref="R1527:S1527"/>
    <mergeCell ref="P1528:Q1528"/>
    <mergeCell ref="R1528:S1528"/>
    <mergeCell ref="R1522:S1523"/>
    <mergeCell ref="T1522:V1522"/>
    <mergeCell ref="P1523:Q1523"/>
    <mergeCell ref="P1525:Q1525"/>
    <mergeCell ref="R1525:S1525"/>
    <mergeCell ref="K1522:K1523"/>
    <mergeCell ref="L1522:L1523"/>
    <mergeCell ref="M1522:M1523"/>
    <mergeCell ref="N1522:O1522"/>
    <mergeCell ref="P1522:Q1522"/>
    <mergeCell ref="B1521:D1521"/>
    <mergeCell ref="B1522:B1523"/>
    <mergeCell ref="H1522:H1523"/>
    <mergeCell ref="I1522:I1523"/>
    <mergeCell ref="J1522:J1523"/>
    <mergeCell ref="R1516:S1516"/>
    <mergeCell ref="H1517:I1517"/>
    <mergeCell ref="R1517:S1517"/>
    <mergeCell ref="C1518:E1518"/>
    <mergeCell ref="H1518:I1518"/>
    <mergeCell ref="O1518:S1518"/>
    <mergeCell ref="X1509:Z1509"/>
    <mergeCell ref="AA1509:AA1511"/>
    <mergeCell ref="AB1509:AB1511"/>
    <mergeCell ref="C1510:E1510"/>
    <mergeCell ref="G1510:G1511"/>
    <mergeCell ref="H1510:I1511"/>
    <mergeCell ref="J1510:K1510"/>
    <mergeCell ref="X1510:X1511"/>
    <mergeCell ref="Y1510:Z1511"/>
    <mergeCell ref="C1511:D1511"/>
    <mergeCell ref="B1508:V1508"/>
    <mergeCell ref="B1509:B1518"/>
    <mergeCell ref="C1509:M1509"/>
    <mergeCell ref="P1509:S1510"/>
    <mergeCell ref="T1509:U1511"/>
    <mergeCell ref="V1509:V1511"/>
    <mergeCell ref="H1512:I1512"/>
    <mergeCell ref="P1512:Q1514"/>
    <mergeCell ref="R1512:S1514"/>
    <mergeCell ref="T1512:V1513"/>
    <mergeCell ref="H1513:I1513"/>
    <mergeCell ref="H1514:I1514"/>
    <mergeCell ref="H1515:I1515"/>
    <mergeCell ref="O1515:O1516"/>
    <mergeCell ref="P1515:S1515"/>
    <mergeCell ref="H1516:I1516"/>
    <mergeCell ref="P1502:Q1502"/>
    <mergeCell ref="R1502:S1502"/>
    <mergeCell ref="P1503:Q1503"/>
    <mergeCell ref="R1503:S1503"/>
    <mergeCell ref="P1504:Q1504"/>
    <mergeCell ref="R1504:S1504"/>
    <mergeCell ref="P1499:Q1499"/>
    <mergeCell ref="R1499:S1499"/>
    <mergeCell ref="P1500:Q1500"/>
    <mergeCell ref="R1500:S1500"/>
    <mergeCell ref="P1501:Q1501"/>
    <mergeCell ref="R1501:S1501"/>
    <mergeCell ref="P1496:Q1496"/>
    <mergeCell ref="R1496:S1496"/>
    <mergeCell ref="P1497:Q1497"/>
    <mergeCell ref="R1497:S1497"/>
    <mergeCell ref="P1498:Q1498"/>
    <mergeCell ref="R1498:S1498"/>
    <mergeCell ref="R1492:S1493"/>
    <mergeCell ref="T1492:V1492"/>
    <mergeCell ref="P1493:Q1493"/>
    <mergeCell ref="P1495:Q1495"/>
    <mergeCell ref="R1495:S1495"/>
    <mergeCell ref="K1492:K1493"/>
    <mergeCell ref="L1492:L1493"/>
    <mergeCell ref="M1492:M1493"/>
    <mergeCell ref="N1492:O1492"/>
    <mergeCell ref="P1492:Q1492"/>
    <mergeCell ref="B1491:D1491"/>
    <mergeCell ref="B1492:B1493"/>
    <mergeCell ref="H1492:H1493"/>
    <mergeCell ref="I1492:I1493"/>
    <mergeCell ref="J1492:J1493"/>
    <mergeCell ref="R1486:S1486"/>
    <mergeCell ref="H1487:I1487"/>
    <mergeCell ref="R1487:S1487"/>
    <mergeCell ref="C1488:E1488"/>
    <mergeCell ref="H1488:I1488"/>
    <mergeCell ref="O1488:S1488"/>
    <mergeCell ref="X1479:Z1479"/>
    <mergeCell ref="AA1479:AA1481"/>
    <mergeCell ref="AB1479:AB1481"/>
    <mergeCell ref="C1480:E1480"/>
    <mergeCell ref="G1480:G1481"/>
    <mergeCell ref="H1480:I1481"/>
    <mergeCell ref="J1480:K1480"/>
    <mergeCell ref="X1480:X1481"/>
    <mergeCell ref="Y1480:Z1481"/>
    <mergeCell ref="C1481:D1481"/>
    <mergeCell ref="B1478:V1478"/>
    <mergeCell ref="B1479:B1488"/>
    <mergeCell ref="C1479:M1479"/>
    <mergeCell ref="P1479:S1480"/>
    <mergeCell ref="T1479:U1481"/>
    <mergeCell ref="V1479:V1481"/>
    <mergeCell ref="H1482:I1482"/>
    <mergeCell ref="P1482:Q1484"/>
    <mergeCell ref="R1482:S1484"/>
    <mergeCell ref="T1482:V1483"/>
    <mergeCell ref="H1483:I1483"/>
    <mergeCell ref="H1484:I1484"/>
    <mergeCell ref="H1485:I1485"/>
    <mergeCell ref="O1485:O1486"/>
    <mergeCell ref="P1485:S1485"/>
    <mergeCell ref="H1486:I1486"/>
    <mergeCell ref="P1472:Q1472"/>
    <mergeCell ref="R1472:S1472"/>
    <mergeCell ref="P1473:Q1473"/>
    <mergeCell ref="R1473:S1473"/>
    <mergeCell ref="P1474:Q1474"/>
    <mergeCell ref="R1474:S1474"/>
    <mergeCell ref="P1469:Q1469"/>
    <mergeCell ref="R1469:S1469"/>
    <mergeCell ref="P1470:Q1470"/>
    <mergeCell ref="R1470:S1470"/>
    <mergeCell ref="P1471:Q1471"/>
    <mergeCell ref="R1471:S1471"/>
    <mergeCell ref="P1466:Q1466"/>
    <mergeCell ref="R1466:S1466"/>
    <mergeCell ref="P1467:Q1467"/>
    <mergeCell ref="R1467:S1467"/>
    <mergeCell ref="P1468:Q1468"/>
    <mergeCell ref="R1468:S1468"/>
    <mergeCell ref="R1462:S1463"/>
    <mergeCell ref="T1462:V1462"/>
    <mergeCell ref="P1463:Q1463"/>
    <mergeCell ref="P1465:Q1465"/>
    <mergeCell ref="R1465:S1465"/>
    <mergeCell ref="K1462:K1463"/>
    <mergeCell ref="L1462:L1463"/>
    <mergeCell ref="M1462:M1463"/>
    <mergeCell ref="N1462:O1462"/>
    <mergeCell ref="P1462:Q1462"/>
    <mergeCell ref="B1461:D1461"/>
    <mergeCell ref="B1462:B1463"/>
    <mergeCell ref="H1462:H1463"/>
    <mergeCell ref="I1462:I1463"/>
    <mergeCell ref="J1462:J1463"/>
    <mergeCell ref="R1456:S1456"/>
    <mergeCell ref="H1457:I1457"/>
    <mergeCell ref="R1457:S1457"/>
    <mergeCell ref="C1458:E1458"/>
    <mergeCell ref="H1458:I1458"/>
    <mergeCell ref="O1458:S1458"/>
    <mergeCell ref="X1449:Z1449"/>
    <mergeCell ref="AA1449:AA1451"/>
    <mergeCell ref="AB1449:AB1451"/>
    <mergeCell ref="C1450:E1450"/>
    <mergeCell ref="G1450:G1451"/>
    <mergeCell ref="H1450:I1451"/>
    <mergeCell ref="J1450:K1450"/>
    <mergeCell ref="X1450:X1451"/>
    <mergeCell ref="Y1450:Z1451"/>
    <mergeCell ref="C1451:D1451"/>
    <mergeCell ref="B1448:V1448"/>
    <mergeCell ref="B1449:B1458"/>
    <mergeCell ref="C1449:M1449"/>
    <mergeCell ref="P1449:S1450"/>
    <mergeCell ref="T1449:U1451"/>
    <mergeCell ref="V1449:V1451"/>
    <mergeCell ref="H1452:I1452"/>
    <mergeCell ref="P1452:Q1454"/>
    <mergeCell ref="R1452:S1454"/>
    <mergeCell ref="T1452:V1453"/>
    <mergeCell ref="H1453:I1453"/>
    <mergeCell ref="H1454:I1454"/>
    <mergeCell ref="H1455:I1455"/>
    <mergeCell ref="O1455:O1456"/>
    <mergeCell ref="P1455:S1455"/>
    <mergeCell ref="H1456:I1456"/>
    <mergeCell ref="P1442:Q1442"/>
    <mergeCell ref="R1442:S1442"/>
    <mergeCell ref="P1443:Q1443"/>
    <mergeCell ref="R1443:S1443"/>
    <mergeCell ref="P1444:Q1444"/>
    <mergeCell ref="R1444:S1444"/>
    <mergeCell ref="P1439:Q1439"/>
    <mergeCell ref="R1439:S1439"/>
    <mergeCell ref="P1440:Q1440"/>
    <mergeCell ref="R1440:S1440"/>
    <mergeCell ref="P1441:Q1441"/>
    <mergeCell ref="R1441:S1441"/>
    <mergeCell ref="P1436:Q1436"/>
    <mergeCell ref="R1436:S1436"/>
    <mergeCell ref="P1437:Q1437"/>
    <mergeCell ref="R1437:S1437"/>
    <mergeCell ref="P1438:Q1438"/>
    <mergeCell ref="R1438:S1438"/>
    <mergeCell ref="R1432:S1433"/>
    <mergeCell ref="T1432:V1432"/>
    <mergeCell ref="P1433:Q1433"/>
    <mergeCell ref="P1435:Q1435"/>
    <mergeCell ref="R1435:S1435"/>
    <mergeCell ref="K1432:K1433"/>
    <mergeCell ref="L1432:L1433"/>
    <mergeCell ref="M1432:M1433"/>
    <mergeCell ref="N1432:O1432"/>
    <mergeCell ref="P1432:Q1432"/>
    <mergeCell ref="B1431:D1431"/>
    <mergeCell ref="B1432:B1433"/>
    <mergeCell ref="H1432:H1433"/>
    <mergeCell ref="I1432:I1433"/>
    <mergeCell ref="J1432:J1433"/>
    <mergeCell ref="R1426:S1426"/>
    <mergeCell ref="H1427:I1427"/>
    <mergeCell ref="R1427:S1427"/>
    <mergeCell ref="C1428:E1428"/>
    <mergeCell ref="H1428:I1428"/>
    <mergeCell ref="O1428:S1428"/>
    <mergeCell ref="X1419:Z1419"/>
    <mergeCell ref="AA1419:AA1421"/>
    <mergeCell ref="AB1419:AB1421"/>
    <mergeCell ref="C1420:E1420"/>
    <mergeCell ref="G1420:G1421"/>
    <mergeCell ref="H1420:I1421"/>
    <mergeCell ref="J1420:K1420"/>
    <mergeCell ref="X1420:X1421"/>
    <mergeCell ref="Y1420:Z1421"/>
    <mergeCell ref="C1421:D1421"/>
    <mergeCell ref="B1418:V1418"/>
    <mergeCell ref="B1419:B1428"/>
    <mergeCell ref="C1419:M1419"/>
    <mergeCell ref="P1419:S1420"/>
    <mergeCell ref="T1419:U1421"/>
    <mergeCell ref="V1419:V1421"/>
    <mergeCell ref="H1422:I1422"/>
    <mergeCell ref="P1422:Q1424"/>
    <mergeCell ref="R1422:S1424"/>
    <mergeCell ref="T1422:V1423"/>
    <mergeCell ref="H1423:I1423"/>
    <mergeCell ref="H1424:I1424"/>
    <mergeCell ref="H1425:I1425"/>
    <mergeCell ref="O1425:O1426"/>
    <mergeCell ref="P1425:S1425"/>
    <mergeCell ref="H1426:I1426"/>
    <mergeCell ref="P1412:Q1412"/>
    <mergeCell ref="R1412:S1412"/>
    <mergeCell ref="P1413:Q1413"/>
    <mergeCell ref="R1413:S1413"/>
    <mergeCell ref="P1414:Q1414"/>
    <mergeCell ref="R1414:S1414"/>
    <mergeCell ref="P1409:Q1409"/>
    <mergeCell ref="R1409:S1409"/>
    <mergeCell ref="P1410:Q1410"/>
    <mergeCell ref="R1410:S1410"/>
    <mergeCell ref="P1411:Q1411"/>
    <mergeCell ref="R1411:S1411"/>
    <mergeCell ref="P1406:Q1406"/>
    <mergeCell ref="R1406:S1406"/>
    <mergeCell ref="P1407:Q1407"/>
    <mergeCell ref="R1407:S1407"/>
    <mergeCell ref="P1408:Q1408"/>
    <mergeCell ref="R1408:S1408"/>
    <mergeCell ref="R1402:S1403"/>
    <mergeCell ref="T1402:V1402"/>
    <mergeCell ref="P1403:Q1403"/>
    <mergeCell ref="P1405:Q1405"/>
    <mergeCell ref="R1405:S1405"/>
    <mergeCell ref="K1402:K1403"/>
    <mergeCell ref="L1402:L1403"/>
    <mergeCell ref="M1402:M1403"/>
    <mergeCell ref="N1402:O1402"/>
    <mergeCell ref="P1402:Q1402"/>
    <mergeCell ref="B1401:D1401"/>
    <mergeCell ref="B1402:B1403"/>
    <mergeCell ref="H1402:H1403"/>
    <mergeCell ref="I1402:I1403"/>
    <mergeCell ref="J1402:J1403"/>
    <mergeCell ref="R1396:S1396"/>
    <mergeCell ref="H1397:I1397"/>
    <mergeCell ref="R1397:S1397"/>
    <mergeCell ref="C1398:E1398"/>
    <mergeCell ref="H1398:I1398"/>
    <mergeCell ref="O1398:S1398"/>
    <mergeCell ref="X1389:Z1389"/>
    <mergeCell ref="AA1389:AA1391"/>
    <mergeCell ref="AB1389:AB1391"/>
    <mergeCell ref="C1390:E1390"/>
    <mergeCell ref="G1390:G1391"/>
    <mergeCell ref="H1390:I1391"/>
    <mergeCell ref="J1390:K1390"/>
    <mergeCell ref="X1390:X1391"/>
    <mergeCell ref="Y1390:Z1391"/>
    <mergeCell ref="C1391:D1391"/>
    <mergeCell ref="B1388:V1388"/>
    <mergeCell ref="B1389:B1398"/>
    <mergeCell ref="C1389:M1389"/>
    <mergeCell ref="P1389:S1390"/>
    <mergeCell ref="T1389:U1391"/>
    <mergeCell ref="V1389:V1391"/>
    <mergeCell ref="H1392:I1392"/>
    <mergeCell ref="P1392:Q1394"/>
    <mergeCell ref="R1392:S1394"/>
    <mergeCell ref="T1392:V1393"/>
    <mergeCell ref="H1393:I1393"/>
    <mergeCell ref="H1394:I1394"/>
    <mergeCell ref="H1395:I1395"/>
    <mergeCell ref="O1395:O1396"/>
    <mergeCell ref="P1395:S1395"/>
    <mergeCell ref="H1396:I1396"/>
    <mergeCell ref="P1382:Q1382"/>
    <mergeCell ref="R1382:S1382"/>
    <mergeCell ref="P1383:Q1383"/>
    <mergeCell ref="R1383:S1383"/>
    <mergeCell ref="P1384:Q1384"/>
    <mergeCell ref="R1384:S1384"/>
    <mergeCell ref="P1379:Q1379"/>
    <mergeCell ref="R1379:S1379"/>
    <mergeCell ref="P1380:Q1380"/>
    <mergeCell ref="R1380:S1380"/>
    <mergeCell ref="P1381:Q1381"/>
    <mergeCell ref="R1381:S1381"/>
    <mergeCell ref="P1376:Q1376"/>
    <mergeCell ref="R1376:S1376"/>
    <mergeCell ref="P1377:Q1377"/>
    <mergeCell ref="R1377:S1377"/>
    <mergeCell ref="P1378:Q1378"/>
    <mergeCell ref="R1378:S1378"/>
    <mergeCell ref="R1372:S1373"/>
    <mergeCell ref="T1372:V1372"/>
    <mergeCell ref="P1373:Q1373"/>
    <mergeCell ref="P1375:Q1375"/>
    <mergeCell ref="R1375:S1375"/>
    <mergeCell ref="K1372:K1373"/>
    <mergeCell ref="L1372:L1373"/>
    <mergeCell ref="M1372:M1373"/>
    <mergeCell ref="N1372:O1372"/>
    <mergeCell ref="P1372:Q1372"/>
    <mergeCell ref="B1371:D1371"/>
    <mergeCell ref="B1372:B1373"/>
    <mergeCell ref="H1372:H1373"/>
    <mergeCell ref="I1372:I1373"/>
    <mergeCell ref="J1372:J1373"/>
    <mergeCell ref="R1366:S1366"/>
    <mergeCell ref="H1367:I1367"/>
    <mergeCell ref="R1367:S1367"/>
    <mergeCell ref="C1368:E1368"/>
    <mergeCell ref="H1368:I1368"/>
    <mergeCell ref="O1368:S1368"/>
    <mergeCell ref="X1359:Z1359"/>
    <mergeCell ref="AA1359:AA1361"/>
    <mergeCell ref="AB1359:AB1361"/>
    <mergeCell ref="C1360:E1360"/>
    <mergeCell ref="G1360:G1361"/>
    <mergeCell ref="H1360:I1361"/>
    <mergeCell ref="J1360:K1360"/>
    <mergeCell ref="X1360:X1361"/>
    <mergeCell ref="Y1360:Z1361"/>
    <mergeCell ref="C1361:D1361"/>
    <mergeCell ref="B1358:V1358"/>
    <mergeCell ref="B1359:B1368"/>
    <mergeCell ref="C1359:M1359"/>
    <mergeCell ref="P1359:S1360"/>
    <mergeCell ref="T1359:U1361"/>
    <mergeCell ref="V1359:V1361"/>
    <mergeCell ref="H1362:I1362"/>
    <mergeCell ref="P1362:Q1364"/>
    <mergeCell ref="R1362:S1364"/>
    <mergeCell ref="T1362:V1363"/>
    <mergeCell ref="H1363:I1363"/>
    <mergeCell ref="H1364:I1364"/>
    <mergeCell ref="H1365:I1365"/>
    <mergeCell ref="O1365:O1366"/>
    <mergeCell ref="P1365:S1365"/>
    <mergeCell ref="H1366:I1366"/>
    <mergeCell ref="P1352:Q1352"/>
    <mergeCell ref="R1352:S1352"/>
    <mergeCell ref="P1353:Q1353"/>
    <mergeCell ref="R1353:S1353"/>
    <mergeCell ref="P1354:Q1354"/>
    <mergeCell ref="R1354:S1354"/>
    <mergeCell ref="P1349:Q1349"/>
    <mergeCell ref="R1349:S1349"/>
    <mergeCell ref="P1350:Q1350"/>
    <mergeCell ref="R1350:S1350"/>
    <mergeCell ref="P1351:Q1351"/>
    <mergeCell ref="R1351:S1351"/>
    <mergeCell ref="P1346:Q1346"/>
    <mergeCell ref="R1346:S1346"/>
    <mergeCell ref="P1347:Q1347"/>
    <mergeCell ref="R1347:S1347"/>
    <mergeCell ref="P1348:Q1348"/>
    <mergeCell ref="R1348:S1348"/>
    <mergeCell ref="R1342:S1343"/>
    <mergeCell ref="T1342:V1342"/>
    <mergeCell ref="P1343:Q1343"/>
    <mergeCell ref="P1345:Q1345"/>
    <mergeCell ref="R1345:S1345"/>
    <mergeCell ref="K1342:K1343"/>
    <mergeCell ref="L1342:L1343"/>
    <mergeCell ref="M1342:M1343"/>
    <mergeCell ref="N1342:O1342"/>
    <mergeCell ref="P1342:Q1342"/>
    <mergeCell ref="B1341:D1341"/>
    <mergeCell ref="B1342:B1343"/>
    <mergeCell ref="H1342:H1343"/>
    <mergeCell ref="I1342:I1343"/>
    <mergeCell ref="J1342:J1343"/>
    <mergeCell ref="R1336:S1336"/>
    <mergeCell ref="H1337:I1337"/>
    <mergeCell ref="R1337:S1337"/>
    <mergeCell ref="C1338:E1338"/>
    <mergeCell ref="H1338:I1338"/>
    <mergeCell ref="O1338:S1338"/>
    <mergeCell ref="X1329:Z1329"/>
    <mergeCell ref="AA1329:AA1331"/>
    <mergeCell ref="AB1329:AB1331"/>
    <mergeCell ref="C1330:E1330"/>
    <mergeCell ref="G1330:G1331"/>
    <mergeCell ref="H1330:I1331"/>
    <mergeCell ref="J1330:K1330"/>
    <mergeCell ref="X1330:X1331"/>
    <mergeCell ref="Y1330:Z1331"/>
    <mergeCell ref="C1331:D1331"/>
    <mergeCell ref="B1328:V1328"/>
    <mergeCell ref="B1329:B1338"/>
    <mergeCell ref="C1329:M1329"/>
    <mergeCell ref="P1329:S1330"/>
    <mergeCell ref="T1329:U1331"/>
    <mergeCell ref="V1329:V1331"/>
    <mergeCell ref="H1332:I1332"/>
    <mergeCell ref="P1332:Q1334"/>
    <mergeCell ref="R1332:S1334"/>
    <mergeCell ref="T1332:V1333"/>
    <mergeCell ref="H1333:I1333"/>
    <mergeCell ref="H1334:I1334"/>
    <mergeCell ref="H1335:I1335"/>
    <mergeCell ref="O1335:O1336"/>
    <mergeCell ref="P1335:S1335"/>
    <mergeCell ref="H1336:I1336"/>
    <mergeCell ref="P1322:Q1322"/>
    <mergeCell ref="R1322:S1322"/>
    <mergeCell ref="P1323:Q1323"/>
    <mergeCell ref="R1323:S1323"/>
    <mergeCell ref="P1324:Q1324"/>
    <mergeCell ref="R1324:S1324"/>
    <mergeCell ref="P1319:Q1319"/>
    <mergeCell ref="R1319:S1319"/>
    <mergeCell ref="P1320:Q1320"/>
    <mergeCell ref="R1320:S1320"/>
    <mergeCell ref="P1321:Q1321"/>
    <mergeCell ref="R1321:S1321"/>
    <mergeCell ref="P1316:Q1316"/>
    <mergeCell ref="R1316:S1316"/>
    <mergeCell ref="P1317:Q1317"/>
    <mergeCell ref="R1317:S1317"/>
    <mergeCell ref="P1318:Q1318"/>
    <mergeCell ref="R1318:S1318"/>
    <mergeCell ref="R1312:S1313"/>
    <mergeCell ref="T1312:V1312"/>
    <mergeCell ref="P1313:Q1313"/>
    <mergeCell ref="P1315:Q1315"/>
    <mergeCell ref="R1315:S1315"/>
    <mergeCell ref="K1312:K1313"/>
    <mergeCell ref="L1312:L1313"/>
    <mergeCell ref="M1312:M1313"/>
    <mergeCell ref="N1312:O1312"/>
    <mergeCell ref="P1312:Q1312"/>
    <mergeCell ref="B1311:D1311"/>
    <mergeCell ref="B1312:B1313"/>
    <mergeCell ref="H1312:H1313"/>
    <mergeCell ref="I1312:I1313"/>
    <mergeCell ref="J1312:J1313"/>
    <mergeCell ref="R1306:S1306"/>
    <mergeCell ref="H1307:I1307"/>
    <mergeCell ref="R1307:S1307"/>
    <mergeCell ref="C1308:E1308"/>
    <mergeCell ref="H1308:I1308"/>
    <mergeCell ref="O1308:S1308"/>
    <mergeCell ref="X1299:Z1299"/>
    <mergeCell ref="AA1299:AA1301"/>
    <mergeCell ref="AB1299:AB1301"/>
    <mergeCell ref="C1300:E1300"/>
    <mergeCell ref="G1300:G1301"/>
    <mergeCell ref="H1300:I1301"/>
    <mergeCell ref="J1300:K1300"/>
    <mergeCell ref="X1300:X1301"/>
    <mergeCell ref="Y1300:Z1301"/>
    <mergeCell ref="C1301:D1301"/>
    <mergeCell ref="B1298:V1298"/>
    <mergeCell ref="B1299:B1308"/>
    <mergeCell ref="C1299:M1299"/>
    <mergeCell ref="P1299:S1300"/>
    <mergeCell ref="T1299:U1301"/>
    <mergeCell ref="V1299:V1301"/>
    <mergeCell ref="H1302:I1302"/>
    <mergeCell ref="P1302:Q1304"/>
    <mergeCell ref="R1302:S1304"/>
    <mergeCell ref="T1302:V1303"/>
    <mergeCell ref="H1303:I1303"/>
    <mergeCell ref="H1304:I1304"/>
    <mergeCell ref="H1305:I1305"/>
    <mergeCell ref="O1305:O1306"/>
    <mergeCell ref="P1305:S1305"/>
    <mergeCell ref="H1306:I1306"/>
    <mergeCell ref="P1292:Q1292"/>
    <mergeCell ref="R1292:S1292"/>
    <mergeCell ref="P1293:Q1293"/>
    <mergeCell ref="R1293:S1293"/>
    <mergeCell ref="P1294:Q1294"/>
    <mergeCell ref="R1294:S1294"/>
    <mergeCell ref="P1289:Q1289"/>
    <mergeCell ref="R1289:S1289"/>
    <mergeCell ref="P1290:Q1290"/>
    <mergeCell ref="R1290:S1290"/>
    <mergeCell ref="P1291:Q1291"/>
    <mergeCell ref="R1291:S1291"/>
    <mergeCell ref="P1286:Q1286"/>
    <mergeCell ref="R1286:S1286"/>
    <mergeCell ref="P1287:Q1287"/>
    <mergeCell ref="R1287:S1287"/>
    <mergeCell ref="P1288:Q1288"/>
    <mergeCell ref="R1288:S1288"/>
    <mergeCell ref="R1282:S1283"/>
    <mergeCell ref="T1282:V1282"/>
    <mergeCell ref="P1283:Q1283"/>
    <mergeCell ref="P1285:Q1285"/>
    <mergeCell ref="R1285:S1285"/>
    <mergeCell ref="K1282:K1283"/>
    <mergeCell ref="L1282:L1283"/>
    <mergeCell ref="M1282:M1283"/>
    <mergeCell ref="N1282:O1282"/>
    <mergeCell ref="P1282:Q1282"/>
    <mergeCell ref="B1281:D1281"/>
    <mergeCell ref="B1282:B1283"/>
    <mergeCell ref="H1282:H1283"/>
    <mergeCell ref="I1282:I1283"/>
    <mergeCell ref="J1282:J1283"/>
    <mergeCell ref="R1276:S1276"/>
    <mergeCell ref="H1277:I1277"/>
    <mergeCell ref="R1277:S1277"/>
    <mergeCell ref="C1278:E1278"/>
    <mergeCell ref="H1278:I1278"/>
    <mergeCell ref="O1278:S1278"/>
    <mergeCell ref="X1269:Z1269"/>
    <mergeCell ref="AA1269:AA1271"/>
    <mergeCell ref="AB1269:AB1271"/>
    <mergeCell ref="C1270:E1270"/>
    <mergeCell ref="G1270:G1271"/>
    <mergeCell ref="H1270:I1271"/>
    <mergeCell ref="J1270:K1270"/>
    <mergeCell ref="X1270:X1271"/>
    <mergeCell ref="Y1270:Z1271"/>
    <mergeCell ref="C1271:D1271"/>
    <mergeCell ref="B1268:V1268"/>
    <mergeCell ref="B1269:B1278"/>
    <mergeCell ref="C1269:M1269"/>
    <mergeCell ref="P1269:S1270"/>
    <mergeCell ref="T1269:U1271"/>
    <mergeCell ref="V1269:V1271"/>
    <mergeCell ref="H1272:I1272"/>
    <mergeCell ref="P1272:Q1274"/>
    <mergeCell ref="R1272:S1274"/>
    <mergeCell ref="T1272:V1273"/>
    <mergeCell ref="H1273:I1273"/>
    <mergeCell ref="H1274:I1274"/>
    <mergeCell ref="H1275:I1275"/>
    <mergeCell ref="O1275:O1276"/>
    <mergeCell ref="P1275:S1275"/>
    <mergeCell ref="H1276:I1276"/>
    <mergeCell ref="P1262:Q1262"/>
    <mergeCell ref="R1262:S1262"/>
    <mergeCell ref="P1263:Q1263"/>
    <mergeCell ref="R1263:S1263"/>
    <mergeCell ref="P1264:Q1264"/>
    <mergeCell ref="R1264:S1264"/>
    <mergeCell ref="P1259:Q1259"/>
    <mergeCell ref="R1259:S1259"/>
    <mergeCell ref="P1260:Q1260"/>
    <mergeCell ref="R1260:S1260"/>
    <mergeCell ref="P1261:Q1261"/>
    <mergeCell ref="R1261:S1261"/>
    <mergeCell ref="P1256:Q1256"/>
    <mergeCell ref="R1256:S1256"/>
    <mergeCell ref="P1257:Q1257"/>
    <mergeCell ref="R1257:S1257"/>
    <mergeCell ref="P1258:Q1258"/>
    <mergeCell ref="R1258:S1258"/>
    <mergeCell ref="R1252:S1253"/>
    <mergeCell ref="T1252:V1252"/>
    <mergeCell ref="P1253:Q1253"/>
    <mergeCell ref="P1255:Q1255"/>
    <mergeCell ref="R1255:S1255"/>
    <mergeCell ref="K1252:K1253"/>
    <mergeCell ref="L1252:L1253"/>
    <mergeCell ref="M1252:M1253"/>
    <mergeCell ref="N1252:O1252"/>
    <mergeCell ref="P1252:Q1252"/>
    <mergeCell ref="B1251:D1251"/>
    <mergeCell ref="B1252:B1253"/>
    <mergeCell ref="H1252:H1253"/>
    <mergeCell ref="I1252:I1253"/>
    <mergeCell ref="J1252:J1253"/>
    <mergeCell ref="R1246:S1246"/>
    <mergeCell ref="H1247:I1247"/>
    <mergeCell ref="R1247:S1247"/>
    <mergeCell ref="C1248:E1248"/>
    <mergeCell ref="H1248:I1248"/>
    <mergeCell ref="O1248:S1248"/>
    <mergeCell ref="X1239:Z1239"/>
    <mergeCell ref="AA1239:AA1241"/>
    <mergeCell ref="AB1239:AB1241"/>
    <mergeCell ref="C1240:E1240"/>
    <mergeCell ref="G1240:G1241"/>
    <mergeCell ref="H1240:I1241"/>
    <mergeCell ref="J1240:K1240"/>
    <mergeCell ref="X1240:X1241"/>
    <mergeCell ref="Y1240:Z1241"/>
    <mergeCell ref="C1241:D1241"/>
    <mergeCell ref="B1238:V1238"/>
    <mergeCell ref="B1239:B1248"/>
    <mergeCell ref="C1239:M1239"/>
    <mergeCell ref="P1239:S1240"/>
    <mergeCell ref="T1239:U1241"/>
    <mergeCell ref="V1239:V1241"/>
    <mergeCell ref="H1242:I1242"/>
    <mergeCell ref="P1242:Q1244"/>
    <mergeCell ref="R1242:S1244"/>
    <mergeCell ref="T1242:V1243"/>
    <mergeCell ref="H1243:I1243"/>
    <mergeCell ref="H1244:I1244"/>
    <mergeCell ref="H1245:I1245"/>
    <mergeCell ref="O1245:O1246"/>
    <mergeCell ref="P1245:S1245"/>
    <mergeCell ref="H1246:I1246"/>
    <mergeCell ref="P1232:Q1232"/>
    <mergeCell ref="R1232:S1232"/>
    <mergeCell ref="P1233:Q1233"/>
    <mergeCell ref="R1233:S1233"/>
    <mergeCell ref="P1234:Q1234"/>
    <mergeCell ref="R1234:S1234"/>
    <mergeCell ref="P1229:Q1229"/>
    <mergeCell ref="R1229:S1229"/>
    <mergeCell ref="P1230:Q1230"/>
    <mergeCell ref="R1230:S1230"/>
    <mergeCell ref="P1231:Q1231"/>
    <mergeCell ref="R1231:S1231"/>
    <mergeCell ref="P1226:Q1226"/>
    <mergeCell ref="R1226:S1226"/>
    <mergeCell ref="P1227:Q1227"/>
    <mergeCell ref="R1227:S1227"/>
    <mergeCell ref="P1228:Q1228"/>
    <mergeCell ref="R1228:S1228"/>
    <mergeCell ref="R1222:S1223"/>
    <mergeCell ref="T1222:V1222"/>
    <mergeCell ref="P1223:Q1223"/>
    <mergeCell ref="P1225:Q1225"/>
    <mergeCell ref="R1225:S1225"/>
    <mergeCell ref="K1222:K1223"/>
    <mergeCell ref="L1222:L1223"/>
    <mergeCell ref="M1222:M1223"/>
    <mergeCell ref="N1222:O1222"/>
    <mergeCell ref="P1222:Q1222"/>
    <mergeCell ref="B1221:D1221"/>
    <mergeCell ref="B1222:B1223"/>
    <mergeCell ref="H1222:H1223"/>
    <mergeCell ref="I1222:I1223"/>
    <mergeCell ref="J1222:J1223"/>
    <mergeCell ref="R1216:S1216"/>
    <mergeCell ref="H1217:I1217"/>
    <mergeCell ref="R1217:S1217"/>
    <mergeCell ref="C1218:E1218"/>
    <mergeCell ref="H1218:I1218"/>
    <mergeCell ref="O1218:S1218"/>
    <mergeCell ref="X1209:Z1209"/>
    <mergeCell ref="AA1209:AA1211"/>
    <mergeCell ref="AB1209:AB1211"/>
    <mergeCell ref="C1210:E1210"/>
    <mergeCell ref="G1210:G1211"/>
    <mergeCell ref="H1210:I1211"/>
    <mergeCell ref="J1210:K1210"/>
    <mergeCell ref="X1210:X1211"/>
    <mergeCell ref="Y1210:Z1211"/>
    <mergeCell ref="C1211:D1211"/>
    <mergeCell ref="B1208:V1208"/>
    <mergeCell ref="B1209:B1218"/>
    <mergeCell ref="C1209:M1209"/>
    <mergeCell ref="P1209:S1210"/>
    <mergeCell ref="T1209:U1211"/>
    <mergeCell ref="V1209:V1211"/>
    <mergeCell ref="H1212:I1212"/>
    <mergeCell ref="P1212:Q1214"/>
    <mergeCell ref="R1212:S1214"/>
    <mergeCell ref="T1212:V1213"/>
    <mergeCell ref="H1213:I1213"/>
    <mergeCell ref="H1214:I1214"/>
    <mergeCell ref="H1215:I1215"/>
    <mergeCell ref="O1215:O1216"/>
    <mergeCell ref="P1215:S1215"/>
    <mergeCell ref="H1216:I1216"/>
    <mergeCell ref="P1202:Q1202"/>
    <mergeCell ref="R1202:S1202"/>
    <mergeCell ref="P1203:Q1203"/>
    <mergeCell ref="R1203:S1203"/>
    <mergeCell ref="P1204:Q1204"/>
    <mergeCell ref="R1204:S1204"/>
    <mergeCell ref="P1199:Q1199"/>
    <mergeCell ref="R1199:S1199"/>
    <mergeCell ref="P1200:Q1200"/>
    <mergeCell ref="R1200:S1200"/>
    <mergeCell ref="P1201:Q1201"/>
    <mergeCell ref="R1201:S1201"/>
    <mergeCell ref="P1196:Q1196"/>
    <mergeCell ref="R1196:S1196"/>
    <mergeCell ref="P1197:Q1197"/>
    <mergeCell ref="R1197:S1197"/>
    <mergeCell ref="P1198:Q1198"/>
    <mergeCell ref="R1198:S1198"/>
    <mergeCell ref="R1192:S1193"/>
    <mergeCell ref="T1192:V1192"/>
    <mergeCell ref="P1193:Q1193"/>
    <mergeCell ref="P1195:Q1195"/>
    <mergeCell ref="R1195:S1195"/>
    <mergeCell ref="K1192:K1193"/>
    <mergeCell ref="L1192:L1193"/>
    <mergeCell ref="M1192:M1193"/>
    <mergeCell ref="N1192:O1192"/>
    <mergeCell ref="P1192:Q1192"/>
    <mergeCell ref="B1191:D1191"/>
    <mergeCell ref="B1192:B1193"/>
    <mergeCell ref="H1192:H1193"/>
    <mergeCell ref="I1192:I1193"/>
    <mergeCell ref="J1192:J1193"/>
    <mergeCell ref="R1186:S1186"/>
    <mergeCell ref="H1187:I1187"/>
    <mergeCell ref="R1187:S1187"/>
    <mergeCell ref="C1188:E1188"/>
    <mergeCell ref="H1188:I1188"/>
    <mergeCell ref="O1188:S1188"/>
    <mergeCell ref="X1179:Z1179"/>
    <mergeCell ref="AA1179:AA1181"/>
    <mergeCell ref="AB1179:AB1181"/>
    <mergeCell ref="C1180:E1180"/>
    <mergeCell ref="G1180:G1181"/>
    <mergeCell ref="H1180:I1181"/>
    <mergeCell ref="J1180:K1180"/>
    <mergeCell ref="X1180:X1181"/>
    <mergeCell ref="Y1180:Z1181"/>
    <mergeCell ref="C1181:D1181"/>
    <mergeCell ref="B1178:V1178"/>
    <mergeCell ref="B1179:B1188"/>
    <mergeCell ref="C1179:M1179"/>
    <mergeCell ref="P1179:S1180"/>
    <mergeCell ref="T1179:U1181"/>
    <mergeCell ref="V1179:V1181"/>
    <mergeCell ref="H1182:I1182"/>
    <mergeCell ref="P1182:Q1184"/>
    <mergeCell ref="R1182:S1184"/>
    <mergeCell ref="T1182:V1183"/>
    <mergeCell ref="H1183:I1183"/>
    <mergeCell ref="H1184:I1184"/>
    <mergeCell ref="H1185:I1185"/>
    <mergeCell ref="O1185:O1186"/>
    <mergeCell ref="P1185:S1185"/>
    <mergeCell ref="H1186:I1186"/>
    <mergeCell ref="P1172:Q1172"/>
    <mergeCell ref="R1172:S1172"/>
    <mergeCell ref="P1173:Q1173"/>
    <mergeCell ref="R1173:S1173"/>
    <mergeCell ref="P1174:Q1174"/>
    <mergeCell ref="R1174:S1174"/>
    <mergeCell ref="P1169:Q1169"/>
    <mergeCell ref="R1169:S1169"/>
    <mergeCell ref="P1170:Q1170"/>
    <mergeCell ref="R1170:S1170"/>
    <mergeCell ref="P1171:Q1171"/>
    <mergeCell ref="R1171:S1171"/>
    <mergeCell ref="P1166:Q1166"/>
    <mergeCell ref="R1166:S1166"/>
    <mergeCell ref="P1167:Q1167"/>
    <mergeCell ref="R1167:S1167"/>
    <mergeCell ref="P1168:Q1168"/>
    <mergeCell ref="R1168:S1168"/>
    <mergeCell ref="R1162:S1163"/>
    <mergeCell ref="T1162:V1162"/>
    <mergeCell ref="P1163:Q1163"/>
    <mergeCell ref="P1165:Q1165"/>
    <mergeCell ref="R1165:S1165"/>
    <mergeCell ref="K1162:K1163"/>
    <mergeCell ref="L1162:L1163"/>
    <mergeCell ref="M1162:M1163"/>
    <mergeCell ref="N1162:O1162"/>
    <mergeCell ref="P1162:Q1162"/>
    <mergeCell ref="B1161:D1161"/>
    <mergeCell ref="B1162:B1163"/>
    <mergeCell ref="H1162:H1163"/>
    <mergeCell ref="I1162:I1163"/>
    <mergeCell ref="J1162:J1163"/>
    <mergeCell ref="R1156:S1156"/>
    <mergeCell ref="H1157:I1157"/>
    <mergeCell ref="R1157:S1157"/>
    <mergeCell ref="C1158:E1158"/>
    <mergeCell ref="H1158:I1158"/>
    <mergeCell ref="O1158:S1158"/>
    <mergeCell ref="X1149:Z1149"/>
    <mergeCell ref="AA1149:AA1151"/>
    <mergeCell ref="AB1149:AB1151"/>
    <mergeCell ref="C1150:E1150"/>
    <mergeCell ref="G1150:G1151"/>
    <mergeCell ref="H1150:I1151"/>
    <mergeCell ref="J1150:K1150"/>
    <mergeCell ref="X1150:X1151"/>
    <mergeCell ref="Y1150:Z1151"/>
    <mergeCell ref="C1151:D1151"/>
    <mergeCell ref="B1148:V1148"/>
    <mergeCell ref="B1149:B1158"/>
    <mergeCell ref="C1149:M1149"/>
    <mergeCell ref="P1149:S1150"/>
    <mergeCell ref="T1149:U1151"/>
    <mergeCell ref="V1149:V1151"/>
    <mergeCell ref="H1152:I1152"/>
    <mergeCell ref="P1152:Q1154"/>
    <mergeCell ref="R1152:S1154"/>
    <mergeCell ref="T1152:V1153"/>
    <mergeCell ref="H1153:I1153"/>
    <mergeCell ref="H1154:I1154"/>
    <mergeCell ref="H1155:I1155"/>
    <mergeCell ref="O1155:O1156"/>
    <mergeCell ref="P1155:S1155"/>
    <mergeCell ref="H1156:I1156"/>
    <mergeCell ref="P1142:Q1142"/>
    <mergeCell ref="R1142:S1142"/>
    <mergeCell ref="P1143:Q1143"/>
    <mergeCell ref="R1143:S1143"/>
    <mergeCell ref="P1144:Q1144"/>
    <mergeCell ref="R1144:S1144"/>
    <mergeCell ref="P1139:Q1139"/>
    <mergeCell ref="R1139:S1139"/>
    <mergeCell ref="P1140:Q1140"/>
    <mergeCell ref="R1140:S1140"/>
    <mergeCell ref="P1141:Q1141"/>
    <mergeCell ref="R1141:S1141"/>
    <mergeCell ref="P1136:Q1136"/>
    <mergeCell ref="R1136:S1136"/>
    <mergeCell ref="P1137:Q1137"/>
    <mergeCell ref="R1137:S1137"/>
    <mergeCell ref="P1138:Q1138"/>
    <mergeCell ref="R1138:S1138"/>
    <mergeCell ref="R1132:S1133"/>
    <mergeCell ref="T1132:V1132"/>
    <mergeCell ref="P1133:Q1133"/>
    <mergeCell ref="P1135:Q1135"/>
    <mergeCell ref="R1135:S1135"/>
    <mergeCell ref="K1132:K1133"/>
    <mergeCell ref="L1132:L1133"/>
    <mergeCell ref="M1132:M1133"/>
    <mergeCell ref="N1132:O1132"/>
    <mergeCell ref="P1132:Q1132"/>
    <mergeCell ref="B1131:D1131"/>
    <mergeCell ref="B1132:B1133"/>
    <mergeCell ref="H1132:H1133"/>
    <mergeCell ref="I1132:I1133"/>
    <mergeCell ref="J1132:J1133"/>
    <mergeCell ref="R1126:S1126"/>
    <mergeCell ref="H1127:I1127"/>
    <mergeCell ref="R1127:S1127"/>
    <mergeCell ref="C1128:E1128"/>
    <mergeCell ref="H1128:I1128"/>
    <mergeCell ref="O1128:S1128"/>
    <mergeCell ref="X1119:Z1119"/>
    <mergeCell ref="AA1119:AA1121"/>
    <mergeCell ref="AB1119:AB1121"/>
    <mergeCell ref="C1120:E1120"/>
    <mergeCell ref="G1120:G1121"/>
    <mergeCell ref="H1120:I1121"/>
    <mergeCell ref="J1120:K1120"/>
    <mergeCell ref="X1120:X1121"/>
    <mergeCell ref="Y1120:Z1121"/>
    <mergeCell ref="C1121:D1121"/>
    <mergeCell ref="B1118:V1118"/>
    <mergeCell ref="B1119:B1128"/>
    <mergeCell ref="C1119:M1119"/>
    <mergeCell ref="P1119:S1120"/>
    <mergeCell ref="T1119:U1121"/>
    <mergeCell ref="V1119:V1121"/>
    <mergeCell ref="H1122:I1122"/>
    <mergeCell ref="P1122:Q1124"/>
    <mergeCell ref="R1122:S1124"/>
    <mergeCell ref="T1122:V1123"/>
    <mergeCell ref="H1123:I1123"/>
    <mergeCell ref="H1124:I1124"/>
    <mergeCell ref="H1125:I1125"/>
    <mergeCell ref="O1125:O1126"/>
    <mergeCell ref="P1125:S1125"/>
    <mergeCell ref="H1126:I1126"/>
    <mergeCell ref="P1112:Q1112"/>
    <mergeCell ref="R1112:S1112"/>
    <mergeCell ref="P1113:Q1113"/>
    <mergeCell ref="R1113:S1113"/>
    <mergeCell ref="P1114:Q1114"/>
    <mergeCell ref="R1114:S1114"/>
    <mergeCell ref="P1109:Q1109"/>
    <mergeCell ref="R1109:S1109"/>
    <mergeCell ref="P1110:Q1110"/>
    <mergeCell ref="R1110:S1110"/>
    <mergeCell ref="P1111:Q1111"/>
    <mergeCell ref="R1111:S1111"/>
    <mergeCell ref="P1106:Q1106"/>
    <mergeCell ref="R1106:S1106"/>
    <mergeCell ref="P1107:Q1107"/>
    <mergeCell ref="R1107:S1107"/>
    <mergeCell ref="P1108:Q1108"/>
    <mergeCell ref="R1108:S1108"/>
    <mergeCell ref="R1102:S1103"/>
    <mergeCell ref="T1102:V1102"/>
    <mergeCell ref="P1103:Q1103"/>
    <mergeCell ref="P1105:Q1105"/>
    <mergeCell ref="R1105:S1105"/>
    <mergeCell ref="K1102:K1103"/>
    <mergeCell ref="L1102:L1103"/>
    <mergeCell ref="M1102:M1103"/>
    <mergeCell ref="N1102:O1102"/>
    <mergeCell ref="P1102:Q1102"/>
    <mergeCell ref="B1101:D1101"/>
    <mergeCell ref="B1102:B1103"/>
    <mergeCell ref="H1102:H1103"/>
    <mergeCell ref="I1102:I1103"/>
    <mergeCell ref="J1102:J1103"/>
    <mergeCell ref="R1096:S1096"/>
    <mergeCell ref="H1097:I1097"/>
    <mergeCell ref="R1097:S1097"/>
    <mergeCell ref="C1098:E1098"/>
    <mergeCell ref="H1098:I1098"/>
    <mergeCell ref="O1098:S1098"/>
    <mergeCell ref="X1089:Z1089"/>
    <mergeCell ref="AA1089:AA1091"/>
    <mergeCell ref="AB1089:AB1091"/>
    <mergeCell ref="C1090:E1090"/>
    <mergeCell ref="G1090:G1091"/>
    <mergeCell ref="H1090:I1091"/>
    <mergeCell ref="J1090:K1090"/>
    <mergeCell ref="X1090:X1091"/>
    <mergeCell ref="Y1090:Z1091"/>
    <mergeCell ref="C1091:D1091"/>
    <mergeCell ref="B1088:V1088"/>
    <mergeCell ref="B1089:B1098"/>
    <mergeCell ref="C1089:M1089"/>
    <mergeCell ref="P1089:S1090"/>
    <mergeCell ref="T1089:U1091"/>
    <mergeCell ref="V1089:V1091"/>
    <mergeCell ref="H1092:I1092"/>
    <mergeCell ref="P1092:Q1094"/>
    <mergeCell ref="R1092:S1094"/>
    <mergeCell ref="T1092:V1093"/>
    <mergeCell ref="H1093:I1093"/>
    <mergeCell ref="H1094:I1094"/>
    <mergeCell ref="H1095:I1095"/>
    <mergeCell ref="O1095:O1096"/>
    <mergeCell ref="P1095:S1095"/>
    <mergeCell ref="H1096:I1096"/>
    <mergeCell ref="P1082:Q1082"/>
    <mergeCell ref="R1082:S1082"/>
    <mergeCell ref="P1083:Q1083"/>
    <mergeCell ref="R1083:S1083"/>
    <mergeCell ref="P1084:Q1084"/>
    <mergeCell ref="R1084:S1084"/>
    <mergeCell ref="P1079:Q1079"/>
    <mergeCell ref="R1079:S1079"/>
    <mergeCell ref="P1080:Q1080"/>
    <mergeCell ref="R1080:S1080"/>
    <mergeCell ref="P1081:Q1081"/>
    <mergeCell ref="R1081:S1081"/>
    <mergeCell ref="P1076:Q1076"/>
    <mergeCell ref="R1076:S1076"/>
    <mergeCell ref="P1077:Q1077"/>
    <mergeCell ref="R1077:S1077"/>
    <mergeCell ref="P1078:Q1078"/>
    <mergeCell ref="R1078:S1078"/>
    <mergeCell ref="R1072:S1073"/>
    <mergeCell ref="T1072:V1072"/>
    <mergeCell ref="P1073:Q1073"/>
    <mergeCell ref="P1075:Q1075"/>
    <mergeCell ref="R1075:S1075"/>
    <mergeCell ref="K1072:K1073"/>
    <mergeCell ref="L1072:L1073"/>
    <mergeCell ref="M1072:M1073"/>
    <mergeCell ref="N1072:O1072"/>
    <mergeCell ref="P1072:Q1072"/>
    <mergeCell ref="B1071:D1071"/>
    <mergeCell ref="B1072:B1073"/>
    <mergeCell ref="H1072:H1073"/>
    <mergeCell ref="I1072:I1073"/>
    <mergeCell ref="J1072:J1073"/>
    <mergeCell ref="R1066:S1066"/>
    <mergeCell ref="H1067:I1067"/>
    <mergeCell ref="R1067:S1067"/>
    <mergeCell ref="C1068:E1068"/>
    <mergeCell ref="H1068:I1068"/>
    <mergeCell ref="O1068:S1068"/>
    <mergeCell ref="X1059:Z1059"/>
    <mergeCell ref="AA1059:AA1061"/>
    <mergeCell ref="AB1059:AB1061"/>
    <mergeCell ref="C1060:E1060"/>
    <mergeCell ref="G1060:G1061"/>
    <mergeCell ref="H1060:I1061"/>
    <mergeCell ref="J1060:K1060"/>
    <mergeCell ref="X1060:X1061"/>
    <mergeCell ref="Y1060:Z1061"/>
    <mergeCell ref="C1061:D1061"/>
    <mergeCell ref="B1058:V1058"/>
    <mergeCell ref="B1059:B1068"/>
    <mergeCell ref="C1059:M1059"/>
    <mergeCell ref="P1059:S1060"/>
    <mergeCell ref="T1059:U1061"/>
    <mergeCell ref="V1059:V1061"/>
    <mergeCell ref="H1062:I1062"/>
    <mergeCell ref="P1062:Q1064"/>
    <mergeCell ref="R1062:S1064"/>
    <mergeCell ref="T1062:V1063"/>
    <mergeCell ref="H1063:I1063"/>
    <mergeCell ref="H1064:I1064"/>
    <mergeCell ref="H1065:I1065"/>
    <mergeCell ref="O1065:O1066"/>
    <mergeCell ref="P1065:S1065"/>
    <mergeCell ref="H1066:I1066"/>
    <mergeCell ref="P1052:Q1052"/>
    <mergeCell ref="R1052:S1052"/>
    <mergeCell ref="P1053:Q1053"/>
    <mergeCell ref="R1053:S1053"/>
    <mergeCell ref="P1054:Q1054"/>
    <mergeCell ref="R1054:S1054"/>
    <mergeCell ref="P1049:Q1049"/>
    <mergeCell ref="R1049:S1049"/>
    <mergeCell ref="P1050:Q1050"/>
    <mergeCell ref="R1050:S1050"/>
    <mergeCell ref="P1051:Q1051"/>
    <mergeCell ref="R1051:S1051"/>
    <mergeCell ref="P1046:Q1046"/>
    <mergeCell ref="R1046:S1046"/>
    <mergeCell ref="P1047:Q1047"/>
    <mergeCell ref="R1047:S1047"/>
    <mergeCell ref="P1048:Q1048"/>
    <mergeCell ref="R1048:S1048"/>
    <mergeCell ref="R1042:S1043"/>
    <mergeCell ref="T1042:V1042"/>
    <mergeCell ref="P1043:Q1043"/>
    <mergeCell ref="P1045:Q1045"/>
    <mergeCell ref="R1045:S1045"/>
    <mergeCell ref="K1042:K1043"/>
    <mergeCell ref="L1042:L1043"/>
    <mergeCell ref="M1042:M1043"/>
    <mergeCell ref="N1042:O1042"/>
    <mergeCell ref="P1042:Q1042"/>
    <mergeCell ref="B1041:D1041"/>
    <mergeCell ref="B1042:B1043"/>
    <mergeCell ref="H1042:H1043"/>
    <mergeCell ref="I1042:I1043"/>
    <mergeCell ref="J1042:J1043"/>
    <mergeCell ref="R1036:S1036"/>
    <mergeCell ref="H1037:I1037"/>
    <mergeCell ref="R1037:S1037"/>
    <mergeCell ref="C1038:E1038"/>
    <mergeCell ref="H1038:I1038"/>
    <mergeCell ref="O1038:S1038"/>
    <mergeCell ref="X1029:Z1029"/>
    <mergeCell ref="AA1029:AA1031"/>
    <mergeCell ref="AB1029:AB1031"/>
    <mergeCell ref="C1030:E1030"/>
    <mergeCell ref="G1030:G1031"/>
    <mergeCell ref="H1030:I1031"/>
    <mergeCell ref="J1030:K1030"/>
    <mergeCell ref="X1030:X1031"/>
    <mergeCell ref="Y1030:Z1031"/>
    <mergeCell ref="C1031:D1031"/>
    <mergeCell ref="B1028:V1028"/>
    <mergeCell ref="B1029:B1038"/>
    <mergeCell ref="C1029:M1029"/>
    <mergeCell ref="P1029:S1030"/>
    <mergeCell ref="T1029:U1031"/>
    <mergeCell ref="V1029:V1031"/>
    <mergeCell ref="H1032:I1032"/>
    <mergeCell ref="P1032:Q1034"/>
    <mergeCell ref="R1032:S1034"/>
    <mergeCell ref="T1032:V1033"/>
    <mergeCell ref="H1033:I1033"/>
    <mergeCell ref="H1034:I1034"/>
    <mergeCell ref="H1035:I1035"/>
    <mergeCell ref="O1035:O1036"/>
    <mergeCell ref="P1035:S1035"/>
    <mergeCell ref="H1036:I1036"/>
    <mergeCell ref="P1022:Q1022"/>
    <mergeCell ref="R1022:S1022"/>
    <mergeCell ref="P1023:Q1023"/>
    <mergeCell ref="R1023:S1023"/>
    <mergeCell ref="P1024:Q1024"/>
    <mergeCell ref="R1024:S1024"/>
    <mergeCell ref="P1019:Q1019"/>
    <mergeCell ref="R1019:S1019"/>
    <mergeCell ref="P1020:Q1020"/>
    <mergeCell ref="R1020:S1020"/>
    <mergeCell ref="P1021:Q1021"/>
    <mergeCell ref="R1021:S1021"/>
    <mergeCell ref="P1016:Q1016"/>
    <mergeCell ref="R1016:S1016"/>
    <mergeCell ref="P1017:Q1017"/>
    <mergeCell ref="R1017:S1017"/>
    <mergeCell ref="P1018:Q1018"/>
    <mergeCell ref="R1018:S1018"/>
    <mergeCell ref="R1012:S1013"/>
    <mergeCell ref="T1012:V1012"/>
    <mergeCell ref="P1013:Q1013"/>
    <mergeCell ref="P1015:Q1015"/>
    <mergeCell ref="R1015:S1015"/>
    <mergeCell ref="K1012:K1013"/>
    <mergeCell ref="L1012:L1013"/>
    <mergeCell ref="M1012:M1013"/>
    <mergeCell ref="N1012:O1012"/>
    <mergeCell ref="P1012:Q1012"/>
    <mergeCell ref="B1011:D1011"/>
    <mergeCell ref="B1012:B1013"/>
    <mergeCell ref="H1012:H1013"/>
    <mergeCell ref="I1012:I1013"/>
    <mergeCell ref="J1012:J1013"/>
    <mergeCell ref="R1006:S1006"/>
    <mergeCell ref="H1007:I1007"/>
    <mergeCell ref="R1007:S1007"/>
    <mergeCell ref="C1008:E1008"/>
    <mergeCell ref="H1008:I1008"/>
    <mergeCell ref="O1008:S1008"/>
    <mergeCell ref="X999:Z999"/>
    <mergeCell ref="AA999:AA1001"/>
    <mergeCell ref="AB999:AB1001"/>
    <mergeCell ref="C1000:E1000"/>
    <mergeCell ref="G1000:G1001"/>
    <mergeCell ref="H1000:I1001"/>
    <mergeCell ref="J1000:K1000"/>
    <mergeCell ref="X1000:X1001"/>
    <mergeCell ref="Y1000:Z1001"/>
    <mergeCell ref="C1001:D1001"/>
    <mergeCell ref="B998:V998"/>
    <mergeCell ref="B999:B1008"/>
    <mergeCell ref="C999:M999"/>
    <mergeCell ref="P999:S1000"/>
    <mergeCell ref="T999:U1001"/>
    <mergeCell ref="V999:V1001"/>
    <mergeCell ref="H1002:I1002"/>
    <mergeCell ref="P1002:Q1004"/>
    <mergeCell ref="R1002:S1004"/>
    <mergeCell ref="T1002:V1003"/>
    <mergeCell ref="H1003:I1003"/>
    <mergeCell ref="H1004:I1004"/>
    <mergeCell ref="H1005:I1005"/>
    <mergeCell ref="O1005:O1006"/>
    <mergeCell ref="P1005:S1005"/>
    <mergeCell ref="H1006:I1006"/>
    <mergeCell ref="P992:Q992"/>
    <mergeCell ref="R992:S992"/>
    <mergeCell ref="P993:Q993"/>
    <mergeCell ref="R993:S993"/>
    <mergeCell ref="P994:Q994"/>
    <mergeCell ref="R994:S994"/>
    <mergeCell ref="P989:Q989"/>
    <mergeCell ref="R989:S989"/>
    <mergeCell ref="P990:Q990"/>
    <mergeCell ref="R990:S990"/>
    <mergeCell ref="P991:Q991"/>
    <mergeCell ref="R991:S991"/>
    <mergeCell ref="P986:Q986"/>
    <mergeCell ref="R986:S986"/>
    <mergeCell ref="P987:Q987"/>
    <mergeCell ref="R987:S987"/>
    <mergeCell ref="P988:Q988"/>
    <mergeCell ref="R988:S988"/>
    <mergeCell ref="R982:S983"/>
    <mergeCell ref="T982:V982"/>
    <mergeCell ref="P983:Q983"/>
    <mergeCell ref="P985:Q985"/>
    <mergeCell ref="R985:S985"/>
    <mergeCell ref="K982:K983"/>
    <mergeCell ref="L982:L983"/>
    <mergeCell ref="M982:M983"/>
    <mergeCell ref="N982:O982"/>
    <mergeCell ref="P982:Q982"/>
    <mergeCell ref="B981:D981"/>
    <mergeCell ref="B982:B983"/>
    <mergeCell ref="H982:H983"/>
    <mergeCell ref="I982:I983"/>
    <mergeCell ref="J982:J983"/>
    <mergeCell ref="R976:S976"/>
    <mergeCell ref="H977:I977"/>
    <mergeCell ref="R977:S977"/>
    <mergeCell ref="C978:E978"/>
    <mergeCell ref="H978:I978"/>
    <mergeCell ref="O978:S978"/>
    <mergeCell ref="X969:Z969"/>
    <mergeCell ref="AA969:AA971"/>
    <mergeCell ref="AB969:AB971"/>
    <mergeCell ref="C970:E970"/>
    <mergeCell ref="G970:G971"/>
    <mergeCell ref="H970:I971"/>
    <mergeCell ref="J970:K970"/>
    <mergeCell ref="X970:X971"/>
    <mergeCell ref="Y970:Z971"/>
    <mergeCell ref="C971:D971"/>
    <mergeCell ref="B968:V968"/>
    <mergeCell ref="B969:B978"/>
    <mergeCell ref="C969:M969"/>
    <mergeCell ref="P969:S970"/>
    <mergeCell ref="T969:U971"/>
    <mergeCell ref="V969:V971"/>
    <mergeCell ref="H972:I972"/>
    <mergeCell ref="P972:Q974"/>
    <mergeCell ref="R972:S974"/>
    <mergeCell ref="T972:V973"/>
    <mergeCell ref="H973:I973"/>
    <mergeCell ref="H974:I974"/>
    <mergeCell ref="H975:I975"/>
    <mergeCell ref="O975:O976"/>
    <mergeCell ref="P975:S975"/>
    <mergeCell ref="H976:I976"/>
    <mergeCell ref="P962:Q962"/>
    <mergeCell ref="R962:S962"/>
    <mergeCell ref="P963:Q963"/>
    <mergeCell ref="R963:S963"/>
    <mergeCell ref="P964:Q964"/>
    <mergeCell ref="R964:S964"/>
    <mergeCell ref="P959:Q959"/>
    <mergeCell ref="R959:S959"/>
    <mergeCell ref="P960:Q960"/>
    <mergeCell ref="R960:S960"/>
    <mergeCell ref="P961:Q961"/>
    <mergeCell ref="R961:S961"/>
    <mergeCell ref="P956:Q956"/>
    <mergeCell ref="R956:S956"/>
    <mergeCell ref="P957:Q957"/>
    <mergeCell ref="R957:S957"/>
    <mergeCell ref="P958:Q958"/>
    <mergeCell ref="R958:S958"/>
    <mergeCell ref="R952:S953"/>
    <mergeCell ref="T952:V952"/>
    <mergeCell ref="P953:Q953"/>
    <mergeCell ref="P955:Q955"/>
    <mergeCell ref="R955:S955"/>
    <mergeCell ref="K952:K953"/>
    <mergeCell ref="L952:L953"/>
    <mergeCell ref="M952:M953"/>
    <mergeCell ref="N952:O952"/>
    <mergeCell ref="P952:Q952"/>
    <mergeCell ref="B951:D951"/>
    <mergeCell ref="B952:B953"/>
    <mergeCell ref="H952:H953"/>
    <mergeCell ref="I952:I953"/>
    <mergeCell ref="J952:J953"/>
    <mergeCell ref="R946:S946"/>
    <mergeCell ref="H947:I947"/>
    <mergeCell ref="R947:S947"/>
    <mergeCell ref="C948:E948"/>
    <mergeCell ref="H948:I948"/>
    <mergeCell ref="O948:S948"/>
    <mergeCell ref="X939:Z939"/>
    <mergeCell ref="AA939:AA941"/>
    <mergeCell ref="AB939:AB941"/>
    <mergeCell ref="C940:E940"/>
    <mergeCell ref="G940:G941"/>
    <mergeCell ref="H940:I941"/>
    <mergeCell ref="J940:K940"/>
    <mergeCell ref="X940:X941"/>
    <mergeCell ref="Y940:Z941"/>
    <mergeCell ref="C941:D941"/>
    <mergeCell ref="B938:V938"/>
    <mergeCell ref="B939:B948"/>
    <mergeCell ref="C939:M939"/>
    <mergeCell ref="P939:S940"/>
    <mergeCell ref="T939:U941"/>
    <mergeCell ref="V939:V941"/>
    <mergeCell ref="H942:I942"/>
    <mergeCell ref="P942:Q944"/>
    <mergeCell ref="R942:S944"/>
    <mergeCell ref="T942:V943"/>
    <mergeCell ref="H943:I943"/>
    <mergeCell ref="H944:I944"/>
    <mergeCell ref="H945:I945"/>
    <mergeCell ref="O945:O946"/>
    <mergeCell ref="P945:S945"/>
    <mergeCell ref="H946:I946"/>
    <mergeCell ref="P932:Q932"/>
    <mergeCell ref="R932:S932"/>
    <mergeCell ref="P933:Q933"/>
    <mergeCell ref="R933:S933"/>
    <mergeCell ref="P934:Q934"/>
    <mergeCell ref="R934:S934"/>
    <mergeCell ref="P929:Q929"/>
    <mergeCell ref="R929:S929"/>
    <mergeCell ref="P930:Q930"/>
    <mergeCell ref="R930:S930"/>
    <mergeCell ref="P931:Q931"/>
    <mergeCell ref="R931:S931"/>
    <mergeCell ref="P926:Q926"/>
    <mergeCell ref="R926:S926"/>
    <mergeCell ref="P927:Q927"/>
    <mergeCell ref="R927:S927"/>
    <mergeCell ref="P928:Q928"/>
    <mergeCell ref="R928:S928"/>
    <mergeCell ref="R922:S923"/>
    <mergeCell ref="T922:V922"/>
    <mergeCell ref="P923:Q923"/>
    <mergeCell ref="P925:Q925"/>
    <mergeCell ref="R925:S925"/>
    <mergeCell ref="K922:K923"/>
    <mergeCell ref="L922:L923"/>
    <mergeCell ref="M922:M923"/>
    <mergeCell ref="N922:O922"/>
    <mergeCell ref="P922:Q922"/>
    <mergeCell ref="B921:D921"/>
    <mergeCell ref="B922:B923"/>
    <mergeCell ref="H922:H923"/>
    <mergeCell ref="I922:I923"/>
    <mergeCell ref="J922:J923"/>
    <mergeCell ref="R916:S916"/>
    <mergeCell ref="H917:I917"/>
    <mergeCell ref="R917:S917"/>
    <mergeCell ref="C918:E918"/>
    <mergeCell ref="H918:I918"/>
    <mergeCell ref="O918:S918"/>
    <mergeCell ref="X909:Z909"/>
    <mergeCell ref="AA909:AA911"/>
    <mergeCell ref="AB909:AB911"/>
    <mergeCell ref="C910:E910"/>
    <mergeCell ref="G910:G911"/>
    <mergeCell ref="H910:I911"/>
    <mergeCell ref="J910:K910"/>
    <mergeCell ref="X910:X911"/>
    <mergeCell ref="Y910:Z911"/>
    <mergeCell ref="C911:D911"/>
    <mergeCell ref="B908:V908"/>
    <mergeCell ref="B909:B918"/>
    <mergeCell ref="C909:M909"/>
    <mergeCell ref="P909:S910"/>
    <mergeCell ref="T909:U911"/>
    <mergeCell ref="V909:V911"/>
    <mergeCell ref="H912:I912"/>
    <mergeCell ref="P912:Q914"/>
    <mergeCell ref="R912:S914"/>
    <mergeCell ref="T912:V913"/>
    <mergeCell ref="H913:I913"/>
    <mergeCell ref="H914:I914"/>
    <mergeCell ref="H915:I915"/>
    <mergeCell ref="O915:O916"/>
    <mergeCell ref="P915:S915"/>
    <mergeCell ref="H916:I916"/>
    <mergeCell ref="P902:Q902"/>
    <mergeCell ref="R902:S902"/>
    <mergeCell ref="P903:Q903"/>
    <mergeCell ref="R903:S903"/>
    <mergeCell ref="P904:Q904"/>
    <mergeCell ref="R904:S904"/>
    <mergeCell ref="P899:Q899"/>
    <mergeCell ref="R899:S899"/>
    <mergeCell ref="P900:Q900"/>
    <mergeCell ref="R900:S900"/>
    <mergeCell ref="P901:Q901"/>
    <mergeCell ref="R901:S901"/>
    <mergeCell ref="P896:Q896"/>
    <mergeCell ref="R896:S896"/>
    <mergeCell ref="P897:Q897"/>
    <mergeCell ref="R897:S897"/>
    <mergeCell ref="P898:Q898"/>
    <mergeCell ref="R898:S898"/>
    <mergeCell ref="R891:S892"/>
    <mergeCell ref="T891:V891"/>
    <mergeCell ref="P892:Q892"/>
    <mergeCell ref="P894:Q894"/>
    <mergeCell ref="R894:S894"/>
    <mergeCell ref="K891:K892"/>
    <mergeCell ref="L891:L892"/>
    <mergeCell ref="M891:M892"/>
    <mergeCell ref="N891:O891"/>
    <mergeCell ref="P891:Q891"/>
    <mergeCell ref="B890:D890"/>
    <mergeCell ref="B891:B892"/>
    <mergeCell ref="H891:H892"/>
    <mergeCell ref="I891:I892"/>
    <mergeCell ref="J891:J892"/>
    <mergeCell ref="R885:S885"/>
    <mergeCell ref="H886:I886"/>
    <mergeCell ref="R886:S886"/>
    <mergeCell ref="C887:E887"/>
    <mergeCell ref="H887:I887"/>
    <mergeCell ref="O887:S887"/>
    <mergeCell ref="X878:Z878"/>
    <mergeCell ref="AA878:AA880"/>
    <mergeCell ref="AB878:AB880"/>
    <mergeCell ref="C879:E879"/>
    <mergeCell ref="G879:G880"/>
    <mergeCell ref="H879:I880"/>
    <mergeCell ref="J879:K879"/>
    <mergeCell ref="X879:X880"/>
    <mergeCell ref="Y879:Z880"/>
    <mergeCell ref="C880:D880"/>
    <mergeCell ref="B877:V877"/>
    <mergeCell ref="B878:B887"/>
    <mergeCell ref="C878:M878"/>
    <mergeCell ref="P878:S879"/>
    <mergeCell ref="T878:U880"/>
    <mergeCell ref="V878:V880"/>
    <mergeCell ref="H881:I881"/>
    <mergeCell ref="P881:Q883"/>
    <mergeCell ref="R881:S883"/>
    <mergeCell ref="T881:V882"/>
    <mergeCell ref="H882:I882"/>
    <mergeCell ref="H883:I883"/>
    <mergeCell ref="H884:I884"/>
    <mergeCell ref="O884:O885"/>
    <mergeCell ref="P884:S884"/>
    <mergeCell ref="H885:I885"/>
    <mergeCell ref="P871:Q871"/>
    <mergeCell ref="R871:S871"/>
    <mergeCell ref="P872:Q872"/>
    <mergeCell ref="R872:S872"/>
    <mergeCell ref="P873:Q873"/>
    <mergeCell ref="R873:S873"/>
    <mergeCell ref="P868:Q868"/>
    <mergeCell ref="R868:S868"/>
    <mergeCell ref="P869:Q869"/>
    <mergeCell ref="R869:S869"/>
    <mergeCell ref="P870:Q870"/>
    <mergeCell ref="R870:S870"/>
    <mergeCell ref="P865:Q865"/>
    <mergeCell ref="R865:S865"/>
    <mergeCell ref="P866:Q866"/>
    <mergeCell ref="R866:S866"/>
    <mergeCell ref="P867:Q867"/>
    <mergeCell ref="R867:S867"/>
    <mergeCell ref="R861:S862"/>
    <mergeCell ref="T861:V861"/>
    <mergeCell ref="P862:Q862"/>
    <mergeCell ref="P864:Q864"/>
    <mergeCell ref="R864:S864"/>
    <mergeCell ref="K861:K862"/>
    <mergeCell ref="L861:L862"/>
    <mergeCell ref="M861:M862"/>
    <mergeCell ref="N861:O861"/>
    <mergeCell ref="P861:Q861"/>
    <mergeCell ref="B860:D860"/>
    <mergeCell ref="B861:B862"/>
    <mergeCell ref="H861:H862"/>
    <mergeCell ref="I861:I862"/>
    <mergeCell ref="J861:J862"/>
    <mergeCell ref="R855:S855"/>
    <mergeCell ref="H856:I856"/>
    <mergeCell ref="R856:S856"/>
    <mergeCell ref="C857:E857"/>
    <mergeCell ref="H857:I857"/>
    <mergeCell ref="O857:S857"/>
    <mergeCell ref="X848:Z848"/>
    <mergeCell ref="AA848:AA850"/>
    <mergeCell ref="AB848:AB850"/>
    <mergeCell ref="C849:E849"/>
    <mergeCell ref="G849:G850"/>
    <mergeCell ref="H849:I850"/>
    <mergeCell ref="J849:K849"/>
    <mergeCell ref="X849:X850"/>
    <mergeCell ref="Y849:Z850"/>
    <mergeCell ref="C850:D850"/>
    <mergeCell ref="B847:V847"/>
    <mergeCell ref="B848:B857"/>
    <mergeCell ref="C848:M848"/>
    <mergeCell ref="P848:S849"/>
    <mergeCell ref="T848:U850"/>
    <mergeCell ref="V848:V850"/>
    <mergeCell ref="H851:I851"/>
    <mergeCell ref="P851:Q853"/>
    <mergeCell ref="R851:S853"/>
    <mergeCell ref="T851:V852"/>
    <mergeCell ref="H852:I852"/>
    <mergeCell ref="H853:I853"/>
    <mergeCell ref="H854:I854"/>
    <mergeCell ref="O854:O855"/>
    <mergeCell ref="P854:S854"/>
    <mergeCell ref="H855:I855"/>
    <mergeCell ref="T853:V856"/>
    <mergeCell ref="P841:Q841"/>
    <mergeCell ref="R841:S841"/>
    <mergeCell ref="P842:Q842"/>
    <mergeCell ref="R842:S842"/>
    <mergeCell ref="P843:Q843"/>
    <mergeCell ref="R843:S843"/>
    <mergeCell ref="P838:Q838"/>
    <mergeCell ref="R838:S838"/>
    <mergeCell ref="P839:Q839"/>
    <mergeCell ref="R839:S839"/>
    <mergeCell ref="P840:Q840"/>
    <mergeCell ref="R840:S840"/>
    <mergeCell ref="P835:Q835"/>
    <mergeCell ref="R835:S835"/>
    <mergeCell ref="P836:Q836"/>
    <mergeCell ref="R836:S836"/>
    <mergeCell ref="P837:Q837"/>
    <mergeCell ref="R837:S837"/>
    <mergeCell ref="R831:S832"/>
    <mergeCell ref="T831:V831"/>
    <mergeCell ref="P832:Q832"/>
    <mergeCell ref="P834:Q834"/>
    <mergeCell ref="R834:S834"/>
    <mergeCell ref="K831:K832"/>
    <mergeCell ref="L831:L832"/>
    <mergeCell ref="M831:M832"/>
    <mergeCell ref="N831:O831"/>
    <mergeCell ref="P831:Q831"/>
    <mergeCell ref="B830:D830"/>
    <mergeCell ref="B831:B832"/>
    <mergeCell ref="H831:H832"/>
    <mergeCell ref="I831:I832"/>
    <mergeCell ref="J831:J832"/>
    <mergeCell ref="R825:S825"/>
    <mergeCell ref="H826:I826"/>
    <mergeCell ref="R826:S826"/>
    <mergeCell ref="C827:E827"/>
    <mergeCell ref="H827:I827"/>
    <mergeCell ref="O827:S827"/>
    <mergeCell ref="X818:Z818"/>
    <mergeCell ref="AA818:AA820"/>
    <mergeCell ref="AB818:AB820"/>
    <mergeCell ref="C819:E819"/>
    <mergeCell ref="G819:G820"/>
    <mergeCell ref="H819:I820"/>
    <mergeCell ref="J819:K819"/>
    <mergeCell ref="X819:X820"/>
    <mergeCell ref="Y819:Z820"/>
    <mergeCell ref="C820:D820"/>
    <mergeCell ref="B817:V817"/>
    <mergeCell ref="B818:B827"/>
    <mergeCell ref="C818:M818"/>
    <mergeCell ref="P818:S819"/>
    <mergeCell ref="T818:U820"/>
    <mergeCell ref="V818:V820"/>
    <mergeCell ref="H821:I821"/>
    <mergeCell ref="P821:Q823"/>
    <mergeCell ref="R821:S823"/>
    <mergeCell ref="T821:V822"/>
    <mergeCell ref="H822:I822"/>
    <mergeCell ref="H823:I823"/>
    <mergeCell ref="H824:I824"/>
    <mergeCell ref="O824:O825"/>
    <mergeCell ref="P824:S824"/>
    <mergeCell ref="H825:I825"/>
    <mergeCell ref="P811:Q811"/>
    <mergeCell ref="R811:S811"/>
    <mergeCell ref="P812:Q812"/>
    <mergeCell ref="R812:S812"/>
    <mergeCell ref="P813:Q813"/>
    <mergeCell ref="R813:S813"/>
    <mergeCell ref="P808:Q808"/>
    <mergeCell ref="R808:S808"/>
    <mergeCell ref="P809:Q809"/>
    <mergeCell ref="R809:S809"/>
    <mergeCell ref="P810:Q810"/>
    <mergeCell ref="R810:S810"/>
    <mergeCell ref="P805:Q805"/>
    <mergeCell ref="R805:S805"/>
    <mergeCell ref="P806:Q806"/>
    <mergeCell ref="R806:S806"/>
    <mergeCell ref="P807:Q807"/>
    <mergeCell ref="R807:S807"/>
    <mergeCell ref="R801:S802"/>
    <mergeCell ref="T801:V801"/>
    <mergeCell ref="P802:Q802"/>
    <mergeCell ref="P804:Q804"/>
    <mergeCell ref="R804:S804"/>
    <mergeCell ref="K801:K802"/>
    <mergeCell ref="L801:L802"/>
    <mergeCell ref="M801:M802"/>
    <mergeCell ref="N801:O801"/>
    <mergeCell ref="P801:Q801"/>
    <mergeCell ref="B800:D800"/>
    <mergeCell ref="B801:B802"/>
    <mergeCell ref="H801:H802"/>
    <mergeCell ref="I801:I802"/>
    <mergeCell ref="J801:J802"/>
    <mergeCell ref="R795:S795"/>
    <mergeCell ref="H796:I796"/>
    <mergeCell ref="R796:S796"/>
    <mergeCell ref="C797:E797"/>
    <mergeCell ref="H797:I797"/>
    <mergeCell ref="O797:S797"/>
    <mergeCell ref="X788:Z788"/>
    <mergeCell ref="AA788:AA790"/>
    <mergeCell ref="AB788:AB790"/>
    <mergeCell ref="C789:E789"/>
    <mergeCell ref="G789:G790"/>
    <mergeCell ref="H789:I790"/>
    <mergeCell ref="J789:K789"/>
    <mergeCell ref="X789:X790"/>
    <mergeCell ref="Y789:Z790"/>
    <mergeCell ref="C790:D790"/>
    <mergeCell ref="B787:V787"/>
    <mergeCell ref="B788:B797"/>
    <mergeCell ref="C788:M788"/>
    <mergeCell ref="P788:S789"/>
    <mergeCell ref="T788:U790"/>
    <mergeCell ref="V788:V790"/>
    <mergeCell ref="H791:I791"/>
    <mergeCell ref="P791:Q793"/>
    <mergeCell ref="R791:S793"/>
    <mergeCell ref="T791:V792"/>
    <mergeCell ref="H792:I792"/>
    <mergeCell ref="H793:I793"/>
    <mergeCell ref="H794:I794"/>
    <mergeCell ref="O794:O795"/>
    <mergeCell ref="P794:S794"/>
    <mergeCell ref="H795:I795"/>
    <mergeCell ref="P781:Q781"/>
    <mergeCell ref="R781:S781"/>
    <mergeCell ref="P782:Q782"/>
    <mergeCell ref="R782:S782"/>
    <mergeCell ref="P783:Q783"/>
    <mergeCell ref="R783:S783"/>
    <mergeCell ref="P778:Q778"/>
    <mergeCell ref="R778:S778"/>
    <mergeCell ref="P779:Q779"/>
    <mergeCell ref="R779:S779"/>
    <mergeCell ref="P780:Q780"/>
    <mergeCell ref="R780:S780"/>
    <mergeCell ref="P775:Q775"/>
    <mergeCell ref="R775:S775"/>
    <mergeCell ref="P776:Q776"/>
    <mergeCell ref="R776:S776"/>
    <mergeCell ref="P777:Q777"/>
    <mergeCell ref="R777:S777"/>
    <mergeCell ref="R771:S772"/>
    <mergeCell ref="T771:V771"/>
    <mergeCell ref="P772:Q772"/>
    <mergeCell ref="P774:Q774"/>
    <mergeCell ref="R774:S774"/>
    <mergeCell ref="K771:K772"/>
    <mergeCell ref="L771:L772"/>
    <mergeCell ref="M771:M772"/>
    <mergeCell ref="N771:O771"/>
    <mergeCell ref="P771:Q771"/>
    <mergeCell ref="B770:D770"/>
    <mergeCell ref="B771:B772"/>
    <mergeCell ref="H771:H772"/>
    <mergeCell ref="I771:I772"/>
    <mergeCell ref="J771:J772"/>
    <mergeCell ref="R765:S765"/>
    <mergeCell ref="H766:I766"/>
    <mergeCell ref="R766:S766"/>
    <mergeCell ref="C767:E767"/>
    <mergeCell ref="H767:I767"/>
    <mergeCell ref="O767:S767"/>
    <mergeCell ref="X758:Z758"/>
    <mergeCell ref="AA758:AA760"/>
    <mergeCell ref="AB758:AB760"/>
    <mergeCell ref="C759:E759"/>
    <mergeCell ref="G759:G760"/>
    <mergeCell ref="H759:I760"/>
    <mergeCell ref="J759:K759"/>
    <mergeCell ref="X759:X760"/>
    <mergeCell ref="Y759:Z760"/>
    <mergeCell ref="C760:D760"/>
    <mergeCell ref="B757:V757"/>
    <mergeCell ref="B758:B767"/>
    <mergeCell ref="C758:M758"/>
    <mergeCell ref="P758:S759"/>
    <mergeCell ref="T758:U760"/>
    <mergeCell ref="V758:V760"/>
    <mergeCell ref="H761:I761"/>
    <mergeCell ref="P761:Q763"/>
    <mergeCell ref="R761:S763"/>
    <mergeCell ref="T761:V762"/>
    <mergeCell ref="H762:I762"/>
    <mergeCell ref="H763:I763"/>
    <mergeCell ref="H764:I764"/>
    <mergeCell ref="O764:O765"/>
    <mergeCell ref="P764:S764"/>
    <mergeCell ref="H765:I765"/>
    <mergeCell ref="P751:Q751"/>
    <mergeCell ref="R751:S751"/>
    <mergeCell ref="P752:Q752"/>
    <mergeCell ref="R752:S752"/>
    <mergeCell ref="P753:Q753"/>
    <mergeCell ref="R753:S753"/>
    <mergeCell ref="P748:Q748"/>
    <mergeCell ref="R748:S748"/>
    <mergeCell ref="P749:Q749"/>
    <mergeCell ref="R749:S749"/>
    <mergeCell ref="P750:Q750"/>
    <mergeCell ref="R750:S750"/>
    <mergeCell ref="P745:Q745"/>
    <mergeCell ref="R745:S745"/>
    <mergeCell ref="P746:Q746"/>
    <mergeCell ref="R746:S746"/>
    <mergeCell ref="P747:Q747"/>
    <mergeCell ref="R747:S747"/>
    <mergeCell ref="R741:S742"/>
    <mergeCell ref="T741:V741"/>
    <mergeCell ref="P742:Q742"/>
    <mergeCell ref="P744:Q744"/>
    <mergeCell ref="R744:S744"/>
    <mergeCell ref="K741:K742"/>
    <mergeCell ref="L741:L742"/>
    <mergeCell ref="M741:M742"/>
    <mergeCell ref="N741:O741"/>
    <mergeCell ref="P741:Q741"/>
    <mergeCell ref="B740:D740"/>
    <mergeCell ref="B741:B742"/>
    <mergeCell ref="H741:H742"/>
    <mergeCell ref="I741:I742"/>
    <mergeCell ref="J741:J742"/>
    <mergeCell ref="R735:S735"/>
    <mergeCell ref="H736:I736"/>
    <mergeCell ref="R736:S736"/>
    <mergeCell ref="C737:E737"/>
    <mergeCell ref="H737:I737"/>
    <mergeCell ref="O737:S737"/>
    <mergeCell ref="X728:Z728"/>
    <mergeCell ref="AA728:AA730"/>
    <mergeCell ref="AB728:AB730"/>
    <mergeCell ref="C729:E729"/>
    <mergeCell ref="G729:G730"/>
    <mergeCell ref="H729:I730"/>
    <mergeCell ref="J729:K729"/>
    <mergeCell ref="X729:X730"/>
    <mergeCell ref="Y729:Z730"/>
    <mergeCell ref="C730:D730"/>
    <mergeCell ref="B727:V727"/>
    <mergeCell ref="B728:B737"/>
    <mergeCell ref="C728:M728"/>
    <mergeCell ref="P728:S729"/>
    <mergeCell ref="T728:U730"/>
    <mergeCell ref="V728:V730"/>
    <mergeCell ref="H731:I731"/>
    <mergeCell ref="P731:Q733"/>
    <mergeCell ref="R731:S733"/>
    <mergeCell ref="T731:V732"/>
    <mergeCell ref="H732:I732"/>
    <mergeCell ref="H733:I733"/>
    <mergeCell ref="H734:I734"/>
    <mergeCell ref="O734:O735"/>
    <mergeCell ref="P734:S734"/>
    <mergeCell ref="H735:I735"/>
    <mergeCell ref="P721:Q721"/>
    <mergeCell ref="R721:S721"/>
    <mergeCell ref="P722:Q722"/>
    <mergeCell ref="R722:S722"/>
    <mergeCell ref="P723:Q723"/>
    <mergeCell ref="R723:S723"/>
    <mergeCell ref="P718:Q718"/>
    <mergeCell ref="R718:S718"/>
    <mergeCell ref="P719:Q719"/>
    <mergeCell ref="R719:S719"/>
    <mergeCell ref="P720:Q720"/>
    <mergeCell ref="R720:S720"/>
    <mergeCell ref="P715:Q715"/>
    <mergeCell ref="R715:S715"/>
    <mergeCell ref="P716:Q716"/>
    <mergeCell ref="R716:S716"/>
    <mergeCell ref="P717:Q717"/>
    <mergeCell ref="R717:S717"/>
    <mergeCell ref="R711:S712"/>
    <mergeCell ref="T711:V711"/>
    <mergeCell ref="P712:Q712"/>
    <mergeCell ref="P714:Q714"/>
    <mergeCell ref="R714:S714"/>
    <mergeCell ref="K711:K712"/>
    <mergeCell ref="L711:L712"/>
    <mergeCell ref="M711:M712"/>
    <mergeCell ref="N711:O711"/>
    <mergeCell ref="P711:Q711"/>
    <mergeCell ref="B710:D710"/>
    <mergeCell ref="B711:B712"/>
    <mergeCell ref="H711:H712"/>
    <mergeCell ref="I711:I712"/>
    <mergeCell ref="J711:J712"/>
    <mergeCell ref="R705:S705"/>
    <mergeCell ref="H706:I706"/>
    <mergeCell ref="R706:S706"/>
    <mergeCell ref="C707:E707"/>
    <mergeCell ref="H707:I707"/>
    <mergeCell ref="O707:S707"/>
    <mergeCell ref="X698:Z698"/>
    <mergeCell ref="AA698:AA700"/>
    <mergeCell ref="AB698:AB700"/>
    <mergeCell ref="C699:E699"/>
    <mergeCell ref="G699:G700"/>
    <mergeCell ref="H699:I700"/>
    <mergeCell ref="J699:K699"/>
    <mergeCell ref="X699:X700"/>
    <mergeCell ref="Y699:Z700"/>
    <mergeCell ref="C700:D700"/>
    <mergeCell ref="B697:V697"/>
    <mergeCell ref="B698:B707"/>
    <mergeCell ref="C698:M698"/>
    <mergeCell ref="P698:S699"/>
    <mergeCell ref="T698:U700"/>
    <mergeCell ref="V698:V700"/>
    <mergeCell ref="H701:I701"/>
    <mergeCell ref="P701:Q703"/>
    <mergeCell ref="R701:S703"/>
    <mergeCell ref="T701:V702"/>
    <mergeCell ref="H702:I702"/>
    <mergeCell ref="H703:I703"/>
    <mergeCell ref="H704:I704"/>
    <mergeCell ref="O704:O705"/>
    <mergeCell ref="P704:S704"/>
    <mergeCell ref="H705:I705"/>
    <mergeCell ref="P691:Q691"/>
    <mergeCell ref="R691:S691"/>
    <mergeCell ref="P692:Q692"/>
    <mergeCell ref="R692:S692"/>
    <mergeCell ref="P693:Q693"/>
    <mergeCell ref="R693:S693"/>
    <mergeCell ref="P688:Q688"/>
    <mergeCell ref="R688:S688"/>
    <mergeCell ref="P689:Q689"/>
    <mergeCell ref="R689:S689"/>
    <mergeCell ref="P690:Q690"/>
    <mergeCell ref="R690:S690"/>
    <mergeCell ref="P685:Q685"/>
    <mergeCell ref="R685:S685"/>
    <mergeCell ref="P686:Q686"/>
    <mergeCell ref="R686:S686"/>
    <mergeCell ref="P687:Q687"/>
    <mergeCell ref="R687:S687"/>
    <mergeCell ref="R681:S682"/>
    <mergeCell ref="T681:V681"/>
    <mergeCell ref="P682:Q682"/>
    <mergeCell ref="P684:Q684"/>
    <mergeCell ref="R684:S684"/>
    <mergeCell ref="K681:K682"/>
    <mergeCell ref="L681:L682"/>
    <mergeCell ref="M681:M682"/>
    <mergeCell ref="N681:O681"/>
    <mergeCell ref="P681:Q681"/>
    <mergeCell ref="B680:D680"/>
    <mergeCell ref="B681:B682"/>
    <mergeCell ref="H681:H682"/>
    <mergeCell ref="I681:I682"/>
    <mergeCell ref="J681:J682"/>
    <mergeCell ref="R675:S675"/>
    <mergeCell ref="H676:I676"/>
    <mergeCell ref="R676:S676"/>
    <mergeCell ref="C677:E677"/>
    <mergeCell ref="H677:I677"/>
    <mergeCell ref="O677:S677"/>
    <mergeCell ref="X668:Z668"/>
    <mergeCell ref="AA668:AA670"/>
    <mergeCell ref="AB668:AB670"/>
    <mergeCell ref="C669:E669"/>
    <mergeCell ref="G669:G670"/>
    <mergeCell ref="H669:I670"/>
    <mergeCell ref="J669:K669"/>
    <mergeCell ref="X669:X670"/>
    <mergeCell ref="Y669:Z670"/>
    <mergeCell ref="C670:D670"/>
    <mergeCell ref="B667:V667"/>
    <mergeCell ref="B668:B677"/>
    <mergeCell ref="C668:M668"/>
    <mergeCell ref="P668:S669"/>
    <mergeCell ref="T668:U670"/>
    <mergeCell ref="V668:V670"/>
    <mergeCell ref="H671:I671"/>
    <mergeCell ref="P671:Q673"/>
    <mergeCell ref="R671:S673"/>
    <mergeCell ref="T671:V672"/>
    <mergeCell ref="H672:I672"/>
    <mergeCell ref="H673:I673"/>
    <mergeCell ref="H674:I674"/>
    <mergeCell ref="O674:O675"/>
    <mergeCell ref="P674:S674"/>
    <mergeCell ref="H675:I675"/>
    <mergeCell ref="P661:Q661"/>
    <mergeCell ref="R661:S661"/>
    <mergeCell ref="P662:Q662"/>
    <mergeCell ref="R662:S662"/>
    <mergeCell ref="P663:Q663"/>
    <mergeCell ref="R663:S663"/>
    <mergeCell ref="P658:Q658"/>
    <mergeCell ref="R658:S658"/>
    <mergeCell ref="P659:Q659"/>
    <mergeCell ref="R659:S659"/>
    <mergeCell ref="P660:Q660"/>
    <mergeCell ref="R660:S660"/>
    <mergeCell ref="P655:Q655"/>
    <mergeCell ref="R655:S655"/>
    <mergeCell ref="P656:Q656"/>
    <mergeCell ref="R656:S656"/>
    <mergeCell ref="P657:Q657"/>
    <mergeCell ref="R657:S657"/>
    <mergeCell ref="R651:S652"/>
    <mergeCell ref="T651:V651"/>
    <mergeCell ref="P652:Q652"/>
    <mergeCell ref="P654:Q654"/>
    <mergeCell ref="R654:S654"/>
    <mergeCell ref="K651:K652"/>
    <mergeCell ref="L651:L652"/>
    <mergeCell ref="M651:M652"/>
    <mergeCell ref="N651:O651"/>
    <mergeCell ref="P651:Q651"/>
    <mergeCell ref="B650:D650"/>
    <mergeCell ref="B651:B652"/>
    <mergeCell ref="H651:H652"/>
    <mergeCell ref="I651:I652"/>
    <mergeCell ref="J651:J652"/>
    <mergeCell ref="R645:S645"/>
    <mergeCell ref="H646:I646"/>
    <mergeCell ref="R646:S646"/>
    <mergeCell ref="C647:E647"/>
    <mergeCell ref="H647:I647"/>
    <mergeCell ref="O647:S647"/>
    <mergeCell ref="X638:Z638"/>
    <mergeCell ref="AA638:AA640"/>
    <mergeCell ref="AB638:AB640"/>
    <mergeCell ref="C639:E639"/>
    <mergeCell ref="G639:G640"/>
    <mergeCell ref="H639:I640"/>
    <mergeCell ref="J639:K639"/>
    <mergeCell ref="X639:X640"/>
    <mergeCell ref="Y639:Z640"/>
    <mergeCell ref="C640:D640"/>
    <mergeCell ref="B637:V637"/>
    <mergeCell ref="B638:B647"/>
    <mergeCell ref="C638:M638"/>
    <mergeCell ref="P638:S639"/>
    <mergeCell ref="T638:U640"/>
    <mergeCell ref="V638:V640"/>
    <mergeCell ref="H641:I641"/>
    <mergeCell ref="P641:Q643"/>
    <mergeCell ref="R641:S643"/>
    <mergeCell ref="T641:V642"/>
    <mergeCell ref="H642:I642"/>
    <mergeCell ref="H643:I643"/>
    <mergeCell ref="H644:I644"/>
    <mergeCell ref="O644:O645"/>
    <mergeCell ref="P644:S644"/>
    <mergeCell ref="H645:I645"/>
    <mergeCell ref="P631:Q631"/>
    <mergeCell ref="R631:S631"/>
    <mergeCell ref="P632:Q632"/>
    <mergeCell ref="R632:S632"/>
    <mergeCell ref="P633:Q633"/>
    <mergeCell ref="R633:S633"/>
    <mergeCell ref="P628:Q628"/>
    <mergeCell ref="R628:S628"/>
    <mergeCell ref="P629:Q629"/>
    <mergeCell ref="R629:S629"/>
    <mergeCell ref="P630:Q630"/>
    <mergeCell ref="R630:S630"/>
    <mergeCell ref="P625:Q625"/>
    <mergeCell ref="R625:S625"/>
    <mergeCell ref="P626:Q626"/>
    <mergeCell ref="R626:S626"/>
    <mergeCell ref="P627:Q627"/>
    <mergeCell ref="R627:S627"/>
    <mergeCell ref="R621:S622"/>
    <mergeCell ref="T621:V621"/>
    <mergeCell ref="P622:Q622"/>
    <mergeCell ref="P624:Q624"/>
    <mergeCell ref="R624:S624"/>
    <mergeCell ref="K621:K622"/>
    <mergeCell ref="L621:L622"/>
    <mergeCell ref="M621:M622"/>
    <mergeCell ref="N621:O621"/>
    <mergeCell ref="P621:Q621"/>
    <mergeCell ref="B620:D620"/>
    <mergeCell ref="B621:B622"/>
    <mergeCell ref="H621:H622"/>
    <mergeCell ref="I621:I622"/>
    <mergeCell ref="J621:J622"/>
    <mergeCell ref="R615:S615"/>
    <mergeCell ref="H616:I616"/>
    <mergeCell ref="R616:S616"/>
    <mergeCell ref="C617:E617"/>
    <mergeCell ref="H617:I617"/>
    <mergeCell ref="O617:S617"/>
    <mergeCell ref="X608:Z608"/>
    <mergeCell ref="AA608:AA610"/>
    <mergeCell ref="AB608:AB610"/>
    <mergeCell ref="C609:E609"/>
    <mergeCell ref="G609:G610"/>
    <mergeCell ref="H609:I610"/>
    <mergeCell ref="J609:K609"/>
    <mergeCell ref="X609:X610"/>
    <mergeCell ref="Y609:Z610"/>
    <mergeCell ref="C610:D610"/>
    <mergeCell ref="B607:V607"/>
    <mergeCell ref="B608:B617"/>
    <mergeCell ref="C608:M608"/>
    <mergeCell ref="P608:S609"/>
    <mergeCell ref="T608:U610"/>
    <mergeCell ref="V608:V610"/>
    <mergeCell ref="H611:I611"/>
    <mergeCell ref="P611:Q613"/>
    <mergeCell ref="R611:S613"/>
    <mergeCell ref="T611:V612"/>
    <mergeCell ref="H612:I612"/>
    <mergeCell ref="H613:I613"/>
    <mergeCell ref="H614:I614"/>
    <mergeCell ref="O614:O615"/>
    <mergeCell ref="P614:S614"/>
    <mergeCell ref="H615:I615"/>
    <mergeCell ref="P601:Q601"/>
    <mergeCell ref="R601:S601"/>
    <mergeCell ref="P602:Q602"/>
    <mergeCell ref="R602:S602"/>
    <mergeCell ref="P603:Q603"/>
    <mergeCell ref="R603:S603"/>
    <mergeCell ref="P598:Q598"/>
    <mergeCell ref="R598:S598"/>
    <mergeCell ref="P599:Q599"/>
    <mergeCell ref="R599:S599"/>
    <mergeCell ref="P600:Q600"/>
    <mergeCell ref="R600:S600"/>
    <mergeCell ref="P595:Q595"/>
    <mergeCell ref="R595:S595"/>
    <mergeCell ref="P596:Q596"/>
    <mergeCell ref="R596:S596"/>
    <mergeCell ref="P597:Q597"/>
    <mergeCell ref="R597:S597"/>
    <mergeCell ref="R591:S592"/>
    <mergeCell ref="T591:V591"/>
    <mergeCell ref="P592:Q592"/>
    <mergeCell ref="P594:Q594"/>
    <mergeCell ref="R594:S594"/>
    <mergeCell ref="K591:K592"/>
    <mergeCell ref="L591:L592"/>
    <mergeCell ref="M591:M592"/>
    <mergeCell ref="N591:O591"/>
    <mergeCell ref="P591:Q591"/>
    <mergeCell ref="B590:D590"/>
    <mergeCell ref="B591:B592"/>
    <mergeCell ref="H591:H592"/>
    <mergeCell ref="I591:I592"/>
    <mergeCell ref="J591:J592"/>
    <mergeCell ref="R585:S585"/>
    <mergeCell ref="H586:I586"/>
    <mergeCell ref="R586:S586"/>
    <mergeCell ref="C587:E587"/>
    <mergeCell ref="H587:I587"/>
    <mergeCell ref="O587:S587"/>
    <mergeCell ref="X578:Z578"/>
    <mergeCell ref="AA578:AA580"/>
    <mergeCell ref="AB578:AB580"/>
    <mergeCell ref="C579:E579"/>
    <mergeCell ref="G579:G580"/>
    <mergeCell ref="H579:I580"/>
    <mergeCell ref="J579:K579"/>
    <mergeCell ref="X579:X580"/>
    <mergeCell ref="Y579:Z580"/>
    <mergeCell ref="C580:D580"/>
    <mergeCell ref="B577:V577"/>
    <mergeCell ref="B578:B587"/>
    <mergeCell ref="C578:M578"/>
    <mergeCell ref="P578:S579"/>
    <mergeCell ref="T578:U580"/>
    <mergeCell ref="V578:V580"/>
    <mergeCell ref="H581:I581"/>
    <mergeCell ref="P581:Q583"/>
    <mergeCell ref="R581:S583"/>
    <mergeCell ref="T581:V582"/>
    <mergeCell ref="H582:I582"/>
    <mergeCell ref="H583:I583"/>
    <mergeCell ref="H584:I584"/>
    <mergeCell ref="O584:O585"/>
    <mergeCell ref="P584:S584"/>
    <mergeCell ref="H585:I585"/>
    <mergeCell ref="P571:Q571"/>
    <mergeCell ref="R571:S571"/>
    <mergeCell ref="P572:Q572"/>
    <mergeCell ref="R572:S572"/>
    <mergeCell ref="P573:Q573"/>
    <mergeCell ref="R573:S573"/>
    <mergeCell ref="P568:Q568"/>
    <mergeCell ref="R568:S568"/>
    <mergeCell ref="P569:Q569"/>
    <mergeCell ref="R569:S569"/>
    <mergeCell ref="P570:Q570"/>
    <mergeCell ref="R570:S570"/>
    <mergeCell ref="P565:Q565"/>
    <mergeCell ref="R565:S565"/>
    <mergeCell ref="P566:Q566"/>
    <mergeCell ref="R566:S566"/>
    <mergeCell ref="P567:Q567"/>
    <mergeCell ref="R567:S567"/>
    <mergeCell ref="R561:S562"/>
    <mergeCell ref="T561:V561"/>
    <mergeCell ref="P562:Q562"/>
    <mergeCell ref="P564:Q564"/>
    <mergeCell ref="R564:S564"/>
    <mergeCell ref="K561:K562"/>
    <mergeCell ref="L561:L562"/>
    <mergeCell ref="M561:M562"/>
    <mergeCell ref="N561:O561"/>
    <mergeCell ref="P561:Q561"/>
    <mergeCell ref="B560:D560"/>
    <mergeCell ref="B561:B562"/>
    <mergeCell ref="H561:H562"/>
    <mergeCell ref="I561:I562"/>
    <mergeCell ref="J561:J562"/>
    <mergeCell ref="R555:S555"/>
    <mergeCell ref="H556:I556"/>
    <mergeCell ref="R556:S556"/>
    <mergeCell ref="C557:E557"/>
    <mergeCell ref="H557:I557"/>
    <mergeCell ref="O557:S557"/>
    <mergeCell ref="X548:Z548"/>
    <mergeCell ref="AA548:AA550"/>
    <mergeCell ref="AB548:AB550"/>
    <mergeCell ref="C549:E549"/>
    <mergeCell ref="G549:G550"/>
    <mergeCell ref="H549:I550"/>
    <mergeCell ref="J549:K549"/>
    <mergeCell ref="X549:X550"/>
    <mergeCell ref="Y549:Z550"/>
    <mergeCell ref="C550:D550"/>
    <mergeCell ref="B547:V547"/>
    <mergeCell ref="B548:B557"/>
    <mergeCell ref="C548:M548"/>
    <mergeCell ref="P548:S549"/>
    <mergeCell ref="T548:U550"/>
    <mergeCell ref="V548:V550"/>
    <mergeCell ref="H551:I551"/>
    <mergeCell ref="P551:Q553"/>
    <mergeCell ref="R551:S553"/>
    <mergeCell ref="T551:V552"/>
    <mergeCell ref="H552:I552"/>
    <mergeCell ref="H553:I553"/>
    <mergeCell ref="H554:I554"/>
    <mergeCell ref="O554:O555"/>
    <mergeCell ref="P554:S554"/>
    <mergeCell ref="H555:I555"/>
    <mergeCell ref="P541:Q541"/>
    <mergeCell ref="R541:S541"/>
    <mergeCell ref="P542:Q542"/>
    <mergeCell ref="R542:S542"/>
    <mergeCell ref="P543:Q543"/>
    <mergeCell ref="R543:S543"/>
    <mergeCell ref="P538:Q538"/>
    <mergeCell ref="R538:S538"/>
    <mergeCell ref="P539:Q539"/>
    <mergeCell ref="R539:S539"/>
    <mergeCell ref="P540:Q540"/>
    <mergeCell ref="R540:S540"/>
    <mergeCell ref="P535:Q535"/>
    <mergeCell ref="R535:S535"/>
    <mergeCell ref="P536:Q536"/>
    <mergeCell ref="R536:S536"/>
    <mergeCell ref="P537:Q537"/>
    <mergeCell ref="R537:S537"/>
    <mergeCell ref="R531:S532"/>
    <mergeCell ref="T531:V531"/>
    <mergeCell ref="P532:Q532"/>
    <mergeCell ref="P534:Q534"/>
    <mergeCell ref="R534:S534"/>
    <mergeCell ref="K531:K532"/>
    <mergeCell ref="L531:L532"/>
    <mergeCell ref="M531:M532"/>
    <mergeCell ref="N531:O531"/>
    <mergeCell ref="P531:Q531"/>
    <mergeCell ref="B530:D530"/>
    <mergeCell ref="B531:B532"/>
    <mergeCell ref="H531:H532"/>
    <mergeCell ref="I531:I532"/>
    <mergeCell ref="J531:J532"/>
    <mergeCell ref="R525:S525"/>
    <mergeCell ref="H526:I526"/>
    <mergeCell ref="R526:S526"/>
    <mergeCell ref="C527:E527"/>
    <mergeCell ref="H527:I527"/>
    <mergeCell ref="O527:S527"/>
    <mergeCell ref="X518:Z518"/>
    <mergeCell ref="AA518:AA520"/>
    <mergeCell ref="AB518:AB520"/>
    <mergeCell ref="C519:E519"/>
    <mergeCell ref="G519:G520"/>
    <mergeCell ref="H519:I520"/>
    <mergeCell ref="J519:K519"/>
    <mergeCell ref="X519:X520"/>
    <mergeCell ref="Y519:Z520"/>
    <mergeCell ref="C520:D520"/>
    <mergeCell ref="B517:V517"/>
    <mergeCell ref="B518:B527"/>
    <mergeCell ref="C518:M518"/>
    <mergeCell ref="P518:S519"/>
    <mergeCell ref="T518:U520"/>
    <mergeCell ref="V518:V520"/>
    <mergeCell ref="H521:I521"/>
    <mergeCell ref="P521:Q523"/>
    <mergeCell ref="R521:S523"/>
    <mergeCell ref="T521:V522"/>
    <mergeCell ref="H522:I522"/>
    <mergeCell ref="H523:I523"/>
    <mergeCell ref="H524:I524"/>
    <mergeCell ref="O524:O525"/>
    <mergeCell ref="P524:S524"/>
    <mergeCell ref="H525:I525"/>
    <mergeCell ref="P511:Q511"/>
    <mergeCell ref="R511:S511"/>
    <mergeCell ref="P512:Q512"/>
    <mergeCell ref="R512:S512"/>
    <mergeCell ref="P513:Q513"/>
    <mergeCell ref="R513:S513"/>
    <mergeCell ref="P508:Q508"/>
    <mergeCell ref="R508:S508"/>
    <mergeCell ref="P509:Q509"/>
    <mergeCell ref="R509:S509"/>
    <mergeCell ref="P510:Q510"/>
    <mergeCell ref="R510:S510"/>
    <mergeCell ref="P505:Q505"/>
    <mergeCell ref="R505:S505"/>
    <mergeCell ref="P506:Q506"/>
    <mergeCell ref="R506:S506"/>
    <mergeCell ref="P507:Q507"/>
    <mergeCell ref="R507:S507"/>
    <mergeCell ref="R501:S502"/>
    <mergeCell ref="T501:V501"/>
    <mergeCell ref="P502:Q502"/>
    <mergeCell ref="P504:Q504"/>
    <mergeCell ref="R504:S504"/>
    <mergeCell ref="K501:K502"/>
    <mergeCell ref="L501:L502"/>
    <mergeCell ref="M501:M502"/>
    <mergeCell ref="N501:O501"/>
    <mergeCell ref="P501:Q501"/>
    <mergeCell ref="B500:D500"/>
    <mergeCell ref="B501:B502"/>
    <mergeCell ref="H501:H502"/>
    <mergeCell ref="I501:I502"/>
    <mergeCell ref="J501:J502"/>
    <mergeCell ref="R495:S495"/>
    <mergeCell ref="H496:I496"/>
    <mergeCell ref="R496:S496"/>
    <mergeCell ref="C497:E497"/>
    <mergeCell ref="H497:I497"/>
    <mergeCell ref="O497:S497"/>
    <mergeCell ref="X488:Z488"/>
    <mergeCell ref="AA488:AA490"/>
    <mergeCell ref="AB488:AB490"/>
    <mergeCell ref="C489:E489"/>
    <mergeCell ref="G489:G490"/>
    <mergeCell ref="H489:I490"/>
    <mergeCell ref="J489:K489"/>
    <mergeCell ref="X489:X490"/>
    <mergeCell ref="Y489:Z490"/>
    <mergeCell ref="C490:D490"/>
    <mergeCell ref="B487:V487"/>
    <mergeCell ref="B488:B497"/>
    <mergeCell ref="C488:M488"/>
    <mergeCell ref="P488:S489"/>
    <mergeCell ref="T488:U490"/>
    <mergeCell ref="V488:V490"/>
    <mergeCell ref="H491:I491"/>
    <mergeCell ref="P491:Q493"/>
    <mergeCell ref="R491:S493"/>
    <mergeCell ref="T491:V492"/>
    <mergeCell ref="H492:I492"/>
    <mergeCell ref="H493:I493"/>
    <mergeCell ref="H494:I494"/>
    <mergeCell ref="O494:O495"/>
    <mergeCell ref="P494:S494"/>
    <mergeCell ref="H495:I495"/>
    <mergeCell ref="P481:Q481"/>
    <mergeCell ref="R481:S481"/>
    <mergeCell ref="P482:Q482"/>
    <mergeCell ref="R482:S482"/>
    <mergeCell ref="P483:Q483"/>
    <mergeCell ref="R483:S483"/>
    <mergeCell ref="P478:Q478"/>
    <mergeCell ref="R478:S478"/>
    <mergeCell ref="P479:Q479"/>
    <mergeCell ref="R479:S479"/>
    <mergeCell ref="P480:Q480"/>
    <mergeCell ref="R480:S480"/>
    <mergeCell ref="P475:Q475"/>
    <mergeCell ref="R475:S475"/>
    <mergeCell ref="P476:Q476"/>
    <mergeCell ref="R476:S476"/>
    <mergeCell ref="P477:Q477"/>
    <mergeCell ref="R477:S477"/>
    <mergeCell ref="R471:S472"/>
    <mergeCell ref="T471:V471"/>
    <mergeCell ref="P472:Q472"/>
    <mergeCell ref="P474:Q474"/>
    <mergeCell ref="R474:S474"/>
    <mergeCell ref="K471:K472"/>
    <mergeCell ref="L471:L472"/>
    <mergeCell ref="M471:M472"/>
    <mergeCell ref="N471:O471"/>
    <mergeCell ref="P471:Q471"/>
    <mergeCell ref="B470:D470"/>
    <mergeCell ref="B471:B472"/>
    <mergeCell ref="H471:H472"/>
    <mergeCell ref="I471:I472"/>
    <mergeCell ref="J471:J472"/>
    <mergeCell ref="R465:S465"/>
    <mergeCell ref="H466:I466"/>
    <mergeCell ref="R466:S466"/>
    <mergeCell ref="C467:E467"/>
    <mergeCell ref="H467:I467"/>
    <mergeCell ref="O467:S467"/>
    <mergeCell ref="X458:Z458"/>
    <mergeCell ref="AA458:AA460"/>
    <mergeCell ref="AB458:AB460"/>
    <mergeCell ref="C459:E459"/>
    <mergeCell ref="G459:G460"/>
    <mergeCell ref="H459:I460"/>
    <mergeCell ref="J459:K459"/>
    <mergeCell ref="X459:X460"/>
    <mergeCell ref="Y459:Z460"/>
    <mergeCell ref="C460:D460"/>
    <mergeCell ref="B457:V457"/>
    <mergeCell ref="B458:B467"/>
    <mergeCell ref="C458:M458"/>
    <mergeCell ref="P458:S459"/>
    <mergeCell ref="T458:U460"/>
    <mergeCell ref="V458:V460"/>
    <mergeCell ref="H461:I461"/>
    <mergeCell ref="P461:Q463"/>
    <mergeCell ref="R461:S463"/>
    <mergeCell ref="T461:V462"/>
    <mergeCell ref="H462:I462"/>
    <mergeCell ref="H463:I463"/>
    <mergeCell ref="H464:I464"/>
    <mergeCell ref="O464:O465"/>
    <mergeCell ref="P464:S464"/>
    <mergeCell ref="H465:I465"/>
    <mergeCell ref="P451:Q451"/>
    <mergeCell ref="R451:S451"/>
    <mergeCell ref="P452:Q452"/>
    <mergeCell ref="R452:S452"/>
    <mergeCell ref="P453:Q453"/>
    <mergeCell ref="R453:S453"/>
    <mergeCell ref="P448:Q448"/>
    <mergeCell ref="R448:S448"/>
    <mergeCell ref="P449:Q449"/>
    <mergeCell ref="R449:S449"/>
    <mergeCell ref="P450:Q450"/>
    <mergeCell ref="R450:S450"/>
    <mergeCell ref="P445:Q445"/>
    <mergeCell ref="R445:S445"/>
    <mergeCell ref="P446:Q446"/>
    <mergeCell ref="R446:S446"/>
    <mergeCell ref="P447:Q447"/>
    <mergeCell ref="R447:S447"/>
    <mergeCell ref="R441:S442"/>
    <mergeCell ref="T441:V441"/>
    <mergeCell ref="P442:Q442"/>
    <mergeCell ref="P444:Q444"/>
    <mergeCell ref="R444:S444"/>
    <mergeCell ref="K441:K442"/>
    <mergeCell ref="L441:L442"/>
    <mergeCell ref="M441:M442"/>
    <mergeCell ref="N441:O441"/>
    <mergeCell ref="P441:Q441"/>
    <mergeCell ref="B440:D440"/>
    <mergeCell ref="B441:B442"/>
    <mergeCell ref="H441:H442"/>
    <mergeCell ref="I441:I442"/>
    <mergeCell ref="J441:J442"/>
    <mergeCell ref="R435:S435"/>
    <mergeCell ref="H436:I436"/>
    <mergeCell ref="R436:S436"/>
    <mergeCell ref="C437:E437"/>
    <mergeCell ref="H437:I437"/>
    <mergeCell ref="O437:S437"/>
    <mergeCell ref="X428:Z428"/>
    <mergeCell ref="AA428:AA430"/>
    <mergeCell ref="AB428:AB430"/>
    <mergeCell ref="C429:E429"/>
    <mergeCell ref="G429:G430"/>
    <mergeCell ref="H429:I430"/>
    <mergeCell ref="J429:K429"/>
    <mergeCell ref="X429:X430"/>
    <mergeCell ref="Y429:Z430"/>
    <mergeCell ref="C430:D430"/>
    <mergeCell ref="B427:V427"/>
    <mergeCell ref="B428:B437"/>
    <mergeCell ref="C428:M428"/>
    <mergeCell ref="P428:S429"/>
    <mergeCell ref="T428:U430"/>
    <mergeCell ref="V428:V430"/>
    <mergeCell ref="H431:I431"/>
    <mergeCell ref="P431:Q433"/>
    <mergeCell ref="R431:S433"/>
    <mergeCell ref="T431:V432"/>
    <mergeCell ref="H432:I432"/>
    <mergeCell ref="H433:I433"/>
    <mergeCell ref="H434:I434"/>
    <mergeCell ref="O434:O435"/>
    <mergeCell ref="P434:S434"/>
    <mergeCell ref="H435:I435"/>
    <mergeCell ref="P421:Q421"/>
    <mergeCell ref="R421:S421"/>
    <mergeCell ref="P422:Q422"/>
    <mergeCell ref="R422:S422"/>
    <mergeCell ref="P423:Q423"/>
    <mergeCell ref="R423:S423"/>
    <mergeCell ref="P418:Q418"/>
    <mergeCell ref="R418:S418"/>
    <mergeCell ref="P419:Q419"/>
    <mergeCell ref="R419:S419"/>
    <mergeCell ref="P420:Q420"/>
    <mergeCell ref="R420:S420"/>
    <mergeCell ref="P415:Q415"/>
    <mergeCell ref="R415:S415"/>
    <mergeCell ref="P416:Q416"/>
    <mergeCell ref="R416:S416"/>
    <mergeCell ref="P417:Q417"/>
    <mergeCell ref="R417:S417"/>
    <mergeCell ref="R411:S412"/>
    <mergeCell ref="T411:V411"/>
    <mergeCell ref="P412:Q412"/>
    <mergeCell ref="P414:Q414"/>
    <mergeCell ref="R414:S414"/>
    <mergeCell ref="K411:K412"/>
    <mergeCell ref="L411:L412"/>
    <mergeCell ref="M411:M412"/>
    <mergeCell ref="N411:O411"/>
    <mergeCell ref="P411:Q411"/>
    <mergeCell ref="B410:D410"/>
    <mergeCell ref="B411:B412"/>
    <mergeCell ref="H411:H412"/>
    <mergeCell ref="I411:I412"/>
    <mergeCell ref="J411:J412"/>
    <mergeCell ref="R405:S405"/>
    <mergeCell ref="H406:I406"/>
    <mergeCell ref="R406:S406"/>
    <mergeCell ref="C407:E407"/>
    <mergeCell ref="H407:I407"/>
    <mergeCell ref="O407:S407"/>
    <mergeCell ref="X398:Z398"/>
    <mergeCell ref="AA398:AA400"/>
    <mergeCell ref="AB398:AB400"/>
    <mergeCell ref="C399:E399"/>
    <mergeCell ref="G399:G400"/>
    <mergeCell ref="H399:I400"/>
    <mergeCell ref="J399:K399"/>
    <mergeCell ref="X399:X400"/>
    <mergeCell ref="Y399:Z400"/>
    <mergeCell ref="C400:D400"/>
    <mergeCell ref="B397:V397"/>
    <mergeCell ref="B398:B407"/>
    <mergeCell ref="C398:M398"/>
    <mergeCell ref="P398:S399"/>
    <mergeCell ref="T398:U400"/>
    <mergeCell ref="V398:V400"/>
    <mergeCell ref="H401:I401"/>
    <mergeCell ref="P401:Q403"/>
    <mergeCell ref="R401:S403"/>
    <mergeCell ref="T401:V402"/>
    <mergeCell ref="H402:I402"/>
    <mergeCell ref="H403:I403"/>
    <mergeCell ref="H404:I404"/>
    <mergeCell ref="O404:O405"/>
    <mergeCell ref="P404:S404"/>
    <mergeCell ref="H405:I405"/>
    <mergeCell ref="P391:Q391"/>
    <mergeCell ref="R391:S391"/>
    <mergeCell ref="P392:Q392"/>
    <mergeCell ref="R392:S392"/>
    <mergeCell ref="P393:Q393"/>
    <mergeCell ref="R393:S393"/>
    <mergeCell ref="P388:Q388"/>
    <mergeCell ref="R388:S388"/>
    <mergeCell ref="P389:Q389"/>
    <mergeCell ref="R389:S389"/>
    <mergeCell ref="P390:Q390"/>
    <mergeCell ref="R390:S390"/>
    <mergeCell ref="P385:Q385"/>
    <mergeCell ref="R385:S385"/>
    <mergeCell ref="P386:Q386"/>
    <mergeCell ref="R386:S386"/>
    <mergeCell ref="P387:Q387"/>
    <mergeCell ref="R387:S387"/>
    <mergeCell ref="R381:S382"/>
    <mergeCell ref="T381:V381"/>
    <mergeCell ref="P382:Q382"/>
    <mergeCell ref="P384:Q384"/>
    <mergeCell ref="R384:S384"/>
    <mergeCell ref="K381:K382"/>
    <mergeCell ref="L381:L382"/>
    <mergeCell ref="M381:M382"/>
    <mergeCell ref="N381:O381"/>
    <mergeCell ref="P381:Q381"/>
    <mergeCell ref="B380:D380"/>
    <mergeCell ref="B381:B382"/>
    <mergeCell ref="H381:H382"/>
    <mergeCell ref="I381:I382"/>
    <mergeCell ref="J381:J382"/>
    <mergeCell ref="R375:S375"/>
    <mergeCell ref="H376:I376"/>
    <mergeCell ref="R376:S376"/>
    <mergeCell ref="C377:E377"/>
    <mergeCell ref="H377:I377"/>
    <mergeCell ref="O377:S377"/>
    <mergeCell ref="X368:Z368"/>
    <mergeCell ref="AA368:AA370"/>
    <mergeCell ref="AB368:AB370"/>
    <mergeCell ref="C369:E369"/>
    <mergeCell ref="G369:G370"/>
    <mergeCell ref="H369:I370"/>
    <mergeCell ref="J369:K369"/>
    <mergeCell ref="X369:X370"/>
    <mergeCell ref="Y369:Z370"/>
    <mergeCell ref="C370:D370"/>
    <mergeCell ref="B367:V367"/>
    <mergeCell ref="B368:B377"/>
    <mergeCell ref="C368:M368"/>
    <mergeCell ref="P368:S369"/>
    <mergeCell ref="T368:U370"/>
    <mergeCell ref="V368:V370"/>
    <mergeCell ref="H371:I371"/>
    <mergeCell ref="P371:Q373"/>
    <mergeCell ref="R371:S373"/>
    <mergeCell ref="T371:V372"/>
    <mergeCell ref="H372:I372"/>
    <mergeCell ref="H373:I373"/>
    <mergeCell ref="H374:I374"/>
    <mergeCell ref="O374:O375"/>
    <mergeCell ref="P374:S374"/>
    <mergeCell ref="H375:I375"/>
    <mergeCell ref="P361:Q361"/>
    <mergeCell ref="R361:S361"/>
    <mergeCell ref="P362:Q362"/>
    <mergeCell ref="R362:S362"/>
    <mergeCell ref="P363:Q363"/>
    <mergeCell ref="R363:S363"/>
    <mergeCell ref="P358:Q358"/>
    <mergeCell ref="R358:S358"/>
    <mergeCell ref="P359:Q359"/>
    <mergeCell ref="R359:S359"/>
    <mergeCell ref="P360:Q360"/>
    <mergeCell ref="R360:S360"/>
    <mergeCell ref="P355:Q355"/>
    <mergeCell ref="R355:S355"/>
    <mergeCell ref="P356:Q356"/>
    <mergeCell ref="R356:S356"/>
    <mergeCell ref="P357:Q357"/>
    <mergeCell ref="R357:S357"/>
    <mergeCell ref="R351:S352"/>
    <mergeCell ref="T351:V351"/>
    <mergeCell ref="P352:Q352"/>
    <mergeCell ref="P354:Q354"/>
    <mergeCell ref="R354:S354"/>
    <mergeCell ref="K351:K352"/>
    <mergeCell ref="L351:L352"/>
    <mergeCell ref="M351:M352"/>
    <mergeCell ref="N351:O351"/>
    <mergeCell ref="P351:Q351"/>
    <mergeCell ref="B350:D350"/>
    <mergeCell ref="B351:B352"/>
    <mergeCell ref="H351:H352"/>
    <mergeCell ref="I351:I352"/>
    <mergeCell ref="J351:J352"/>
    <mergeCell ref="R345:S345"/>
    <mergeCell ref="H346:I346"/>
    <mergeCell ref="R346:S346"/>
    <mergeCell ref="C347:E347"/>
    <mergeCell ref="H347:I347"/>
    <mergeCell ref="O347:S347"/>
    <mergeCell ref="X338:Z338"/>
    <mergeCell ref="AA338:AA340"/>
    <mergeCell ref="AB338:AB340"/>
    <mergeCell ref="C339:E339"/>
    <mergeCell ref="G339:G340"/>
    <mergeCell ref="H339:I340"/>
    <mergeCell ref="J339:K339"/>
    <mergeCell ref="X339:X340"/>
    <mergeCell ref="Y339:Z340"/>
    <mergeCell ref="C340:D340"/>
    <mergeCell ref="B337:V337"/>
    <mergeCell ref="B338:B347"/>
    <mergeCell ref="C338:M338"/>
    <mergeCell ref="P338:S339"/>
    <mergeCell ref="T338:U340"/>
    <mergeCell ref="V338:V340"/>
    <mergeCell ref="H341:I341"/>
    <mergeCell ref="P341:Q343"/>
    <mergeCell ref="R341:S343"/>
    <mergeCell ref="T341:V342"/>
    <mergeCell ref="H342:I342"/>
    <mergeCell ref="H343:I343"/>
    <mergeCell ref="H344:I344"/>
    <mergeCell ref="O344:O345"/>
    <mergeCell ref="P344:S344"/>
    <mergeCell ref="H345:I345"/>
    <mergeCell ref="P331:Q331"/>
    <mergeCell ref="R331:S331"/>
    <mergeCell ref="P332:Q332"/>
    <mergeCell ref="R332:S332"/>
    <mergeCell ref="P333:Q333"/>
    <mergeCell ref="R333:S333"/>
    <mergeCell ref="P328:Q328"/>
    <mergeCell ref="R328:S328"/>
    <mergeCell ref="P329:Q329"/>
    <mergeCell ref="R329:S329"/>
    <mergeCell ref="P330:Q330"/>
    <mergeCell ref="R330:S330"/>
    <mergeCell ref="P325:Q325"/>
    <mergeCell ref="R325:S325"/>
    <mergeCell ref="P326:Q326"/>
    <mergeCell ref="R326:S326"/>
    <mergeCell ref="P327:Q327"/>
    <mergeCell ref="R327:S327"/>
    <mergeCell ref="R321:S322"/>
    <mergeCell ref="T321:V321"/>
    <mergeCell ref="P322:Q322"/>
    <mergeCell ref="P324:Q324"/>
    <mergeCell ref="R324:S324"/>
    <mergeCell ref="K321:K322"/>
    <mergeCell ref="L321:L322"/>
    <mergeCell ref="M321:M322"/>
    <mergeCell ref="N321:O321"/>
    <mergeCell ref="P321:Q321"/>
    <mergeCell ref="B320:D320"/>
    <mergeCell ref="B321:B322"/>
    <mergeCell ref="H321:H322"/>
    <mergeCell ref="I321:I322"/>
    <mergeCell ref="J321:J322"/>
    <mergeCell ref="R315:S315"/>
    <mergeCell ref="H316:I316"/>
    <mergeCell ref="R316:S316"/>
    <mergeCell ref="C317:E317"/>
    <mergeCell ref="H317:I317"/>
    <mergeCell ref="O317:S317"/>
    <mergeCell ref="X308:Z308"/>
    <mergeCell ref="AA308:AA310"/>
    <mergeCell ref="AB308:AB310"/>
    <mergeCell ref="C309:E309"/>
    <mergeCell ref="G309:G310"/>
    <mergeCell ref="H309:I310"/>
    <mergeCell ref="J309:K309"/>
    <mergeCell ref="X309:X310"/>
    <mergeCell ref="Y309:Z310"/>
    <mergeCell ref="C310:D310"/>
    <mergeCell ref="B307:V307"/>
    <mergeCell ref="B308:B317"/>
    <mergeCell ref="C308:M308"/>
    <mergeCell ref="P308:S309"/>
    <mergeCell ref="T308:U310"/>
    <mergeCell ref="V308:V310"/>
    <mergeCell ref="H311:I311"/>
    <mergeCell ref="P311:Q313"/>
    <mergeCell ref="R311:S313"/>
    <mergeCell ref="T311:V312"/>
    <mergeCell ref="H312:I312"/>
    <mergeCell ref="H313:I313"/>
    <mergeCell ref="H314:I314"/>
    <mergeCell ref="O314:O315"/>
    <mergeCell ref="P314:S314"/>
    <mergeCell ref="H315:I315"/>
    <mergeCell ref="P301:Q301"/>
    <mergeCell ref="R301:S301"/>
    <mergeCell ref="P302:Q302"/>
    <mergeCell ref="R302:S302"/>
    <mergeCell ref="P303:Q303"/>
    <mergeCell ref="R303:S303"/>
    <mergeCell ref="P298:Q298"/>
    <mergeCell ref="R298:S298"/>
    <mergeCell ref="P299:Q299"/>
    <mergeCell ref="R299:S299"/>
    <mergeCell ref="P300:Q300"/>
    <mergeCell ref="R300:S300"/>
    <mergeCell ref="P295:Q295"/>
    <mergeCell ref="R295:S295"/>
    <mergeCell ref="P296:Q296"/>
    <mergeCell ref="R296:S296"/>
    <mergeCell ref="P297:Q297"/>
    <mergeCell ref="R297:S297"/>
    <mergeCell ref="R291:S292"/>
    <mergeCell ref="T291:V291"/>
    <mergeCell ref="P292:Q292"/>
    <mergeCell ref="P294:Q294"/>
    <mergeCell ref="R294:S294"/>
    <mergeCell ref="K291:K292"/>
    <mergeCell ref="L291:L292"/>
    <mergeCell ref="M291:M292"/>
    <mergeCell ref="N291:O291"/>
    <mergeCell ref="P291:Q291"/>
    <mergeCell ref="B290:D290"/>
    <mergeCell ref="B291:B292"/>
    <mergeCell ref="H291:H292"/>
    <mergeCell ref="I291:I292"/>
    <mergeCell ref="J291:J292"/>
    <mergeCell ref="R285:S285"/>
    <mergeCell ref="H286:I286"/>
    <mergeCell ref="R286:S286"/>
    <mergeCell ref="C287:E287"/>
    <mergeCell ref="H287:I287"/>
    <mergeCell ref="O287:S287"/>
    <mergeCell ref="X278:Z278"/>
    <mergeCell ref="AA278:AA280"/>
    <mergeCell ref="AB278:AB280"/>
    <mergeCell ref="C279:E279"/>
    <mergeCell ref="G279:G280"/>
    <mergeCell ref="H279:I280"/>
    <mergeCell ref="J279:K279"/>
    <mergeCell ref="X279:X280"/>
    <mergeCell ref="Y279:Z280"/>
    <mergeCell ref="C280:D280"/>
    <mergeCell ref="B277:V277"/>
    <mergeCell ref="B278:B287"/>
    <mergeCell ref="C278:M278"/>
    <mergeCell ref="P278:S279"/>
    <mergeCell ref="T278:U280"/>
    <mergeCell ref="V278:V280"/>
    <mergeCell ref="H281:I281"/>
    <mergeCell ref="P281:Q283"/>
    <mergeCell ref="R281:S283"/>
    <mergeCell ref="T281:V282"/>
    <mergeCell ref="H282:I282"/>
    <mergeCell ref="H283:I283"/>
    <mergeCell ref="H284:I284"/>
    <mergeCell ref="O284:O285"/>
    <mergeCell ref="P284:S284"/>
    <mergeCell ref="H285:I285"/>
    <mergeCell ref="P271:Q271"/>
    <mergeCell ref="R271:S271"/>
    <mergeCell ref="P272:Q272"/>
    <mergeCell ref="R272:S272"/>
    <mergeCell ref="P273:Q273"/>
    <mergeCell ref="R273:S273"/>
    <mergeCell ref="P268:Q268"/>
    <mergeCell ref="R268:S268"/>
    <mergeCell ref="P269:Q269"/>
    <mergeCell ref="R269:S269"/>
    <mergeCell ref="P270:Q270"/>
    <mergeCell ref="R270:S270"/>
    <mergeCell ref="P265:Q265"/>
    <mergeCell ref="R265:S265"/>
    <mergeCell ref="P266:Q266"/>
    <mergeCell ref="R266:S266"/>
    <mergeCell ref="P267:Q267"/>
    <mergeCell ref="R267:S267"/>
    <mergeCell ref="R261:S262"/>
    <mergeCell ref="T261:V261"/>
    <mergeCell ref="P262:Q262"/>
    <mergeCell ref="P264:Q264"/>
    <mergeCell ref="R264:S264"/>
    <mergeCell ref="K261:K262"/>
    <mergeCell ref="L261:L262"/>
    <mergeCell ref="M261:M262"/>
    <mergeCell ref="N261:O261"/>
    <mergeCell ref="P261:Q261"/>
    <mergeCell ref="B260:D260"/>
    <mergeCell ref="B261:B262"/>
    <mergeCell ref="H261:H262"/>
    <mergeCell ref="I261:I262"/>
    <mergeCell ref="J261:J262"/>
    <mergeCell ref="R255:S255"/>
    <mergeCell ref="H256:I256"/>
    <mergeCell ref="R256:S256"/>
    <mergeCell ref="C257:E257"/>
    <mergeCell ref="H257:I257"/>
    <mergeCell ref="O257:S257"/>
    <mergeCell ref="X248:Z248"/>
    <mergeCell ref="AA248:AA250"/>
    <mergeCell ref="AB248:AB250"/>
    <mergeCell ref="C249:E249"/>
    <mergeCell ref="G249:G250"/>
    <mergeCell ref="H249:I250"/>
    <mergeCell ref="J249:K249"/>
    <mergeCell ref="X249:X250"/>
    <mergeCell ref="Y249:Z250"/>
    <mergeCell ref="C250:D250"/>
    <mergeCell ref="B247:V247"/>
    <mergeCell ref="B248:B257"/>
    <mergeCell ref="C248:M248"/>
    <mergeCell ref="P248:S249"/>
    <mergeCell ref="T248:U250"/>
    <mergeCell ref="V248:V250"/>
    <mergeCell ref="H251:I251"/>
    <mergeCell ref="P251:Q253"/>
    <mergeCell ref="R251:S253"/>
    <mergeCell ref="T251:V252"/>
    <mergeCell ref="H252:I252"/>
    <mergeCell ref="H253:I253"/>
    <mergeCell ref="H254:I254"/>
    <mergeCell ref="O254:O255"/>
    <mergeCell ref="P254:S254"/>
    <mergeCell ref="H255:I255"/>
    <mergeCell ref="P241:Q241"/>
    <mergeCell ref="R241:S241"/>
    <mergeCell ref="P242:Q242"/>
    <mergeCell ref="R242:S242"/>
    <mergeCell ref="P243:Q243"/>
    <mergeCell ref="R243:S243"/>
    <mergeCell ref="P238:Q238"/>
    <mergeCell ref="R238:S238"/>
    <mergeCell ref="P239:Q239"/>
    <mergeCell ref="R239:S239"/>
    <mergeCell ref="P240:Q240"/>
    <mergeCell ref="R240:S240"/>
    <mergeCell ref="P235:Q235"/>
    <mergeCell ref="R235:S235"/>
    <mergeCell ref="P236:Q236"/>
    <mergeCell ref="R236:S236"/>
    <mergeCell ref="P237:Q237"/>
    <mergeCell ref="R237:S237"/>
    <mergeCell ref="R231:S232"/>
    <mergeCell ref="T231:V231"/>
    <mergeCell ref="P232:Q232"/>
    <mergeCell ref="P234:Q234"/>
    <mergeCell ref="R234:S234"/>
    <mergeCell ref="K231:K232"/>
    <mergeCell ref="L231:L232"/>
    <mergeCell ref="M231:M232"/>
    <mergeCell ref="N231:O231"/>
    <mergeCell ref="P231:Q231"/>
    <mergeCell ref="B230:D230"/>
    <mergeCell ref="B231:B232"/>
    <mergeCell ref="H231:H232"/>
    <mergeCell ref="I231:I232"/>
    <mergeCell ref="J231:J232"/>
    <mergeCell ref="R225:S225"/>
    <mergeCell ref="H226:I226"/>
    <mergeCell ref="R226:S226"/>
    <mergeCell ref="C227:E227"/>
    <mergeCell ref="H227:I227"/>
    <mergeCell ref="O227:S227"/>
    <mergeCell ref="X218:Z218"/>
    <mergeCell ref="AA218:AA220"/>
    <mergeCell ref="AB218:AB220"/>
    <mergeCell ref="C219:E219"/>
    <mergeCell ref="G219:G220"/>
    <mergeCell ref="H219:I220"/>
    <mergeCell ref="J219:K219"/>
    <mergeCell ref="X219:X220"/>
    <mergeCell ref="Y219:Z220"/>
    <mergeCell ref="C220:D220"/>
    <mergeCell ref="B217:V217"/>
    <mergeCell ref="B218:B227"/>
    <mergeCell ref="C218:M218"/>
    <mergeCell ref="P218:S219"/>
    <mergeCell ref="T218:U220"/>
    <mergeCell ref="V218:V220"/>
    <mergeCell ref="H221:I221"/>
    <mergeCell ref="P221:Q223"/>
    <mergeCell ref="R221:S223"/>
    <mergeCell ref="T221:V222"/>
    <mergeCell ref="H222:I222"/>
    <mergeCell ref="H223:I223"/>
    <mergeCell ref="H224:I224"/>
    <mergeCell ref="O224:O225"/>
    <mergeCell ref="P224:S224"/>
    <mergeCell ref="H225:I225"/>
    <mergeCell ref="P211:Q211"/>
    <mergeCell ref="R211:S211"/>
    <mergeCell ref="P212:Q212"/>
    <mergeCell ref="R212:S212"/>
    <mergeCell ref="P213:Q213"/>
    <mergeCell ref="R213:S213"/>
    <mergeCell ref="P208:Q208"/>
    <mergeCell ref="R208:S208"/>
    <mergeCell ref="P209:Q209"/>
    <mergeCell ref="R209:S209"/>
    <mergeCell ref="P210:Q210"/>
    <mergeCell ref="R210:S210"/>
    <mergeCell ref="P205:Q205"/>
    <mergeCell ref="R205:S205"/>
    <mergeCell ref="P206:Q206"/>
    <mergeCell ref="R206:S206"/>
    <mergeCell ref="P207:Q207"/>
    <mergeCell ref="R207:S207"/>
    <mergeCell ref="R201:S202"/>
    <mergeCell ref="T201:V201"/>
    <mergeCell ref="P202:Q202"/>
    <mergeCell ref="P204:Q204"/>
    <mergeCell ref="R204:S204"/>
    <mergeCell ref="K201:K202"/>
    <mergeCell ref="L201:L202"/>
    <mergeCell ref="M201:M202"/>
    <mergeCell ref="N201:O201"/>
    <mergeCell ref="P201:Q201"/>
    <mergeCell ref="B200:D200"/>
    <mergeCell ref="B201:B202"/>
    <mergeCell ref="H201:H202"/>
    <mergeCell ref="I201:I202"/>
    <mergeCell ref="J201:J202"/>
    <mergeCell ref="R195:S195"/>
    <mergeCell ref="H196:I196"/>
    <mergeCell ref="R196:S196"/>
    <mergeCell ref="C197:E197"/>
    <mergeCell ref="H197:I197"/>
    <mergeCell ref="O197:S197"/>
    <mergeCell ref="X188:Z188"/>
    <mergeCell ref="AA188:AA190"/>
    <mergeCell ref="AB188:AB190"/>
    <mergeCell ref="C189:E189"/>
    <mergeCell ref="G189:G190"/>
    <mergeCell ref="H189:I190"/>
    <mergeCell ref="J189:K189"/>
    <mergeCell ref="X189:X190"/>
    <mergeCell ref="Y189:Z190"/>
    <mergeCell ref="C190:D190"/>
    <mergeCell ref="B187:V187"/>
    <mergeCell ref="B188:B197"/>
    <mergeCell ref="C188:M188"/>
    <mergeCell ref="P188:S189"/>
    <mergeCell ref="T188:U190"/>
    <mergeCell ref="V188:V190"/>
    <mergeCell ref="H191:I191"/>
    <mergeCell ref="P191:Q193"/>
    <mergeCell ref="R191:S193"/>
    <mergeCell ref="T191:V192"/>
    <mergeCell ref="H192:I192"/>
    <mergeCell ref="H193:I193"/>
    <mergeCell ref="H194:I194"/>
    <mergeCell ref="O194:O195"/>
    <mergeCell ref="P194:S194"/>
    <mergeCell ref="H195:I195"/>
    <mergeCell ref="P181:Q181"/>
    <mergeCell ref="R181:S181"/>
    <mergeCell ref="P182:Q182"/>
    <mergeCell ref="R182:S182"/>
    <mergeCell ref="P183:Q183"/>
    <mergeCell ref="R183:S183"/>
    <mergeCell ref="P178:Q178"/>
    <mergeCell ref="R178:S178"/>
    <mergeCell ref="P179:Q179"/>
    <mergeCell ref="R179:S179"/>
    <mergeCell ref="P180:Q180"/>
    <mergeCell ref="R180:S180"/>
    <mergeCell ref="P175:Q175"/>
    <mergeCell ref="R175:S175"/>
    <mergeCell ref="P176:Q176"/>
    <mergeCell ref="R176:S176"/>
    <mergeCell ref="P177:Q177"/>
    <mergeCell ref="R177:S177"/>
    <mergeCell ref="R171:S172"/>
    <mergeCell ref="T171:V171"/>
    <mergeCell ref="P172:Q172"/>
    <mergeCell ref="P174:Q174"/>
    <mergeCell ref="R174:S174"/>
    <mergeCell ref="K171:K172"/>
    <mergeCell ref="L171:L172"/>
    <mergeCell ref="M171:M172"/>
    <mergeCell ref="N171:O171"/>
    <mergeCell ref="P171:Q171"/>
    <mergeCell ref="B170:D170"/>
    <mergeCell ref="B171:B172"/>
    <mergeCell ref="H171:H172"/>
    <mergeCell ref="I171:I172"/>
    <mergeCell ref="J171:J172"/>
    <mergeCell ref="R165:S165"/>
    <mergeCell ref="H166:I166"/>
    <mergeCell ref="R166:S166"/>
    <mergeCell ref="C167:E167"/>
    <mergeCell ref="H167:I167"/>
    <mergeCell ref="O167:S167"/>
    <mergeCell ref="X158:Z158"/>
    <mergeCell ref="AA158:AA160"/>
    <mergeCell ref="AB158:AB160"/>
    <mergeCell ref="C159:E159"/>
    <mergeCell ref="G159:G160"/>
    <mergeCell ref="H159:I160"/>
    <mergeCell ref="J159:K159"/>
    <mergeCell ref="X159:X160"/>
    <mergeCell ref="Y159:Z160"/>
    <mergeCell ref="C160:D160"/>
    <mergeCell ref="B157:V157"/>
    <mergeCell ref="B158:B167"/>
    <mergeCell ref="C158:M158"/>
    <mergeCell ref="P158:S159"/>
    <mergeCell ref="T158:U160"/>
    <mergeCell ref="V158:V160"/>
    <mergeCell ref="H161:I161"/>
    <mergeCell ref="P161:Q163"/>
    <mergeCell ref="R161:S163"/>
    <mergeCell ref="T161:V162"/>
    <mergeCell ref="H162:I162"/>
    <mergeCell ref="H163:I163"/>
    <mergeCell ref="H164:I164"/>
    <mergeCell ref="O164:O165"/>
    <mergeCell ref="P164:S164"/>
    <mergeCell ref="H165:I165"/>
    <mergeCell ref="P151:Q151"/>
    <mergeCell ref="R151:S151"/>
    <mergeCell ref="P152:Q152"/>
    <mergeCell ref="R152:S152"/>
    <mergeCell ref="P153:Q153"/>
    <mergeCell ref="R153:S153"/>
    <mergeCell ref="P148:Q148"/>
    <mergeCell ref="R148:S148"/>
    <mergeCell ref="P149:Q149"/>
    <mergeCell ref="R149:S149"/>
    <mergeCell ref="P150:Q150"/>
    <mergeCell ref="R150:S150"/>
    <mergeCell ref="P145:Q145"/>
    <mergeCell ref="R145:S145"/>
    <mergeCell ref="P146:Q146"/>
    <mergeCell ref="R146:S146"/>
    <mergeCell ref="P147:Q147"/>
    <mergeCell ref="R147:S147"/>
    <mergeCell ref="R141:S142"/>
    <mergeCell ref="T141:V141"/>
    <mergeCell ref="P142:Q142"/>
    <mergeCell ref="P144:Q144"/>
    <mergeCell ref="R144:S144"/>
    <mergeCell ref="K141:K142"/>
    <mergeCell ref="L141:L142"/>
    <mergeCell ref="M141:M142"/>
    <mergeCell ref="N141:O141"/>
    <mergeCell ref="P141:Q141"/>
    <mergeCell ref="B140:D140"/>
    <mergeCell ref="B141:B142"/>
    <mergeCell ref="H141:H142"/>
    <mergeCell ref="I141:I142"/>
    <mergeCell ref="J141:J142"/>
    <mergeCell ref="R135:S135"/>
    <mergeCell ref="H136:I136"/>
    <mergeCell ref="R136:S136"/>
    <mergeCell ref="C137:E137"/>
    <mergeCell ref="H137:I137"/>
    <mergeCell ref="O137:S137"/>
    <mergeCell ref="X128:Z128"/>
    <mergeCell ref="AA128:AA130"/>
    <mergeCell ref="AB128:AB130"/>
    <mergeCell ref="C129:E129"/>
    <mergeCell ref="G129:G130"/>
    <mergeCell ref="H129:I130"/>
    <mergeCell ref="J129:K129"/>
    <mergeCell ref="X129:X130"/>
    <mergeCell ref="Y129:Z130"/>
    <mergeCell ref="C130:D130"/>
    <mergeCell ref="B127:V127"/>
    <mergeCell ref="B128:B137"/>
    <mergeCell ref="C128:M128"/>
    <mergeCell ref="P128:S129"/>
    <mergeCell ref="T128:U130"/>
    <mergeCell ref="V128:V130"/>
    <mergeCell ref="H131:I131"/>
    <mergeCell ref="P131:Q133"/>
    <mergeCell ref="R131:S133"/>
    <mergeCell ref="T131:V132"/>
    <mergeCell ref="H132:I132"/>
    <mergeCell ref="H133:I133"/>
    <mergeCell ref="H134:I134"/>
    <mergeCell ref="O134:O135"/>
    <mergeCell ref="P134:S134"/>
    <mergeCell ref="H135:I135"/>
    <mergeCell ref="P121:Q121"/>
    <mergeCell ref="R121:S121"/>
    <mergeCell ref="P122:Q122"/>
    <mergeCell ref="R122:S122"/>
    <mergeCell ref="P123:Q123"/>
    <mergeCell ref="R123:S123"/>
    <mergeCell ref="P118:Q118"/>
    <mergeCell ref="R118:S118"/>
    <mergeCell ref="P119:Q119"/>
    <mergeCell ref="R119:S119"/>
    <mergeCell ref="P120:Q120"/>
    <mergeCell ref="R120:S120"/>
    <mergeCell ref="P115:Q115"/>
    <mergeCell ref="R115:S115"/>
    <mergeCell ref="P116:Q116"/>
    <mergeCell ref="R116:S116"/>
    <mergeCell ref="P117:Q117"/>
    <mergeCell ref="R117:S117"/>
    <mergeCell ref="R111:S112"/>
    <mergeCell ref="T111:V111"/>
    <mergeCell ref="P112:Q112"/>
    <mergeCell ref="P114:Q114"/>
    <mergeCell ref="R114:S114"/>
    <mergeCell ref="K111:K112"/>
    <mergeCell ref="L111:L112"/>
    <mergeCell ref="M111:M112"/>
    <mergeCell ref="N111:O111"/>
    <mergeCell ref="P111:Q111"/>
    <mergeCell ref="B110:D110"/>
    <mergeCell ref="B111:B112"/>
    <mergeCell ref="H111:H112"/>
    <mergeCell ref="I111:I112"/>
    <mergeCell ref="J111:J112"/>
    <mergeCell ref="R105:S105"/>
    <mergeCell ref="H106:I106"/>
    <mergeCell ref="R106:S106"/>
    <mergeCell ref="C107:E107"/>
    <mergeCell ref="H107:I107"/>
    <mergeCell ref="O107:S107"/>
    <mergeCell ref="X98:Z98"/>
    <mergeCell ref="AA98:AA100"/>
    <mergeCell ref="AB98:AB100"/>
    <mergeCell ref="C99:E99"/>
    <mergeCell ref="G99:G100"/>
    <mergeCell ref="H99:I100"/>
    <mergeCell ref="J99:K99"/>
    <mergeCell ref="X99:X100"/>
    <mergeCell ref="Y99:Z100"/>
    <mergeCell ref="C100:D100"/>
    <mergeCell ref="B97:V97"/>
    <mergeCell ref="B98:B107"/>
    <mergeCell ref="C98:M98"/>
    <mergeCell ref="P98:S99"/>
    <mergeCell ref="T98:U100"/>
    <mergeCell ref="V98:V100"/>
    <mergeCell ref="H101:I101"/>
    <mergeCell ref="P101:Q103"/>
    <mergeCell ref="R101:S103"/>
    <mergeCell ref="T101:V102"/>
    <mergeCell ref="H102:I102"/>
    <mergeCell ref="H103:I103"/>
    <mergeCell ref="H104:I104"/>
    <mergeCell ref="O104:O105"/>
    <mergeCell ref="P104:S104"/>
    <mergeCell ref="H105:I105"/>
    <mergeCell ref="B80:D80"/>
    <mergeCell ref="B81:B82"/>
    <mergeCell ref="H81:H82"/>
    <mergeCell ref="I81:I82"/>
    <mergeCell ref="J81:J82"/>
    <mergeCell ref="R75:S75"/>
    <mergeCell ref="H76:I76"/>
    <mergeCell ref="R76:S76"/>
    <mergeCell ref="C77:E77"/>
    <mergeCell ref="H77:I77"/>
    <mergeCell ref="O77:S77"/>
    <mergeCell ref="P91:Q91"/>
    <mergeCell ref="R91:S91"/>
    <mergeCell ref="P92:Q92"/>
    <mergeCell ref="R92:S92"/>
    <mergeCell ref="P93:Q93"/>
    <mergeCell ref="R93:S93"/>
    <mergeCell ref="P88:Q88"/>
    <mergeCell ref="R88:S88"/>
    <mergeCell ref="P89:Q89"/>
    <mergeCell ref="R89:S89"/>
    <mergeCell ref="P90:Q90"/>
    <mergeCell ref="R90:S90"/>
    <mergeCell ref="P85:Q85"/>
    <mergeCell ref="R85:S85"/>
    <mergeCell ref="P86:Q86"/>
    <mergeCell ref="R86:S86"/>
    <mergeCell ref="P87:Q87"/>
    <mergeCell ref="R87:S87"/>
    <mergeCell ref="AA68:AA70"/>
    <mergeCell ref="AB68:AB70"/>
    <mergeCell ref="C69:E69"/>
    <mergeCell ref="G69:G70"/>
    <mergeCell ref="H69:I70"/>
    <mergeCell ref="J69:K69"/>
    <mergeCell ref="X69:X70"/>
    <mergeCell ref="Y69:Z70"/>
    <mergeCell ref="C70:D70"/>
    <mergeCell ref="B67:V67"/>
    <mergeCell ref="B68:B77"/>
    <mergeCell ref="C68:M68"/>
    <mergeCell ref="P68:S69"/>
    <mergeCell ref="T68:U70"/>
    <mergeCell ref="V68:V70"/>
    <mergeCell ref="H71:I71"/>
    <mergeCell ref="P71:Q73"/>
    <mergeCell ref="R71:S73"/>
    <mergeCell ref="T71:V72"/>
    <mergeCell ref="H72:I72"/>
    <mergeCell ref="H73:I73"/>
    <mergeCell ref="H74:I74"/>
    <mergeCell ref="O74:O75"/>
    <mergeCell ref="P74:S74"/>
    <mergeCell ref="H75:I75"/>
    <mergeCell ref="R29:S29"/>
    <mergeCell ref="R24:S24"/>
    <mergeCell ref="P25:Q25"/>
    <mergeCell ref="R25:S25"/>
    <mergeCell ref="P26:Q26"/>
    <mergeCell ref="R26:S26"/>
    <mergeCell ref="P61:Q61"/>
    <mergeCell ref="R61:S61"/>
    <mergeCell ref="P62:Q62"/>
    <mergeCell ref="R62:S62"/>
    <mergeCell ref="P63:Q63"/>
    <mergeCell ref="R63:S63"/>
    <mergeCell ref="P58:Q58"/>
    <mergeCell ref="R58:S58"/>
    <mergeCell ref="P59:Q59"/>
    <mergeCell ref="R59:S59"/>
    <mergeCell ref="P60:Q60"/>
    <mergeCell ref="R60:S60"/>
    <mergeCell ref="P55:Q55"/>
    <mergeCell ref="R55:S55"/>
    <mergeCell ref="P56:Q56"/>
    <mergeCell ref="R56:S56"/>
    <mergeCell ref="P57:Q57"/>
    <mergeCell ref="R57:S57"/>
    <mergeCell ref="N21:O21"/>
    <mergeCell ref="B20:D20"/>
    <mergeCell ref="K21:K22"/>
    <mergeCell ref="M21:M22"/>
    <mergeCell ref="B21:B22"/>
    <mergeCell ref="H21:H22"/>
    <mergeCell ref="I21:I22"/>
    <mergeCell ref="R51:S52"/>
    <mergeCell ref="T51:V51"/>
    <mergeCell ref="P52:Q52"/>
    <mergeCell ref="P54:Q54"/>
    <mergeCell ref="R54:S54"/>
    <mergeCell ref="K51:K52"/>
    <mergeCell ref="L51:L52"/>
    <mergeCell ref="M51:M52"/>
    <mergeCell ref="N51:O51"/>
    <mergeCell ref="P51:Q51"/>
    <mergeCell ref="B50:D50"/>
    <mergeCell ref="B51:B52"/>
    <mergeCell ref="H51:H52"/>
    <mergeCell ref="I51:I52"/>
    <mergeCell ref="J51:J52"/>
    <mergeCell ref="R28:S28"/>
    <mergeCell ref="P24:Q24"/>
    <mergeCell ref="O47:S47"/>
    <mergeCell ref="R30:S30"/>
    <mergeCell ref="P27:Q27"/>
    <mergeCell ref="P28:Q28"/>
    <mergeCell ref="P29:Q29"/>
    <mergeCell ref="P30:Q30"/>
    <mergeCell ref="R27:S27"/>
    <mergeCell ref="R46:S46"/>
    <mergeCell ref="AB38:AB40"/>
    <mergeCell ref="Y39:Z40"/>
    <mergeCell ref="V38:V40"/>
    <mergeCell ref="T38:U40"/>
    <mergeCell ref="P41:Q43"/>
    <mergeCell ref="R41:S43"/>
    <mergeCell ref="C47:E47"/>
    <mergeCell ref="H45:I45"/>
    <mergeCell ref="H46:I46"/>
    <mergeCell ref="H44:I44"/>
    <mergeCell ref="AA38:AA40"/>
    <mergeCell ref="C39:E39"/>
    <mergeCell ref="C38:M38"/>
    <mergeCell ref="J39:K39"/>
    <mergeCell ref="G39:G40"/>
    <mergeCell ref="C40:D40"/>
    <mergeCell ref="B1:V1"/>
    <mergeCell ref="B2:V2"/>
    <mergeCell ref="B3:V3"/>
    <mergeCell ref="B4:V4"/>
    <mergeCell ref="B6:V6"/>
    <mergeCell ref="B7:V7"/>
    <mergeCell ref="J21:J22"/>
    <mergeCell ref="R21:S22"/>
    <mergeCell ref="P21:Q21"/>
    <mergeCell ref="P22:Q22"/>
    <mergeCell ref="T21:V21"/>
    <mergeCell ref="L21:L22"/>
    <mergeCell ref="B9:V9"/>
    <mergeCell ref="B11:V11"/>
    <mergeCell ref="B13:V13"/>
    <mergeCell ref="B14:V14"/>
    <mergeCell ref="R895:S895"/>
    <mergeCell ref="H41:I41"/>
    <mergeCell ref="H42:I42"/>
    <mergeCell ref="H43:I43"/>
    <mergeCell ref="R31:S31"/>
    <mergeCell ref="P44:S44"/>
    <mergeCell ref="P38:S39"/>
    <mergeCell ref="R33:S33"/>
    <mergeCell ref="X38:Z38"/>
    <mergeCell ref="X39:X40"/>
    <mergeCell ref="P31:Q31"/>
    <mergeCell ref="P32:Q32"/>
    <mergeCell ref="P33:Q33"/>
    <mergeCell ref="B37:V37"/>
    <mergeCell ref="R32:S32"/>
    <mergeCell ref="T41:V42"/>
    <mergeCell ref="O44:O45"/>
    <mergeCell ref="B38:B47"/>
    <mergeCell ref="H39:I40"/>
    <mergeCell ref="H47:I47"/>
    <mergeCell ref="R45:S45"/>
    <mergeCell ref="X68:Z68"/>
    <mergeCell ref="R81:S82"/>
    <mergeCell ref="T81:V81"/>
    <mergeCell ref="P82:Q82"/>
    <mergeCell ref="P84:Q84"/>
    <mergeCell ref="R84:S84"/>
    <mergeCell ref="K81:K82"/>
    <mergeCell ref="L81:L82"/>
    <mergeCell ref="M81:M82"/>
    <mergeCell ref="N81:O81"/>
    <mergeCell ref="P81:Q81"/>
  </mergeCells>
  <conditionalFormatting sqref="F27:H32 D33:H33 I27:I33 C24:D24 K24:O33 F24:I26 D25:D32 C25:C33 D264:D272">
    <cfRule type="cellIs" dxfId="7369" priority="552177" stopIfTrue="1" operator="greaterThan">
      <formula>0</formula>
    </cfRule>
  </conditionalFormatting>
  <conditionalFormatting sqref="D27:D32">
    <cfRule type="cellIs" dxfId="7368" priority="552113" stopIfTrue="1" operator="greaterThan">
      <formula>0</formula>
    </cfRule>
  </conditionalFormatting>
  <conditionalFormatting sqref="D27:D32 F27:H32">
    <cfRule type="cellIs" dxfId="7367" priority="552110" stopIfTrue="1" operator="greaterThan">
      <formula>0</formula>
    </cfRule>
  </conditionalFormatting>
  <conditionalFormatting sqref="H24:H32">
    <cfRule type="cellIs" dxfId="7366" priority="552103" stopIfTrue="1" operator="greaterThan">
      <formula>0</formula>
    </cfRule>
  </conditionalFormatting>
  <conditionalFormatting sqref="E24:E32">
    <cfRule type="cellIs" dxfId="7365" priority="551964" stopIfTrue="1" operator="greaterThan">
      <formula>0</formula>
    </cfRule>
  </conditionalFormatting>
  <conditionalFormatting sqref="M41:M46 K41:K46">
    <cfRule type="containsText" dxfId="7364" priority="550771" stopIfTrue="1" operator="containsText" text="NO CUMPLE">
      <formula>NOT(ISERROR(SEARCH("NO CUMPLE",K41)))</formula>
    </cfRule>
    <cfRule type="containsText" dxfId="7363" priority="550772" stopIfTrue="1" operator="containsText" text="CUMPLE">
      <formula>NOT(ISERROR(SEARCH("CUMPLE",K41)))</formula>
    </cfRule>
  </conditionalFormatting>
  <conditionalFormatting sqref="S40">
    <cfRule type="cellIs" dxfId="7362" priority="550767" operator="greaterThanOrEqual">
      <formula>NUMMINCONT</formula>
    </cfRule>
    <cfRule type="cellIs" dxfId="7361" priority="550768" operator="lessThan">
      <formula>NUMMINCONT</formula>
    </cfRule>
  </conditionalFormatting>
  <conditionalFormatting sqref="T27:V32">
    <cfRule type="cellIs" dxfId="7360" priority="547113" stopIfTrue="1" operator="equal">
      <formula>"NO"</formula>
    </cfRule>
    <cfRule type="cellIs" dxfId="7359" priority="547114" stopIfTrue="1" operator="equal">
      <formula>"SI"</formula>
    </cfRule>
  </conditionalFormatting>
  <conditionalFormatting sqref="T27:V28">
    <cfRule type="cellIs" dxfId="7358" priority="530986" stopIfTrue="1" operator="equal">
      <formula>"NO APLICA"</formula>
    </cfRule>
  </conditionalFormatting>
  <conditionalFormatting sqref="T29:U32">
    <cfRule type="cellIs" dxfId="7357" priority="564673" stopIfTrue="1" operator="equal">
      <formula>"NO APLICA"</formula>
    </cfRule>
  </conditionalFormatting>
  <conditionalFormatting sqref="T29:U29">
    <cfRule type="cellIs" dxfId="7356" priority="564672" stopIfTrue="1" operator="equal">
      <formula>"NO APLICA"</formula>
    </cfRule>
  </conditionalFormatting>
  <conditionalFormatting sqref="V29:V32">
    <cfRule type="cellIs" dxfId="7355" priority="564671" stopIfTrue="1" operator="equal">
      <formula>"NO APLICA"</formula>
    </cfRule>
  </conditionalFormatting>
  <conditionalFormatting sqref="V38:W38">
    <cfRule type="cellIs" dxfId="7354" priority="549145" operator="equal">
      <formula>"CUMPLE"</formula>
    </cfRule>
    <cfRule type="cellIs" dxfId="7353" priority="549146" operator="equal">
      <formula>"NO CUMPLE"</formula>
    </cfRule>
  </conditionalFormatting>
  <conditionalFormatting sqref="V38:W40">
    <cfRule type="cellIs" dxfId="7352" priority="549144" operator="equal">
      <formula>"VERIFICAR"</formula>
    </cfRule>
  </conditionalFormatting>
  <conditionalFormatting sqref="T33:V33">
    <cfRule type="cellIs" dxfId="7351" priority="587751" stopIfTrue="1" operator="equal">
      <formula>"NO"</formula>
    </cfRule>
    <cfRule type="cellIs" dxfId="7350" priority="587752" stopIfTrue="1" operator="equal">
      <formula>"SI"</formula>
    </cfRule>
  </conditionalFormatting>
  <conditionalFormatting sqref="T33:U33">
    <cfRule type="cellIs" dxfId="7349" priority="587754" stopIfTrue="1" operator="equal">
      <formula>"NO APLICA"</formula>
    </cfRule>
  </conditionalFormatting>
  <conditionalFormatting sqref="V33">
    <cfRule type="cellIs" dxfId="7348" priority="587753" stopIfTrue="1" operator="equal">
      <formula>"NO APLICA"</formula>
    </cfRule>
  </conditionalFormatting>
  <conditionalFormatting sqref="T43">
    <cfRule type="cellIs" dxfId="7347" priority="435034" operator="equal">
      <formula>"CUMPLE"</formula>
    </cfRule>
    <cfRule type="cellIs" dxfId="7346" priority="435035" operator="equal">
      <formula>"NO CUMPLE"</formula>
    </cfRule>
  </conditionalFormatting>
  <conditionalFormatting sqref="T43">
    <cfRule type="cellIs" dxfId="7345" priority="435033" operator="equal">
      <formula>"VERIFICAR"</formula>
    </cfRule>
  </conditionalFormatting>
  <conditionalFormatting sqref="Y41:Y46">
    <cfRule type="cellIs" dxfId="7344" priority="350855" stopIfTrue="1" operator="equal">
      <formula>"NO APLICA"</formula>
    </cfRule>
  </conditionalFormatting>
  <conditionalFormatting sqref="Y46">
    <cfRule type="cellIs" dxfId="7343" priority="350854" stopIfTrue="1" operator="equal">
      <formula>"NO APLICA"</formula>
    </cfRule>
  </conditionalFormatting>
  <conditionalFormatting sqref="X41:Y46">
    <cfRule type="cellIs" dxfId="7342" priority="350852" stopIfTrue="1" operator="equal">
      <formula>"NO"</formula>
    </cfRule>
    <cfRule type="cellIs" dxfId="7341" priority="350853" stopIfTrue="1" operator="equal">
      <formula>"SI"</formula>
    </cfRule>
  </conditionalFormatting>
  <conditionalFormatting sqref="X41:X46">
    <cfRule type="cellIs" dxfId="7340" priority="350851" stopIfTrue="1" operator="equal">
      <formula>"NO APLICA"</formula>
    </cfRule>
  </conditionalFormatting>
  <conditionalFormatting sqref="X42:X45">
    <cfRule type="cellIs" dxfId="7339" priority="350850" stopIfTrue="1" operator="equal">
      <formula>"NO APLICA"</formula>
    </cfRule>
  </conditionalFormatting>
  <conditionalFormatting sqref="X42">
    <cfRule type="cellIs" dxfId="7338" priority="350849" stopIfTrue="1" operator="equal">
      <formula>"NO APLICA"</formula>
    </cfRule>
  </conditionalFormatting>
  <conditionalFormatting sqref="X46">
    <cfRule type="cellIs" dxfId="7337" priority="350848" stopIfTrue="1" operator="equal">
      <formula>"NO APLICA"</formula>
    </cfRule>
  </conditionalFormatting>
  <conditionalFormatting sqref="X46">
    <cfRule type="cellIs" dxfId="7336" priority="350847" stopIfTrue="1" operator="equal">
      <formula>"NO APLICA"</formula>
    </cfRule>
  </conditionalFormatting>
  <conditionalFormatting sqref="AA41:AA46">
    <cfRule type="cellIs" dxfId="7335" priority="350846" stopIfTrue="1" operator="equal">
      <formula>"NO APLICA"</formula>
    </cfRule>
  </conditionalFormatting>
  <conditionalFormatting sqref="AA46">
    <cfRule type="cellIs" dxfId="7334" priority="350845" stopIfTrue="1" operator="equal">
      <formula>"NO APLICA"</formula>
    </cfRule>
  </conditionalFormatting>
  <conditionalFormatting sqref="AA41:AA46">
    <cfRule type="cellIs" dxfId="7333" priority="350843" stopIfTrue="1" operator="equal">
      <formula>"NO"</formula>
    </cfRule>
    <cfRule type="cellIs" dxfId="7332" priority="350844" stopIfTrue="1" operator="equal">
      <formula>"SI"</formula>
    </cfRule>
  </conditionalFormatting>
  <conditionalFormatting sqref="Y41:Z46">
    <cfRule type="cellIs" dxfId="7331" priority="350839" operator="equal">
      <formula>"NO APLICA"</formula>
    </cfRule>
    <cfRule type="cellIs" dxfId="7330" priority="350840" operator="equal">
      <formula>"SI APLICA"</formula>
    </cfRule>
  </conditionalFormatting>
  <conditionalFormatting sqref="AB41:AB47">
    <cfRule type="cellIs" dxfId="7329" priority="350837" operator="equal">
      <formula>"NO APLICA"</formula>
    </cfRule>
    <cfRule type="cellIs" dxfId="7328" priority="350838" operator="equal">
      <formula>"SI APLICA"</formula>
    </cfRule>
  </conditionalFormatting>
  <conditionalFormatting sqref="X47">
    <cfRule type="cellIs" dxfId="7327" priority="332317" operator="equal">
      <formula>"PROPONENTE PLURAL"</formula>
    </cfRule>
    <cfRule type="cellIs" dxfId="7326" priority="332318" operator="equal">
      <formula>"PROPONENTE INDIVIDUAL"</formula>
    </cfRule>
  </conditionalFormatting>
  <conditionalFormatting sqref="Z47:AA47 AA41:AA46">
    <cfRule type="cellIs" dxfId="7325" priority="350835" operator="equal">
      <formula>"NO APLICA"</formula>
    </cfRule>
    <cfRule type="cellIs" dxfId="7324" priority="350836" operator="equal">
      <formula>"SI APLICA"</formula>
    </cfRule>
  </conditionalFormatting>
  <conditionalFormatting sqref="AB41:AB46 Y41:Z46">
    <cfRule type="cellIs" dxfId="7323" priority="350841" operator="equal">
      <formula>""</formula>
    </cfRule>
  </conditionalFormatting>
  <conditionalFormatting sqref="H47">
    <cfRule type="containsText" dxfId="7322" priority="29335" stopIfTrue="1" operator="containsText" text="NO CUMPLE">
      <formula>NOT(ISERROR(SEARCH("NO CUMPLE",H47)))</formula>
    </cfRule>
    <cfRule type="containsText" dxfId="7321" priority="29336" stopIfTrue="1" operator="containsText" text="CUMPLE">
      <formula>NOT(ISERROR(SEARCH("CUMPLE",H47)))</formula>
    </cfRule>
  </conditionalFormatting>
  <conditionalFormatting sqref="J47">
    <cfRule type="containsText" dxfId="7320" priority="29333" stopIfTrue="1" operator="containsText" text="NO CUMPLE">
      <formula>NOT(ISERROR(SEARCH("NO CUMPLE",J47)))</formula>
    </cfRule>
    <cfRule type="containsText" dxfId="7319" priority="29334" stopIfTrue="1" operator="containsText" text="CUMPLE">
      <formula>NOT(ISERROR(SEARCH("CUMPLE",J47)))</formula>
    </cfRule>
  </conditionalFormatting>
  <conditionalFormatting sqref="K47">
    <cfRule type="containsText" dxfId="7318" priority="29331" stopIfTrue="1" operator="containsText" text="NO CUMPLE">
      <formula>NOT(ISERROR(SEARCH("NO CUMPLE",K47)))</formula>
    </cfRule>
    <cfRule type="containsText" dxfId="7317" priority="29332" stopIfTrue="1" operator="containsText" text="CUMPLE">
      <formula>NOT(ISERROR(SEARCH("CUMPLE",K47)))</formula>
    </cfRule>
  </conditionalFormatting>
  <conditionalFormatting sqref="L41:L46">
    <cfRule type="containsText" dxfId="7316" priority="29321" stopIfTrue="1" operator="containsText" text="NO CUMPLE">
      <formula>NOT(ISERROR(SEARCH("NO CUMPLE",L41)))</formula>
    </cfRule>
    <cfRule type="containsText" dxfId="7315" priority="29322" stopIfTrue="1" operator="containsText" text="CUMPLE">
      <formula>NOT(ISERROR(SEARCH("CUMPLE",L41)))</formula>
    </cfRule>
  </conditionalFormatting>
  <conditionalFormatting sqref="O46">
    <cfRule type="containsText" dxfId="7314" priority="18569" stopIfTrue="1" operator="containsText" text="NO CUMPLE">
      <formula>NOT(ISERROR(SEARCH("NO CUMPLE",O46)))</formula>
    </cfRule>
    <cfRule type="containsText" dxfId="7313" priority="18570" stopIfTrue="1" operator="containsText" text="CUMPLE">
      <formula>NOT(ISERROR(SEARCH("CUMPLE",O46)))</formula>
    </cfRule>
  </conditionalFormatting>
  <conditionalFormatting sqref="O47:S47">
    <cfRule type="cellIs" dxfId="7312" priority="14895" operator="equal">
      <formula>"EL PROPONENTE SE DEBE REQUERIR POR EXPERIENCIA MINIMA EXIGIDA"</formula>
    </cfRule>
  </conditionalFormatting>
  <conditionalFormatting sqref="X35">
    <cfRule type="cellIs" dxfId="7311" priority="7438" stopIfTrue="1" operator="equal">
      <formula>"VERIFICAR"</formula>
    </cfRule>
    <cfRule type="cellIs" dxfId="7310" priority="7439" stopIfTrue="1" operator="equal">
      <formula>"NO CUMPLE"</formula>
    </cfRule>
    <cfRule type="cellIs" dxfId="7309" priority="7440" stopIfTrue="1" operator="equal">
      <formula>"CUMPLE"</formula>
    </cfRule>
  </conditionalFormatting>
  <conditionalFormatting sqref="X24:Y33 J24:J33">
    <cfRule type="cellIs" dxfId="7308" priority="7437" stopIfTrue="1" operator="greaterThan">
      <formula>0</formula>
    </cfRule>
  </conditionalFormatting>
  <conditionalFormatting sqref="X24:Y33">
    <cfRule type="cellIs" dxfId="7307" priority="7435" operator="equal">
      <formula>"NO CUMPLE"</formula>
    </cfRule>
    <cfRule type="cellIs" dxfId="7306" priority="7436" operator="equal">
      <formula>"CUMPLE"</formula>
    </cfRule>
  </conditionalFormatting>
  <conditionalFormatting sqref="N41:N46">
    <cfRule type="cellIs" dxfId="7305" priority="7388" operator="equal">
      <formula>"NO"</formula>
    </cfRule>
    <cfRule type="cellIs" dxfId="7304" priority="7389" operator="equal">
      <formula>"SI"</formula>
    </cfRule>
  </conditionalFormatting>
  <conditionalFormatting sqref="I33">
    <cfRule type="cellIs" dxfId="7303" priority="7280" stopIfTrue="1" operator="greaterThan">
      <formula>0</formula>
    </cfRule>
  </conditionalFormatting>
  <conditionalFormatting sqref="K27:L33">
    <cfRule type="cellIs" dxfId="7302" priority="7267" operator="equal">
      <formula>0</formula>
    </cfRule>
    <cfRule type="cellIs" dxfId="7301" priority="7268" operator="notBetween">
      <formula>$Q$17</formula>
      <formula>$R$17</formula>
    </cfRule>
  </conditionalFormatting>
  <conditionalFormatting sqref="B24:B33">
    <cfRule type="cellIs" dxfId="7300" priority="7221" stopIfTrue="1" operator="greaterThan">
      <formula>0</formula>
    </cfRule>
  </conditionalFormatting>
  <conditionalFormatting sqref="C24:D24 D25:D26 C25:C33">
    <cfRule type="cellIs" dxfId="7299" priority="7201" stopIfTrue="1" operator="greaterThan">
      <formula>0</formula>
    </cfRule>
  </conditionalFormatting>
  <conditionalFormatting sqref="C24:D24 F24:H26 D25:D26 C25:C33">
    <cfRule type="cellIs" dxfId="7298" priority="7200" stopIfTrue="1" operator="greaterThan">
      <formula>0</formula>
    </cfRule>
  </conditionalFormatting>
  <conditionalFormatting sqref="T24:V26">
    <cfRule type="cellIs" dxfId="7297" priority="7198" stopIfTrue="1" operator="equal">
      <formula>"NO"</formula>
    </cfRule>
    <cfRule type="cellIs" dxfId="7296" priority="7199" stopIfTrue="1" operator="equal">
      <formula>"SI"</formula>
    </cfRule>
  </conditionalFormatting>
  <conditionalFormatting sqref="T24:V25">
    <cfRule type="cellIs" dxfId="7295" priority="7197" stopIfTrue="1" operator="equal">
      <formula>"NO APLICA"</formula>
    </cfRule>
  </conditionalFormatting>
  <conditionalFormatting sqref="T26:U26">
    <cfRule type="cellIs" dxfId="7294" priority="7196" stopIfTrue="1" operator="equal">
      <formula>"NO APLICA"</formula>
    </cfRule>
  </conditionalFormatting>
  <conditionalFormatting sqref="T26:U26">
    <cfRule type="cellIs" dxfId="7293" priority="7195" stopIfTrue="1" operator="equal">
      <formula>"NO APLICA"</formula>
    </cfRule>
  </conditionalFormatting>
  <conditionalFormatting sqref="V26">
    <cfRule type="cellIs" dxfId="7292" priority="7194" stopIfTrue="1" operator="equal">
      <formula>"NO APLICA"</formula>
    </cfRule>
  </conditionalFormatting>
  <conditionalFormatting sqref="K24:L26">
    <cfRule type="cellIs" dxfId="7291" priority="7192" operator="equal">
      <formula>0</formula>
    </cfRule>
    <cfRule type="cellIs" dxfId="7290" priority="7193" operator="notBetween">
      <formula>$Q$17</formula>
      <formula>$R$17</formula>
    </cfRule>
  </conditionalFormatting>
  <conditionalFormatting sqref="F57:H62 D63:H63 I57:I63 C54:D54 K54:O63 F54:I56 D55:D62 C55:C63">
    <cfRule type="cellIs" dxfId="7289" priority="7191" stopIfTrue="1" operator="greaterThan">
      <formula>0</formula>
    </cfRule>
  </conditionalFormatting>
  <conditionalFormatting sqref="D57:D62">
    <cfRule type="cellIs" dxfId="7288" priority="7190" stopIfTrue="1" operator="greaterThan">
      <formula>0</formula>
    </cfRule>
  </conditionalFormatting>
  <conditionalFormatting sqref="D57:D62 F57:H62">
    <cfRule type="cellIs" dxfId="7287" priority="7189" stopIfTrue="1" operator="greaterThan">
      <formula>0</formula>
    </cfRule>
  </conditionalFormatting>
  <conditionalFormatting sqref="H54:H62">
    <cfRule type="cellIs" dxfId="7286" priority="7188" stopIfTrue="1" operator="greaterThan">
      <formula>0</formula>
    </cfRule>
  </conditionalFormatting>
  <conditionalFormatting sqref="E54:E62">
    <cfRule type="cellIs" dxfId="7285" priority="7187" stopIfTrue="1" operator="greaterThan">
      <formula>0</formula>
    </cfRule>
  </conditionalFormatting>
  <conditionalFormatting sqref="M71:M76 K71:K76">
    <cfRule type="containsText" dxfId="7284" priority="7185" stopIfTrue="1" operator="containsText" text="NO CUMPLE">
      <formula>NOT(ISERROR(SEARCH("NO CUMPLE",K71)))</formula>
    </cfRule>
    <cfRule type="containsText" dxfId="7283" priority="7186" stopIfTrue="1" operator="containsText" text="CUMPLE">
      <formula>NOT(ISERROR(SEARCH("CUMPLE",K71)))</formula>
    </cfRule>
  </conditionalFormatting>
  <conditionalFormatting sqref="S70">
    <cfRule type="cellIs" dxfId="7282" priority="7183" operator="greaterThanOrEqual">
      <formula>NUMMINCONT</formula>
    </cfRule>
    <cfRule type="cellIs" dxfId="7281" priority="7184" operator="lessThan">
      <formula>NUMMINCONT</formula>
    </cfRule>
  </conditionalFormatting>
  <conditionalFormatting sqref="T57:V62">
    <cfRule type="cellIs" dxfId="7280" priority="7181" stopIfTrue="1" operator="equal">
      <formula>"NO"</formula>
    </cfRule>
    <cfRule type="cellIs" dxfId="7279" priority="7182" stopIfTrue="1" operator="equal">
      <formula>"SI"</formula>
    </cfRule>
  </conditionalFormatting>
  <conditionalFormatting sqref="T57:V58">
    <cfRule type="cellIs" dxfId="7278" priority="7180" stopIfTrue="1" operator="equal">
      <formula>"NO APLICA"</formula>
    </cfRule>
  </conditionalFormatting>
  <conditionalFormatting sqref="T59:U62">
    <cfRule type="cellIs" dxfId="7277" priority="7179" stopIfTrue="1" operator="equal">
      <formula>"NO APLICA"</formula>
    </cfRule>
  </conditionalFormatting>
  <conditionalFormatting sqref="T59:U59">
    <cfRule type="cellIs" dxfId="7276" priority="7178" stopIfTrue="1" operator="equal">
      <formula>"NO APLICA"</formula>
    </cfRule>
  </conditionalFormatting>
  <conditionalFormatting sqref="V59:V62">
    <cfRule type="cellIs" dxfId="7275" priority="7177" stopIfTrue="1" operator="equal">
      <formula>"NO APLICA"</formula>
    </cfRule>
  </conditionalFormatting>
  <conditionalFormatting sqref="V68:W68">
    <cfRule type="cellIs" dxfId="7274" priority="7175" operator="equal">
      <formula>"CUMPLE"</formula>
    </cfRule>
    <cfRule type="cellIs" dxfId="7273" priority="7176" operator="equal">
      <formula>"NO CUMPLE"</formula>
    </cfRule>
  </conditionalFormatting>
  <conditionalFormatting sqref="V68:W70">
    <cfRule type="cellIs" dxfId="7272" priority="7174" operator="equal">
      <formula>"VERIFICAR"</formula>
    </cfRule>
  </conditionalFormatting>
  <conditionalFormatting sqref="T63:V63">
    <cfRule type="cellIs" dxfId="7271" priority="7172" stopIfTrue="1" operator="equal">
      <formula>"NO"</formula>
    </cfRule>
    <cfRule type="cellIs" dxfId="7270" priority="7173" stopIfTrue="1" operator="equal">
      <formula>"SI"</formula>
    </cfRule>
  </conditionalFormatting>
  <conditionalFormatting sqref="T63:U63">
    <cfRule type="cellIs" dxfId="7269" priority="7171" stopIfTrue="1" operator="equal">
      <formula>"NO APLICA"</formula>
    </cfRule>
  </conditionalFormatting>
  <conditionalFormatting sqref="V63">
    <cfRule type="cellIs" dxfId="7268" priority="7170" stopIfTrue="1" operator="equal">
      <formula>"NO APLICA"</formula>
    </cfRule>
  </conditionalFormatting>
  <conditionalFormatting sqref="T73">
    <cfRule type="cellIs" dxfId="7267" priority="7168" operator="equal">
      <formula>"CUMPLE"</formula>
    </cfRule>
    <cfRule type="cellIs" dxfId="7266" priority="7169" operator="equal">
      <formula>"NO CUMPLE"</formula>
    </cfRule>
  </conditionalFormatting>
  <conditionalFormatting sqref="T73">
    <cfRule type="cellIs" dxfId="7265" priority="7167" operator="equal">
      <formula>"VERIFICAR"</formula>
    </cfRule>
  </conditionalFormatting>
  <conditionalFormatting sqref="Y71:Y76">
    <cfRule type="cellIs" dxfId="7264" priority="7166" stopIfTrue="1" operator="equal">
      <formula>"NO APLICA"</formula>
    </cfRule>
  </conditionalFormatting>
  <conditionalFormatting sqref="Y76">
    <cfRule type="cellIs" dxfId="7263" priority="7165" stopIfTrue="1" operator="equal">
      <formula>"NO APLICA"</formula>
    </cfRule>
  </conditionalFormatting>
  <conditionalFormatting sqref="X71:Y76">
    <cfRule type="cellIs" dxfId="7262" priority="7163" stopIfTrue="1" operator="equal">
      <formula>"NO"</formula>
    </cfRule>
    <cfRule type="cellIs" dxfId="7261" priority="7164" stopIfTrue="1" operator="equal">
      <formula>"SI"</formula>
    </cfRule>
  </conditionalFormatting>
  <conditionalFormatting sqref="X71:X76">
    <cfRule type="cellIs" dxfId="7260" priority="7162" stopIfTrue="1" operator="equal">
      <formula>"NO APLICA"</formula>
    </cfRule>
  </conditionalFormatting>
  <conditionalFormatting sqref="X72:X75">
    <cfRule type="cellIs" dxfId="7259" priority="7161" stopIfTrue="1" operator="equal">
      <formula>"NO APLICA"</formula>
    </cfRule>
  </conditionalFormatting>
  <conditionalFormatting sqref="X72">
    <cfRule type="cellIs" dxfId="7258" priority="7160" stopIfTrue="1" operator="equal">
      <formula>"NO APLICA"</formula>
    </cfRule>
  </conditionalFormatting>
  <conditionalFormatting sqref="X76">
    <cfRule type="cellIs" dxfId="7257" priority="7159" stopIfTrue="1" operator="equal">
      <formula>"NO APLICA"</formula>
    </cfRule>
  </conditionalFormatting>
  <conditionalFormatting sqref="X76">
    <cfRule type="cellIs" dxfId="7256" priority="7158" stopIfTrue="1" operator="equal">
      <formula>"NO APLICA"</formula>
    </cfRule>
  </conditionalFormatting>
  <conditionalFormatting sqref="AA71:AA76">
    <cfRule type="cellIs" dxfId="7255" priority="7157" stopIfTrue="1" operator="equal">
      <formula>"NO APLICA"</formula>
    </cfRule>
  </conditionalFormatting>
  <conditionalFormatting sqref="AA76">
    <cfRule type="cellIs" dxfId="7254" priority="7156" stopIfTrue="1" operator="equal">
      <formula>"NO APLICA"</formula>
    </cfRule>
  </conditionalFormatting>
  <conditionalFormatting sqref="AA71:AA76">
    <cfRule type="cellIs" dxfId="7253" priority="7154" stopIfTrue="1" operator="equal">
      <formula>"NO"</formula>
    </cfRule>
    <cfRule type="cellIs" dxfId="7252" priority="7155" stopIfTrue="1" operator="equal">
      <formula>"SI"</formula>
    </cfRule>
  </conditionalFormatting>
  <conditionalFormatting sqref="Y71:Z76">
    <cfRule type="cellIs" dxfId="7251" priority="7152" operator="equal">
      <formula>"NO APLICA"</formula>
    </cfRule>
    <cfRule type="cellIs" dxfId="7250" priority="7153" operator="equal">
      <formula>"SI APLICA"</formula>
    </cfRule>
  </conditionalFormatting>
  <conditionalFormatting sqref="AB71:AB77">
    <cfRule type="cellIs" dxfId="7249" priority="7150" operator="equal">
      <formula>"NO APLICA"</formula>
    </cfRule>
    <cfRule type="cellIs" dxfId="7248" priority="7151" operator="equal">
      <formula>"SI APLICA"</formula>
    </cfRule>
  </conditionalFormatting>
  <conditionalFormatting sqref="X77">
    <cfRule type="cellIs" dxfId="7247" priority="7148" operator="equal">
      <formula>"PROPONENTE PLURAL"</formula>
    </cfRule>
    <cfRule type="cellIs" dxfId="7246" priority="7149" operator="equal">
      <formula>"PROPONENTE INDIVIDUAL"</formula>
    </cfRule>
  </conditionalFormatting>
  <conditionalFormatting sqref="Z77:AA77 AA71:AA76">
    <cfRule type="cellIs" dxfId="7245" priority="7146" operator="equal">
      <formula>"NO APLICA"</formula>
    </cfRule>
    <cfRule type="cellIs" dxfId="7244" priority="7147" operator="equal">
      <formula>"SI APLICA"</formula>
    </cfRule>
  </conditionalFormatting>
  <conditionalFormatting sqref="AB71:AB76 Y71:Z76">
    <cfRule type="cellIs" dxfId="7243" priority="7145" operator="equal">
      <formula>""</formula>
    </cfRule>
  </conditionalFormatting>
  <conditionalFormatting sqref="H77">
    <cfRule type="containsText" dxfId="7242" priority="7143" stopIfTrue="1" operator="containsText" text="NO CUMPLE">
      <formula>NOT(ISERROR(SEARCH("NO CUMPLE",H77)))</formula>
    </cfRule>
    <cfRule type="containsText" dxfId="7241" priority="7144" stopIfTrue="1" operator="containsText" text="CUMPLE">
      <formula>NOT(ISERROR(SEARCH("CUMPLE",H77)))</formula>
    </cfRule>
  </conditionalFormatting>
  <conditionalFormatting sqref="J77">
    <cfRule type="containsText" dxfId="7240" priority="7141" stopIfTrue="1" operator="containsText" text="NO CUMPLE">
      <formula>NOT(ISERROR(SEARCH("NO CUMPLE",J77)))</formula>
    </cfRule>
    <cfRule type="containsText" dxfId="7239" priority="7142" stopIfTrue="1" operator="containsText" text="CUMPLE">
      <formula>NOT(ISERROR(SEARCH("CUMPLE",J77)))</formula>
    </cfRule>
  </conditionalFormatting>
  <conditionalFormatting sqref="K77">
    <cfRule type="containsText" dxfId="7238" priority="7139" stopIfTrue="1" operator="containsText" text="NO CUMPLE">
      <formula>NOT(ISERROR(SEARCH("NO CUMPLE",K77)))</formula>
    </cfRule>
    <cfRule type="containsText" dxfId="7237" priority="7140" stopIfTrue="1" operator="containsText" text="CUMPLE">
      <formula>NOT(ISERROR(SEARCH("CUMPLE",K77)))</formula>
    </cfRule>
  </conditionalFormatting>
  <conditionalFormatting sqref="L71:L76">
    <cfRule type="containsText" dxfId="7236" priority="7137" stopIfTrue="1" operator="containsText" text="NO CUMPLE">
      <formula>NOT(ISERROR(SEARCH("NO CUMPLE",L71)))</formula>
    </cfRule>
    <cfRule type="containsText" dxfId="7235" priority="7138" stopIfTrue="1" operator="containsText" text="CUMPLE">
      <formula>NOT(ISERROR(SEARCH("CUMPLE",L71)))</formula>
    </cfRule>
  </conditionalFormatting>
  <conditionalFormatting sqref="O76">
    <cfRule type="containsText" dxfId="7234" priority="7135" stopIfTrue="1" operator="containsText" text="NO CUMPLE">
      <formula>NOT(ISERROR(SEARCH("NO CUMPLE",O76)))</formula>
    </cfRule>
    <cfRule type="containsText" dxfId="7233" priority="7136" stopIfTrue="1" operator="containsText" text="CUMPLE">
      <formula>NOT(ISERROR(SEARCH("CUMPLE",O76)))</formula>
    </cfRule>
  </conditionalFormatting>
  <conditionalFormatting sqref="O77:S77">
    <cfRule type="cellIs" dxfId="7232" priority="7134" operator="equal">
      <formula>"EL PROPONENTE SE DEBE REQUERIR POR EXPERIENCIA MINIMA EXIGIDA"</formula>
    </cfRule>
  </conditionalFormatting>
  <conditionalFormatting sqref="X65">
    <cfRule type="cellIs" dxfId="7231" priority="7131" stopIfTrue="1" operator="equal">
      <formula>"VERIFICAR"</formula>
    </cfRule>
    <cfRule type="cellIs" dxfId="7230" priority="7132" stopIfTrue="1" operator="equal">
      <formula>"NO CUMPLE"</formula>
    </cfRule>
    <cfRule type="cellIs" dxfId="7229" priority="7133" stopIfTrue="1" operator="equal">
      <formula>"CUMPLE"</formula>
    </cfRule>
  </conditionalFormatting>
  <conditionalFormatting sqref="X54:Y63 J54:J63">
    <cfRule type="cellIs" dxfId="7228" priority="7130" stopIfTrue="1" operator="greaterThan">
      <formula>0</formula>
    </cfRule>
  </conditionalFormatting>
  <conditionalFormatting sqref="X54:Y63">
    <cfRule type="cellIs" dxfId="7227" priority="7128" operator="equal">
      <formula>"NO CUMPLE"</formula>
    </cfRule>
    <cfRule type="cellIs" dxfId="7226" priority="7129" operator="equal">
      <formula>"CUMPLE"</formula>
    </cfRule>
  </conditionalFormatting>
  <conditionalFormatting sqref="N71:N76">
    <cfRule type="cellIs" dxfId="7225" priority="7126" operator="equal">
      <formula>"NO"</formula>
    </cfRule>
    <cfRule type="cellIs" dxfId="7224" priority="7127" operator="equal">
      <formula>"SI"</formula>
    </cfRule>
  </conditionalFormatting>
  <conditionalFormatting sqref="I63">
    <cfRule type="cellIs" dxfId="7223" priority="7125" stopIfTrue="1" operator="greaterThan">
      <formula>0</formula>
    </cfRule>
  </conditionalFormatting>
  <conditionalFormatting sqref="K57:L63">
    <cfRule type="cellIs" dxfId="7222" priority="7123" operator="equal">
      <formula>0</formula>
    </cfRule>
    <cfRule type="cellIs" dxfId="7221" priority="7124" operator="notBetween">
      <formula>$Q$17</formula>
      <formula>$R$17</formula>
    </cfRule>
  </conditionalFormatting>
  <conditionalFormatting sqref="B54:B63">
    <cfRule type="cellIs" dxfId="7220" priority="7122" stopIfTrue="1" operator="greaterThan">
      <formula>0</formula>
    </cfRule>
  </conditionalFormatting>
  <conditionalFormatting sqref="C54:D54 D55:D56 C55:C63">
    <cfRule type="cellIs" dxfId="7219" priority="7121" stopIfTrue="1" operator="greaterThan">
      <formula>0</formula>
    </cfRule>
  </conditionalFormatting>
  <conditionalFormatting sqref="C54:D54 F54:H56 D55:D56 C55:C63">
    <cfRule type="cellIs" dxfId="7218" priority="7120" stopIfTrue="1" operator="greaterThan">
      <formula>0</formula>
    </cfRule>
  </conditionalFormatting>
  <conditionalFormatting sqref="T54:V56">
    <cfRule type="cellIs" dxfId="7217" priority="7118" stopIfTrue="1" operator="equal">
      <formula>"NO"</formula>
    </cfRule>
    <cfRule type="cellIs" dxfId="7216" priority="7119" stopIfTrue="1" operator="equal">
      <formula>"SI"</formula>
    </cfRule>
  </conditionalFormatting>
  <conditionalFormatting sqref="T54:V55">
    <cfRule type="cellIs" dxfId="7215" priority="7117" stopIfTrue="1" operator="equal">
      <formula>"NO APLICA"</formula>
    </cfRule>
  </conditionalFormatting>
  <conditionalFormatting sqref="T56:U56">
    <cfRule type="cellIs" dxfId="7214" priority="7116" stopIfTrue="1" operator="equal">
      <formula>"NO APLICA"</formula>
    </cfRule>
  </conditionalFormatting>
  <conditionalFormatting sqref="T56:U56">
    <cfRule type="cellIs" dxfId="7213" priority="7115" stopIfTrue="1" operator="equal">
      <formula>"NO APLICA"</formula>
    </cfRule>
  </conditionalFormatting>
  <conditionalFormatting sqref="V56">
    <cfRule type="cellIs" dxfId="7212" priority="7114" stopIfTrue="1" operator="equal">
      <formula>"NO APLICA"</formula>
    </cfRule>
  </conditionalFormatting>
  <conditionalFormatting sqref="K54:L56">
    <cfRule type="cellIs" dxfId="7211" priority="7112" operator="equal">
      <formula>0</formula>
    </cfRule>
    <cfRule type="cellIs" dxfId="7210" priority="7113" operator="notBetween">
      <formula>$Q$17</formula>
      <formula>$R$17</formula>
    </cfRule>
  </conditionalFormatting>
  <conditionalFormatting sqref="F87:H92 D93:H93 I87:I93 C84:D84 K84:O93 F84:I86 D85:D92 C85:C93">
    <cfRule type="cellIs" dxfId="7209" priority="7111" stopIfTrue="1" operator="greaterThan">
      <formula>0</formula>
    </cfRule>
  </conditionalFormatting>
  <conditionalFormatting sqref="D87:D92">
    <cfRule type="cellIs" dxfId="7208" priority="7110" stopIfTrue="1" operator="greaterThan">
      <formula>0</formula>
    </cfRule>
  </conditionalFormatting>
  <conditionalFormatting sqref="D87:D92 F87:H92">
    <cfRule type="cellIs" dxfId="7207" priority="7109" stopIfTrue="1" operator="greaterThan">
      <formula>0</formula>
    </cfRule>
  </conditionalFormatting>
  <conditionalFormatting sqref="H84:H92">
    <cfRule type="cellIs" dxfId="7206" priority="7108" stopIfTrue="1" operator="greaterThan">
      <formula>0</formula>
    </cfRule>
  </conditionalFormatting>
  <conditionalFormatting sqref="E84:E92">
    <cfRule type="cellIs" dxfId="7205" priority="7107" stopIfTrue="1" operator="greaterThan">
      <formula>0</formula>
    </cfRule>
  </conditionalFormatting>
  <conditionalFormatting sqref="M101:M106 K101:K106">
    <cfRule type="containsText" dxfId="7204" priority="7105" stopIfTrue="1" operator="containsText" text="NO CUMPLE">
      <formula>NOT(ISERROR(SEARCH("NO CUMPLE",K101)))</formula>
    </cfRule>
    <cfRule type="containsText" dxfId="7203" priority="7106" stopIfTrue="1" operator="containsText" text="CUMPLE">
      <formula>NOT(ISERROR(SEARCH("CUMPLE",K101)))</formula>
    </cfRule>
  </conditionalFormatting>
  <conditionalFormatting sqref="S100">
    <cfRule type="cellIs" dxfId="7202" priority="7103" operator="greaterThanOrEqual">
      <formula>NUMMINCONT</formula>
    </cfRule>
    <cfRule type="cellIs" dxfId="7201" priority="7104" operator="lessThan">
      <formula>NUMMINCONT</formula>
    </cfRule>
  </conditionalFormatting>
  <conditionalFormatting sqref="T87:V92">
    <cfRule type="cellIs" dxfId="7200" priority="7101" stopIfTrue="1" operator="equal">
      <formula>"NO"</formula>
    </cfRule>
    <cfRule type="cellIs" dxfId="7199" priority="7102" stopIfTrue="1" operator="equal">
      <formula>"SI"</formula>
    </cfRule>
  </conditionalFormatting>
  <conditionalFormatting sqref="T87:V88">
    <cfRule type="cellIs" dxfId="7198" priority="7100" stopIfTrue="1" operator="equal">
      <formula>"NO APLICA"</formula>
    </cfRule>
  </conditionalFormatting>
  <conditionalFormatting sqref="T89:U92">
    <cfRule type="cellIs" dxfId="7197" priority="7099" stopIfTrue="1" operator="equal">
      <formula>"NO APLICA"</formula>
    </cfRule>
  </conditionalFormatting>
  <conditionalFormatting sqref="T89:U89">
    <cfRule type="cellIs" dxfId="7196" priority="7098" stopIfTrue="1" operator="equal">
      <formula>"NO APLICA"</formula>
    </cfRule>
  </conditionalFormatting>
  <conditionalFormatting sqref="V89:V92">
    <cfRule type="cellIs" dxfId="7195" priority="7097" stopIfTrue="1" operator="equal">
      <formula>"NO APLICA"</formula>
    </cfRule>
  </conditionalFormatting>
  <conditionalFormatting sqref="V98:W98">
    <cfRule type="cellIs" dxfId="7194" priority="7095" operator="equal">
      <formula>"CUMPLE"</formula>
    </cfRule>
    <cfRule type="cellIs" dxfId="7193" priority="7096" operator="equal">
      <formula>"NO CUMPLE"</formula>
    </cfRule>
  </conditionalFormatting>
  <conditionalFormatting sqref="V98:W100">
    <cfRule type="cellIs" dxfId="7192" priority="7094" operator="equal">
      <formula>"VERIFICAR"</formula>
    </cfRule>
  </conditionalFormatting>
  <conditionalFormatting sqref="T93:V93">
    <cfRule type="cellIs" dxfId="7191" priority="7092" stopIfTrue="1" operator="equal">
      <formula>"NO"</formula>
    </cfRule>
    <cfRule type="cellIs" dxfId="7190" priority="7093" stopIfTrue="1" operator="equal">
      <formula>"SI"</formula>
    </cfRule>
  </conditionalFormatting>
  <conditionalFormatting sqref="T93:U93">
    <cfRule type="cellIs" dxfId="7189" priority="7091" stopIfTrue="1" operator="equal">
      <formula>"NO APLICA"</formula>
    </cfRule>
  </conditionalFormatting>
  <conditionalFormatting sqref="V93">
    <cfRule type="cellIs" dxfId="7188" priority="7090" stopIfTrue="1" operator="equal">
      <formula>"NO APLICA"</formula>
    </cfRule>
  </conditionalFormatting>
  <conditionalFormatting sqref="T103">
    <cfRule type="cellIs" dxfId="7187" priority="7088" operator="equal">
      <formula>"CUMPLE"</formula>
    </cfRule>
    <cfRule type="cellIs" dxfId="7186" priority="7089" operator="equal">
      <formula>"NO CUMPLE"</formula>
    </cfRule>
  </conditionalFormatting>
  <conditionalFormatting sqref="T103">
    <cfRule type="cellIs" dxfId="7185" priority="7087" operator="equal">
      <formula>"VERIFICAR"</formula>
    </cfRule>
  </conditionalFormatting>
  <conditionalFormatting sqref="Y101:Y106">
    <cfRule type="cellIs" dxfId="7184" priority="7086" stopIfTrue="1" operator="equal">
      <formula>"NO APLICA"</formula>
    </cfRule>
  </conditionalFormatting>
  <conditionalFormatting sqref="Y106">
    <cfRule type="cellIs" dxfId="7183" priority="7085" stopIfTrue="1" operator="equal">
      <formula>"NO APLICA"</formula>
    </cfRule>
  </conditionalFormatting>
  <conditionalFormatting sqref="X101:Y106">
    <cfRule type="cellIs" dxfId="7182" priority="7083" stopIfTrue="1" operator="equal">
      <formula>"NO"</formula>
    </cfRule>
    <cfRule type="cellIs" dxfId="7181" priority="7084" stopIfTrue="1" operator="equal">
      <formula>"SI"</formula>
    </cfRule>
  </conditionalFormatting>
  <conditionalFormatting sqref="X101:X106">
    <cfRule type="cellIs" dxfId="7180" priority="7082" stopIfTrue="1" operator="equal">
      <formula>"NO APLICA"</formula>
    </cfRule>
  </conditionalFormatting>
  <conditionalFormatting sqref="X102:X105">
    <cfRule type="cellIs" dxfId="7179" priority="7081" stopIfTrue="1" operator="equal">
      <formula>"NO APLICA"</formula>
    </cfRule>
  </conditionalFormatting>
  <conditionalFormatting sqref="X102">
    <cfRule type="cellIs" dxfId="7178" priority="7080" stopIfTrue="1" operator="equal">
      <formula>"NO APLICA"</formula>
    </cfRule>
  </conditionalFormatting>
  <conditionalFormatting sqref="X106">
    <cfRule type="cellIs" dxfId="7177" priority="7079" stopIfTrue="1" operator="equal">
      <formula>"NO APLICA"</formula>
    </cfRule>
  </conditionalFormatting>
  <conditionalFormatting sqref="X106">
    <cfRule type="cellIs" dxfId="7176" priority="7078" stopIfTrue="1" operator="equal">
      <formula>"NO APLICA"</formula>
    </cfRule>
  </conditionalFormatting>
  <conditionalFormatting sqref="AA101:AA106">
    <cfRule type="cellIs" dxfId="7175" priority="7077" stopIfTrue="1" operator="equal">
      <formula>"NO APLICA"</formula>
    </cfRule>
  </conditionalFormatting>
  <conditionalFormatting sqref="AA106">
    <cfRule type="cellIs" dxfId="7174" priority="7076" stopIfTrue="1" operator="equal">
      <formula>"NO APLICA"</formula>
    </cfRule>
  </conditionalFormatting>
  <conditionalFormatting sqref="AA101:AA106">
    <cfRule type="cellIs" dxfId="7173" priority="7074" stopIfTrue="1" operator="equal">
      <formula>"NO"</formula>
    </cfRule>
    <cfRule type="cellIs" dxfId="7172" priority="7075" stopIfTrue="1" operator="equal">
      <formula>"SI"</formula>
    </cfRule>
  </conditionalFormatting>
  <conditionalFormatting sqref="Y101:Z106">
    <cfRule type="cellIs" dxfId="7171" priority="7072" operator="equal">
      <formula>"NO APLICA"</formula>
    </cfRule>
    <cfRule type="cellIs" dxfId="7170" priority="7073" operator="equal">
      <formula>"SI APLICA"</formula>
    </cfRule>
  </conditionalFormatting>
  <conditionalFormatting sqref="AB101:AB107">
    <cfRule type="cellIs" dxfId="7169" priority="7070" operator="equal">
      <formula>"NO APLICA"</formula>
    </cfRule>
    <cfRule type="cellIs" dxfId="7168" priority="7071" operator="equal">
      <formula>"SI APLICA"</formula>
    </cfRule>
  </conditionalFormatting>
  <conditionalFormatting sqref="X107">
    <cfRule type="cellIs" dxfId="7167" priority="7068" operator="equal">
      <formula>"PROPONENTE PLURAL"</formula>
    </cfRule>
    <cfRule type="cellIs" dxfId="7166" priority="7069" operator="equal">
      <formula>"PROPONENTE INDIVIDUAL"</formula>
    </cfRule>
  </conditionalFormatting>
  <conditionalFormatting sqref="Z107:AA107 AA101:AA106">
    <cfRule type="cellIs" dxfId="7165" priority="7066" operator="equal">
      <formula>"NO APLICA"</formula>
    </cfRule>
    <cfRule type="cellIs" dxfId="7164" priority="7067" operator="equal">
      <formula>"SI APLICA"</formula>
    </cfRule>
  </conditionalFormatting>
  <conditionalFormatting sqref="AB101:AB106 Y101:Z106">
    <cfRule type="cellIs" dxfId="7163" priority="7065" operator="equal">
      <formula>""</formula>
    </cfRule>
  </conditionalFormatting>
  <conditionalFormatting sqref="H107">
    <cfRule type="containsText" dxfId="7162" priority="7063" stopIfTrue="1" operator="containsText" text="NO CUMPLE">
      <formula>NOT(ISERROR(SEARCH("NO CUMPLE",H107)))</formula>
    </cfRule>
    <cfRule type="containsText" dxfId="7161" priority="7064" stopIfTrue="1" operator="containsText" text="CUMPLE">
      <formula>NOT(ISERROR(SEARCH("CUMPLE",H107)))</formula>
    </cfRule>
  </conditionalFormatting>
  <conditionalFormatting sqref="J107">
    <cfRule type="containsText" dxfId="7160" priority="7061" stopIfTrue="1" operator="containsText" text="NO CUMPLE">
      <formula>NOT(ISERROR(SEARCH("NO CUMPLE",J107)))</formula>
    </cfRule>
    <cfRule type="containsText" dxfId="7159" priority="7062" stopIfTrue="1" operator="containsText" text="CUMPLE">
      <formula>NOT(ISERROR(SEARCH("CUMPLE",J107)))</formula>
    </cfRule>
  </conditionalFormatting>
  <conditionalFormatting sqref="K107">
    <cfRule type="containsText" dxfId="7158" priority="7059" stopIfTrue="1" operator="containsText" text="NO CUMPLE">
      <formula>NOT(ISERROR(SEARCH("NO CUMPLE",K107)))</formula>
    </cfRule>
    <cfRule type="containsText" dxfId="7157" priority="7060" stopIfTrue="1" operator="containsText" text="CUMPLE">
      <formula>NOT(ISERROR(SEARCH("CUMPLE",K107)))</formula>
    </cfRule>
  </conditionalFormatting>
  <conditionalFormatting sqref="L101:L106">
    <cfRule type="containsText" dxfId="7156" priority="7057" stopIfTrue="1" operator="containsText" text="NO CUMPLE">
      <formula>NOT(ISERROR(SEARCH("NO CUMPLE",L101)))</formula>
    </cfRule>
    <cfRule type="containsText" dxfId="7155" priority="7058" stopIfTrue="1" operator="containsText" text="CUMPLE">
      <formula>NOT(ISERROR(SEARCH("CUMPLE",L101)))</formula>
    </cfRule>
  </conditionalFormatting>
  <conditionalFormatting sqref="O106">
    <cfRule type="containsText" dxfId="7154" priority="7055" stopIfTrue="1" operator="containsText" text="NO CUMPLE">
      <formula>NOT(ISERROR(SEARCH("NO CUMPLE",O106)))</formula>
    </cfRule>
    <cfRule type="containsText" dxfId="7153" priority="7056" stopIfTrue="1" operator="containsText" text="CUMPLE">
      <formula>NOT(ISERROR(SEARCH("CUMPLE",O106)))</formula>
    </cfRule>
  </conditionalFormatting>
  <conditionalFormatting sqref="O107:S107">
    <cfRule type="cellIs" dxfId="7152" priority="7054" operator="equal">
      <formula>"EL PROPONENTE SE DEBE REQUERIR POR EXPERIENCIA MINIMA EXIGIDA"</formula>
    </cfRule>
  </conditionalFormatting>
  <conditionalFormatting sqref="X95">
    <cfRule type="cellIs" dxfId="7151" priority="7051" stopIfTrue="1" operator="equal">
      <formula>"VERIFICAR"</formula>
    </cfRule>
    <cfRule type="cellIs" dxfId="7150" priority="7052" stopIfTrue="1" operator="equal">
      <formula>"NO CUMPLE"</formula>
    </cfRule>
    <cfRule type="cellIs" dxfId="7149" priority="7053" stopIfTrue="1" operator="equal">
      <formula>"CUMPLE"</formula>
    </cfRule>
  </conditionalFormatting>
  <conditionalFormatting sqref="X84:Y93 J84:J93">
    <cfRule type="cellIs" dxfId="7148" priority="7050" stopIfTrue="1" operator="greaterThan">
      <formula>0</formula>
    </cfRule>
  </conditionalFormatting>
  <conditionalFormatting sqref="X84:Y93">
    <cfRule type="cellIs" dxfId="7147" priority="7048" operator="equal">
      <formula>"NO CUMPLE"</formula>
    </cfRule>
    <cfRule type="cellIs" dxfId="7146" priority="7049" operator="equal">
      <formula>"CUMPLE"</formula>
    </cfRule>
  </conditionalFormatting>
  <conditionalFormatting sqref="N101:N106">
    <cfRule type="cellIs" dxfId="7145" priority="7046" operator="equal">
      <formula>"NO"</formula>
    </cfRule>
    <cfRule type="cellIs" dxfId="7144" priority="7047" operator="equal">
      <formula>"SI"</formula>
    </cfRule>
  </conditionalFormatting>
  <conditionalFormatting sqref="I93">
    <cfRule type="cellIs" dxfId="7143" priority="7045" stopIfTrue="1" operator="greaterThan">
      <formula>0</formula>
    </cfRule>
  </conditionalFormatting>
  <conditionalFormatting sqref="K87:L93">
    <cfRule type="cellIs" dxfId="7142" priority="7043" operator="equal">
      <formula>0</formula>
    </cfRule>
    <cfRule type="cellIs" dxfId="7141" priority="7044" operator="notBetween">
      <formula>$Q$17</formula>
      <formula>$R$17</formula>
    </cfRule>
  </conditionalFormatting>
  <conditionalFormatting sqref="B84:B93">
    <cfRule type="cellIs" dxfId="7140" priority="7042" stopIfTrue="1" operator="greaterThan">
      <formula>0</formula>
    </cfRule>
  </conditionalFormatting>
  <conditionalFormatting sqref="C84:D84 D85:D86 C85:C93">
    <cfRule type="cellIs" dxfId="7139" priority="7041" stopIfTrue="1" operator="greaterThan">
      <formula>0</formula>
    </cfRule>
  </conditionalFormatting>
  <conditionalFormatting sqref="C84:D84 F84:H86 D85:D86 C85:C93">
    <cfRule type="cellIs" dxfId="7138" priority="7040" stopIfTrue="1" operator="greaterThan">
      <formula>0</formula>
    </cfRule>
  </conditionalFormatting>
  <conditionalFormatting sqref="T84:V86">
    <cfRule type="cellIs" dxfId="7137" priority="7038" stopIfTrue="1" operator="equal">
      <formula>"NO"</formula>
    </cfRule>
    <cfRule type="cellIs" dxfId="7136" priority="7039" stopIfTrue="1" operator="equal">
      <formula>"SI"</formula>
    </cfRule>
  </conditionalFormatting>
  <conditionalFormatting sqref="T84:V85">
    <cfRule type="cellIs" dxfId="7135" priority="7037" stopIfTrue="1" operator="equal">
      <formula>"NO APLICA"</formula>
    </cfRule>
  </conditionalFormatting>
  <conditionalFormatting sqref="T86:U86">
    <cfRule type="cellIs" dxfId="7134" priority="7036" stopIfTrue="1" operator="equal">
      <formula>"NO APLICA"</formula>
    </cfRule>
  </conditionalFormatting>
  <conditionalFormatting sqref="T86:U86">
    <cfRule type="cellIs" dxfId="7133" priority="7035" stopIfTrue="1" operator="equal">
      <formula>"NO APLICA"</formula>
    </cfRule>
  </conditionalFormatting>
  <conditionalFormatting sqref="V86">
    <cfRule type="cellIs" dxfId="7132" priority="7034" stopIfTrue="1" operator="equal">
      <formula>"NO APLICA"</formula>
    </cfRule>
  </conditionalFormatting>
  <conditionalFormatting sqref="K84:L86">
    <cfRule type="cellIs" dxfId="7131" priority="7032" operator="equal">
      <formula>0</formula>
    </cfRule>
    <cfRule type="cellIs" dxfId="7130" priority="7033" operator="notBetween">
      <formula>$Q$17</formula>
      <formula>$R$17</formula>
    </cfRule>
  </conditionalFormatting>
  <conditionalFormatting sqref="F117:H122 D123:H123 I117:I123 C114:D114 K114:O123 D115:D122 C115:C123 F114:I116">
    <cfRule type="cellIs" dxfId="7129" priority="7031" stopIfTrue="1" operator="greaterThan">
      <formula>0</formula>
    </cfRule>
  </conditionalFormatting>
  <conditionalFormatting sqref="D117:D122">
    <cfRule type="cellIs" dxfId="7128" priority="7030" stopIfTrue="1" operator="greaterThan">
      <formula>0</formula>
    </cfRule>
  </conditionalFormatting>
  <conditionalFormatting sqref="D117:D122 F117:H122">
    <cfRule type="cellIs" dxfId="7127" priority="7029" stopIfTrue="1" operator="greaterThan">
      <formula>0</formula>
    </cfRule>
  </conditionalFormatting>
  <conditionalFormatting sqref="H114:H122">
    <cfRule type="cellIs" dxfId="7126" priority="7028" stopIfTrue="1" operator="greaterThan">
      <formula>0</formula>
    </cfRule>
  </conditionalFormatting>
  <conditionalFormatting sqref="E114:E122">
    <cfRule type="cellIs" dxfId="7125" priority="7027" stopIfTrue="1" operator="greaterThan">
      <formula>0</formula>
    </cfRule>
  </conditionalFormatting>
  <conditionalFormatting sqref="M131:M136 K131:K136">
    <cfRule type="containsText" dxfId="7124" priority="7025" stopIfTrue="1" operator="containsText" text="NO CUMPLE">
      <formula>NOT(ISERROR(SEARCH("NO CUMPLE",K131)))</formula>
    </cfRule>
    <cfRule type="containsText" dxfId="7123" priority="7026" stopIfTrue="1" operator="containsText" text="CUMPLE">
      <formula>NOT(ISERROR(SEARCH("CUMPLE",K131)))</formula>
    </cfRule>
  </conditionalFormatting>
  <conditionalFormatting sqref="S130">
    <cfRule type="cellIs" dxfId="7122" priority="7023" operator="greaterThanOrEqual">
      <formula>NUMMINCONT</formula>
    </cfRule>
    <cfRule type="cellIs" dxfId="7121" priority="7024" operator="lessThan">
      <formula>NUMMINCONT</formula>
    </cfRule>
  </conditionalFormatting>
  <conditionalFormatting sqref="T117:V122">
    <cfRule type="cellIs" dxfId="7120" priority="7021" stopIfTrue="1" operator="equal">
      <formula>"NO"</formula>
    </cfRule>
    <cfRule type="cellIs" dxfId="7119" priority="7022" stopIfTrue="1" operator="equal">
      <formula>"SI"</formula>
    </cfRule>
  </conditionalFormatting>
  <conditionalFormatting sqref="T117:V118">
    <cfRule type="cellIs" dxfId="7118" priority="7020" stopIfTrue="1" operator="equal">
      <formula>"NO APLICA"</formula>
    </cfRule>
  </conditionalFormatting>
  <conditionalFormatting sqref="T119:U122">
    <cfRule type="cellIs" dxfId="7117" priority="7019" stopIfTrue="1" operator="equal">
      <formula>"NO APLICA"</formula>
    </cfRule>
  </conditionalFormatting>
  <conditionalFormatting sqref="T119:U119">
    <cfRule type="cellIs" dxfId="7116" priority="7018" stopIfTrue="1" operator="equal">
      <formula>"NO APLICA"</formula>
    </cfRule>
  </conditionalFormatting>
  <conditionalFormatting sqref="V119:V122">
    <cfRule type="cellIs" dxfId="7115" priority="7017" stopIfTrue="1" operator="equal">
      <formula>"NO APLICA"</formula>
    </cfRule>
  </conditionalFormatting>
  <conditionalFormatting sqref="V128:W128">
    <cfRule type="cellIs" dxfId="7114" priority="7015" operator="equal">
      <formula>"CUMPLE"</formula>
    </cfRule>
    <cfRule type="cellIs" dxfId="7113" priority="7016" operator="equal">
      <formula>"NO CUMPLE"</formula>
    </cfRule>
  </conditionalFormatting>
  <conditionalFormatting sqref="V128:W130">
    <cfRule type="cellIs" dxfId="7112" priority="7014" operator="equal">
      <formula>"VERIFICAR"</formula>
    </cfRule>
  </conditionalFormatting>
  <conditionalFormatting sqref="T123:V123">
    <cfRule type="cellIs" dxfId="7111" priority="7012" stopIfTrue="1" operator="equal">
      <formula>"NO"</formula>
    </cfRule>
    <cfRule type="cellIs" dxfId="7110" priority="7013" stopIfTrue="1" operator="equal">
      <formula>"SI"</formula>
    </cfRule>
  </conditionalFormatting>
  <conditionalFormatting sqref="T123:U123">
    <cfRule type="cellIs" dxfId="7109" priority="7011" stopIfTrue="1" operator="equal">
      <formula>"NO APLICA"</formula>
    </cfRule>
  </conditionalFormatting>
  <conditionalFormatting sqref="V123">
    <cfRule type="cellIs" dxfId="7108" priority="7010" stopIfTrue="1" operator="equal">
      <formula>"NO APLICA"</formula>
    </cfRule>
  </conditionalFormatting>
  <conditionalFormatting sqref="T133">
    <cfRule type="cellIs" dxfId="7107" priority="7008" operator="equal">
      <formula>"CUMPLE"</formula>
    </cfRule>
    <cfRule type="cellIs" dxfId="7106" priority="7009" operator="equal">
      <formula>"NO CUMPLE"</formula>
    </cfRule>
  </conditionalFormatting>
  <conditionalFormatting sqref="T133">
    <cfRule type="cellIs" dxfId="7105" priority="7007" operator="equal">
      <formula>"VERIFICAR"</formula>
    </cfRule>
  </conditionalFormatting>
  <conditionalFormatting sqref="Y131:Y136">
    <cfRule type="cellIs" dxfId="7104" priority="7006" stopIfTrue="1" operator="equal">
      <formula>"NO APLICA"</formula>
    </cfRule>
  </conditionalFormatting>
  <conditionalFormatting sqref="Y136">
    <cfRule type="cellIs" dxfId="7103" priority="7005" stopIfTrue="1" operator="equal">
      <formula>"NO APLICA"</formula>
    </cfRule>
  </conditionalFormatting>
  <conditionalFormatting sqref="X131:Y136">
    <cfRule type="cellIs" dxfId="7102" priority="7003" stopIfTrue="1" operator="equal">
      <formula>"NO"</formula>
    </cfRule>
    <cfRule type="cellIs" dxfId="7101" priority="7004" stopIfTrue="1" operator="equal">
      <formula>"SI"</formula>
    </cfRule>
  </conditionalFormatting>
  <conditionalFormatting sqref="X131:X136">
    <cfRule type="cellIs" dxfId="7100" priority="7002" stopIfTrue="1" operator="equal">
      <formula>"NO APLICA"</formula>
    </cfRule>
  </conditionalFormatting>
  <conditionalFormatting sqref="X132:X135">
    <cfRule type="cellIs" dxfId="7099" priority="7001" stopIfTrue="1" operator="equal">
      <formula>"NO APLICA"</formula>
    </cfRule>
  </conditionalFormatting>
  <conditionalFormatting sqref="X132">
    <cfRule type="cellIs" dxfId="7098" priority="7000" stopIfTrue="1" operator="equal">
      <formula>"NO APLICA"</formula>
    </cfRule>
  </conditionalFormatting>
  <conditionalFormatting sqref="X136">
    <cfRule type="cellIs" dxfId="7097" priority="6999" stopIfTrue="1" operator="equal">
      <formula>"NO APLICA"</formula>
    </cfRule>
  </conditionalFormatting>
  <conditionalFormatting sqref="X136">
    <cfRule type="cellIs" dxfId="7096" priority="6998" stopIfTrue="1" operator="equal">
      <formula>"NO APLICA"</formula>
    </cfRule>
  </conditionalFormatting>
  <conditionalFormatting sqref="AA131:AA136">
    <cfRule type="cellIs" dxfId="7095" priority="6997" stopIfTrue="1" operator="equal">
      <formula>"NO APLICA"</formula>
    </cfRule>
  </conditionalFormatting>
  <conditionalFormatting sqref="AA136">
    <cfRule type="cellIs" dxfId="7094" priority="6996" stopIfTrue="1" operator="equal">
      <formula>"NO APLICA"</formula>
    </cfRule>
  </conditionalFormatting>
  <conditionalFormatting sqref="AA131:AA136">
    <cfRule type="cellIs" dxfId="7093" priority="6994" stopIfTrue="1" operator="equal">
      <formula>"NO"</formula>
    </cfRule>
    <cfRule type="cellIs" dxfId="7092" priority="6995" stopIfTrue="1" operator="equal">
      <formula>"SI"</formula>
    </cfRule>
  </conditionalFormatting>
  <conditionalFormatting sqref="Y131:Z136">
    <cfRule type="cellIs" dxfId="7091" priority="6992" operator="equal">
      <formula>"NO APLICA"</formula>
    </cfRule>
    <cfRule type="cellIs" dxfId="7090" priority="6993" operator="equal">
      <formula>"SI APLICA"</formula>
    </cfRule>
  </conditionalFormatting>
  <conditionalFormatting sqref="AB131:AB137">
    <cfRule type="cellIs" dxfId="7089" priority="6990" operator="equal">
      <formula>"NO APLICA"</formula>
    </cfRule>
    <cfRule type="cellIs" dxfId="7088" priority="6991" operator="equal">
      <formula>"SI APLICA"</formula>
    </cfRule>
  </conditionalFormatting>
  <conditionalFormatting sqref="X137">
    <cfRule type="cellIs" dxfId="7087" priority="6988" operator="equal">
      <formula>"PROPONENTE PLURAL"</formula>
    </cfRule>
    <cfRule type="cellIs" dxfId="7086" priority="6989" operator="equal">
      <formula>"PROPONENTE INDIVIDUAL"</formula>
    </cfRule>
  </conditionalFormatting>
  <conditionalFormatting sqref="Z137:AA137 AA131:AA136">
    <cfRule type="cellIs" dxfId="7085" priority="6986" operator="equal">
      <formula>"NO APLICA"</formula>
    </cfRule>
    <cfRule type="cellIs" dxfId="7084" priority="6987" operator="equal">
      <formula>"SI APLICA"</formula>
    </cfRule>
  </conditionalFormatting>
  <conditionalFormatting sqref="AB131:AB136 Y131:Z136">
    <cfRule type="cellIs" dxfId="7083" priority="6985" operator="equal">
      <formula>""</formula>
    </cfRule>
  </conditionalFormatting>
  <conditionalFormatting sqref="H137">
    <cfRule type="containsText" dxfId="7082" priority="6983" stopIfTrue="1" operator="containsText" text="NO CUMPLE">
      <formula>NOT(ISERROR(SEARCH("NO CUMPLE",H137)))</formula>
    </cfRule>
    <cfRule type="containsText" dxfId="7081" priority="6984" stopIfTrue="1" operator="containsText" text="CUMPLE">
      <formula>NOT(ISERROR(SEARCH("CUMPLE",H137)))</formula>
    </cfRule>
  </conditionalFormatting>
  <conditionalFormatting sqref="J137">
    <cfRule type="containsText" dxfId="7080" priority="6981" stopIfTrue="1" operator="containsText" text="NO CUMPLE">
      <formula>NOT(ISERROR(SEARCH("NO CUMPLE",J137)))</formula>
    </cfRule>
    <cfRule type="containsText" dxfId="7079" priority="6982" stopIfTrue="1" operator="containsText" text="CUMPLE">
      <formula>NOT(ISERROR(SEARCH("CUMPLE",J137)))</formula>
    </cfRule>
  </conditionalFormatting>
  <conditionalFormatting sqref="K137">
    <cfRule type="containsText" dxfId="7078" priority="6979" stopIfTrue="1" operator="containsText" text="NO CUMPLE">
      <formula>NOT(ISERROR(SEARCH("NO CUMPLE",K137)))</formula>
    </cfRule>
    <cfRule type="containsText" dxfId="7077" priority="6980" stopIfTrue="1" operator="containsText" text="CUMPLE">
      <formula>NOT(ISERROR(SEARCH("CUMPLE",K137)))</formula>
    </cfRule>
  </conditionalFormatting>
  <conditionalFormatting sqref="L131:L136">
    <cfRule type="containsText" dxfId="7076" priority="6977" stopIfTrue="1" operator="containsText" text="NO CUMPLE">
      <formula>NOT(ISERROR(SEARCH("NO CUMPLE",L131)))</formula>
    </cfRule>
    <cfRule type="containsText" dxfId="7075" priority="6978" stopIfTrue="1" operator="containsText" text="CUMPLE">
      <formula>NOT(ISERROR(SEARCH("CUMPLE",L131)))</formula>
    </cfRule>
  </conditionalFormatting>
  <conditionalFormatting sqref="O136">
    <cfRule type="containsText" dxfId="7074" priority="6975" stopIfTrue="1" operator="containsText" text="NO CUMPLE">
      <formula>NOT(ISERROR(SEARCH("NO CUMPLE",O136)))</formula>
    </cfRule>
    <cfRule type="containsText" dxfId="7073" priority="6976" stopIfTrue="1" operator="containsText" text="CUMPLE">
      <formula>NOT(ISERROR(SEARCH("CUMPLE",O136)))</formula>
    </cfRule>
  </conditionalFormatting>
  <conditionalFormatting sqref="O137:S137">
    <cfRule type="cellIs" dxfId="7072" priority="6974" operator="equal">
      <formula>"EL PROPONENTE SE DEBE REQUERIR POR EXPERIENCIA MINIMA EXIGIDA"</formula>
    </cfRule>
  </conditionalFormatting>
  <conditionalFormatting sqref="X125">
    <cfRule type="cellIs" dxfId="7071" priority="6971" stopIfTrue="1" operator="equal">
      <formula>"VERIFICAR"</formula>
    </cfRule>
    <cfRule type="cellIs" dxfId="7070" priority="6972" stopIfTrue="1" operator="equal">
      <formula>"NO CUMPLE"</formula>
    </cfRule>
    <cfRule type="cellIs" dxfId="7069" priority="6973" stopIfTrue="1" operator="equal">
      <formula>"CUMPLE"</formula>
    </cfRule>
  </conditionalFormatting>
  <conditionalFormatting sqref="X114:Y123 J114:J123">
    <cfRule type="cellIs" dxfId="7068" priority="6970" stopIfTrue="1" operator="greaterThan">
      <formula>0</formula>
    </cfRule>
  </conditionalFormatting>
  <conditionalFormatting sqref="X114:Y123">
    <cfRule type="cellIs" dxfId="7067" priority="6968" operator="equal">
      <formula>"NO CUMPLE"</formula>
    </cfRule>
    <cfRule type="cellIs" dxfId="7066" priority="6969" operator="equal">
      <formula>"CUMPLE"</formula>
    </cfRule>
  </conditionalFormatting>
  <conditionalFormatting sqref="N131:N136">
    <cfRule type="cellIs" dxfId="7065" priority="6966" operator="equal">
      <formula>"NO"</formula>
    </cfRule>
    <cfRule type="cellIs" dxfId="7064" priority="6967" operator="equal">
      <formula>"SI"</formula>
    </cfRule>
  </conditionalFormatting>
  <conditionalFormatting sqref="I123">
    <cfRule type="cellIs" dxfId="7063" priority="6965" stopIfTrue="1" operator="greaterThan">
      <formula>0</formula>
    </cfRule>
  </conditionalFormatting>
  <conditionalFormatting sqref="K117:L123">
    <cfRule type="cellIs" dxfId="7062" priority="6963" operator="equal">
      <formula>0</formula>
    </cfRule>
    <cfRule type="cellIs" dxfId="7061" priority="6964" operator="notBetween">
      <formula>$Q$17</formula>
      <formula>$R$17</formula>
    </cfRule>
  </conditionalFormatting>
  <conditionalFormatting sqref="B114:B123">
    <cfRule type="cellIs" dxfId="7060" priority="6962" stopIfTrue="1" operator="greaterThan">
      <formula>0</formula>
    </cfRule>
  </conditionalFormatting>
  <conditionalFormatting sqref="C114:D114 D115:D116 C115:C123">
    <cfRule type="cellIs" dxfId="7059" priority="6961" stopIfTrue="1" operator="greaterThan">
      <formula>0</formula>
    </cfRule>
  </conditionalFormatting>
  <conditionalFormatting sqref="C114:D114 D115:D116 C115:C123 F114:H116">
    <cfRule type="cellIs" dxfId="7058" priority="6960" stopIfTrue="1" operator="greaterThan">
      <formula>0</formula>
    </cfRule>
  </conditionalFormatting>
  <conditionalFormatting sqref="T114:V116">
    <cfRule type="cellIs" dxfId="7057" priority="6958" stopIfTrue="1" operator="equal">
      <formula>"NO"</formula>
    </cfRule>
    <cfRule type="cellIs" dxfId="7056" priority="6959" stopIfTrue="1" operator="equal">
      <formula>"SI"</formula>
    </cfRule>
  </conditionalFormatting>
  <conditionalFormatting sqref="T114:V115">
    <cfRule type="cellIs" dxfId="7055" priority="6957" stopIfTrue="1" operator="equal">
      <formula>"NO APLICA"</formula>
    </cfRule>
  </conditionalFormatting>
  <conditionalFormatting sqref="T116:U116">
    <cfRule type="cellIs" dxfId="7054" priority="6956" stopIfTrue="1" operator="equal">
      <formula>"NO APLICA"</formula>
    </cfRule>
  </conditionalFormatting>
  <conditionalFormatting sqref="T116:U116">
    <cfRule type="cellIs" dxfId="7053" priority="6955" stopIfTrue="1" operator="equal">
      <formula>"NO APLICA"</formula>
    </cfRule>
  </conditionalFormatting>
  <conditionalFormatting sqref="V116">
    <cfRule type="cellIs" dxfId="7052" priority="6954" stopIfTrue="1" operator="equal">
      <formula>"NO APLICA"</formula>
    </cfRule>
  </conditionalFormatting>
  <conditionalFormatting sqref="K114:L116">
    <cfRule type="cellIs" dxfId="7051" priority="6952" operator="equal">
      <formula>0</formula>
    </cfRule>
    <cfRule type="cellIs" dxfId="7050" priority="6953" operator="notBetween">
      <formula>$Q$17</formula>
      <formula>$R$17</formula>
    </cfRule>
  </conditionalFormatting>
  <conditionalFormatting sqref="F147:H152 D153:H153 I147:I153 K144:O153 F144:I146 D146:D152 C144:C153">
    <cfRule type="cellIs" dxfId="7049" priority="6951" stopIfTrue="1" operator="greaterThan">
      <formula>0</formula>
    </cfRule>
  </conditionalFormatting>
  <conditionalFormatting sqref="D147:D152">
    <cfRule type="cellIs" dxfId="7048" priority="6950" stopIfTrue="1" operator="greaterThan">
      <formula>0</formula>
    </cfRule>
  </conditionalFormatting>
  <conditionalFormatting sqref="D147:D152 F147:H152">
    <cfRule type="cellIs" dxfId="7047" priority="6949" stopIfTrue="1" operator="greaterThan">
      <formula>0</formula>
    </cfRule>
  </conditionalFormatting>
  <conditionalFormatting sqref="H144:H152">
    <cfRule type="cellIs" dxfId="7046" priority="6948" stopIfTrue="1" operator="greaterThan">
      <formula>0</formula>
    </cfRule>
  </conditionalFormatting>
  <conditionalFormatting sqref="E144:E152">
    <cfRule type="cellIs" dxfId="7045" priority="6947" stopIfTrue="1" operator="greaterThan">
      <formula>0</formula>
    </cfRule>
  </conditionalFormatting>
  <conditionalFormatting sqref="M161:M166 K161:K166">
    <cfRule type="containsText" dxfId="7044" priority="6945" stopIfTrue="1" operator="containsText" text="NO CUMPLE">
      <formula>NOT(ISERROR(SEARCH("NO CUMPLE",K161)))</formula>
    </cfRule>
    <cfRule type="containsText" dxfId="7043" priority="6946" stopIfTrue="1" operator="containsText" text="CUMPLE">
      <formula>NOT(ISERROR(SEARCH("CUMPLE",K161)))</formula>
    </cfRule>
  </conditionalFormatting>
  <conditionalFormatting sqref="S160">
    <cfRule type="cellIs" dxfId="7042" priority="6943" operator="greaterThanOrEqual">
      <formula>NUMMINCONT</formula>
    </cfRule>
    <cfRule type="cellIs" dxfId="7041" priority="6944" operator="lessThan">
      <formula>NUMMINCONT</formula>
    </cfRule>
  </conditionalFormatting>
  <conditionalFormatting sqref="T147:V152">
    <cfRule type="cellIs" dxfId="7040" priority="6941" stopIfTrue="1" operator="equal">
      <formula>"NO"</formula>
    </cfRule>
    <cfRule type="cellIs" dxfId="7039" priority="6942" stopIfTrue="1" operator="equal">
      <formula>"SI"</formula>
    </cfRule>
  </conditionalFormatting>
  <conditionalFormatting sqref="T147:V148">
    <cfRule type="cellIs" dxfId="7038" priority="6940" stopIfTrue="1" operator="equal">
      <formula>"NO APLICA"</formula>
    </cfRule>
  </conditionalFormatting>
  <conditionalFormatting sqref="T149:U152">
    <cfRule type="cellIs" dxfId="7037" priority="6939" stopIfTrue="1" operator="equal">
      <formula>"NO APLICA"</formula>
    </cfRule>
  </conditionalFormatting>
  <conditionalFormatting sqref="T149:U149">
    <cfRule type="cellIs" dxfId="7036" priority="6938" stopIfTrue="1" operator="equal">
      <formula>"NO APLICA"</formula>
    </cfRule>
  </conditionalFormatting>
  <conditionalFormatting sqref="V149:V152">
    <cfRule type="cellIs" dxfId="7035" priority="6937" stopIfTrue="1" operator="equal">
      <formula>"NO APLICA"</formula>
    </cfRule>
  </conditionalFormatting>
  <conditionalFormatting sqref="V158:W158">
    <cfRule type="cellIs" dxfId="7034" priority="6935" operator="equal">
      <formula>"CUMPLE"</formula>
    </cfRule>
    <cfRule type="cellIs" dxfId="7033" priority="6936" operator="equal">
      <formula>"NO CUMPLE"</formula>
    </cfRule>
  </conditionalFormatting>
  <conditionalFormatting sqref="V158:W160">
    <cfRule type="cellIs" dxfId="7032" priority="6934" operator="equal">
      <formula>"VERIFICAR"</formula>
    </cfRule>
  </conditionalFormatting>
  <conditionalFormatting sqref="T153:V153">
    <cfRule type="cellIs" dxfId="7031" priority="6932" stopIfTrue="1" operator="equal">
      <formula>"NO"</formula>
    </cfRule>
    <cfRule type="cellIs" dxfId="7030" priority="6933" stopIfTrue="1" operator="equal">
      <formula>"SI"</formula>
    </cfRule>
  </conditionalFormatting>
  <conditionalFormatting sqref="T153:U153">
    <cfRule type="cellIs" dxfId="7029" priority="6931" stopIfTrue="1" operator="equal">
      <formula>"NO APLICA"</formula>
    </cfRule>
  </conditionalFormatting>
  <conditionalFormatting sqref="V153">
    <cfRule type="cellIs" dxfId="7028" priority="6930" stopIfTrue="1" operator="equal">
      <formula>"NO APLICA"</formula>
    </cfRule>
  </conditionalFormatting>
  <conditionalFormatting sqref="T163">
    <cfRule type="cellIs" dxfId="7027" priority="6928" operator="equal">
      <formula>"CUMPLE"</formula>
    </cfRule>
    <cfRule type="cellIs" dxfId="7026" priority="6929" operator="equal">
      <formula>"NO CUMPLE"</formula>
    </cfRule>
  </conditionalFormatting>
  <conditionalFormatting sqref="T163">
    <cfRule type="cellIs" dxfId="7025" priority="6927" operator="equal">
      <formula>"VERIFICAR"</formula>
    </cfRule>
  </conditionalFormatting>
  <conditionalFormatting sqref="Y161:Y166">
    <cfRule type="cellIs" dxfId="7024" priority="6926" stopIfTrue="1" operator="equal">
      <formula>"NO APLICA"</formula>
    </cfRule>
  </conditionalFormatting>
  <conditionalFormatting sqref="Y166">
    <cfRule type="cellIs" dxfId="7023" priority="6925" stopIfTrue="1" operator="equal">
      <formula>"NO APLICA"</formula>
    </cfRule>
  </conditionalFormatting>
  <conditionalFormatting sqref="X161:Y166">
    <cfRule type="cellIs" dxfId="7022" priority="6923" stopIfTrue="1" operator="equal">
      <formula>"NO"</formula>
    </cfRule>
    <cfRule type="cellIs" dxfId="7021" priority="6924" stopIfTrue="1" operator="equal">
      <formula>"SI"</formula>
    </cfRule>
  </conditionalFormatting>
  <conditionalFormatting sqref="X161:X166">
    <cfRule type="cellIs" dxfId="7020" priority="6922" stopIfTrue="1" operator="equal">
      <formula>"NO APLICA"</formula>
    </cfRule>
  </conditionalFormatting>
  <conditionalFormatting sqref="X162:X165">
    <cfRule type="cellIs" dxfId="7019" priority="6921" stopIfTrue="1" operator="equal">
      <formula>"NO APLICA"</formula>
    </cfRule>
  </conditionalFormatting>
  <conditionalFormatting sqref="X162">
    <cfRule type="cellIs" dxfId="7018" priority="6920" stopIfTrue="1" operator="equal">
      <formula>"NO APLICA"</formula>
    </cfRule>
  </conditionalFormatting>
  <conditionalFormatting sqref="X166">
    <cfRule type="cellIs" dxfId="7017" priority="6919" stopIfTrue="1" operator="equal">
      <formula>"NO APLICA"</formula>
    </cfRule>
  </conditionalFormatting>
  <conditionalFormatting sqref="X166">
    <cfRule type="cellIs" dxfId="7016" priority="6918" stopIfTrue="1" operator="equal">
      <formula>"NO APLICA"</formula>
    </cfRule>
  </conditionalFormatting>
  <conditionalFormatting sqref="AA161:AA166">
    <cfRule type="cellIs" dxfId="7015" priority="6917" stopIfTrue="1" operator="equal">
      <formula>"NO APLICA"</formula>
    </cfRule>
  </conditionalFormatting>
  <conditionalFormatting sqref="AA166">
    <cfRule type="cellIs" dxfId="7014" priority="6916" stopIfTrue="1" operator="equal">
      <formula>"NO APLICA"</formula>
    </cfRule>
  </conditionalFormatting>
  <conditionalFormatting sqref="AA161:AA166">
    <cfRule type="cellIs" dxfId="7013" priority="6914" stopIfTrue="1" operator="equal">
      <formula>"NO"</formula>
    </cfRule>
    <cfRule type="cellIs" dxfId="7012" priority="6915" stopIfTrue="1" operator="equal">
      <formula>"SI"</formula>
    </cfRule>
  </conditionalFormatting>
  <conditionalFormatting sqref="Y161:Z166">
    <cfRule type="cellIs" dxfId="7011" priority="6912" operator="equal">
      <formula>"NO APLICA"</formula>
    </cfRule>
    <cfRule type="cellIs" dxfId="7010" priority="6913" operator="equal">
      <formula>"SI APLICA"</formula>
    </cfRule>
  </conditionalFormatting>
  <conditionalFormatting sqref="AB161:AB167">
    <cfRule type="cellIs" dxfId="7009" priority="6910" operator="equal">
      <formula>"NO APLICA"</formula>
    </cfRule>
    <cfRule type="cellIs" dxfId="7008" priority="6911" operator="equal">
      <formula>"SI APLICA"</formula>
    </cfRule>
  </conditionalFormatting>
  <conditionalFormatting sqref="X167">
    <cfRule type="cellIs" dxfId="7007" priority="6908" operator="equal">
      <formula>"PROPONENTE PLURAL"</formula>
    </cfRule>
    <cfRule type="cellIs" dxfId="7006" priority="6909" operator="equal">
      <formula>"PROPONENTE INDIVIDUAL"</formula>
    </cfRule>
  </conditionalFormatting>
  <conditionalFormatting sqref="Z167:AA167 AA161:AA166">
    <cfRule type="cellIs" dxfId="7005" priority="6906" operator="equal">
      <formula>"NO APLICA"</formula>
    </cfRule>
    <cfRule type="cellIs" dxfId="7004" priority="6907" operator="equal">
      <formula>"SI APLICA"</formula>
    </cfRule>
  </conditionalFormatting>
  <conditionalFormatting sqref="AB161:AB166 Y161:Z166">
    <cfRule type="cellIs" dxfId="7003" priority="6905" operator="equal">
      <formula>""</formula>
    </cfRule>
  </conditionalFormatting>
  <conditionalFormatting sqref="H167">
    <cfRule type="containsText" dxfId="7002" priority="6903" stopIfTrue="1" operator="containsText" text="NO CUMPLE">
      <formula>NOT(ISERROR(SEARCH("NO CUMPLE",H167)))</formula>
    </cfRule>
    <cfRule type="containsText" dxfId="7001" priority="6904" stopIfTrue="1" operator="containsText" text="CUMPLE">
      <formula>NOT(ISERROR(SEARCH("CUMPLE",H167)))</formula>
    </cfRule>
  </conditionalFormatting>
  <conditionalFormatting sqref="J167">
    <cfRule type="containsText" dxfId="7000" priority="6901" stopIfTrue="1" operator="containsText" text="NO CUMPLE">
      <formula>NOT(ISERROR(SEARCH("NO CUMPLE",J167)))</formula>
    </cfRule>
    <cfRule type="containsText" dxfId="6999" priority="6902" stopIfTrue="1" operator="containsText" text="CUMPLE">
      <formula>NOT(ISERROR(SEARCH("CUMPLE",J167)))</formula>
    </cfRule>
  </conditionalFormatting>
  <conditionalFormatting sqref="K167">
    <cfRule type="containsText" dxfId="6998" priority="6899" stopIfTrue="1" operator="containsText" text="NO CUMPLE">
      <formula>NOT(ISERROR(SEARCH("NO CUMPLE",K167)))</formula>
    </cfRule>
    <cfRule type="containsText" dxfId="6997" priority="6900" stopIfTrue="1" operator="containsText" text="CUMPLE">
      <formula>NOT(ISERROR(SEARCH("CUMPLE",K167)))</formula>
    </cfRule>
  </conditionalFormatting>
  <conditionalFormatting sqref="L161:L166">
    <cfRule type="containsText" dxfId="6996" priority="6897" stopIfTrue="1" operator="containsText" text="NO CUMPLE">
      <formula>NOT(ISERROR(SEARCH("NO CUMPLE",L161)))</formula>
    </cfRule>
    <cfRule type="containsText" dxfId="6995" priority="6898" stopIfTrue="1" operator="containsText" text="CUMPLE">
      <formula>NOT(ISERROR(SEARCH("CUMPLE",L161)))</formula>
    </cfRule>
  </conditionalFormatting>
  <conditionalFormatting sqref="O166">
    <cfRule type="containsText" dxfId="6994" priority="6895" stopIfTrue="1" operator="containsText" text="NO CUMPLE">
      <formula>NOT(ISERROR(SEARCH("NO CUMPLE",O166)))</formula>
    </cfRule>
    <cfRule type="containsText" dxfId="6993" priority="6896" stopIfTrue="1" operator="containsText" text="CUMPLE">
      <formula>NOT(ISERROR(SEARCH("CUMPLE",O166)))</formula>
    </cfRule>
  </conditionalFormatting>
  <conditionalFormatting sqref="O167:S167">
    <cfRule type="cellIs" dxfId="6992" priority="6894" operator="equal">
      <formula>"EL PROPONENTE SE DEBE REQUERIR POR EXPERIENCIA MINIMA EXIGIDA"</formula>
    </cfRule>
  </conditionalFormatting>
  <conditionalFormatting sqref="X155">
    <cfRule type="cellIs" dxfId="6991" priority="6891" stopIfTrue="1" operator="equal">
      <formula>"VERIFICAR"</formula>
    </cfRule>
    <cfRule type="cellIs" dxfId="6990" priority="6892" stopIfTrue="1" operator="equal">
      <formula>"NO CUMPLE"</formula>
    </cfRule>
    <cfRule type="cellIs" dxfId="6989" priority="6893" stopIfTrue="1" operator="equal">
      <formula>"CUMPLE"</formula>
    </cfRule>
  </conditionalFormatting>
  <conditionalFormatting sqref="X144:Y153 J144:J153">
    <cfRule type="cellIs" dxfId="6988" priority="6890" stopIfTrue="1" operator="greaterThan">
      <formula>0</formula>
    </cfRule>
  </conditionalFormatting>
  <conditionalFormatting sqref="X144:Y153">
    <cfRule type="cellIs" dxfId="6987" priority="6888" operator="equal">
      <formula>"NO CUMPLE"</formula>
    </cfRule>
    <cfRule type="cellIs" dxfId="6986" priority="6889" operator="equal">
      <formula>"CUMPLE"</formula>
    </cfRule>
  </conditionalFormatting>
  <conditionalFormatting sqref="N161:N166">
    <cfRule type="cellIs" dxfId="6985" priority="6886" operator="equal">
      <formula>"NO"</formula>
    </cfRule>
    <cfRule type="cellIs" dxfId="6984" priority="6887" operator="equal">
      <formula>"SI"</formula>
    </cfRule>
  </conditionalFormatting>
  <conditionalFormatting sqref="I153">
    <cfRule type="cellIs" dxfId="6983" priority="6885" stopIfTrue="1" operator="greaterThan">
      <formula>0</formula>
    </cfRule>
  </conditionalFormatting>
  <conditionalFormatting sqref="K147:L153">
    <cfRule type="cellIs" dxfId="6982" priority="6883" operator="equal">
      <formula>0</formula>
    </cfRule>
    <cfRule type="cellIs" dxfId="6981" priority="6884" operator="notBetween">
      <formula>$Q$17</formula>
      <formula>$R$17</formula>
    </cfRule>
  </conditionalFormatting>
  <conditionalFormatting sqref="B144:B153">
    <cfRule type="cellIs" dxfId="6980" priority="6882" stopIfTrue="1" operator="greaterThan">
      <formula>0</formula>
    </cfRule>
  </conditionalFormatting>
  <conditionalFormatting sqref="D146 C144:C153">
    <cfRule type="cellIs" dxfId="6979" priority="6881" stopIfTrue="1" operator="greaterThan">
      <formula>0</formula>
    </cfRule>
  </conditionalFormatting>
  <conditionalFormatting sqref="F144:H146 D146 C144:C153">
    <cfRule type="cellIs" dxfId="6978" priority="6880" stopIfTrue="1" operator="greaterThan">
      <formula>0</formula>
    </cfRule>
  </conditionalFormatting>
  <conditionalFormatting sqref="T144:V146">
    <cfRule type="cellIs" dxfId="6977" priority="6878" stopIfTrue="1" operator="equal">
      <formula>"NO"</formula>
    </cfRule>
    <cfRule type="cellIs" dxfId="6976" priority="6879" stopIfTrue="1" operator="equal">
      <formula>"SI"</formula>
    </cfRule>
  </conditionalFormatting>
  <conditionalFormatting sqref="T144:V145">
    <cfRule type="cellIs" dxfId="6975" priority="6877" stopIfTrue="1" operator="equal">
      <formula>"NO APLICA"</formula>
    </cfRule>
  </conditionalFormatting>
  <conditionalFormatting sqref="T146:U146">
    <cfRule type="cellIs" dxfId="6974" priority="6876" stopIfTrue="1" operator="equal">
      <formula>"NO APLICA"</formula>
    </cfRule>
  </conditionalFormatting>
  <conditionalFormatting sqref="T146:U146">
    <cfRule type="cellIs" dxfId="6973" priority="6875" stopIfTrue="1" operator="equal">
      <formula>"NO APLICA"</formula>
    </cfRule>
  </conditionalFormatting>
  <conditionalFormatting sqref="V146">
    <cfRule type="cellIs" dxfId="6972" priority="6874" stopIfTrue="1" operator="equal">
      <formula>"NO APLICA"</formula>
    </cfRule>
  </conditionalFormatting>
  <conditionalFormatting sqref="K144:L146">
    <cfRule type="cellIs" dxfId="6971" priority="6872" operator="equal">
      <formula>0</formula>
    </cfRule>
    <cfRule type="cellIs" dxfId="6970" priority="6873" operator="notBetween">
      <formula>$Q$17</formula>
      <formula>$R$17</formula>
    </cfRule>
  </conditionalFormatting>
  <conditionalFormatting sqref="F177:H182 D183:H183 I177:I183 C174:D174 K174:O183 F174:I176 D175:D182 C175:C183">
    <cfRule type="cellIs" dxfId="6969" priority="6871" stopIfTrue="1" operator="greaterThan">
      <formula>0</formula>
    </cfRule>
  </conditionalFormatting>
  <conditionalFormatting sqref="D177:D182">
    <cfRule type="cellIs" dxfId="6968" priority="6870" stopIfTrue="1" operator="greaterThan">
      <formula>0</formula>
    </cfRule>
  </conditionalFormatting>
  <conditionalFormatting sqref="D177:D182 F177:H182">
    <cfRule type="cellIs" dxfId="6967" priority="6869" stopIfTrue="1" operator="greaterThan">
      <formula>0</formula>
    </cfRule>
  </conditionalFormatting>
  <conditionalFormatting sqref="H174:H182">
    <cfRule type="cellIs" dxfId="6966" priority="6868" stopIfTrue="1" operator="greaterThan">
      <formula>0</formula>
    </cfRule>
  </conditionalFormatting>
  <conditionalFormatting sqref="E174:E182">
    <cfRule type="cellIs" dxfId="6965" priority="6867" stopIfTrue="1" operator="greaterThan">
      <formula>0</formula>
    </cfRule>
  </conditionalFormatting>
  <conditionalFormatting sqref="M191:M196 K191:K196">
    <cfRule type="containsText" dxfId="6964" priority="6865" stopIfTrue="1" operator="containsText" text="NO CUMPLE">
      <formula>NOT(ISERROR(SEARCH("NO CUMPLE",K191)))</formula>
    </cfRule>
    <cfRule type="containsText" dxfId="6963" priority="6866" stopIfTrue="1" operator="containsText" text="CUMPLE">
      <formula>NOT(ISERROR(SEARCH("CUMPLE",K191)))</formula>
    </cfRule>
  </conditionalFormatting>
  <conditionalFormatting sqref="S190">
    <cfRule type="cellIs" dxfId="6962" priority="6863" operator="greaterThanOrEqual">
      <formula>NUMMINCONT</formula>
    </cfRule>
    <cfRule type="cellIs" dxfId="6961" priority="6864" operator="lessThan">
      <formula>NUMMINCONT</formula>
    </cfRule>
  </conditionalFormatting>
  <conditionalFormatting sqref="T177:V182">
    <cfRule type="cellIs" dxfId="6960" priority="6861" stopIfTrue="1" operator="equal">
      <formula>"NO"</formula>
    </cfRule>
    <cfRule type="cellIs" dxfId="6959" priority="6862" stopIfTrue="1" operator="equal">
      <formula>"SI"</formula>
    </cfRule>
  </conditionalFormatting>
  <conditionalFormatting sqref="T177:V178">
    <cfRule type="cellIs" dxfId="6958" priority="6860" stopIfTrue="1" operator="equal">
      <formula>"NO APLICA"</formula>
    </cfRule>
  </conditionalFormatting>
  <conditionalFormatting sqref="T179:U182">
    <cfRule type="cellIs" dxfId="6957" priority="6859" stopIfTrue="1" operator="equal">
      <formula>"NO APLICA"</formula>
    </cfRule>
  </conditionalFormatting>
  <conditionalFormatting sqref="T179:U179">
    <cfRule type="cellIs" dxfId="6956" priority="6858" stopIfTrue="1" operator="equal">
      <formula>"NO APLICA"</formula>
    </cfRule>
  </conditionalFormatting>
  <conditionalFormatting sqref="V179:V182">
    <cfRule type="cellIs" dxfId="6955" priority="6857" stopIfTrue="1" operator="equal">
      <formula>"NO APLICA"</formula>
    </cfRule>
  </conditionalFormatting>
  <conditionalFormatting sqref="V188:W188">
    <cfRule type="cellIs" dxfId="6954" priority="6855" operator="equal">
      <formula>"CUMPLE"</formula>
    </cfRule>
    <cfRule type="cellIs" dxfId="6953" priority="6856" operator="equal">
      <formula>"NO CUMPLE"</formula>
    </cfRule>
  </conditionalFormatting>
  <conditionalFormatting sqref="V188:W190">
    <cfRule type="cellIs" dxfId="6952" priority="6854" operator="equal">
      <formula>"VERIFICAR"</formula>
    </cfRule>
  </conditionalFormatting>
  <conditionalFormatting sqref="T183:V183">
    <cfRule type="cellIs" dxfId="6951" priority="6852" stopIfTrue="1" operator="equal">
      <formula>"NO"</formula>
    </cfRule>
    <cfRule type="cellIs" dxfId="6950" priority="6853" stopIfTrue="1" operator="equal">
      <formula>"SI"</formula>
    </cfRule>
  </conditionalFormatting>
  <conditionalFormatting sqref="T183:U183">
    <cfRule type="cellIs" dxfId="6949" priority="6851" stopIfTrue="1" operator="equal">
      <formula>"NO APLICA"</formula>
    </cfRule>
  </conditionalFormatting>
  <conditionalFormatting sqref="V183">
    <cfRule type="cellIs" dxfId="6948" priority="6850" stopIfTrue="1" operator="equal">
      <formula>"NO APLICA"</formula>
    </cfRule>
  </conditionalFormatting>
  <conditionalFormatting sqref="T193">
    <cfRule type="cellIs" dxfId="6947" priority="6848" operator="equal">
      <formula>"CUMPLE"</formula>
    </cfRule>
    <cfRule type="cellIs" dxfId="6946" priority="6849" operator="equal">
      <formula>"NO CUMPLE"</formula>
    </cfRule>
  </conditionalFormatting>
  <conditionalFormatting sqref="T193">
    <cfRule type="cellIs" dxfId="6945" priority="6847" operator="equal">
      <formula>"VERIFICAR"</formula>
    </cfRule>
  </conditionalFormatting>
  <conditionalFormatting sqref="Y191:Y196">
    <cfRule type="cellIs" dxfId="6944" priority="6846" stopIfTrue="1" operator="equal">
      <formula>"NO APLICA"</formula>
    </cfRule>
  </conditionalFormatting>
  <conditionalFormatting sqref="Y196">
    <cfRule type="cellIs" dxfId="6943" priority="6845" stopIfTrue="1" operator="equal">
      <formula>"NO APLICA"</formula>
    </cfRule>
  </conditionalFormatting>
  <conditionalFormatting sqref="X191:Y196">
    <cfRule type="cellIs" dxfId="6942" priority="6843" stopIfTrue="1" operator="equal">
      <formula>"NO"</formula>
    </cfRule>
    <cfRule type="cellIs" dxfId="6941" priority="6844" stopIfTrue="1" operator="equal">
      <formula>"SI"</formula>
    </cfRule>
  </conditionalFormatting>
  <conditionalFormatting sqref="X191:X196">
    <cfRule type="cellIs" dxfId="6940" priority="6842" stopIfTrue="1" operator="equal">
      <formula>"NO APLICA"</formula>
    </cfRule>
  </conditionalFormatting>
  <conditionalFormatting sqref="X192:X195">
    <cfRule type="cellIs" dxfId="6939" priority="6841" stopIfTrue="1" operator="equal">
      <formula>"NO APLICA"</formula>
    </cfRule>
  </conditionalFormatting>
  <conditionalFormatting sqref="X192">
    <cfRule type="cellIs" dxfId="6938" priority="6840" stopIfTrue="1" operator="equal">
      <formula>"NO APLICA"</formula>
    </cfRule>
  </conditionalFormatting>
  <conditionalFormatting sqref="X196">
    <cfRule type="cellIs" dxfId="6937" priority="6839" stopIfTrue="1" operator="equal">
      <formula>"NO APLICA"</formula>
    </cfRule>
  </conditionalFormatting>
  <conditionalFormatting sqref="X196">
    <cfRule type="cellIs" dxfId="6936" priority="6838" stopIfTrue="1" operator="equal">
      <formula>"NO APLICA"</formula>
    </cfRule>
  </conditionalFormatting>
  <conditionalFormatting sqref="AA191:AA196">
    <cfRule type="cellIs" dxfId="6935" priority="6837" stopIfTrue="1" operator="equal">
      <formula>"NO APLICA"</formula>
    </cfRule>
  </conditionalFormatting>
  <conditionalFormatting sqref="AA196">
    <cfRule type="cellIs" dxfId="6934" priority="6836" stopIfTrue="1" operator="equal">
      <formula>"NO APLICA"</formula>
    </cfRule>
  </conditionalFormatting>
  <conditionalFormatting sqref="AA191:AA196">
    <cfRule type="cellIs" dxfId="6933" priority="6834" stopIfTrue="1" operator="equal">
      <formula>"NO"</formula>
    </cfRule>
    <cfRule type="cellIs" dxfId="6932" priority="6835" stopIfTrue="1" operator="equal">
      <formula>"SI"</formula>
    </cfRule>
  </conditionalFormatting>
  <conditionalFormatting sqref="Y191:Z196">
    <cfRule type="cellIs" dxfId="6931" priority="6832" operator="equal">
      <formula>"NO APLICA"</formula>
    </cfRule>
    <cfRule type="cellIs" dxfId="6930" priority="6833" operator="equal">
      <formula>"SI APLICA"</formula>
    </cfRule>
  </conditionalFormatting>
  <conditionalFormatting sqref="AB191:AB197">
    <cfRule type="cellIs" dxfId="6929" priority="6830" operator="equal">
      <formula>"NO APLICA"</formula>
    </cfRule>
    <cfRule type="cellIs" dxfId="6928" priority="6831" operator="equal">
      <formula>"SI APLICA"</formula>
    </cfRule>
  </conditionalFormatting>
  <conditionalFormatting sqref="X197">
    <cfRule type="cellIs" dxfId="6927" priority="6828" operator="equal">
      <formula>"PROPONENTE PLURAL"</formula>
    </cfRule>
    <cfRule type="cellIs" dxfId="6926" priority="6829" operator="equal">
      <formula>"PROPONENTE INDIVIDUAL"</formula>
    </cfRule>
  </conditionalFormatting>
  <conditionalFormatting sqref="Z197:AA197 AA191:AA196">
    <cfRule type="cellIs" dxfId="6925" priority="6826" operator="equal">
      <formula>"NO APLICA"</formula>
    </cfRule>
    <cfRule type="cellIs" dxfId="6924" priority="6827" operator="equal">
      <formula>"SI APLICA"</formula>
    </cfRule>
  </conditionalFormatting>
  <conditionalFormatting sqref="AB191:AB196 Y191:Z196">
    <cfRule type="cellIs" dxfId="6923" priority="6825" operator="equal">
      <formula>""</formula>
    </cfRule>
  </conditionalFormatting>
  <conditionalFormatting sqref="H197">
    <cfRule type="containsText" dxfId="6922" priority="6823" stopIfTrue="1" operator="containsText" text="NO CUMPLE">
      <formula>NOT(ISERROR(SEARCH("NO CUMPLE",H197)))</formula>
    </cfRule>
    <cfRule type="containsText" dxfId="6921" priority="6824" stopIfTrue="1" operator="containsText" text="CUMPLE">
      <formula>NOT(ISERROR(SEARCH("CUMPLE",H197)))</formula>
    </cfRule>
  </conditionalFormatting>
  <conditionalFormatting sqref="J197">
    <cfRule type="containsText" dxfId="6920" priority="6821" stopIfTrue="1" operator="containsText" text="NO CUMPLE">
      <formula>NOT(ISERROR(SEARCH("NO CUMPLE",J197)))</formula>
    </cfRule>
    <cfRule type="containsText" dxfId="6919" priority="6822" stopIfTrue="1" operator="containsText" text="CUMPLE">
      <formula>NOT(ISERROR(SEARCH("CUMPLE",J197)))</formula>
    </cfRule>
  </conditionalFormatting>
  <conditionalFormatting sqref="K197">
    <cfRule type="containsText" dxfId="6918" priority="6819" stopIfTrue="1" operator="containsText" text="NO CUMPLE">
      <formula>NOT(ISERROR(SEARCH("NO CUMPLE",K197)))</formula>
    </cfRule>
    <cfRule type="containsText" dxfId="6917" priority="6820" stopIfTrue="1" operator="containsText" text="CUMPLE">
      <formula>NOT(ISERROR(SEARCH("CUMPLE",K197)))</formula>
    </cfRule>
  </conditionalFormatting>
  <conditionalFormatting sqref="L191:L196">
    <cfRule type="containsText" dxfId="6916" priority="6817" stopIfTrue="1" operator="containsText" text="NO CUMPLE">
      <formula>NOT(ISERROR(SEARCH("NO CUMPLE",L191)))</formula>
    </cfRule>
    <cfRule type="containsText" dxfId="6915" priority="6818" stopIfTrue="1" operator="containsText" text="CUMPLE">
      <formula>NOT(ISERROR(SEARCH("CUMPLE",L191)))</formula>
    </cfRule>
  </conditionalFormatting>
  <conditionalFormatting sqref="O196">
    <cfRule type="containsText" dxfId="6914" priority="6815" stopIfTrue="1" operator="containsText" text="NO CUMPLE">
      <formula>NOT(ISERROR(SEARCH("NO CUMPLE",O196)))</formula>
    </cfRule>
    <cfRule type="containsText" dxfId="6913" priority="6816" stopIfTrue="1" operator="containsText" text="CUMPLE">
      <formula>NOT(ISERROR(SEARCH("CUMPLE",O196)))</formula>
    </cfRule>
  </conditionalFormatting>
  <conditionalFormatting sqref="O197:S197">
    <cfRule type="cellIs" dxfId="6912" priority="6814" operator="equal">
      <formula>"EL PROPONENTE SE DEBE REQUERIR POR EXPERIENCIA MINIMA EXIGIDA"</formula>
    </cfRule>
  </conditionalFormatting>
  <conditionalFormatting sqref="X185">
    <cfRule type="cellIs" dxfId="6911" priority="6811" stopIfTrue="1" operator="equal">
      <formula>"VERIFICAR"</formula>
    </cfRule>
    <cfRule type="cellIs" dxfId="6910" priority="6812" stopIfTrue="1" operator="equal">
      <formula>"NO CUMPLE"</formula>
    </cfRule>
    <cfRule type="cellIs" dxfId="6909" priority="6813" stopIfTrue="1" operator="equal">
      <formula>"CUMPLE"</formula>
    </cfRule>
  </conditionalFormatting>
  <conditionalFormatting sqref="X174:Y183 J174:J183">
    <cfRule type="cellIs" dxfId="6908" priority="6810" stopIfTrue="1" operator="greaterThan">
      <formula>0</formula>
    </cfRule>
  </conditionalFormatting>
  <conditionalFormatting sqref="X174:Y183">
    <cfRule type="cellIs" dxfId="6907" priority="6808" operator="equal">
      <formula>"NO CUMPLE"</formula>
    </cfRule>
    <cfRule type="cellIs" dxfId="6906" priority="6809" operator="equal">
      <formula>"CUMPLE"</formula>
    </cfRule>
  </conditionalFormatting>
  <conditionalFormatting sqref="N191:N196">
    <cfRule type="cellIs" dxfId="6905" priority="6806" operator="equal">
      <formula>"NO"</formula>
    </cfRule>
    <cfRule type="cellIs" dxfId="6904" priority="6807" operator="equal">
      <formula>"SI"</formula>
    </cfRule>
  </conditionalFormatting>
  <conditionalFormatting sqref="I183">
    <cfRule type="cellIs" dxfId="6903" priority="6805" stopIfTrue="1" operator="greaterThan">
      <formula>0</formula>
    </cfRule>
  </conditionalFormatting>
  <conditionalFormatting sqref="K177:L183">
    <cfRule type="cellIs" dxfId="6902" priority="6803" operator="equal">
      <formula>0</formula>
    </cfRule>
    <cfRule type="cellIs" dxfId="6901" priority="6804" operator="notBetween">
      <formula>$Q$17</formula>
      <formula>$R$17</formula>
    </cfRule>
  </conditionalFormatting>
  <conditionalFormatting sqref="B174:B183">
    <cfRule type="cellIs" dxfId="6900" priority="6802" stopIfTrue="1" operator="greaterThan">
      <formula>0</formula>
    </cfRule>
  </conditionalFormatting>
  <conditionalFormatting sqref="C174:D174 D175:D176 C175:C183">
    <cfRule type="cellIs" dxfId="6899" priority="6801" stopIfTrue="1" operator="greaterThan">
      <formula>0</formula>
    </cfRule>
  </conditionalFormatting>
  <conditionalFormatting sqref="C174:D174 F174:H176 D175:D176 C175:C183">
    <cfRule type="cellIs" dxfId="6898" priority="6800" stopIfTrue="1" operator="greaterThan">
      <formula>0</formula>
    </cfRule>
  </conditionalFormatting>
  <conditionalFormatting sqref="T174:V176">
    <cfRule type="cellIs" dxfId="6897" priority="6798" stopIfTrue="1" operator="equal">
      <formula>"NO"</formula>
    </cfRule>
    <cfRule type="cellIs" dxfId="6896" priority="6799" stopIfTrue="1" operator="equal">
      <formula>"SI"</formula>
    </cfRule>
  </conditionalFormatting>
  <conditionalFormatting sqref="T174:V175">
    <cfRule type="cellIs" dxfId="6895" priority="6797" stopIfTrue="1" operator="equal">
      <formula>"NO APLICA"</formula>
    </cfRule>
  </conditionalFormatting>
  <conditionalFormatting sqref="T176:U176">
    <cfRule type="cellIs" dxfId="6894" priority="6796" stopIfTrue="1" operator="equal">
      <formula>"NO APLICA"</formula>
    </cfRule>
  </conditionalFormatting>
  <conditionalFormatting sqref="T176:U176">
    <cfRule type="cellIs" dxfId="6893" priority="6795" stopIfTrue="1" operator="equal">
      <formula>"NO APLICA"</formula>
    </cfRule>
  </conditionalFormatting>
  <conditionalFormatting sqref="V176">
    <cfRule type="cellIs" dxfId="6892" priority="6794" stopIfTrue="1" operator="equal">
      <formula>"NO APLICA"</formula>
    </cfRule>
  </conditionalFormatting>
  <conditionalFormatting sqref="K174:L176">
    <cfRule type="cellIs" dxfId="6891" priority="6792" operator="equal">
      <formula>0</formula>
    </cfRule>
    <cfRule type="cellIs" dxfId="6890" priority="6793" operator="notBetween">
      <formula>$Q$17</formula>
      <formula>$R$17</formula>
    </cfRule>
  </conditionalFormatting>
  <conditionalFormatting sqref="F207:H212 D213:H213 I207:I213 C204:D204 K204:O213 F204:I206 C205:C213 D205:D212">
    <cfRule type="cellIs" dxfId="6889" priority="6791" stopIfTrue="1" operator="greaterThan">
      <formula>0</formula>
    </cfRule>
  </conditionalFormatting>
  <conditionalFormatting sqref="D207:D212">
    <cfRule type="cellIs" dxfId="6888" priority="6790" stopIfTrue="1" operator="greaterThan">
      <formula>0</formula>
    </cfRule>
  </conditionalFormatting>
  <conditionalFormatting sqref="D207:D212 F207:H212">
    <cfRule type="cellIs" dxfId="6887" priority="6789" stopIfTrue="1" operator="greaterThan">
      <formula>0</formula>
    </cfRule>
  </conditionalFormatting>
  <conditionalFormatting sqref="H204:H212">
    <cfRule type="cellIs" dxfId="6886" priority="6788" stopIfTrue="1" operator="greaterThan">
      <formula>0</formula>
    </cfRule>
  </conditionalFormatting>
  <conditionalFormatting sqref="E204:E212">
    <cfRule type="cellIs" dxfId="6885" priority="6787" stopIfTrue="1" operator="greaterThan">
      <formula>0</formula>
    </cfRule>
  </conditionalFormatting>
  <conditionalFormatting sqref="M221:M226 K221:K226">
    <cfRule type="containsText" dxfId="6884" priority="6785" stopIfTrue="1" operator="containsText" text="NO CUMPLE">
      <formula>NOT(ISERROR(SEARCH("NO CUMPLE",K221)))</formula>
    </cfRule>
    <cfRule type="containsText" dxfId="6883" priority="6786" stopIfTrue="1" operator="containsText" text="CUMPLE">
      <formula>NOT(ISERROR(SEARCH("CUMPLE",K221)))</formula>
    </cfRule>
  </conditionalFormatting>
  <conditionalFormatting sqref="S220">
    <cfRule type="cellIs" dxfId="6882" priority="6783" operator="greaterThanOrEqual">
      <formula>NUMMINCONT</formula>
    </cfRule>
    <cfRule type="cellIs" dxfId="6881" priority="6784" operator="lessThan">
      <formula>NUMMINCONT</formula>
    </cfRule>
  </conditionalFormatting>
  <conditionalFormatting sqref="T207:V212">
    <cfRule type="cellIs" dxfId="6880" priority="6781" stopIfTrue="1" operator="equal">
      <formula>"NO"</formula>
    </cfRule>
    <cfRule type="cellIs" dxfId="6879" priority="6782" stopIfTrue="1" operator="equal">
      <formula>"SI"</formula>
    </cfRule>
  </conditionalFormatting>
  <conditionalFormatting sqref="T207:V208">
    <cfRule type="cellIs" dxfId="6878" priority="6780" stopIfTrue="1" operator="equal">
      <formula>"NO APLICA"</formula>
    </cfRule>
  </conditionalFormatting>
  <conditionalFormatting sqref="T209:U212">
    <cfRule type="cellIs" dxfId="6877" priority="6779" stopIfTrue="1" operator="equal">
      <formula>"NO APLICA"</formula>
    </cfRule>
  </conditionalFormatting>
  <conditionalFormatting sqref="T209:U209">
    <cfRule type="cellIs" dxfId="6876" priority="6778" stopIfTrue="1" operator="equal">
      <formula>"NO APLICA"</formula>
    </cfRule>
  </conditionalFormatting>
  <conditionalFormatting sqref="V209:V212">
    <cfRule type="cellIs" dxfId="6875" priority="6777" stopIfTrue="1" operator="equal">
      <formula>"NO APLICA"</formula>
    </cfRule>
  </conditionalFormatting>
  <conditionalFormatting sqref="V218:W218">
    <cfRule type="cellIs" dxfId="6874" priority="6775" operator="equal">
      <formula>"CUMPLE"</formula>
    </cfRule>
    <cfRule type="cellIs" dxfId="6873" priority="6776" operator="equal">
      <formula>"NO CUMPLE"</formula>
    </cfRule>
  </conditionalFormatting>
  <conditionalFormatting sqref="V218:W220">
    <cfRule type="cellIs" dxfId="6872" priority="6774" operator="equal">
      <formula>"VERIFICAR"</formula>
    </cfRule>
  </conditionalFormatting>
  <conditionalFormatting sqref="T213:V213">
    <cfRule type="cellIs" dxfId="6871" priority="6772" stopIfTrue="1" operator="equal">
      <formula>"NO"</formula>
    </cfRule>
    <cfRule type="cellIs" dxfId="6870" priority="6773" stopIfTrue="1" operator="equal">
      <formula>"SI"</formula>
    </cfRule>
  </conditionalFormatting>
  <conditionalFormatting sqref="T213:U213">
    <cfRule type="cellIs" dxfId="6869" priority="6771" stopIfTrue="1" operator="equal">
      <formula>"NO APLICA"</formula>
    </cfRule>
  </conditionalFormatting>
  <conditionalFormatting sqref="V213">
    <cfRule type="cellIs" dxfId="6868" priority="6770" stopIfTrue="1" operator="equal">
      <formula>"NO APLICA"</formula>
    </cfRule>
  </conditionalFormatting>
  <conditionalFormatting sqref="T223">
    <cfRule type="cellIs" dxfId="6867" priority="6768" operator="equal">
      <formula>"CUMPLE"</formula>
    </cfRule>
    <cfRule type="cellIs" dxfId="6866" priority="6769" operator="equal">
      <formula>"NO CUMPLE"</formula>
    </cfRule>
  </conditionalFormatting>
  <conditionalFormatting sqref="T223">
    <cfRule type="cellIs" dxfId="6865" priority="6767" operator="equal">
      <formula>"VERIFICAR"</formula>
    </cfRule>
  </conditionalFormatting>
  <conditionalFormatting sqref="Y221:Y226">
    <cfRule type="cellIs" dxfId="6864" priority="6766" stopIfTrue="1" operator="equal">
      <formula>"NO APLICA"</formula>
    </cfRule>
  </conditionalFormatting>
  <conditionalFormatting sqref="Y226">
    <cfRule type="cellIs" dxfId="6863" priority="6765" stopIfTrue="1" operator="equal">
      <formula>"NO APLICA"</formula>
    </cfRule>
  </conditionalFormatting>
  <conditionalFormatting sqref="X221:Y226">
    <cfRule type="cellIs" dxfId="6862" priority="6763" stopIfTrue="1" operator="equal">
      <formula>"NO"</formula>
    </cfRule>
    <cfRule type="cellIs" dxfId="6861" priority="6764" stopIfTrue="1" operator="equal">
      <formula>"SI"</formula>
    </cfRule>
  </conditionalFormatting>
  <conditionalFormatting sqref="X221:X226">
    <cfRule type="cellIs" dxfId="6860" priority="6762" stopIfTrue="1" operator="equal">
      <formula>"NO APLICA"</formula>
    </cfRule>
  </conditionalFormatting>
  <conditionalFormatting sqref="X222:X225">
    <cfRule type="cellIs" dxfId="6859" priority="6761" stopIfTrue="1" operator="equal">
      <formula>"NO APLICA"</formula>
    </cfRule>
  </conditionalFormatting>
  <conditionalFormatting sqref="X222">
    <cfRule type="cellIs" dxfId="6858" priority="6760" stopIfTrue="1" operator="equal">
      <formula>"NO APLICA"</formula>
    </cfRule>
  </conditionalFormatting>
  <conditionalFormatting sqref="X226">
    <cfRule type="cellIs" dxfId="6857" priority="6759" stopIfTrue="1" operator="equal">
      <formula>"NO APLICA"</formula>
    </cfRule>
  </conditionalFormatting>
  <conditionalFormatting sqref="X226">
    <cfRule type="cellIs" dxfId="6856" priority="6758" stopIfTrue="1" operator="equal">
      <formula>"NO APLICA"</formula>
    </cfRule>
  </conditionalFormatting>
  <conditionalFormatting sqref="AA221:AA226">
    <cfRule type="cellIs" dxfId="6855" priority="6757" stopIfTrue="1" operator="equal">
      <formula>"NO APLICA"</formula>
    </cfRule>
  </conditionalFormatting>
  <conditionalFormatting sqref="AA226">
    <cfRule type="cellIs" dxfId="6854" priority="6756" stopIfTrue="1" operator="equal">
      <formula>"NO APLICA"</formula>
    </cfRule>
  </conditionalFormatting>
  <conditionalFormatting sqref="AA221:AA226">
    <cfRule type="cellIs" dxfId="6853" priority="6754" stopIfTrue="1" operator="equal">
      <formula>"NO"</formula>
    </cfRule>
    <cfRule type="cellIs" dxfId="6852" priority="6755" stopIfTrue="1" operator="equal">
      <formula>"SI"</formula>
    </cfRule>
  </conditionalFormatting>
  <conditionalFormatting sqref="Y221:Z226">
    <cfRule type="cellIs" dxfId="6851" priority="6752" operator="equal">
      <formula>"NO APLICA"</formula>
    </cfRule>
    <cfRule type="cellIs" dxfId="6850" priority="6753" operator="equal">
      <formula>"SI APLICA"</formula>
    </cfRule>
  </conditionalFormatting>
  <conditionalFormatting sqref="AB221:AB227">
    <cfRule type="cellIs" dxfId="6849" priority="6750" operator="equal">
      <formula>"NO APLICA"</formula>
    </cfRule>
    <cfRule type="cellIs" dxfId="6848" priority="6751" operator="equal">
      <formula>"SI APLICA"</formula>
    </cfRule>
  </conditionalFormatting>
  <conditionalFormatting sqref="X227">
    <cfRule type="cellIs" dxfId="6847" priority="6748" operator="equal">
      <formula>"PROPONENTE PLURAL"</formula>
    </cfRule>
    <cfRule type="cellIs" dxfId="6846" priority="6749" operator="equal">
      <formula>"PROPONENTE INDIVIDUAL"</formula>
    </cfRule>
  </conditionalFormatting>
  <conditionalFormatting sqref="Z227:AA227 AA221:AA226">
    <cfRule type="cellIs" dxfId="6845" priority="6746" operator="equal">
      <formula>"NO APLICA"</formula>
    </cfRule>
    <cfRule type="cellIs" dxfId="6844" priority="6747" operator="equal">
      <formula>"SI APLICA"</formula>
    </cfRule>
  </conditionalFormatting>
  <conditionalFormatting sqref="AB221:AB226 Y221:Z226">
    <cfRule type="cellIs" dxfId="6843" priority="6745" operator="equal">
      <formula>""</formula>
    </cfRule>
  </conditionalFormatting>
  <conditionalFormatting sqref="H227">
    <cfRule type="containsText" dxfId="6842" priority="6743" stopIfTrue="1" operator="containsText" text="NO CUMPLE">
      <formula>NOT(ISERROR(SEARCH("NO CUMPLE",H227)))</formula>
    </cfRule>
    <cfRule type="containsText" dxfId="6841" priority="6744" stopIfTrue="1" operator="containsText" text="CUMPLE">
      <formula>NOT(ISERROR(SEARCH("CUMPLE",H227)))</formula>
    </cfRule>
  </conditionalFormatting>
  <conditionalFormatting sqref="J227">
    <cfRule type="containsText" dxfId="6840" priority="6741" stopIfTrue="1" operator="containsText" text="NO CUMPLE">
      <formula>NOT(ISERROR(SEARCH("NO CUMPLE",J227)))</formula>
    </cfRule>
    <cfRule type="containsText" dxfId="6839" priority="6742" stopIfTrue="1" operator="containsText" text="CUMPLE">
      <formula>NOT(ISERROR(SEARCH("CUMPLE",J227)))</formula>
    </cfRule>
  </conditionalFormatting>
  <conditionalFormatting sqref="K227">
    <cfRule type="containsText" dxfId="6838" priority="6739" stopIfTrue="1" operator="containsText" text="NO CUMPLE">
      <formula>NOT(ISERROR(SEARCH("NO CUMPLE",K227)))</formula>
    </cfRule>
    <cfRule type="containsText" dxfId="6837" priority="6740" stopIfTrue="1" operator="containsText" text="CUMPLE">
      <formula>NOT(ISERROR(SEARCH("CUMPLE",K227)))</formula>
    </cfRule>
  </conditionalFormatting>
  <conditionalFormatting sqref="L221:L226">
    <cfRule type="containsText" dxfId="6836" priority="6737" stopIfTrue="1" operator="containsText" text="NO CUMPLE">
      <formula>NOT(ISERROR(SEARCH("NO CUMPLE",L221)))</formula>
    </cfRule>
    <cfRule type="containsText" dxfId="6835" priority="6738" stopIfTrue="1" operator="containsText" text="CUMPLE">
      <formula>NOT(ISERROR(SEARCH("CUMPLE",L221)))</formula>
    </cfRule>
  </conditionalFormatting>
  <conditionalFormatting sqref="O226">
    <cfRule type="containsText" dxfId="6834" priority="6735" stopIfTrue="1" operator="containsText" text="NO CUMPLE">
      <formula>NOT(ISERROR(SEARCH("NO CUMPLE",O226)))</formula>
    </cfRule>
    <cfRule type="containsText" dxfId="6833" priority="6736" stopIfTrue="1" operator="containsText" text="CUMPLE">
      <formula>NOT(ISERROR(SEARCH("CUMPLE",O226)))</formula>
    </cfRule>
  </conditionalFormatting>
  <conditionalFormatting sqref="O227:S227">
    <cfRule type="cellIs" dxfId="6832" priority="6734" operator="equal">
      <formula>"EL PROPONENTE SE DEBE REQUERIR POR EXPERIENCIA MINIMA EXIGIDA"</formula>
    </cfRule>
  </conditionalFormatting>
  <conditionalFormatting sqref="X215">
    <cfRule type="cellIs" dxfId="6831" priority="6731" stopIfTrue="1" operator="equal">
      <formula>"VERIFICAR"</formula>
    </cfRule>
    <cfRule type="cellIs" dxfId="6830" priority="6732" stopIfTrue="1" operator="equal">
      <formula>"NO CUMPLE"</formula>
    </cfRule>
    <cfRule type="cellIs" dxfId="6829" priority="6733" stopIfTrue="1" operator="equal">
      <formula>"CUMPLE"</formula>
    </cfRule>
  </conditionalFormatting>
  <conditionalFormatting sqref="X204:Y213 J204:J213">
    <cfRule type="cellIs" dxfId="6828" priority="6730" stopIfTrue="1" operator="greaterThan">
      <formula>0</formula>
    </cfRule>
  </conditionalFormatting>
  <conditionalFormatting sqref="X204:Y213">
    <cfRule type="cellIs" dxfId="6827" priority="6728" operator="equal">
      <formula>"NO CUMPLE"</formula>
    </cfRule>
    <cfRule type="cellIs" dxfId="6826" priority="6729" operator="equal">
      <formula>"CUMPLE"</formula>
    </cfRule>
  </conditionalFormatting>
  <conditionalFormatting sqref="N221:N226">
    <cfRule type="cellIs" dxfId="6825" priority="6726" operator="equal">
      <formula>"NO"</formula>
    </cfRule>
    <cfRule type="cellIs" dxfId="6824" priority="6727" operator="equal">
      <formula>"SI"</formula>
    </cfRule>
  </conditionalFormatting>
  <conditionalFormatting sqref="I213">
    <cfRule type="cellIs" dxfId="6823" priority="6725" stopIfTrue="1" operator="greaterThan">
      <formula>0</formula>
    </cfRule>
  </conditionalFormatting>
  <conditionalFormatting sqref="K207:L213">
    <cfRule type="cellIs" dxfId="6822" priority="6723" operator="equal">
      <formula>0</formula>
    </cfRule>
    <cfRule type="cellIs" dxfId="6821" priority="6724" operator="notBetween">
      <formula>$Q$17</formula>
      <formula>$R$17</formula>
    </cfRule>
  </conditionalFormatting>
  <conditionalFormatting sqref="B204:B213">
    <cfRule type="cellIs" dxfId="6820" priority="6722" stopIfTrue="1" operator="greaterThan">
      <formula>0</formula>
    </cfRule>
  </conditionalFormatting>
  <conditionalFormatting sqref="C204:D204 C205:C213 D205:D206">
    <cfRule type="cellIs" dxfId="6819" priority="6721" stopIfTrue="1" operator="greaterThan">
      <formula>0</formula>
    </cfRule>
  </conditionalFormatting>
  <conditionalFormatting sqref="C204:D204 F204:H206 C205:C213 D205:D206">
    <cfRule type="cellIs" dxfId="6818" priority="6720" stopIfTrue="1" operator="greaterThan">
      <formula>0</formula>
    </cfRule>
  </conditionalFormatting>
  <conditionalFormatting sqref="T204:V206">
    <cfRule type="cellIs" dxfId="6817" priority="6718" stopIfTrue="1" operator="equal">
      <formula>"NO"</formula>
    </cfRule>
    <cfRule type="cellIs" dxfId="6816" priority="6719" stopIfTrue="1" operator="equal">
      <formula>"SI"</formula>
    </cfRule>
  </conditionalFormatting>
  <conditionalFormatting sqref="T204:V205">
    <cfRule type="cellIs" dxfId="6815" priority="6717" stopIfTrue="1" operator="equal">
      <formula>"NO APLICA"</formula>
    </cfRule>
  </conditionalFormatting>
  <conditionalFormatting sqref="T206:U206">
    <cfRule type="cellIs" dxfId="6814" priority="6716" stopIfTrue="1" operator="equal">
      <formula>"NO APLICA"</formula>
    </cfRule>
  </conditionalFormatting>
  <conditionalFormatting sqref="T206:U206">
    <cfRule type="cellIs" dxfId="6813" priority="6715" stopIfTrue="1" operator="equal">
      <formula>"NO APLICA"</formula>
    </cfRule>
  </conditionalFormatting>
  <conditionalFormatting sqref="V206">
    <cfRule type="cellIs" dxfId="6812" priority="6714" stopIfTrue="1" operator="equal">
      <formula>"NO APLICA"</formula>
    </cfRule>
  </conditionalFormatting>
  <conditionalFormatting sqref="K204:L206">
    <cfRule type="cellIs" dxfId="6811" priority="6712" operator="equal">
      <formula>0</formula>
    </cfRule>
    <cfRule type="cellIs" dxfId="6810" priority="6713" operator="notBetween">
      <formula>$Q$17</formula>
      <formula>$R$17</formula>
    </cfRule>
  </conditionalFormatting>
  <conditionalFormatting sqref="F237:H242 D243:H243 I237:I243 C234:D234 K234:O243 F234:I236 D235:D242 C235:C243">
    <cfRule type="cellIs" dxfId="6809" priority="6711" stopIfTrue="1" operator="greaterThan">
      <formula>0</formula>
    </cfRule>
  </conditionalFormatting>
  <conditionalFormatting sqref="D237:D242">
    <cfRule type="cellIs" dxfId="6808" priority="6710" stopIfTrue="1" operator="greaterThan">
      <formula>0</formula>
    </cfRule>
  </conditionalFormatting>
  <conditionalFormatting sqref="D237:D242 F237:H242">
    <cfRule type="cellIs" dxfId="6807" priority="6709" stopIfTrue="1" operator="greaterThan">
      <formula>0</formula>
    </cfRule>
  </conditionalFormatting>
  <conditionalFormatting sqref="H234:H242">
    <cfRule type="cellIs" dxfId="6806" priority="6708" stopIfTrue="1" operator="greaterThan">
      <formula>0</formula>
    </cfRule>
  </conditionalFormatting>
  <conditionalFormatting sqref="E234:E242">
    <cfRule type="cellIs" dxfId="6805" priority="6707" stopIfTrue="1" operator="greaterThan">
      <formula>0</formula>
    </cfRule>
  </conditionalFormatting>
  <conditionalFormatting sqref="M251:M256 K251:K256">
    <cfRule type="containsText" dxfId="6804" priority="6705" stopIfTrue="1" operator="containsText" text="NO CUMPLE">
      <formula>NOT(ISERROR(SEARCH("NO CUMPLE",K251)))</formula>
    </cfRule>
    <cfRule type="containsText" dxfId="6803" priority="6706" stopIfTrue="1" operator="containsText" text="CUMPLE">
      <formula>NOT(ISERROR(SEARCH("CUMPLE",K251)))</formula>
    </cfRule>
  </conditionalFormatting>
  <conditionalFormatting sqref="S250">
    <cfRule type="cellIs" dxfId="6802" priority="6703" operator="greaterThanOrEqual">
      <formula>NUMMINCONT</formula>
    </cfRule>
    <cfRule type="cellIs" dxfId="6801" priority="6704" operator="lessThan">
      <formula>NUMMINCONT</formula>
    </cfRule>
  </conditionalFormatting>
  <conditionalFormatting sqref="T237:V242">
    <cfRule type="cellIs" dxfId="6800" priority="6701" stopIfTrue="1" operator="equal">
      <formula>"NO"</formula>
    </cfRule>
    <cfRule type="cellIs" dxfId="6799" priority="6702" stopIfTrue="1" operator="equal">
      <formula>"SI"</formula>
    </cfRule>
  </conditionalFormatting>
  <conditionalFormatting sqref="T237:V238">
    <cfRule type="cellIs" dxfId="6798" priority="6700" stopIfTrue="1" operator="equal">
      <formula>"NO APLICA"</formula>
    </cfRule>
  </conditionalFormatting>
  <conditionalFormatting sqref="T239:U242">
    <cfRule type="cellIs" dxfId="6797" priority="6699" stopIfTrue="1" operator="equal">
      <formula>"NO APLICA"</formula>
    </cfRule>
  </conditionalFormatting>
  <conditionalFormatting sqref="T239:U239">
    <cfRule type="cellIs" dxfId="6796" priority="6698" stopIfTrue="1" operator="equal">
      <formula>"NO APLICA"</formula>
    </cfRule>
  </conditionalFormatting>
  <conditionalFormatting sqref="V239:V242">
    <cfRule type="cellIs" dxfId="6795" priority="6697" stopIfTrue="1" operator="equal">
      <formula>"NO APLICA"</formula>
    </cfRule>
  </conditionalFormatting>
  <conditionalFormatting sqref="V248:W248">
    <cfRule type="cellIs" dxfId="6794" priority="6695" operator="equal">
      <formula>"CUMPLE"</formula>
    </cfRule>
    <cfRule type="cellIs" dxfId="6793" priority="6696" operator="equal">
      <formula>"NO CUMPLE"</formula>
    </cfRule>
  </conditionalFormatting>
  <conditionalFormatting sqref="V248:W250">
    <cfRule type="cellIs" dxfId="6792" priority="6694" operator="equal">
      <formula>"VERIFICAR"</formula>
    </cfRule>
  </conditionalFormatting>
  <conditionalFormatting sqref="T243:V243">
    <cfRule type="cellIs" dxfId="6791" priority="6692" stopIfTrue="1" operator="equal">
      <formula>"NO"</formula>
    </cfRule>
    <cfRule type="cellIs" dxfId="6790" priority="6693" stopIfTrue="1" operator="equal">
      <formula>"SI"</formula>
    </cfRule>
  </conditionalFormatting>
  <conditionalFormatting sqref="T243:U243">
    <cfRule type="cellIs" dxfId="6789" priority="6691" stopIfTrue="1" operator="equal">
      <formula>"NO APLICA"</formula>
    </cfRule>
  </conditionalFormatting>
  <conditionalFormatting sqref="V243">
    <cfRule type="cellIs" dxfId="6788" priority="6690" stopIfTrue="1" operator="equal">
      <formula>"NO APLICA"</formula>
    </cfRule>
  </conditionalFormatting>
  <conditionalFormatting sqref="T253">
    <cfRule type="cellIs" dxfId="6787" priority="6688" operator="equal">
      <formula>"CUMPLE"</formula>
    </cfRule>
    <cfRule type="cellIs" dxfId="6786" priority="6689" operator="equal">
      <formula>"NO CUMPLE"</formula>
    </cfRule>
  </conditionalFormatting>
  <conditionalFormatting sqref="T253">
    <cfRule type="cellIs" dxfId="6785" priority="6687" operator="equal">
      <formula>"VERIFICAR"</formula>
    </cfRule>
  </conditionalFormatting>
  <conditionalFormatting sqref="Y251:Y256">
    <cfRule type="cellIs" dxfId="6784" priority="6686" stopIfTrue="1" operator="equal">
      <formula>"NO APLICA"</formula>
    </cfRule>
  </conditionalFormatting>
  <conditionalFormatting sqref="Y256">
    <cfRule type="cellIs" dxfId="6783" priority="6685" stopIfTrue="1" operator="equal">
      <formula>"NO APLICA"</formula>
    </cfRule>
  </conditionalFormatting>
  <conditionalFormatting sqref="X251:Y256">
    <cfRule type="cellIs" dxfId="6782" priority="6683" stopIfTrue="1" operator="equal">
      <formula>"NO"</formula>
    </cfRule>
    <cfRule type="cellIs" dxfId="6781" priority="6684" stopIfTrue="1" operator="equal">
      <formula>"SI"</formula>
    </cfRule>
  </conditionalFormatting>
  <conditionalFormatting sqref="X251:X256">
    <cfRule type="cellIs" dxfId="6780" priority="6682" stopIfTrue="1" operator="equal">
      <formula>"NO APLICA"</formula>
    </cfRule>
  </conditionalFormatting>
  <conditionalFormatting sqref="X252:X255">
    <cfRule type="cellIs" dxfId="6779" priority="6681" stopIfTrue="1" operator="equal">
      <formula>"NO APLICA"</formula>
    </cfRule>
  </conditionalFormatting>
  <conditionalFormatting sqref="X252">
    <cfRule type="cellIs" dxfId="6778" priority="6680" stopIfTrue="1" operator="equal">
      <formula>"NO APLICA"</formula>
    </cfRule>
  </conditionalFormatting>
  <conditionalFormatting sqref="X256">
    <cfRule type="cellIs" dxfId="6777" priority="6679" stopIfTrue="1" operator="equal">
      <formula>"NO APLICA"</formula>
    </cfRule>
  </conditionalFormatting>
  <conditionalFormatting sqref="X256">
    <cfRule type="cellIs" dxfId="6776" priority="6678" stopIfTrue="1" operator="equal">
      <formula>"NO APLICA"</formula>
    </cfRule>
  </conditionalFormatting>
  <conditionalFormatting sqref="AA251:AA256">
    <cfRule type="cellIs" dxfId="6775" priority="6677" stopIfTrue="1" operator="equal">
      <formula>"NO APLICA"</formula>
    </cfRule>
  </conditionalFormatting>
  <conditionalFormatting sqref="AA256">
    <cfRule type="cellIs" dxfId="6774" priority="6676" stopIfTrue="1" operator="equal">
      <formula>"NO APLICA"</formula>
    </cfRule>
  </conditionalFormatting>
  <conditionalFormatting sqref="AA251:AA256">
    <cfRule type="cellIs" dxfId="6773" priority="6674" stopIfTrue="1" operator="equal">
      <formula>"NO"</formula>
    </cfRule>
    <cfRule type="cellIs" dxfId="6772" priority="6675" stopIfTrue="1" operator="equal">
      <formula>"SI"</formula>
    </cfRule>
  </conditionalFormatting>
  <conditionalFormatting sqref="Y251:Z256">
    <cfRule type="cellIs" dxfId="6771" priority="6672" operator="equal">
      <formula>"NO APLICA"</formula>
    </cfRule>
    <cfRule type="cellIs" dxfId="6770" priority="6673" operator="equal">
      <formula>"SI APLICA"</formula>
    </cfRule>
  </conditionalFormatting>
  <conditionalFormatting sqref="AB251:AB257">
    <cfRule type="cellIs" dxfId="6769" priority="6670" operator="equal">
      <formula>"NO APLICA"</formula>
    </cfRule>
    <cfRule type="cellIs" dxfId="6768" priority="6671" operator="equal">
      <formula>"SI APLICA"</formula>
    </cfRule>
  </conditionalFormatting>
  <conditionalFormatting sqref="X257">
    <cfRule type="cellIs" dxfId="6767" priority="6668" operator="equal">
      <formula>"PROPONENTE PLURAL"</formula>
    </cfRule>
    <cfRule type="cellIs" dxfId="6766" priority="6669" operator="equal">
      <formula>"PROPONENTE INDIVIDUAL"</formula>
    </cfRule>
  </conditionalFormatting>
  <conditionalFormatting sqref="Z257:AA257 AA251:AA256">
    <cfRule type="cellIs" dxfId="6765" priority="6666" operator="equal">
      <formula>"NO APLICA"</formula>
    </cfRule>
    <cfRule type="cellIs" dxfId="6764" priority="6667" operator="equal">
      <formula>"SI APLICA"</formula>
    </cfRule>
  </conditionalFormatting>
  <conditionalFormatting sqref="AB251:AB256 Y251:Z256">
    <cfRule type="cellIs" dxfId="6763" priority="6665" operator="equal">
      <formula>""</formula>
    </cfRule>
  </conditionalFormatting>
  <conditionalFormatting sqref="H257">
    <cfRule type="containsText" dxfId="6762" priority="6663" stopIfTrue="1" operator="containsText" text="NO CUMPLE">
      <formula>NOT(ISERROR(SEARCH("NO CUMPLE",H257)))</formula>
    </cfRule>
    <cfRule type="containsText" dxfId="6761" priority="6664" stopIfTrue="1" operator="containsText" text="CUMPLE">
      <formula>NOT(ISERROR(SEARCH("CUMPLE",H257)))</formula>
    </cfRule>
  </conditionalFormatting>
  <conditionalFormatting sqref="J257">
    <cfRule type="containsText" dxfId="6760" priority="6661" stopIfTrue="1" operator="containsText" text="NO CUMPLE">
      <formula>NOT(ISERROR(SEARCH("NO CUMPLE",J257)))</formula>
    </cfRule>
    <cfRule type="containsText" dxfId="6759" priority="6662" stopIfTrue="1" operator="containsText" text="CUMPLE">
      <formula>NOT(ISERROR(SEARCH("CUMPLE",J257)))</formula>
    </cfRule>
  </conditionalFormatting>
  <conditionalFormatting sqref="K257">
    <cfRule type="containsText" dxfId="6758" priority="6659" stopIfTrue="1" operator="containsText" text="NO CUMPLE">
      <formula>NOT(ISERROR(SEARCH("NO CUMPLE",K257)))</formula>
    </cfRule>
    <cfRule type="containsText" dxfId="6757" priority="6660" stopIfTrue="1" operator="containsText" text="CUMPLE">
      <formula>NOT(ISERROR(SEARCH("CUMPLE",K257)))</formula>
    </cfRule>
  </conditionalFormatting>
  <conditionalFormatting sqref="L251:L256">
    <cfRule type="containsText" dxfId="6756" priority="6657" stopIfTrue="1" operator="containsText" text="NO CUMPLE">
      <formula>NOT(ISERROR(SEARCH("NO CUMPLE",L251)))</formula>
    </cfRule>
    <cfRule type="containsText" dxfId="6755" priority="6658" stopIfTrue="1" operator="containsText" text="CUMPLE">
      <formula>NOT(ISERROR(SEARCH("CUMPLE",L251)))</formula>
    </cfRule>
  </conditionalFormatting>
  <conditionalFormatting sqref="O256">
    <cfRule type="containsText" dxfId="6754" priority="6655" stopIfTrue="1" operator="containsText" text="NO CUMPLE">
      <formula>NOT(ISERROR(SEARCH("NO CUMPLE",O256)))</formula>
    </cfRule>
    <cfRule type="containsText" dxfId="6753" priority="6656" stopIfTrue="1" operator="containsText" text="CUMPLE">
      <formula>NOT(ISERROR(SEARCH("CUMPLE",O256)))</formula>
    </cfRule>
  </conditionalFormatting>
  <conditionalFormatting sqref="O257:S257">
    <cfRule type="cellIs" dxfId="6752" priority="6654" operator="equal">
      <formula>"EL PROPONENTE SE DEBE REQUERIR POR EXPERIENCIA MINIMA EXIGIDA"</formula>
    </cfRule>
  </conditionalFormatting>
  <conditionalFormatting sqref="X245">
    <cfRule type="cellIs" dxfId="6751" priority="6651" stopIfTrue="1" operator="equal">
      <formula>"VERIFICAR"</formula>
    </cfRule>
    <cfRule type="cellIs" dxfId="6750" priority="6652" stopIfTrue="1" operator="equal">
      <formula>"NO CUMPLE"</formula>
    </cfRule>
    <cfRule type="cellIs" dxfId="6749" priority="6653" stopIfTrue="1" operator="equal">
      <formula>"CUMPLE"</formula>
    </cfRule>
  </conditionalFormatting>
  <conditionalFormatting sqref="X234:Y243 J234:J243">
    <cfRule type="cellIs" dxfId="6748" priority="6650" stopIfTrue="1" operator="greaterThan">
      <formula>0</formula>
    </cfRule>
  </conditionalFormatting>
  <conditionalFormatting sqref="X234:Y243">
    <cfRule type="cellIs" dxfId="6747" priority="6648" operator="equal">
      <formula>"NO CUMPLE"</formula>
    </cfRule>
    <cfRule type="cellIs" dxfId="6746" priority="6649" operator="equal">
      <formula>"CUMPLE"</formula>
    </cfRule>
  </conditionalFormatting>
  <conditionalFormatting sqref="N251:N256">
    <cfRule type="cellIs" dxfId="6745" priority="6646" operator="equal">
      <formula>"NO"</formula>
    </cfRule>
    <cfRule type="cellIs" dxfId="6744" priority="6647" operator="equal">
      <formula>"SI"</formula>
    </cfRule>
  </conditionalFormatting>
  <conditionalFormatting sqref="I243">
    <cfRule type="cellIs" dxfId="6743" priority="6645" stopIfTrue="1" operator="greaterThan">
      <formula>0</formula>
    </cfRule>
  </conditionalFormatting>
  <conditionalFormatting sqref="K237:L243">
    <cfRule type="cellIs" dxfId="6742" priority="6643" operator="equal">
      <formula>0</formula>
    </cfRule>
    <cfRule type="cellIs" dxfId="6741" priority="6644" operator="notBetween">
      <formula>$Q$17</formula>
      <formula>$R$17</formula>
    </cfRule>
  </conditionalFormatting>
  <conditionalFormatting sqref="B234:B243">
    <cfRule type="cellIs" dxfId="6740" priority="6642" stopIfTrue="1" operator="greaterThan">
      <formula>0</formula>
    </cfRule>
  </conditionalFormatting>
  <conditionalFormatting sqref="C234:D234 D235:D236 C235:C243">
    <cfRule type="cellIs" dxfId="6739" priority="6641" stopIfTrue="1" operator="greaterThan">
      <formula>0</formula>
    </cfRule>
  </conditionalFormatting>
  <conditionalFormatting sqref="C234:D234 F234:H236 D235:D236 C235:C243">
    <cfRule type="cellIs" dxfId="6738" priority="6640" stopIfTrue="1" operator="greaterThan">
      <formula>0</formula>
    </cfRule>
  </conditionalFormatting>
  <conditionalFormatting sqref="T234:V236">
    <cfRule type="cellIs" dxfId="6737" priority="6638" stopIfTrue="1" operator="equal">
      <formula>"NO"</formula>
    </cfRule>
    <cfRule type="cellIs" dxfId="6736" priority="6639" stopIfTrue="1" operator="equal">
      <formula>"SI"</formula>
    </cfRule>
  </conditionalFormatting>
  <conditionalFormatting sqref="T234:V235">
    <cfRule type="cellIs" dxfId="6735" priority="6637" stopIfTrue="1" operator="equal">
      <formula>"NO APLICA"</formula>
    </cfRule>
  </conditionalFormatting>
  <conditionalFormatting sqref="T236:U236">
    <cfRule type="cellIs" dxfId="6734" priority="6636" stopIfTrue="1" operator="equal">
      <formula>"NO APLICA"</formula>
    </cfRule>
  </conditionalFormatting>
  <conditionalFormatting sqref="T236:U236">
    <cfRule type="cellIs" dxfId="6733" priority="6635" stopIfTrue="1" operator="equal">
      <formula>"NO APLICA"</formula>
    </cfRule>
  </conditionalFormatting>
  <conditionalFormatting sqref="V236">
    <cfRule type="cellIs" dxfId="6732" priority="6634" stopIfTrue="1" operator="equal">
      <formula>"NO APLICA"</formula>
    </cfRule>
  </conditionalFormatting>
  <conditionalFormatting sqref="K234:L236">
    <cfRule type="cellIs" dxfId="6731" priority="6632" operator="equal">
      <formula>0</formula>
    </cfRule>
    <cfRule type="cellIs" dxfId="6730" priority="6633" operator="notBetween">
      <formula>$Q$17</formula>
      <formula>$R$17</formula>
    </cfRule>
  </conditionalFormatting>
  <conditionalFormatting sqref="F267:H272 D273:H273 I267:I273 K264:O273 F264:I266 C269:C273">
    <cfRule type="cellIs" dxfId="6729" priority="6631" stopIfTrue="1" operator="greaterThan">
      <formula>0</formula>
    </cfRule>
  </conditionalFormatting>
  <conditionalFormatting sqref="F267:H272">
    <cfRule type="cellIs" dxfId="6728" priority="6629" stopIfTrue="1" operator="greaterThan">
      <formula>0</formula>
    </cfRule>
  </conditionalFormatting>
  <conditionalFormatting sqref="H264:H272">
    <cfRule type="cellIs" dxfId="6727" priority="6628" stopIfTrue="1" operator="greaterThan">
      <formula>0</formula>
    </cfRule>
  </conditionalFormatting>
  <conditionalFormatting sqref="E264:E272">
    <cfRule type="cellIs" dxfId="6726" priority="6627" stopIfTrue="1" operator="greaterThan">
      <formula>0</formula>
    </cfRule>
  </conditionalFormatting>
  <conditionalFormatting sqref="M281:M286 K281:K286">
    <cfRule type="containsText" dxfId="6725" priority="6625" stopIfTrue="1" operator="containsText" text="NO CUMPLE">
      <formula>NOT(ISERROR(SEARCH("NO CUMPLE",K281)))</formula>
    </cfRule>
    <cfRule type="containsText" dxfId="6724" priority="6626" stopIfTrue="1" operator="containsText" text="CUMPLE">
      <formula>NOT(ISERROR(SEARCH("CUMPLE",K281)))</formula>
    </cfRule>
  </conditionalFormatting>
  <conditionalFormatting sqref="S280">
    <cfRule type="cellIs" dxfId="6723" priority="6623" operator="greaterThanOrEqual">
      <formula>NUMMINCONT</formula>
    </cfRule>
    <cfRule type="cellIs" dxfId="6722" priority="6624" operator="lessThan">
      <formula>NUMMINCONT</formula>
    </cfRule>
  </conditionalFormatting>
  <conditionalFormatting sqref="T267:V272">
    <cfRule type="cellIs" dxfId="6721" priority="6621" stopIfTrue="1" operator="equal">
      <formula>"NO"</formula>
    </cfRule>
    <cfRule type="cellIs" dxfId="6720" priority="6622" stopIfTrue="1" operator="equal">
      <formula>"SI"</formula>
    </cfRule>
  </conditionalFormatting>
  <conditionalFormatting sqref="T267:V268">
    <cfRule type="cellIs" dxfId="6719" priority="6620" stopIfTrue="1" operator="equal">
      <formula>"NO APLICA"</formula>
    </cfRule>
  </conditionalFormatting>
  <conditionalFormatting sqref="T269:U272">
    <cfRule type="cellIs" dxfId="6718" priority="6619" stopIfTrue="1" operator="equal">
      <formula>"NO APLICA"</formula>
    </cfRule>
  </conditionalFormatting>
  <conditionalFormatting sqref="T269:U269">
    <cfRule type="cellIs" dxfId="6717" priority="6618" stopIfTrue="1" operator="equal">
      <formula>"NO APLICA"</formula>
    </cfRule>
  </conditionalFormatting>
  <conditionalFormatting sqref="V269:V272">
    <cfRule type="cellIs" dxfId="6716" priority="6617" stopIfTrue="1" operator="equal">
      <formula>"NO APLICA"</formula>
    </cfRule>
  </conditionalFormatting>
  <conditionalFormatting sqref="V278:W278">
    <cfRule type="cellIs" dxfId="6715" priority="6615" operator="equal">
      <formula>"CUMPLE"</formula>
    </cfRule>
    <cfRule type="cellIs" dxfId="6714" priority="6616" operator="equal">
      <formula>"NO CUMPLE"</formula>
    </cfRule>
  </conditionalFormatting>
  <conditionalFormatting sqref="V278:W280">
    <cfRule type="cellIs" dxfId="6713" priority="6614" operator="equal">
      <formula>"VERIFICAR"</formula>
    </cfRule>
  </conditionalFormatting>
  <conditionalFormatting sqref="T273:V273">
    <cfRule type="cellIs" dxfId="6712" priority="6612" stopIfTrue="1" operator="equal">
      <formula>"NO"</formula>
    </cfRule>
    <cfRule type="cellIs" dxfId="6711" priority="6613" stopIfTrue="1" operator="equal">
      <formula>"SI"</formula>
    </cfRule>
  </conditionalFormatting>
  <conditionalFormatting sqref="T273:U273">
    <cfRule type="cellIs" dxfId="6710" priority="6611" stopIfTrue="1" operator="equal">
      <formula>"NO APLICA"</formula>
    </cfRule>
  </conditionalFormatting>
  <conditionalFormatting sqref="V273">
    <cfRule type="cellIs" dxfId="6709" priority="6610" stopIfTrue="1" operator="equal">
      <formula>"NO APLICA"</formula>
    </cfRule>
  </conditionalFormatting>
  <conditionalFormatting sqref="T283">
    <cfRule type="cellIs" dxfId="6708" priority="6608" operator="equal">
      <formula>"CUMPLE"</formula>
    </cfRule>
    <cfRule type="cellIs" dxfId="6707" priority="6609" operator="equal">
      <formula>"NO CUMPLE"</formula>
    </cfRule>
  </conditionalFormatting>
  <conditionalFormatting sqref="T283">
    <cfRule type="cellIs" dxfId="6706" priority="6607" operator="equal">
      <formula>"VERIFICAR"</formula>
    </cfRule>
  </conditionalFormatting>
  <conditionalFormatting sqref="Y281:Y286">
    <cfRule type="cellIs" dxfId="6705" priority="6606" stopIfTrue="1" operator="equal">
      <formula>"NO APLICA"</formula>
    </cfRule>
  </conditionalFormatting>
  <conditionalFormatting sqref="Y286">
    <cfRule type="cellIs" dxfId="6704" priority="6605" stopIfTrue="1" operator="equal">
      <formula>"NO APLICA"</formula>
    </cfRule>
  </conditionalFormatting>
  <conditionalFormatting sqref="X281:Y286">
    <cfRule type="cellIs" dxfId="6703" priority="6603" stopIfTrue="1" operator="equal">
      <formula>"NO"</formula>
    </cfRule>
    <cfRule type="cellIs" dxfId="6702" priority="6604" stopIfTrue="1" operator="equal">
      <formula>"SI"</formula>
    </cfRule>
  </conditionalFormatting>
  <conditionalFormatting sqref="X281:X286">
    <cfRule type="cellIs" dxfId="6701" priority="6602" stopIfTrue="1" operator="equal">
      <formula>"NO APLICA"</formula>
    </cfRule>
  </conditionalFormatting>
  <conditionalFormatting sqref="X282:X285">
    <cfRule type="cellIs" dxfId="6700" priority="6601" stopIfTrue="1" operator="equal">
      <formula>"NO APLICA"</formula>
    </cfRule>
  </conditionalFormatting>
  <conditionalFormatting sqref="X282">
    <cfRule type="cellIs" dxfId="6699" priority="6600" stopIfTrue="1" operator="equal">
      <formula>"NO APLICA"</formula>
    </cfRule>
  </conditionalFormatting>
  <conditionalFormatting sqref="X286">
    <cfRule type="cellIs" dxfId="6698" priority="6599" stopIfTrue="1" operator="equal">
      <formula>"NO APLICA"</formula>
    </cfRule>
  </conditionalFormatting>
  <conditionalFormatting sqref="X286">
    <cfRule type="cellIs" dxfId="6697" priority="6598" stopIfTrue="1" operator="equal">
      <formula>"NO APLICA"</formula>
    </cfRule>
  </conditionalFormatting>
  <conditionalFormatting sqref="AA281:AA286">
    <cfRule type="cellIs" dxfId="6696" priority="6597" stopIfTrue="1" operator="equal">
      <formula>"NO APLICA"</formula>
    </cfRule>
  </conditionalFormatting>
  <conditionalFormatting sqref="AA286">
    <cfRule type="cellIs" dxfId="6695" priority="6596" stopIfTrue="1" operator="equal">
      <formula>"NO APLICA"</formula>
    </cfRule>
  </conditionalFormatting>
  <conditionalFormatting sqref="AA281:AA286">
    <cfRule type="cellIs" dxfId="6694" priority="6594" stopIfTrue="1" operator="equal">
      <formula>"NO"</formula>
    </cfRule>
    <cfRule type="cellIs" dxfId="6693" priority="6595" stopIfTrue="1" operator="equal">
      <formula>"SI"</formula>
    </cfRule>
  </conditionalFormatting>
  <conditionalFormatting sqref="Y281:Z286">
    <cfRule type="cellIs" dxfId="6692" priority="6592" operator="equal">
      <formula>"NO APLICA"</formula>
    </cfRule>
    <cfRule type="cellIs" dxfId="6691" priority="6593" operator="equal">
      <formula>"SI APLICA"</formula>
    </cfRule>
  </conditionalFormatting>
  <conditionalFormatting sqref="AB281:AB287">
    <cfRule type="cellIs" dxfId="6690" priority="6590" operator="equal">
      <formula>"NO APLICA"</formula>
    </cfRule>
    <cfRule type="cellIs" dxfId="6689" priority="6591" operator="equal">
      <formula>"SI APLICA"</formula>
    </cfRule>
  </conditionalFormatting>
  <conditionalFormatting sqref="X287">
    <cfRule type="cellIs" dxfId="6688" priority="6588" operator="equal">
      <formula>"PROPONENTE PLURAL"</formula>
    </cfRule>
    <cfRule type="cellIs" dxfId="6687" priority="6589" operator="equal">
      <formula>"PROPONENTE INDIVIDUAL"</formula>
    </cfRule>
  </conditionalFormatting>
  <conditionalFormatting sqref="Z287:AA287 AA281:AA286">
    <cfRule type="cellIs" dxfId="6686" priority="6586" operator="equal">
      <formula>"NO APLICA"</formula>
    </cfRule>
    <cfRule type="cellIs" dxfId="6685" priority="6587" operator="equal">
      <formula>"SI APLICA"</formula>
    </cfRule>
  </conditionalFormatting>
  <conditionalFormatting sqref="AB281:AB286 Y281:Z286">
    <cfRule type="cellIs" dxfId="6684" priority="6585" operator="equal">
      <formula>""</formula>
    </cfRule>
  </conditionalFormatting>
  <conditionalFormatting sqref="H287">
    <cfRule type="containsText" dxfId="6683" priority="6583" stopIfTrue="1" operator="containsText" text="NO CUMPLE">
      <formula>NOT(ISERROR(SEARCH("NO CUMPLE",H287)))</formula>
    </cfRule>
    <cfRule type="containsText" dxfId="6682" priority="6584" stopIfTrue="1" operator="containsText" text="CUMPLE">
      <formula>NOT(ISERROR(SEARCH("CUMPLE",H287)))</formula>
    </cfRule>
  </conditionalFormatting>
  <conditionalFormatting sqref="J287">
    <cfRule type="containsText" dxfId="6681" priority="6581" stopIfTrue="1" operator="containsText" text="NO CUMPLE">
      <formula>NOT(ISERROR(SEARCH("NO CUMPLE",J287)))</formula>
    </cfRule>
    <cfRule type="containsText" dxfId="6680" priority="6582" stopIfTrue="1" operator="containsText" text="CUMPLE">
      <formula>NOT(ISERROR(SEARCH("CUMPLE",J287)))</formula>
    </cfRule>
  </conditionalFormatting>
  <conditionalFormatting sqref="K287">
    <cfRule type="containsText" dxfId="6679" priority="6579" stopIfTrue="1" operator="containsText" text="NO CUMPLE">
      <formula>NOT(ISERROR(SEARCH("NO CUMPLE",K287)))</formula>
    </cfRule>
    <cfRule type="containsText" dxfId="6678" priority="6580" stopIfTrue="1" operator="containsText" text="CUMPLE">
      <formula>NOT(ISERROR(SEARCH("CUMPLE",K287)))</formula>
    </cfRule>
  </conditionalFormatting>
  <conditionalFormatting sqref="L281:L286">
    <cfRule type="containsText" dxfId="6677" priority="6577" stopIfTrue="1" operator="containsText" text="NO CUMPLE">
      <formula>NOT(ISERROR(SEARCH("NO CUMPLE",L281)))</formula>
    </cfRule>
    <cfRule type="containsText" dxfId="6676" priority="6578" stopIfTrue="1" operator="containsText" text="CUMPLE">
      <formula>NOT(ISERROR(SEARCH("CUMPLE",L281)))</formula>
    </cfRule>
  </conditionalFormatting>
  <conditionalFormatting sqref="O286">
    <cfRule type="containsText" dxfId="6675" priority="6575" stopIfTrue="1" operator="containsText" text="NO CUMPLE">
      <formula>NOT(ISERROR(SEARCH("NO CUMPLE",O286)))</formula>
    </cfRule>
    <cfRule type="containsText" dxfId="6674" priority="6576" stopIfTrue="1" operator="containsText" text="CUMPLE">
      <formula>NOT(ISERROR(SEARCH("CUMPLE",O286)))</formula>
    </cfRule>
  </conditionalFormatting>
  <conditionalFormatting sqref="O287:S287">
    <cfRule type="cellIs" dxfId="6673" priority="6574" operator="equal">
      <formula>"EL PROPONENTE SE DEBE REQUERIR POR EXPERIENCIA MINIMA EXIGIDA"</formula>
    </cfRule>
  </conditionalFormatting>
  <conditionalFormatting sqref="X275">
    <cfRule type="cellIs" dxfId="6672" priority="6571" stopIfTrue="1" operator="equal">
      <formula>"VERIFICAR"</formula>
    </cfRule>
    <cfRule type="cellIs" dxfId="6671" priority="6572" stopIfTrue="1" operator="equal">
      <formula>"NO CUMPLE"</formula>
    </cfRule>
    <cfRule type="cellIs" dxfId="6670" priority="6573" stopIfTrue="1" operator="equal">
      <formula>"CUMPLE"</formula>
    </cfRule>
  </conditionalFormatting>
  <conditionalFormatting sqref="X264:Y273 J264:J273">
    <cfRule type="cellIs" dxfId="6669" priority="6570" stopIfTrue="1" operator="greaterThan">
      <formula>0</formula>
    </cfRule>
  </conditionalFormatting>
  <conditionalFormatting sqref="X264:Y273">
    <cfRule type="cellIs" dxfId="6668" priority="6568" operator="equal">
      <formula>"NO CUMPLE"</formula>
    </cfRule>
    <cfRule type="cellIs" dxfId="6667" priority="6569" operator="equal">
      <formula>"CUMPLE"</formula>
    </cfRule>
  </conditionalFormatting>
  <conditionalFormatting sqref="N281:N286">
    <cfRule type="cellIs" dxfId="6666" priority="6566" operator="equal">
      <formula>"NO"</formula>
    </cfRule>
    <cfRule type="cellIs" dxfId="6665" priority="6567" operator="equal">
      <formula>"SI"</formula>
    </cfRule>
  </conditionalFormatting>
  <conditionalFormatting sqref="I273">
    <cfRule type="cellIs" dxfId="6664" priority="6565" stopIfTrue="1" operator="greaterThan">
      <formula>0</formula>
    </cfRule>
  </conditionalFormatting>
  <conditionalFormatting sqref="K267:L273">
    <cfRule type="cellIs" dxfId="6663" priority="6563" operator="equal">
      <formula>0</formula>
    </cfRule>
    <cfRule type="cellIs" dxfId="6662" priority="6564" operator="notBetween">
      <formula>$Q$17</formula>
      <formula>$R$17</formula>
    </cfRule>
  </conditionalFormatting>
  <conditionalFormatting sqref="B264:B273">
    <cfRule type="cellIs" dxfId="6661" priority="6562" stopIfTrue="1" operator="greaterThan">
      <formula>0</formula>
    </cfRule>
  </conditionalFormatting>
  <conditionalFormatting sqref="D264:D267 C264:C273">
    <cfRule type="cellIs" dxfId="6660" priority="6561" stopIfTrue="1" operator="greaterThan">
      <formula>0</formula>
    </cfRule>
  </conditionalFormatting>
  <conditionalFormatting sqref="F264:H266 D264:D267 C264:C273">
    <cfRule type="cellIs" dxfId="6659" priority="6560" stopIfTrue="1" operator="greaterThan">
      <formula>0</formula>
    </cfRule>
  </conditionalFormatting>
  <conditionalFormatting sqref="T264:V266">
    <cfRule type="cellIs" dxfId="6658" priority="6558" stopIfTrue="1" operator="equal">
      <formula>"NO"</formula>
    </cfRule>
    <cfRule type="cellIs" dxfId="6657" priority="6559" stopIfTrue="1" operator="equal">
      <formula>"SI"</formula>
    </cfRule>
  </conditionalFormatting>
  <conditionalFormatting sqref="T264:V265">
    <cfRule type="cellIs" dxfId="6656" priority="6557" stopIfTrue="1" operator="equal">
      <formula>"NO APLICA"</formula>
    </cfRule>
  </conditionalFormatting>
  <conditionalFormatting sqref="T266:U266">
    <cfRule type="cellIs" dxfId="6655" priority="6556" stopIfTrue="1" operator="equal">
      <formula>"NO APLICA"</formula>
    </cfRule>
  </conditionalFormatting>
  <conditionalFormatting sqref="T266:U266">
    <cfRule type="cellIs" dxfId="6654" priority="6555" stopIfTrue="1" operator="equal">
      <formula>"NO APLICA"</formula>
    </cfRule>
  </conditionalFormatting>
  <conditionalFormatting sqref="V266">
    <cfRule type="cellIs" dxfId="6653" priority="6554" stopIfTrue="1" operator="equal">
      <formula>"NO APLICA"</formula>
    </cfRule>
  </conditionalFormatting>
  <conditionalFormatting sqref="K264:L266">
    <cfRule type="cellIs" dxfId="6652" priority="6552" operator="equal">
      <formula>0</formula>
    </cfRule>
    <cfRule type="cellIs" dxfId="6651" priority="6553" operator="notBetween">
      <formula>$Q$17</formula>
      <formula>$R$17</formula>
    </cfRule>
  </conditionalFormatting>
  <conditionalFormatting sqref="F297:H302 D303:H303 I297:I303 C294:D294 K294:O303 F294:I296 D295:D302 C295:C303">
    <cfRule type="cellIs" dxfId="6650" priority="6551" stopIfTrue="1" operator="greaterThan">
      <formula>0</formula>
    </cfRule>
  </conditionalFormatting>
  <conditionalFormatting sqref="D297:D302">
    <cfRule type="cellIs" dxfId="6649" priority="6550" stopIfTrue="1" operator="greaterThan">
      <formula>0</formula>
    </cfRule>
  </conditionalFormatting>
  <conditionalFormatting sqref="D297:D302 F297:H302">
    <cfRule type="cellIs" dxfId="6648" priority="6549" stopIfTrue="1" operator="greaterThan">
      <formula>0</formula>
    </cfRule>
  </conditionalFormatting>
  <conditionalFormatting sqref="H294:H302">
    <cfRule type="cellIs" dxfId="6647" priority="6548" stopIfTrue="1" operator="greaterThan">
      <formula>0</formula>
    </cfRule>
  </conditionalFormatting>
  <conditionalFormatting sqref="E294:E302">
    <cfRule type="cellIs" dxfId="6646" priority="6547" stopIfTrue="1" operator="greaterThan">
      <formula>0</formula>
    </cfRule>
  </conditionalFormatting>
  <conditionalFormatting sqref="M311:M316 K311:K316">
    <cfRule type="containsText" dxfId="6645" priority="6545" stopIfTrue="1" operator="containsText" text="NO CUMPLE">
      <formula>NOT(ISERROR(SEARCH("NO CUMPLE",K311)))</formula>
    </cfRule>
    <cfRule type="containsText" dxfId="6644" priority="6546" stopIfTrue="1" operator="containsText" text="CUMPLE">
      <formula>NOT(ISERROR(SEARCH("CUMPLE",K311)))</formula>
    </cfRule>
  </conditionalFormatting>
  <conditionalFormatting sqref="S310">
    <cfRule type="cellIs" dxfId="6643" priority="6543" operator="greaterThanOrEqual">
      <formula>NUMMINCONT</formula>
    </cfRule>
    <cfRule type="cellIs" dxfId="6642" priority="6544" operator="lessThan">
      <formula>NUMMINCONT</formula>
    </cfRule>
  </conditionalFormatting>
  <conditionalFormatting sqref="T297:V302">
    <cfRule type="cellIs" dxfId="6641" priority="6541" stopIfTrue="1" operator="equal">
      <formula>"NO"</formula>
    </cfRule>
    <cfRule type="cellIs" dxfId="6640" priority="6542" stopIfTrue="1" operator="equal">
      <formula>"SI"</formula>
    </cfRule>
  </conditionalFormatting>
  <conditionalFormatting sqref="T297:V298">
    <cfRule type="cellIs" dxfId="6639" priority="6540" stopIfTrue="1" operator="equal">
      <formula>"NO APLICA"</formula>
    </cfRule>
  </conditionalFormatting>
  <conditionalFormatting sqref="T299:U302">
    <cfRule type="cellIs" dxfId="6638" priority="6539" stopIfTrue="1" operator="equal">
      <formula>"NO APLICA"</formula>
    </cfRule>
  </conditionalFormatting>
  <conditionalFormatting sqref="T299:U299">
    <cfRule type="cellIs" dxfId="6637" priority="6538" stopIfTrue="1" operator="equal">
      <formula>"NO APLICA"</formula>
    </cfRule>
  </conditionalFormatting>
  <conditionalFormatting sqref="V299:V302">
    <cfRule type="cellIs" dxfId="6636" priority="6537" stopIfTrue="1" operator="equal">
      <formula>"NO APLICA"</formula>
    </cfRule>
  </conditionalFormatting>
  <conditionalFormatting sqref="V308:W308">
    <cfRule type="cellIs" dxfId="6635" priority="6535" operator="equal">
      <formula>"CUMPLE"</formula>
    </cfRule>
    <cfRule type="cellIs" dxfId="6634" priority="6536" operator="equal">
      <formula>"NO CUMPLE"</formula>
    </cfRule>
  </conditionalFormatting>
  <conditionalFormatting sqref="V308:W310">
    <cfRule type="cellIs" dxfId="6633" priority="6534" operator="equal">
      <formula>"VERIFICAR"</formula>
    </cfRule>
  </conditionalFormatting>
  <conditionalFormatting sqref="T303:V303">
    <cfRule type="cellIs" dxfId="6632" priority="6532" stopIfTrue="1" operator="equal">
      <formula>"NO"</formula>
    </cfRule>
    <cfRule type="cellIs" dxfId="6631" priority="6533" stopIfTrue="1" operator="equal">
      <formula>"SI"</formula>
    </cfRule>
  </conditionalFormatting>
  <conditionalFormatting sqref="T303:U303">
    <cfRule type="cellIs" dxfId="6630" priority="6531" stopIfTrue="1" operator="equal">
      <formula>"NO APLICA"</formula>
    </cfRule>
  </conditionalFormatting>
  <conditionalFormatting sqref="V303">
    <cfRule type="cellIs" dxfId="6629" priority="6530" stopIfTrue="1" operator="equal">
      <formula>"NO APLICA"</formula>
    </cfRule>
  </conditionalFormatting>
  <conditionalFormatting sqref="T313">
    <cfRule type="cellIs" dxfId="6628" priority="6528" operator="equal">
      <formula>"CUMPLE"</formula>
    </cfRule>
    <cfRule type="cellIs" dxfId="6627" priority="6529" operator="equal">
      <formula>"NO CUMPLE"</formula>
    </cfRule>
  </conditionalFormatting>
  <conditionalFormatting sqref="T313">
    <cfRule type="cellIs" dxfId="6626" priority="6527" operator="equal">
      <formula>"VERIFICAR"</formula>
    </cfRule>
  </conditionalFormatting>
  <conditionalFormatting sqref="Y311:Y316">
    <cfRule type="cellIs" dxfId="6625" priority="6526" stopIfTrue="1" operator="equal">
      <formula>"NO APLICA"</formula>
    </cfRule>
  </conditionalFormatting>
  <conditionalFormatting sqref="Y316">
    <cfRule type="cellIs" dxfId="6624" priority="6525" stopIfTrue="1" operator="equal">
      <formula>"NO APLICA"</formula>
    </cfRule>
  </conditionalFormatting>
  <conditionalFormatting sqref="X311:Y316">
    <cfRule type="cellIs" dxfId="6623" priority="6523" stopIfTrue="1" operator="equal">
      <formula>"NO"</formula>
    </cfRule>
    <cfRule type="cellIs" dxfId="6622" priority="6524" stopIfTrue="1" operator="equal">
      <formula>"SI"</formula>
    </cfRule>
  </conditionalFormatting>
  <conditionalFormatting sqref="X311:X316">
    <cfRule type="cellIs" dxfId="6621" priority="6522" stopIfTrue="1" operator="equal">
      <formula>"NO APLICA"</formula>
    </cfRule>
  </conditionalFormatting>
  <conditionalFormatting sqref="X312:X315">
    <cfRule type="cellIs" dxfId="6620" priority="6521" stopIfTrue="1" operator="equal">
      <formula>"NO APLICA"</formula>
    </cfRule>
  </conditionalFormatting>
  <conditionalFormatting sqref="X312">
    <cfRule type="cellIs" dxfId="6619" priority="6520" stopIfTrue="1" operator="equal">
      <formula>"NO APLICA"</formula>
    </cfRule>
  </conditionalFormatting>
  <conditionalFormatting sqref="X316">
    <cfRule type="cellIs" dxfId="6618" priority="6519" stopIfTrue="1" operator="equal">
      <formula>"NO APLICA"</formula>
    </cfRule>
  </conditionalFormatting>
  <conditionalFormatting sqref="X316">
    <cfRule type="cellIs" dxfId="6617" priority="6518" stopIfTrue="1" operator="equal">
      <formula>"NO APLICA"</formula>
    </cfRule>
  </conditionalFormatting>
  <conditionalFormatting sqref="AA311:AA316">
    <cfRule type="cellIs" dxfId="6616" priority="6517" stopIfTrue="1" operator="equal">
      <formula>"NO APLICA"</formula>
    </cfRule>
  </conditionalFormatting>
  <conditionalFormatting sqref="AA316">
    <cfRule type="cellIs" dxfId="6615" priority="6516" stopIfTrue="1" operator="equal">
      <formula>"NO APLICA"</formula>
    </cfRule>
  </conditionalFormatting>
  <conditionalFormatting sqref="AA311:AA316">
    <cfRule type="cellIs" dxfId="6614" priority="6514" stopIfTrue="1" operator="equal">
      <formula>"NO"</formula>
    </cfRule>
    <cfRule type="cellIs" dxfId="6613" priority="6515" stopIfTrue="1" operator="equal">
      <formula>"SI"</formula>
    </cfRule>
  </conditionalFormatting>
  <conditionalFormatting sqref="Y311:Z316">
    <cfRule type="cellIs" dxfId="6612" priority="6512" operator="equal">
      <formula>"NO APLICA"</formula>
    </cfRule>
    <cfRule type="cellIs" dxfId="6611" priority="6513" operator="equal">
      <formula>"SI APLICA"</formula>
    </cfRule>
  </conditionalFormatting>
  <conditionalFormatting sqref="AB311:AB317">
    <cfRule type="cellIs" dxfId="6610" priority="6510" operator="equal">
      <formula>"NO APLICA"</formula>
    </cfRule>
    <cfRule type="cellIs" dxfId="6609" priority="6511" operator="equal">
      <formula>"SI APLICA"</formula>
    </cfRule>
  </conditionalFormatting>
  <conditionalFormatting sqref="X317">
    <cfRule type="cellIs" dxfId="6608" priority="6508" operator="equal">
      <formula>"PROPONENTE PLURAL"</formula>
    </cfRule>
    <cfRule type="cellIs" dxfId="6607" priority="6509" operator="equal">
      <formula>"PROPONENTE INDIVIDUAL"</formula>
    </cfRule>
  </conditionalFormatting>
  <conditionalFormatting sqref="Z317:AA317 AA311:AA316">
    <cfRule type="cellIs" dxfId="6606" priority="6506" operator="equal">
      <formula>"NO APLICA"</formula>
    </cfRule>
    <cfRule type="cellIs" dxfId="6605" priority="6507" operator="equal">
      <formula>"SI APLICA"</formula>
    </cfRule>
  </conditionalFormatting>
  <conditionalFormatting sqref="AB311:AB316 Y311:Z316">
    <cfRule type="cellIs" dxfId="6604" priority="6505" operator="equal">
      <formula>""</formula>
    </cfRule>
  </conditionalFormatting>
  <conditionalFormatting sqref="H317">
    <cfRule type="containsText" dxfId="6603" priority="6503" stopIfTrue="1" operator="containsText" text="NO CUMPLE">
      <formula>NOT(ISERROR(SEARCH("NO CUMPLE",H317)))</formula>
    </cfRule>
    <cfRule type="containsText" dxfId="6602" priority="6504" stopIfTrue="1" operator="containsText" text="CUMPLE">
      <formula>NOT(ISERROR(SEARCH("CUMPLE",H317)))</formula>
    </cfRule>
  </conditionalFormatting>
  <conditionalFormatting sqref="J317">
    <cfRule type="containsText" dxfId="6601" priority="6501" stopIfTrue="1" operator="containsText" text="NO CUMPLE">
      <formula>NOT(ISERROR(SEARCH("NO CUMPLE",J317)))</formula>
    </cfRule>
    <cfRule type="containsText" dxfId="6600" priority="6502" stopIfTrue="1" operator="containsText" text="CUMPLE">
      <formula>NOT(ISERROR(SEARCH("CUMPLE",J317)))</formula>
    </cfRule>
  </conditionalFormatting>
  <conditionalFormatting sqref="K317">
    <cfRule type="containsText" dxfId="6599" priority="6499" stopIfTrue="1" operator="containsText" text="NO CUMPLE">
      <formula>NOT(ISERROR(SEARCH("NO CUMPLE",K317)))</formula>
    </cfRule>
    <cfRule type="containsText" dxfId="6598" priority="6500" stopIfTrue="1" operator="containsText" text="CUMPLE">
      <formula>NOT(ISERROR(SEARCH("CUMPLE",K317)))</formula>
    </cfRule>
  </conditionalFormatting>
  <conditionalFormatting sqref="L311:L316">
    <cfRule type="containsText" dxfId="6597" priority="6497" stopIfTrue="1" operator="containsText" text="NO CUMPLE">
      <formula>NOT(ISERROR(SEARCH("NO CUMPLE",L311)))</formula>
    </cfRule>
    <cfRule type="containsText" dxfId="6596" priority="6498" stopIfTrue="1" operator="containsText" text="CUMPLE">
      <formula>NOT(ISERROR(SEARCH("CUMPLE",L311)))</formula>
    </cfRule>
  </conditionalFormatting>
  <conditionalFormatting sqref="O316">
    <cfRule type="containsText" dxfId="6595" priority="6495" stopIfTrue="1" operator="containsText" text="NO CUMPLE">
      <formula>NOT(ISERROR(SEARCH("NO CUMPLE",O316)))</formula>
    </cfRule>
    <cfRule type="containsText" dxfId="6594" priority="6496" stopIfTrue="1" operator="containsText" text="CUMPLE">
      <formula>NOT(ISERROR(SEARCH("CUMPLE",O316)))</formula>
    </cfRule>
  </conditionalFormatting>
  <conditionalFormatting sqref="O317:S317">
    <cfRule type="cellIs" dxfId="6593" priority="6494" operator="equal">
      <formula>"EL PROPONENTE SE DEBE REQUERIR POR EXPERIENCIA MINIMA EXIGIDA"</formula>
    </cfRule>
  </conditionalFormatting>
  <conditionalFormatting sqref="X305">
    <cfRule type="cellIs" dxfId="6592" priority="6491" stopIfTrue="1" operator="equal">
      <formula>"VERIFICAR"</formula>
    </cfRule>
    <cfRule type="cellIs" dxfId="6591" priority="6492" stopIfTrue="1" operator="equal">
      <formula>"NO CUMPLE"</formula>
    </cfRule>
    <cfRule type="cellIs" dxfId="6590" priority="6493" stopIfTrue="1" operator="equal">
      <formula>"CUMPLE"</formula>
    </cfRule>
  </conditionalFormatting>
  <conditionalFormatting sqref="X294:Y303 J294:J303">
    <cfRule type="cellIs" dxfId="6589" priority="6490" stopIfTrue="1" operator="greaterThan">
      <formula>0</formula>
    </cfRule>
  </conditionalFormatting>
  <conditionalFormatting sqref="X294:Y303">
    <cfRule type="cellIs" dxfId="6588" priority="6488" operator="equal">
      <formula>"NO CUMPLE"</formula>
    </cfRule>
    <cfRule type="cellIs" dxfId="6587" priority="6489" operator="equal">
      <formula>"CUMPLE"</formula>
    </cfRule>
  </conditionalFormatting>
  <conditionalFormatting sqref="N311:N316">
    <cfRule type="cellIs" dxfId="6586" priority="6486" operator="equal">
      <formula>"NO"</formula>
    </cfRule>
    <cfRule type="cellIs" dxfId="6585" priority="6487" operator="equal">
      <formula>"SI"</formula>
    </cfRule>
  </conditionalFormatting>
  <conditionalFormatting sqref="I303">
    <cfRule type="cellIs" dxfId="6584" priority="6485" stopIfTrue="1" operator="greaterThan">
      <formula>0</formula>
    </cfRule>
  </conditionalFormatting>
  <conditionalFormatting sqref="K297:L303">
    <cfRule type="cellIs" dxfId="6583" priority="6483" operator="equal">
      <formula>0</formula>
    </cfRule>
    <cfRule type="cellIs" dxfId="6582" priority="6484" operator="notBetween">
      <formula>$Q$17</formula>
      <formula>$R$17</formula>
    </cfRule>
  </conditionalFormatting>
  <conditionalFormatting sqref="B294:B303">
    <cfRule type="cellIs" dxfId="6581" priority="6482" stopIfTrue="1" operator="greaterThan">
      <formula>0</formula>
    </cfRule>
  </conditionalFormatting>
  <conditionalFormatting sqref="C294:D294 D295:D296 C295:C303">
    <cfRule type="cellIs" dxfId="6580" priority="6481" stopIfTrue="1" operator="greaterThan">
      <formula>0</formula>
    </cfRule>
  </conditionalFormatting>
  <conditionalFormatting sqref="C294:D294 F294:H296 D295:D296 C295:C303">
    <cfRule type="cellIs" dxfId="6579" priority="6480" stopIfTrue="1" operator="greaterThan">
      <formula>0</formula>
    </cfRule>
  </conditionalFormatting>
  <conditionalFormatting sqref="T294:V296">
    <cfRule type="cellIs" dxfId="6578" priority="6478" stopIfTrue="1" operator="equal">
      <formula>"NO"</formula>
    </cfRule>
    <cfRule type="cellIs" dxfId="6577" priority="6479" stopIfTrue="1" operator="equal">
      <formula>"SI"</formula>
    </cfRule>
  </conditionalFormatting>
  <conditionalFormatting sqref="T294:V295">
    <cfRule type="cellIs" dxfId="6576" priority="6477" stopIfTrue="1" operator="equal">
      <formula>"NO APLICA"</formula>
    </cfRule>
  </conditionalFormatting>
  <conditionalFormatting sqref="T296:U296">
    <cfRule type="cellIs" dxfId="6575" priority="6476" stopIfTrue="1" operator="equal">
      <formula>"NO APLICA"</formula>
    </cfRule>
  </conditionalFormatting>
  <conditionalFormatting sqref="T296:U296">
    <cfRule type="cellIs" dxfId="6574" priority="6475" stopIfTrue="1" operator="equal">
      <formula>"NO APLICA"</formula>
    </cfRule>
  </conditionalFormatting>
  <conditionalFormatting sqref="V296">
    <cfRule type="cellIs" dxfId="6573" priority="6474" stopIfTrue="1" operator="equal">
      <formula>"NO APLICA"</formula>
    </cfRule>
  </conditionalFormatting>
  <conditionalFormatting sqref="K294:L296">
    <cfRule type="cellIs" dxfId="6572" priority="6472" operator="equal">
      <formula>0</formula>
    </cfRule>
    <cfRule type="cellIs" dxfId="6571" priority="6473" operator="notBetween">
      <formula>$Q$17</formula>
      <formula>$R$17</formula>
    </cfRule>
  </conditionalFormatting>
  <conditionalFormatting sqref="F327:H332 D333:H333 I327:I333 K324:O333 F324:I326 D324:D332 C325:C333">
    <cfRule type="cellIs" dxfId="6570" priority="6471" stopIfTrue="1" operator="greaterThan">
      <formula>0</formula>
    </cfRule>
  </conditionalFormatting>
  <conditionalFormatting sqref="D327:D332">
    <cfRule type="cellIs" dxfId="6569" priority="6470" stopIfTrue="1" operator="greaterThan">
      <formula>0</formula>
    </cfRule>
  </conditionalFormatting>
  <conditionalFormatting sqref="D327:D332 F327:H332">
    <cfRule type="cellIs" dxfId="6568" priority="6469" stopIfTrue="1" operator="greaterThan">
      <formula>0</formula>
    </cfRule>
  </conditionalFormatting>
  <conditionalFormatting sqref="H324:H332">
    <cfRule type="cellIs" dxfId="6567" priority="6468" stopIfTrue="1" operator="greaterThan">
      <formula>0</formula>
    </cfRule>
  </conditionalFormatting>
  <conditionalFormatting sqref="E324:E332">
    <cfRule type="cellIs" dxfId="6566" priority="6467" stopIfTrue="1" operator="greaterThan">
      <formula>0</formula>
    </cfRule>
  </conditionalFormatting>
  <conditionalFormatting sqref="M341:M346 K341:K346">
    <cfRule type="containsText" dxfId="6565" priority="6465" stopIfTrue="1" operator="containsText" text="NO CUMPLE">
      <formula>NOT(ISERROR(SEARCH("NO CUMPLE",K341)))</formula>
    </cfRule>
    <cfRule type="containsText" dxfId="6564" priority="6466" stopIfTrue="1" operator="containsText" text="CUMPLE">
      <formula>NOT(ISERROR(SEARCH("CUMPLE",K341)))</formula>
    </cfRule>
  </conditionalFormatting>
  <conditionalFormatting sqref="S340">
    <cfRule type="cellIs" dxfId="6563" priority="6463" operator="greaterThanOrEqual">
      <formula>NUMMINCONT</formula>
    </cfRule>
    <cfRule type="cellIs" dxfId="6562" priority="6464" operator="lessThan">
      <formula>NUMMINCONT</formula>
    </cfRule>
  </conditionalFormatting>
  <conditionalFormatting sqref="T327:V332">
    <cfRule type="cellIs" dxfId="6561" priority="6461" stopIfTrue="1" operator="equal">
      <formula>"NO"</formula>
    </cfRule>
    <cfRule type="cellIs" dxfId="6560" priority="6462" stopIfTrue="1" operator="equal">
      <formula>"SI"</formula>
    </cfRule>
  </conditionalFormatting>
  <conditionalFormatting sqref="T327:V328">
    <cfRule type="cellIs" dxfId="6559" priority="6460" stopIfTrue="1" operator="equal">
      <formula>"NO APLICA"</formula>
    </cfRule>
  </conditionalFormatting>
  <conditionalFormatting sqref="T329:U332">
    <cfRule type="cellIs" dxfId="6558" priority="6459" stopIfTrue="1" operator="equal">
      <formula>"NO APLICA"</formula>
    </cfRule>
  </conditionalFormatting>
  <conditionalFormatting sqref="T329:U329">
    <cfRule type="cellIs" dxfId="6557" priority="6458" stopIfTrue="1" operator="equal">
      <formula>"NO APLICA"</formula>
    </cfRule>
  </conditionalFormatting>
  <conditionalFormatting sqref="V329:V332">
    <cfRule type="cellIs" dxfId="6556" priority="6457" stopIfTrue="1" operator="equal">
      <formula>"NO APLICA"</formula>
    </cfRule>
  </conditionalFormatting>
  <conditionalFormatting sqref="V338:W338">
    <cfRule type="cellIs" dxfId="6555" priority="6455" operator="equal">
      <formula>"CUMPLE"</formula>
    </cfRule>
    <cfRule type="cellIs" dxfId="6554" priority="6456" operator="equal">
      <formula>"NO CUMPLE"</formula>
    </cfRule>
  </conditionalFormatting>
  <conditionalFormatting sqref="V338:W340">
    <cfRule type="cellIs" dxfId="6553" priority="6454" operator="equal">
      <formula>"VERIFICAR"</formula>
    </cfRule>
  </conditionalFormatting>
  <conditionalFormatting sqref="T333:V333">
    <cfRule type="cellIs" dxfId="6552" priority="6452" stopIfTrue="1" operator="equal">
      <formula>"NO"</formula>
    </cfRule>
    <cfRule type="cellIs" dxfId="6551" priority="6453" stopIfTrue="1" operator="equal">
      <formula>"SI"</formula>
    </cfRule>
  </conditionalFormatting>
  <conditionalFormatting sqref="T333:U333">
    <cfRule type="cellIs" dxfId="6550" priority="6451" stopIfTrue="1" operator="equal">
      <formula>"NO APLICA"</formula>
    </cfRule>
  </conditionalFormatting>
  <conditionalFormatting sqref="V333">
    <cfRule type="cellIs" dxfId="6549" priority="6450" stopIfTrue="1" operator="equal">
      <formula>"NO APLICA"</formula>
    </cfRule>
  </conditionalFormatting>
  <conditionalFormatting sqref="T343">
    <cfRule type="cellIs" dxfId="6548" priority="6448" operator="equal">
      <formula>"CUMPLE"</formula>
    </cfRule>
    <cfRule type="cellIs" dxfId="6547" priority="6449" operator="equal">
      <formula>"NO CUMPLE"</formula>
    </cfRule>
  </conditionalFormatting>
  <conditionalFormatting sqref="T343">
    <cfRule type="cellIs" dxfId="6546" priority="6447" operator="equal">
      <formula>"VERIFICAR"</formula>
    </cfRule>
  </conditionalFormatting>
  <conditionalFormatting sqref="Y341:Y346">
    <cfRule type="cellIs" dxfId="6545" priority="6446" stopIfTrue="1" operator="equal">
      <formula>"NO APLICA"</formula>
    </cfRule>
  </conditionalFormatting>
  <conditionalFormatting sqref="Y346">
    <cfRule type="cellIs" dxfId="6544" priority="6445" stopIfTrue="1" operator="equal">
      <formula>"NO APLICA"</formula>
    </cfRule>
  </conditionalFormatting>
  <conditionalFormatting sqref="X341:Y346">
    <cfRule type="cellIs" dxfId="6543" priority="6443" stopIfTrue="1" operator="equal">
      <formula>"NO"</formula>
    </cfRule>
    <cfRule type="cellIs" dxfId="6542" priority="6444" stopIfTrue="1" operator="equal">
      <formula>"SI"</formula>
    </cfRule>
  </conditionalFormatting>
  <conditionalFormatting sqref="X341:X346">
    <cfRule type="cellIs" dxfId="6541" priority="6442" stopIfTrue="1" operator="equal">
      <formula>"NO APLICA"</formula>
    </cfRule>
  </conditionalFormatting>
  <conditionalFormatting sqref="X342:X345">
    <cfRule type="cellIs" dxfId="6540" priority="6441" stopIfTrue="1" operator="equal">
      <formula>"NO APLICA"</formula>
    </cfRule>
  </conditionalFormatting>
  <conditionalFormatting sqref="X342">
    <cfRule type="cellIs" dxfId="6539" priority="6440" stopIfTrue="1" operator="equal">
      <formula>"NO APLICA"</formula>
    </cfRule>
  </conditionalFormatting>
  <conditionalFormatting sqref="X346">
    <cfRule type="cellIs" dxfId="6538" priority="6439" stopIfTrue="1" operator="equal">
      <formula>"NO APLICA"</formula>
    </cfRule>
  </conditionalFormatting>
  <conditionalFormatting sqref="X346">
    <cfRule type="cellIs" dxfId="6537" priority="6438" stopIfTrue="1" operator="equal">
      <formula>"NO APLICA"</formula>
    </cfRule>
  </conditionalFormatting>
  <conditionalFormatting sqref="AA341:AA346">
    <cfRule type="cellIs" dxfId="6536" priority="6437" stopIfTrue="1" operator="equal">
      <formula>"NO APLICA"</formula>
    </cfRule>
  </conditionalFormatting>
  <conditionalFormatting sqref="AA346">
    <cfRule type="cellIs" dxfId="6535" priority="6436" stopIfTrue="1" operator="equal">
      <formula>"NO APLICA"</formula>
    </cfRule>
  </conditionalFormatting>
  <conditionalFormatting sqref="AA341:AA346">
    <cfRule type="cellIs" dxfId="6534" priority="6434" stopIfTrue="1" operator="equal">
      <formula>"NO"</formula>
    </cfRule>
    <cfRule type="cellIs" dxfId="6533" priority="6435" stopIfTrue="1" operator="equal">
      <formula>"SI"</formula>
    </cfRule>
  </conditionalFormatting>
  <conditionalFormatting sqref="Y341:Z346">
    <cfRule type="cellIs" dxfId="6532" priority="6432" operator="equal">
      <formula>"NO APLICA"</formula>
    </cfRule>
    <cfRule type="cellIs" dxfId="6531" priority="6433" operator="equal">
      <formula>"SI APLICA"</formula>
    </cfRule>
  </conditionalFormatting>
  <conditionalFormatting sqref="AB341:AB347">
    <cfRule type="cellIs" dxfId="6530" priority="6430" operator="equal">
      <formula>"NO APLICA"</formula>
    </cfRule>
    <cfRule type="cellIs" dxfId="6529" priority="6431" operator="equal">
      <formula>"SI APLICA"</formula>
    </cfRule>
  </conditionalFormatting>
  <conditionalFormatting sqref="X347">
    <cfRule type="cellIs" dxfId="6528" priority="6428" operator="equal">
      <formula>"PROPONENTE PLURAL"</formula>
    </cfRule>
    <cfRule type="cellIs" dxfId="6527" priority="6429" operator="equal">
      <formula>"PROPONENTE INDIVIDUAL"</formula>
    </cfRule>
  </conditionalFormatting>
  <conditionalFormatting sqref="Z347:AA347 AA341:AA346">
    <cfRule type="cellIs" dxfId="6526" priority="6426" operator="equal">
      <formula>"NO APLICA"</formula>
    </cfRule>
    <cfRule type="cellIs" dxfId="6525" priority="6427" operator="equal">
      <formula>"SI APLICA"</formula>
    </cfRule>
  </conditionalFormatting>
  <conditionalFormatting sqref="AB341:AB346 Y341:Z346">
    <cfRule type="cellIs" dxfId="6524" priority="6425" operator="equal">
      <formula>""</formula>
    </cfRule>
  </conditionalFormatting>
  <conditionalFormatting sqref="H347">
    <cfRule type="containsText" dxfId="6523" priority="6423" stopIfTrue="1" operator="containsText" text="NO CUMPLE">
      <formula>NOT(ISERROR(SEARCH("NO CUMPLE",H347)))</formula>
    </cfRule>
    <cfRule type="containsText" dxfId="6522" priority="6424" stopIfTrue="1" operator="containsText" text="CUMPLE">
      <formula>NOT(ISERROR(SEARCH("CUMPLE",H347)))</formula>
    </cfRule>
  </conditionalFormatting>
  <conditionalFormatting sqref="J347">
    <cfRule type="containsText" dxfId="6521" priority="6421" stopIfTrue="1" operator="containsText" text="NO CUMPLE">
      <formula>NOT(ISERROR(SEARCH("NO CUMPLE",J347)))</formula>
    </cfRule>
    <cfRule type="containsText" dxfId="6520" priority="6422" stopIfTrue="1" operator="containsText" text="CUMPLE">
      <formula>NOT(ISERROR(SEARCH("CUMPLE",J347)))</formula>
    </cfRule>
  </conditionalFormatting>
  <conditionalFormatting sqref="K347">
    <cfRule type="containsText" dxfId="6519" priority="6419" stopIfTrue="1" operator="containsText" text="NO CUMPLE">
      <formula>NOT(ISERROR(SEARCH("NO CUMPLE",K347)))</formula>
    </cfRule>
    <cfRule type="containsText" dxfId="6518" priority="6420" stopIfTrue="1" operator="containsText" text="CUMPLE">
      <formula>NOT(ISERROR(SEARCH("CUMPLE",K347)))</formula>
    </cfRule>
  </conditionalFormatting>
  <conditionalFormatting sqref="L341:L346">
    <cfRule type="containsText" dxfId="6517" priority="6417" stopIfTrue="1" operator="containsText" text="NO CUMPLE">
      <formula>NOT(ISERROR(SEARCH("NO CUMPLE",L341)))</formula>
    </cfRule>
    <cfRule type="containsText" dxfId="6516" priority="6418" stopIfTrue="1" operator="containsText" text="CUMPLE">
      <formula>NOT(ISERROR(SEARCH("CUMPLE",L341)))</formula>
    </cfRule>
  </conditionalFormatting>
  <conditionalFormatting sqref="O346">
    <cfRule type="containsText" dxfId="6515" priority="6415" stopIfTrue="1" operator="containsText" text="NO CUMPLE">
      <formula>NOT(ISERROR(SEARCH("NO CUMPLE",O346)))</formula>
    </cfRule>
    <cfRule type="containsText" dxfId="6514" priority="6416" stopIfTrue="1" operator="containsText" text="CUMPLE">
      <formula>NOT(ISERROR(SEARCH("CUMPLE",O346)))</formula>
    </cfRule>
  </conditionalFormatting>
  <conditionalFormatting sqref="O347:S347">
    <cfRule type="cellIs" dxfId="6513" priority="6414" operator="equal">
      <formula>"EL PROPONENTE SE DEBE REQUERIR POR EXPERIENCIA MINIMA EXIGIDA"</formula>
    </cfRule>
  </conditionalFormatting>
  <conditionalFormatting sqref="X335">
    <cfRule type="cellIs" dxfId="6512" priority="6411" stopIfTrue="1" operator="equal">
      <formula>"VERIFICAR"</formula>
    </cfRule>
    <cfRule type="cellIs" dxfId="6511" priority="6412" stopIfTrue="1" operator="equal">
      <formula>"NO CUMPLE"</formula>
    </cfRule>
    <cfRule type="cellIs" dxfId="6510" priority="6413" stopIfTrue="1" operator="equal">
      <formula>"CUMPLE"</formula>
    </cfRule>
  </conditionalFormatting>
  <conditionalFormatting sqref="X324:Y333 J324:J333">
    <cfRule type="cellIs" dxfId="6509" priority="6410" stopIfTrue="1" operator="greaterThan">
      <formula>0</formula>
    </cfRule>
  </conditionalFormatting>
  <conditionalFormatting sqref="X324:Y333">
    <cfRule type="cellIs" dxfId="6508" priority="6408" operator="equal">
      <formula>"NO CUMPLE"</formula>
    </cfRule>
    <cfRule type="cellIs" dxfId="6507" priority="6409" operator="equal">
      <formula>"CUMPLE"</formula>
    </cfRule>
  </conditionalFormatting>
  <conditionalFormatting sqref="N341:N346">
    <cfRule type="cellIs" dxfId="6506" priority="6406" operator="equal">
      <formula>"NO"</formula>
    </cfRule>
    <cfRule type="cellIs" dxfId="6505" priority="6407" operator="equal">
      <formula>"SI"</formula>
    </cfRule>
  </conditionalFormatting>
  <conditionalFormatting sqref="I333">
    <cfRule type="cellIs" dxfId="6504" priority="6405" stopIfTrue="1" operator="greaterThan">
      <formula>0</formula>
    </cfRule>
  </conditionalFormatting>
  <conditionalFormatting sqref="K327:L333">
    <cfRule type="cellIs" dxfId="6503" priority="6403" operator="equal">
      <formula>0</formula>
    </cfRule>
    <cfRule type="cellIs" dxfId="6502" priority="6404" operator="notBetween">
      <formula>$Q$17</formula>
      <formula>$R$17</formula>
    </cfRule>
  </conditionalFormatting>
  <conditionalFormatting sqref="B324:B333">
    <cfRule type="cellIs" dxfId="6501" priority="6402" stopIfTrue="1" operator="greaterThan">
      <formula>0</formula>
    </cfRule>
  </conditionalFormatting>
  <conditionalFormatting sqref="D324:D326 C325:C333">
    <cfRule type="cellIs" dxfId="6500" priority="6401" stopIfTrue="1" operator="greaterThan">
      <formula>0</formula>
    </cfRule>
  </conditionalFormatting>
  <conditionalFormatting sqref="F324:H326 D324:D326 C325:C333">
    <cfRule type="cellIs" dxfId="6499" priority="6400" stopIfTrue="1" operator="greaterThan">
      <formula>0</formula>
    </cfRule>
  </conditionalFormatting>
  <conditionalFormatting sqref="T324:V326">
    <cfRule type="cellIs" dxfId="6498" priority="6398" stopIfTrue="1" operator="equal">
      <formula>"NO"</formula>
    </cfRule>
    <cfRule type="cellIs" dxfId="6497" priority="6399" stopIfTrue="1" operator="equal">
      <formula>"SI"</formula>
    </cfRule>
  </conditionalFormatting>
  <conditionalFormatting sqref="T324:V325">
    <cfRule type="cellIs" dxfId="6496" priority="6397" stopIfTrue="1" operator="equal">
      <formula>"NO APLICA"</formula>
    </cfRule>
  </conditionalFormatting>
  <conditionalFormatting sqref="T326:U326">
    <cfRule type="cellIs" dxfId="6495" priority="6396" stopIfTrue="1" operator="equal">
      <formula>"NO APLICA"</formula>
    </cfRule>
  </conditionalFormatting>
  <conditionalFormatting sqref="T326:U326">
    <cfRule type="cellIs" dxfId="6494" priority="6395" stopIfTrue="1" operator="equal">
      <formula>"NO APLICA"</formula>
    </cfRule>
  </conditionalFormatting>
  <conditionalFormatting sqref="V326">
    <cfRule type="cellIs" dxfId="6493" priority="6394" stopIfTrue="1" operator="equal">
      <formula>"NO APLICA"</formula>
    </cfRule>
  </conditionalFormatting>
  <conditionalFormatting sqref="K324:L326">
    <cfRule type="cellIs" dxfId="6492" priority="6392" operator="equal">
      <formula>0</formula>
    </cfRule>
    <cfRule type="cellIs" dxfId="6491" priority="6393" operator="notBetween">
      <formula>$Q$17</formula>
      <formula>$R$17</formula>
    </cfRule>
  </conditionalFormatting>
  <conditionalFormatting sqref="F357:H362 D363:H363 I357:I363 C354:D354 K354:O363 F354:I356 D355:D362 C355:C363">
    <cfRule type="cellIs" dxfId="6490" priority="6391" stopIfTrue="1" operator="greaterThan">
      <formula>0</formula>
    </cfRule>
  </conditionalFormatting>
  <conditionalFormatting sqref="D357:D362">
    <cfRule type="cellIs" dxfId="6489" priority="6390" stopIfTrue="1" operator="greaterThan">
      <formula>0</formula>
    </cfRule>
  </conditionalFormatting>
  <conditionalFormatting sqref="D357:D362 F357:H362">
    <cfRule type="cellIs" dxfId="6488" priority="6389" stopIfTrue="1" operator="greaterThan">
      <formula>0</formula>
    </cfRule>
  </conditionalFormatting>
  <conditionalFormatting sqref="H354:H362">
    <cfRule type="cellIs" dxfId="6487" priority="6388" stopIfTrue="1" operator="greaterThan">
      <formula>0</formula>
    </cfRule>
  </conditionalFormatting>
  <conditionalFormatting sqref="E354:E362">
    <cfRule type="cellIs" dxfId="6486" priority="6387" stopIfTrue="1" operator="greaterThan">
      <formula>0</formula>
    </cfRule>
  </conditionalFormatting>
  <conditionalFormatting sqref="M371:M376 K371:K376">
    <cfRule type="containsText" dxfId="6485" priority="6385" stopIfTrue="1" operator="containsText" text="NO CUMPLE">
      <formula>NOT(ISERROR(SEARCH("NO CUMPLE",K371)))</formula>
    </cfRule>
    <cfRule type="containsText" dxfId="6484" priority="6386" stopIfTrue="1" operator="containsText" text="CUMPLE">
      <formula>NOT(ISERROR(SEARCH("CUMPLE",K371)))</formula>
    </cfRule>
  </conditionalFormatting>
  <conditionalFormatting sqref="S370">
    <cfRule type="cellIs" dxfId="6483" priority="6383" operator="greaterThanOrEqual">
      <formula>NUMMINCONT</formula>
    </cfRule>
    <cfRule type="cellIs" dxfId="6482" priority="6384" operator="lessThan">
      <formula>NUMMINCONT</formula>
    </cfRule>
  </conditionalFormatting>
  <conditionalFormatting sqref="T357:V362">
    <cfRule type="cellIs" dxfId="6481" priority="6381" stopIfTrue="1" operator="equal">
      <formula>"NO"</formula>
    </cfRule>
    <cfRule type="cellIs" dxfId="6480" priority="6382" stopIfTrue="1" operator="equal">
      <formula>"SI"</formula>
    </cfRule>
  </conditionalFormatting>
  <conditionalFormatting sqref="T357:V358">
    <cfRule type="cellIs" dxfId="6479" priority="6380" stopIfTrue="1" operator="equal">
      <formula>"NO APLICA"</formula>
    </cfRule>
  </conditionalFormatting>
  <conditionalFormatting sqref="T359:U362">
    <cfRule type="cellIs" dxfId="6478" priority="6379" stopIfTrue="1" operator="equal">
      <formula>"NO APLICA"</formula>
    </cfRule>
  </conditionalFormatting>
  <conditionalFormatting sqref="T359:U359">
    <cfRule type="cellIs" dxfId="6477" priority="6378" stopIfTrue="1" operator="equal">
      <formula>"NO APLICA"</formula>
    </cfRule>
  </conditionalFormatting>
  <conditionalFormatting sqref="V359:V362">
    <cfRule type="cellIs" dxfId="6476" priority="6377" stopIfTrue="1" operator="equal">
      <formula>"NO APLICA"</formula>
    </cfRule>
  </conditionalFormatting>
  <conditionalFormatting sqref="V368:W368">
    <cfRule type="cellIs" dxfId="6475" priority="6375" operator="equal">
      <formula>"CUMPLE"</formula>
    </cfRule>
    <cfRule type="cellIs" dxfId="6474" priority="6376" operator="equal">
      <formula>"NO CUMPLE"</formula>
    </cfRule>
  </conditionalFormatting>
  <conditionalFormatting sqref="V368:W370">
    <cfRule type="cellIs" dxfId="6473" priority="6374" operator="equal">
      <formula>"VERIFICAR"</formula>
    </cfRule>
  </conditionalFormatting>
  <conditionalFormatting sqref="T363:V363">
    <cfRule type="cellIs" dxfId="6472" priority="6372" stopIfTrue="1" operator="equal">
      <formula>"NO"</formula>
    </cfRule>
    <cfRule type="cellIs" dxfId="6471" priority="6373" stopIfTrue="1" operator="equal">
      <formula>"SI"</formula>
    </cfRule>
  </conditionalFormatting>
  <conditionalFormatting sqref="T363:U363">
    <cfRule type="cellIs" dxfId="6470" priority="6371" stopIfTrue="1" operator="equal">
      <formula>"NO APLICA"</formula>
    </cfRule>
  </conditionalFormatting>
  <conditionalFormatting sqref="V363">
    <cfRule type="cellIs" dxfId="6469" priority="6370" stopIfTrue="1" operator="equal">
      <formula>"NO APLICA"</formula>
    </cfRule>
  </conditionalFormatting>
  <conditionalFormatting sqref="T373">
    <cfRule type="cellIs" dxfId="6468" priority="6368" operator="equal">
      <formula>"CUMPLE"</formula>
    </cfRule>
    <cfRule type="cellIs" dxfId="6467" priority="6369" operator="equal">
      <formula>"NO CUMPLE"</formula>
    </cfRule>
  </conditionalFormatting>
  <conditionalFormatting sqref="T373">
    <cfRule type="cellIs" dxfId="6466" priority="6367" operator="equal">
      <formula>"VERIFICAR"</formula>
    </cfRule>
  </conditionalFormatting>
  <conditionalFormatting sqref="Y371:Y376">
    <cfRule type="cellIs" dxfId="6465" priority="6366" stopIfTrue="1" operator="equal">
      <formula>"NO APLICA"</formula>
    </cfRule>
  </conditionalFormatting>
  <conditionalFormatting sqref="Y376">
    <cfRule type="cellIs" dxfId="6464" priority="6365" stopIfTrue="1" operator="equal">
      <formula>"NO APLICA"</formula>
    </cfRule>
  </conditionalFormatting>
  <conditionalFormatting sqref="X371:Y376">
    <cfRule type="cellIs" dxfId="6463" priority="6363" stopIfTrue="1" operator="equal">
      <formula>"NO"</formula>
    </cfRule>
    <cfRule type="cellIs" dxfId="6462" priority="6364" stopIfTrue="1" operator="equal">
      <formula>"SI"</formula>
    </cfRule>
  </conditionalFormatting>
  <conditionalFormatting sqref="X371:X376">
    <cfRule type="cellIs" dxfId="6461" priority="6362" stopIfTrue="1" operator="equal">
      <formula>"NO APLICA"</formula>
    </cfRule>
  </conditionalFormatting>
  <conditionalFormatting sqref="X372:X375">
    <cfRule type="cellIs" dxfId="6460" priority="6361" stopIfTrue="1" operator="equal">
      <formula>"NO APLICA"</formula>
    </cfRule>
  </conditionalFormatting>
  <conditionalFormatting sqref="X372">
    <cfRule type="cellIs" dxfId="6459" priority="6360" stopIfTrue="1" operator="equal">
      <formula>"NO APLICA"</formula>
    </cfRule>
  </conditionalFormatting>
  <conditionalFormatting sqref="X376">
    <cfRule type="cellIs" dxfId="6458" priority="6359" stopIfTrue="1" operator="equal">
      <formula>"NO APLICA"</formula>
    </cfRule>
  </conditionalFormatting>
  <conditionalFormatting sqref="X376">
    <cfRule type="cellIs" dxfId="6457" priority="6358" stopIfTrue="1" operator="equal">
      <formula>"NO APLICA"</formula>
    </cfRule>
  </conditionalFormatting>
  <conditionalFormatting sqref="AA371:AA376">
    <cfRule type="cellIs" dxfId="6456" priority="6357" stopIfTrue="1" operator="equal">
      <formula>"NO APLICA"</formula>
    </cfRule>
  </conditionalFormatting>
  <conditionalFormatting sqref="AA376">
    <cfRule type="cellIs" dxfId="6455" priority="6356" stopIfTrue="1" operator="equal">
      <formula>"NO APLICA"</formula>
    </cfRule>
  </conditionalFormatting>
  <conditionalFormatting sqref="AA371:AA376">
    <cfRule type="cellIs" dxfId="6454" priority="6354" stopIfTrue="1" operator="equal">
      <formula>"NO"</formula>
    </cfRule>
    <cfRule type="cellIs" dxfId="6453" priority="6355" stopIfTrue="1" operator="equal">
      <formula>"SI"</formula>
    </cfRule>
  </conditionalFormatting>
  <conditionalFormatting sqref="Y371:Z376">
    <cfRule type="cellIs" dxfId="6452" priority="6352" operator="equal">
      <formula>"NO APLICA"</formula>
    </cfRule>
    <cfRule type="cellIs" dxfId="6451" priority="6353" operator="equal">
      <formula>"SI APLICA"</formula>
    </cfRule>
  </conditionalFormatting>
  <conditionalFormatting sqref="AB371:AB377">
    <cfRule type="cellIs" dxfId="6450" priority="6350" operator="equal">
      <formula>"NO APLICA"</formula>
    </cfRule>
    <cfRule type="cellIs" dxfId="6449" priority="6351" operator="equal">
      <formula>"SI APLICA"</formula>
    </cfRule>
  </conditionalFormatting>
  <conditionalFormatting sqref="X377">
    <cfRule type="cellIs" dxfId="6448" priority="6348" operator="equal">
      <formula>"PROPONENTE PLURAL"</formula>
    </cfRule>
    <cfRule type="cellIs" dxfId="6447" priority="6349" operator="equal">
      <formula>"PROPONENTE INDIVIDUAL"</formula>
    </cfRule>
  </conditionalFormatting>
  <conditionalFormatting sqref="Z377:AA377 AA371:AA376">
    <cfRule type="cellIs" dxfId="6446" priority="6346" operator="equal">
      <formula>"NO APLICA"</formula>
    </cfRule>
    <cfRule type="cellIs" dxfId="6445" priority="6347" operator="equal">
      <formula>"SI APLICA"</formula>
    </cfRule>
  </conditionalFormatting>
  <conditionalFormatting sqref="AB371:AB376 Y371:Z376">
    <cfRule type="cellIs" dxfId="6444" priority="6345" operator="equal">
      <formula>""</formula>
    </cfRule>
  </conditionalFormatting>
  <conditionalFormatting sqref="H377">
    <cfRule type="containsText" dxfId="6443" priority="6343" stopIfTrue="1" operator="containsText" text="NO CUMPLE">
      <formula>NOT(ISERROR(SEARCH("NO CUMPLE",H377)))</formula>
    </cfRule>
    <cfRule type="containsText" dxfId="6442" priority="6344" stopIfTrue="1" operator="containsText" text="CUMPLE">
      <formula>NOT(ISERROR(SEARCH("CUMPLE",H377)))</formula>
    </cfRule>
  </conditionalFormatting>
  <conditionalFormatting sqref="J377">
    <cfRule type="containsText" dxfId="6441" priority="6341" stopIfTrue="1" operator="containsText" text="NO CUMPLE">
      <formula>NOT(ISERROR(SEARCH("NO CUMPLE",J377)))</formula>
    </cfRule>
    <cfRule type="containsText" dxfId="6440" priority="6342" stopIfTrue="1" operator="containsText" text="CUMPLE">
      <formula>NOT(ISERROR(SEARCH("CUMPLE",J377)))</formula>
    </cfRule>
  </conditionalFormatting>
  <conditionalFormatting sqref="K377">
    <cfRule type="containsText" dxfId="6439" priority="6339" stopIfTrue="1" operator="containsText" text="NO CUMPLE">
      <formula>NOT(ISERROR(SEARCH("NO CUMPLE",K377)))</formula>
    </cfRule>
    <cfRule type="containsText" dxfId="6438" priority="6340" stopIfTrue="1" operator="containsText" text="CUMPLE">
      <formula>NOT(ISERROR(SEARCH("CUMPLE",K377)))</formula>
    </cfRule>
  </conditionalFormatting>
  <conditionalFormatting sqref="L371:L376">
    <cfRule type="containsText" dxfId="6437" priority="6337" stopIfTrue="1" operator="containsText" text="NO CUMPLE">
      <formula>NOT(ISERROR(SEARCH("NO CUMPLE",L371)))</formula>
    </cfRule>
    <cfRule type="containsText" dxfId="6436" priority="6338" stopIfTrue="1" operator="containsText" text="CUMPLE">
      <formula>NOT(ISERROR(SEARCH("CUMPLE",L371)))</formula>
    </cfRule>
  </conditionalFormatting>
  <conditionalFormatting sqref="O376">
    <cfRule type="containsText" dxfId="6435" priority="6335" stopIfTrue="1" operator="containsText" text="NO CUMPLE">
      <formula>NOT(ISERROR(SEARCH("NO CUMPLE",O376)))</formula>
    </cfRule>
    <cfRule type="containsText" dxfId="6434" priority="6336" stopIfTrue="1" operator="containsText" text="CUMPLE">
      <formula>NOT(ISERROR(SEARCH("CUMPLE",O376)))</formula>
    </cfRule>
  </conditionalFormatting>
  <conditionalFormatting sqref="O377:S377">
    <cfRule type="cellIs" dxfId="6433" priority="6334" operator="equal">
      <formula>"EL PROPONENTE SE DEBE REQUERIR POR EXPERIENCIA MINIMA EXIGIDA"</formula>
    </cfRule>
  </conditionalFormatting>
  <conditionalFormatting sqref="X365">
    <cfRule type="cellIs" dxfId="6432" priority="6331" stopIfTrue="1" operator="equal">
      <formula>"VERIFICAR"</formula>
    </cfRule>
    <cfRule type="cellIs" dxfId="6431" priority="6332" stopIfTrue="1" operator="equal">
      <formula>"NO CUMPLE"</formula>
    </cfRule>
    <cfRule type="cellIs" dxfId="6430" priority="6333" stopIfTrue="1" operator="equal">
      <formula>"CUMPLE"</formula>
    </cfRule>
  </conditionalFormatting>
  <conditionalFormatting sqref="X354:Y363 J354:J363">
    <cfRule type="cellIs" dxfId="6429" priority="6330" stopIfTrue="1" operator="greaterThan">
      <formula>0</formula>
    </cfRule>
  </conditionalFormatting>
  <conditionalFormatting sqref="X354:Y363">
    <cfRule type="cellIs" dxfId="6428" priority="6328" operator="equal">
      <formula>"NO CUMPLE"</formula>
    </cfRule>
    <cfRule type="cellIs" dxfId="6427" priority="6329" operator="equal">
      <formula>"CUMPLE"</formula>
    </cfRule>
  </conditionalFormatting>
  <conditionalFormatting sqref="N371:N376">
    <cfRule type="cellIs" dxfId="6426" priority="6326" operator="equal">
      <formula>"NO"</formula>
    </cfRule>
    <cfRule type="cellIs" dxfId="6425" priority="6327" operator="equal">
      <formula>"SI"</formula>
    </cfRule>
  </conditionalFormatting>
  <conditionalFormatting sqref="I363">
    <cfRule type="cellIs" dxfId="6424" priority="6325" stopIfTrue="1" operator="greaterThan">
      <formula>0</formula>
    </cfRule>
  </conditionalFormatting>
  <conditionalFormatting sqref="K357:L363">
    <cfRule type="cellIs" dxfId="6423" priority="6323" operator="equal">
      <formula>0</formula>
    </cfRule>
    <cfRule type="cellIs" dxfId="6422" priority="6324" operator="notBetween">
      <formula>$Q$17</formula>
      <formula>$R$17</formula>
    </cfRule>
  </conditionalFormatting>
  <conditionalFormatting sqref="B354:B363">
    <cfRule type="cellIs" dxfId="6421" priority="6322" stopIfTrue="1" operator="greaterThan">
      <formula>0</formula>
    </cfRule>
  </conditionalFormatting>
  <conditionalFormatting sqref="C354:D354 D355:D356 C355:C363">
    <cfRule type="cellIs" dxfId="6420" priority="6321" stopIfTrue="1" operator="greaterThan">
      <formula>0</formula>
    </cfRule>
  </conditionalFormatting>
  <conditionalFormatting sqref="C354:D354 F354:H356 D355:D356 C355:C363">
    <cfRule type="cellIs" dxfId="6419" priority="6320" stopIfTrue="1" operator="greaterThan">
      <formula>0</formula>
    </cfRule>
  </conditionalFormatting>
  <conditionalFormatting sqref="T354:V356">
    <cfRule type="cellIs" dxfId="6418" priority="6318" stopIfTrue="1" operator="equal">
      <formula>"NO"</formula>
    </cfRule>
    <cfRule type="cellIs" dxfId="6417" priority="6319" stopIfTrue="1" operator="equal">
      <formula>"SI"</formula>
    </cfRule>
  </conditionalFormatting>
  <conditionalFormatting sqref="T354:V355">
    <cfRule type="cellIs" dxfId="6416" priority="6317" stopIfTrue="1" operator="equal">
      <formula>"NO APLICA"</formula>
    </cfRule>
  </conditionalFormatting>
  <conditionalFormatting sqref="T356:U356">
    <cfRule type="cellIs" dxfId="6415" priority="6316" stopIfTrue="1" operator="equal">
      <formula>"NO APLICA"</formula>
    </cfRule>
  </conditionalFormatting>
  <conditionalFormatting sqref="T356:U356">
    <cfRule type="cellIs" dxfId="6414" priority="6315" stopIfTrue="1" operator="equal">
      <formula>"NO APLICA"</formula>
    </cfRule>
  </conditionalFormatting>
  <conditionalFormatting sqref="V356">
    <cfRule type="cellIs" dxfId="6413" priority="6314" stopIfTrue="1" operator="equal">
      <formula>"NO APLICA"</formula>
    </cfRule>
  </conditionalFormatting>
  <conditionalFormatting sqref="K354:L356">
    <cfRule type="cellIs" dxfId="6412" priority="6312" operator="equal">
      <formula>0</formula>
    </cfRule>
    <cfRule type="cellIs" dxfId="6411" priority="6313" operator="notBetween">
      <formula>$Q$17</formula>
      <formula>$R$17</formula>
    </cfRule>
  </conditionalFormatting>
  <conditionalFormatting sqref="F387:H392 D393:H393 I387:I393 K384:O393 F384:I386 C384:C393 D384:D392">
    <cfRule type="cellIs" dxfId="6410" priority="6311" stopIfTrue="1" operator="greaterThan">
      <formula>0</formula>
    </cfRule>
  </conditionalFormatting>
  <conditionalFormatting sqref="D387:D392">
    <cfRule type="cellIs" dxfId="6409" priority="6310" stopIfTrue="1" operator="greaterThan">
      <formula>0</formula>
    </cfRule>
  </conditionalFormatting>
  <conditionalFormatting sqref="D387:D392 F387:H392">
    <cfRule type="cellIs" dxfId="6408" priority="6309" stopIfTrue="1" operator="greaterThan">
      <formula>0</formula>
    </cfRule>
  </conditionalFormatting>
  <conditionalFormatting sqref="H384:H392">
    <cfRule type="cellIs" dxfId="6407" priority="6308" stopIfTrue="1" operator="greaterThan">
      <formula>0</formula>
    </cfRule>
  </conditionalFormatting>
  <conditionalFormatting sqref="E384:E392">
    <cfRule type="cellIs" dxfId="6406" priority="6307" stopIfTrue="1" operator="greaterThan">
      <formula>0</formula>
    </cfRule>
  </conditionalFormatting>
  <conditionalFormatting sqref="M401:M406 K401:K406">
    <cfRule type="containsText" dxfId="6405" priority="6305" stopIfTrue="1" operator="containsText" text="NO CUMPLE">
      <formula>NOT(ISERROR(SEARCH("NO CUMPLE",K401)))</formula>
    </cfRule>
    <cfRule type="containsText" dxfId="6404" priority="6306" stopIfTrue="1" operator="containsText" text="CUMPLE">
      <formula>NOT(ISERROR(SEARCH("CUMPLE",K401)))</formula>
    </cfRule>
  </conditionalFormatting>
  <conditionalFormatting sqref="S400">
    <cfRule type="cellIs" dxfId="6403" priority="6303" operator="greaterThanOrEqual">
      <formula>NUMMINCONT</formula>
    </cfRule>
    <cfRule type="cellIs" dxfId="6402" priority="6304" operator="lessThan">
      <formula>NUMMINCONT</formula>
    </cfRule>
  </conditionalFormatting>
  <conditionalFormatting sqref="T387:V392">
    <cfRule type="cellIs" dxfId="6401" priority="6301" stopIfTrue="1" operator="equal">
      <formula>"NO"</formula>
    </cfRule>
    <cfRule type="cellIs" dxfId="6400" priority="6302" stopIfTrue="1" operator="equal">
      <formula>"SI"</formula>
    </cfRule>
  </conditionalFormatting>
  <conditionalFormatting sqref="T387:V388">
    <cfRule type="cellIs" dxfId="6399" priority="6300" stopIfTrue="1" operator="equal">
      <formula>"NO APLICA"</formula>
    </cfRule>
  </conditionalFormatting>
  <conditionalFormatting sqref="T389:U392">
    <cfRule type="cellIs" dxfId="6398" priority="6299" stopIfTrue="1" operator="equal">
      <formula>"NO APLICA"</formula>
    </cfRule>
  </conditionalFormatting>
  <conditionalFormatting sqref="T389:U389">
    <cfRule type="cellIs" dxfId="6397" priority="6298" stopIfTrue="1" operator="equal">
      <formula>"NO APLICA"</formula>
    </cfRule>
  </conditionalFormatting>
  <conditionalFormatting sqref="V389:V392">
    <cfRule type="cellIs" dxfId="6396" priority="6297" stopIfTrue="1" operator="equal">
      <formula>"NO APLICA"</formula>
    </cfRule>
  </conditionalFormatting>
  <conditionalFormatting sqref="V398:W398">
    <cfRule type="cellIs" dxfId="6395" priority="6295" operator="equal">
      <formula>"CUMPLE"</formula>
    </cfRule>
    <cfRule type="cellIs" dxfId="6394" priority="6296" operator="equal">
      <formula>"NO CUMPLE"</formula>
    </cfRule>
  </conditionalFormatting>
  <conditionalFormatting sqref="V398:W400">
    <cfRule type="cellIs" dxfId="6393" priority="6294" operator="equal">
      <formula>"VERIFICAR"</formula>
    </cfRule>
  </conditionalFormatting>
  <conditionalFormatting sqref="T393:V393">
    <cfRule type="cellIs" dxfId="6392" priority="6292" stopIfTrue="1" operator="equal">
      <formula>"NO"</formula>
    </cfRule>
    <cfRule type="cellIs" dxfId="6391" priority="6293" stopIfTrue="1" operator="equal">
      <formula>"SI"</formula>
    </cfRule>
  </conditionalFormatting>
  <conditionalFormatting sqref="T393:U393">
    <cfRule type="cellIs" dxfId="6390" priority="6291" stopIfTrue="1" operator="equal">
      <formula>"NO APLICA"</formula>
    </cfRule>
  </conditionalFormatting>
  <conditionalFormatting sqref="V393">
    <cfRule type="cellIs" dxfId="6389" priority="6290" stopIfTrue="1" operator="equal">
      <formula>"NO APLICA"</formula>
    </cfRule>
  </conditionalFormatting>
  <conditionalFormatting sqref="T403">
    <cfRule type="cellIs" dxfId="6388" priority="6288" operator="equal">
      <formula>"CUMPLE"</formula>
    </cfRule>
    <cfRule type="cellIs" dxfId="6387" priority="6289" operator="equal">
      <formula>"NO CUMPLE"</formula>
    </cfRule>
  </conditionalFormatting>
  <conditionalFormatting sqref="T403">
    <cfRule type="cellIs" dxfId="6386" priority="6287" operator="equal">
      <formula>"VERIFICAR"</formula>
    </cfRule>
  </conditionalFormatting>
  <conditionalFormatting sqref="Y401:Y406">
    <cfRule type="cellIs" dxfId="6385" priority="6286" stopIfTrue="1" operator="equal">
      <formula>"NO APLICA"</formula>
    </cfRule>
  </conditionalFormatting>
  <conditionalFormatting sqref="Y406">
    <cfRule type="cellIs" dxfId="6384" priority="6285" stopIfTrue="1" operator="equal">
      <formula>"NO APLICA"</formula>
    </cfRule>
  </conditionalFormatting>
  <conditionalFormatting sqref="X401:Y406">
    <cfRule type="cellIs" dxfId="6383" priority="6283" stopIfTrue="1" operator="equal">
      <formula>"NO"</formula>
    </cfRule>
    <cfRule type="cellIs" dxfId="6382" priority="6284" stopIfTrue="1" operator="equal">
      <formula>"SI"</formula>
    </cfRule>
  </conditionalFormatting>
  <conditionalFormatting sqref="X401:X406">
    <cfRule type="cellIs" dxfId="6381" priority="6282" stopIfTrue="1" operator="equal">
      <formula>"NO APLICA"</formula>
    </cfRule>
  </conditionalFormatting>
  <conditionalFormatting sqref="X402:X405">
    <cfRule type="cellIs" dxfId="6380" priority="6281" stopIfTrue="1" operator="equal">
      <formula>"NO APLICA"</formula>
    </cfRule>
  </conditionalFormatting>
  <conditionalFormatting sqref="X402">
    <cfRule type="cellIs" dxfId="6379" priority="6280" stopIfTrue="1" operator="equal">
      <formula>"NO APLICA"</formula>
    </cfRule>
  </conditionalFormatting>
  <conditionalFormatting sqref="X406">
    <cfRule type="cellIs" dxfId="6378" priority="6279" stopIfTrue="1" operator="equal">
      <formula>"NO APLICA"</formula>
    </cfRule>
  </conditionalFormatting>
  <conditionalFormatting sqref="X406">
    <cfRule type="cellIs" dxfId="6377" priority="6278" stopIfTrue="1" operator="equal">
      <formula>"NO APLICA"</formula>
    </cfRule>
  </conditionalFormatting>
  <conditionalFormatting sqref="AA401:AA406">
    <cfRule type="cellIs" dxfId="6376" priority="6277" stopIfTrue="1" operator="equal">
      <formula>"NO APLICA"</formula>
    </cfRule>
  </conditionalFormatting>
  <conditionalFormatting sqref="AA406">
    <cfRule type="cellIs" dxfId="6375" priority="6276" stopIfTrue="1" operator="equal">
      <formula>"NO APLICA"</formula>
    </cfRule>
  </conditionalFormatting>
  <conditionalFormatting sqref="AA401:AA406">
    <cfRule type="cellIs" dxfId="6374" priority="6274" stopIfTrue="1" operator="equal">
      <formula>"NO"</formula>
    </cfRule>
    <cfRule type="cellIs" dxfId="6373" priority="6275" stopIfTrue="1" operator="equal">
      <formula>"SI"</formula>
    </cfRule>
  </conditionalFormatting>
  <conditionalFormatting sqref="Y401:Z406">
    <cfRule type="cellIs" dxfId="6372" priority="6272" operator="equal">
      <formula>"NO APLICA"</formula>
    </cfRule>
    <cfRule type="cellIs" dxfId="6371" priority="6273" operator="equal">
      <formula>"SI APLICA"</formula>
    </cfRule>
  </conditionalFormatting>
  <conditionalFormatting sqref="AB401:AB407">
    <cfRule type="cellIs" dxfId="6370" priority="6270" operator="equal">
      <formula>"NO APLICA"</formula>
    </cfRule>
    <cfRule type="cellIs" dxfId="6369" priority="6271" operator="equal">
      <formula>"SI APLICA"</formula>
    </cfRule>
  </conditionalFormatting>
  <conditionalFormatting sqref="X407">
    <cfRule type="cellIs" dxfId="6368" priority="6268" operator="equal">
      <formula>"PROPONENTE PLURAL"</formula>
    </cfRule>
    <cfRule type="cellIs" dxfId="6367" priority="6269" operator="equal">
      <formula>"PROPONENTE INDIVIDUAL"</formula>
    </cfRule>
  </conditionalFormatting>
  <conditionalFormatting sqref="Z407:AA407 AA401:AA406">
    <cfRule type="cellIs" dxfId="6366" priority="6266" operator="equal">
      <formula>"NO APLICA"</formula>
    </cfRule>
    <cfRule type="cellIs" dxfId="6365" priority="6267" operator="equal">
      <formula>"SI APLICA"</formula>
    </cfRule>
  </conditionalFormatting>
  <conditionalFormatting sqref="AB401:AB406 Y401:Z406">
    <cfRule type="cellIs" dxfId="6364" priority="6265" operator="equal">
      <formula>""</formula>
    </cfRule>
  </conditionalFormatting>
  <conditionalFormatting sqref="H407">
    <cfRule type="containsText" dxfId="6363" priority="6263" stopIfTrue="1" operator="containsText" text="NO CUMPLE">
      <formula>NOT(ISERROR(SEARCH("NO CUMPLE",H407)))</formula>
    </cfRule>
    <cfRule type="containsText" dxfId="6362" priority="6264" stopIfTrue="1" operator="containsText" text="CUMPLE">
      <formula>NOT(ISERROR(SEARCH("CUMPLE",H407)))</formula>
    </cfRule>
  </conditionalFormatting>
  <conditionalFormatting sqref="J407">
    <cfRule type="containsText" dxfId="6361" priority="6261" stopIfTrue="1" operator="containsText" text="NO CUMPLE">
      <formula>NOT(ISERROR(SEARCH("NO CUMPLE",J407)))</formula>
    </cfRule>
    <cfRule type="containsText" dxfId="6360" priority="6262" stopIfTrue="1" operator="containsText" text="CUMPLE">
      <formula>NOT(ISERROR(SEARCH("CUMPLE",J407)))</formula>
    </cfRule>
  </conditionalFormatting>
  <conditionalFormatting sqref="K407">
    <cfRule type="containsText" dxfId="6359" priority="6259" stopIfTrue="1" operator="containsText" text="NO CUMPLE">
      <formula>NOT(ISERROR(SEARCH("NO CUMPLE",K407)))</formula>
    </cfRule>
    <cfRule type="containsText" dxfId="6358" priority="6260" stopIfTrue="1" operator="containsText" text="CUMPLE">
      <formula>NOT(ISERROR(SEARCH("CUMPLE",K407)))</formula>
    </cfRule>
  </conditionalFormatting>
  <conditionalFormatting sqref="L401:L406">
    <cfRule type="containsText" dxfId="6357" priority="6257" stopIfTrue="1" operator="containsText" text="NO CUMPLE">
      <formula>NOT(ISERROR(SEARCH("NO CUMPLE",L401)))</formula>
    </cfRule>
    <cfRule type="containsText" dxfId="6356" priority="6258" stopIfTrue="1" operator="containsText" text="CUMPLE">
      <formula>NOT(ISERROR(SEARCH("CUMPLE",L401)))</formula>
    </cfRule>
  </conditionalFormatting>
  <conditionalFormatting sqref="O406">
    <cfRule type="containsText" dxfId="6355" priority="6255" stopIfTrue="1" operator="containsText" text="NO CUMPLE">
      <formula>NOT(ISERROR(SEARCH("NO CUMPLE",O406)))</formula>
    </cfRule>
    <cfRule type="containsText" dxfId="6354" priority="6256" stopIfTrue="1" operator="containsText" text="CUMPLE">
      <formula>NOT(ISERROR(SEARCH("CUMPLE",O406)))</formula>
    </cfRule>
  </conditionalFormatting>
  <conditionalFormatting sqref="O407:S407">
    <cfRule type="cellIs" dxfId="6353" priority="6254" operator="equal">
      <formula>"EL PROPONENTE SE DEBE REQUERIR POR EXPERIENCIA MINIMA EXIGIDA"</formula>
    </cfRule>
  </conditionalFormatting>
  <conditionalFormatting sqref="X395">
    <cfRule type="cellIs" dxfId="6352" priority="6251" stopIfTrue="1" operator="equal">
      <formula>"VERIFICAR"</formula>
    </cfRule>
    <cfRule type="cellIs" dxfId="6351" priority="6252" stopIfTrue="1" operator="equal">
      <formula>"NO CUMPLE"</formula>
    </cfRule>
    <cfRule type="cellIs" dxfId="6350" priority="6253" stopIfTrue="1" operator="equal">
      <formula>"CUMPLE"</formula>
    </cfRule>
  </conditionalFormatting>
  <conditionalFormatting sqref="X384:Y393 J384:J393">
    <cfRule type="cellIs" dxfId="6349" priority="6250" stopIfTrue="1" operator="greaterThan">
      <formula>0</formula>
    </cfRule>
  </conditionalFormatting>
  <conditionalFormatting sqref="X384:Y393">
    <cfRule type="cellIs" dxfId="6348" priority="6248" operator="equal">
      <formula>"NO CUMPLE"</formula>
    </cfRule>
    <cfRule type="cellIs" dxfId="6347" priority="6249" operator="equal">
      <formula>"CUMPLE"</formula>
    </cfRule>
  </conditionalFormatting>
  <conditionalFormatting sqref="N401:N406">
    <cfRule type="cellIs" dxfId="6346" priority="6246" operator="equal">
      <formula>"NO"</formula>
    </cfRule>
    <cfRule type="cellIs" dxfId="6345" priority="6247" operator="equal">
      <formula>"SI"</formula>
    </cfRule>
  </conditionalFormatting>
  <conditionalFormatting sqref="I393">
    <cfRule type="cellIs" dxfId="6344" priority="6245" stopIfTrue="1" operator="greaterThan">
      <formula>0</formula>
    </cfRule>
  </conditionalFormatting>
  <conditionalFormatting sqref="K387:L393">
    <cfRule type="cellIs" dxfId="6343" priority="6243" operator="equal">
      <formula>0</formula>
    </cfRule>
    <cfRule type="cellIs" dxfId="6342" priority="6244" operator="notBetween">
      <formula>$Q$17</formula>
      <formula>$R$17</formula>
    </cfRule>
  </conditionalFormatting>
  <conditionalFormatting sqref="B384:B393">
    <cfRule type="cellIs" dxfId="6341" priority="6242" stopIfTrue="1" operator="greaterThan">
      <formula>0</formula>
    </cfRule>
  </conditionalFormatting>
  <conditionalFormatting sqref="C384:C393 D384:D386">
    <cfRule type="cellIs" dxfId="6340" priority="6241" stopIfTrue="1" operator="greaterThan">
      <formula>0</formula>
    </cfRule>
  </conditionalFormatting>
  <conditionalFormatting sqref="F384:H386 C384:C393 D384:D386">
    <cfRule type="cellIs" dxfId="6339" priority="6240" stopIfTrue="1" operator="greaterThan">
      <formula>0</formula>
    </cfRule>
  </conditionalFormatting>
  <conditionalFormatting sqref="T384:V386">
    <cfRule type="cellIs" dxfId="6338" priority="6238" stopIfTrue="1" operator="equal">
      <formula>"NO"</formula>
    </cfRule>
    <cfRule type="cellIs" dxfId="6337" priority="6239" stopIfTrue="1" operator="equal">
      <formula>"SI"</formula>
    </cfRule>
  </conditionalFormatting>
  <conditionalFormatting sqref="T384:V385">
    <cfRule type="cellIs" dxfId="6336" priority="6237" stopIfTrue="1" operator="equal">
      <formula>"NO APLICA"</formula>
    </cfRule>
  </conditionalFormatting>
  <conditionalFormatting sqref="T386:U386">
    <cfRule type="cellIs" dxfId="6335" priority="6236" stopIfTrue="1" operator="equal">
      <formula>"NO APLICA"</formula>
    </cfRule>
  </conditionalFormatting>
  <conditionalFormatting sqref="T386:U386">
    <cfRule type="cellIs" dxfId="6334" priority="6235" stopIfTrue="1" operator="equal">
      <formula>"NO APLICA"</formula>
    </cfRule>
  </conditionalFormatting>
  <conditionalFormatting sqref="V386">
    <cfRule type="cellIs" dxfId="6333" priority="6234" stopIfTrue="1" operator="equal">
      <formula>"NO APLICA"</formula>
    </cfRule>
  </conditionalFormatting>
  <conditionalFormatting sqref="K384:L386">
    <cfRule type="cellIs" dxfId="6332" priority="6232" operator="equal">
      <formula>0</formula>
    </cfRule>
    <cfRule type="cellIs" dxfId="6331" priority="6233" operator="notBetween">
      <formula>$Q$17</formula>
      <formula>$R$17</formula>
    </cfRule>
  </conditionalFormatting>
  <conditionalFormatting sqref="F417:H422 D423:H423 I417:I423 C414:D414 K414:O423 F414:I416 D415:D422 C415:C423">
    <cfRule type="cellIs" dxfId="6330" priority="6231" stopIfTrue="1" operator="greaterThan">
      <formula>0</formula>
    </cfRule>
  </conditionalFormatting>
  <conditionalFormatting sqref="D417:D422">
    <cfRule type="cellIs" dxfId="6329" priority="6230" stopIfTrue="1" operator="greaterThan">
      <formula>0</formula>
    </cfRule>
  </conditionalFormatting>
  <conditionalFormatting sqref="D417:D422 F417:H422">
    <cfRule type="cellIs" dxfId="6328" priority="6229" stopIfTrue="1" operator="greaterThan">
      <formula>0</formula>
    </cfRule>
  </conditionalFormatting>
  <conditionalFormatting sqref="H414:H422">
    <cfRule type="cellIs" dxfId="6327" priority="6228" stopIfTrue="1" operator="greaterThan">
      <formula>0</formula>
    </cfRule>
  </conditionalFormatting>
  <conditionalFormatting sqref="E414:E422">
    <cfRule type="cellIs" dxfId="6326" priority="6227" stopIfTrue="1" operator="greaterThan">
      <formula>0</formula>
    </cfRule>
  </conditionalFormatting>
  <conditionalFormatting sqref="M431:M436 K431:K436">
    <cfRule type="containsText" dxfId="6325" priority="6225" stopIfTrue="1" operator="containsText" text="NO CUMPLE">
      <formula>NOT(ISERROR(SEARCH("NO CUMPLE",K431)))</formula>
    </cfRule>
    <cfRule type="containsText" dxfId="6324" priority="6226" stopIfTrue="1" operator="containsText" text="CUMPLE">
      <formula>NOT(ISERROR(SEARCH("CUMPLE",K431)))</formula>
    </cfRule>
  </conditionalFormatting>
  <conditionalFormatting sqref="S430">
    <cfRule type="cellIs" dxfId="6323" priority="6223" operator="greaterThanOrEqual">
      <formula>NUMMINCONT</formula>
    </cfRule>
    <cfRule type="cellIs" dxfId="6322" priority="6224" operator="lessThan">
      <formula>NUMMINCONT</formula>
    </cfRule>
  </conditionalFormatting>
  <conditionalFormatting sqref="T417:V422">
    <cfRule type="cellIs" dxfId="6321" priority="6221" stopIfTrue="1" operator="equal">
      <formula>"NO"</formula>
    </cfRule>
    <cfRule type="cellIs" dxfId="6320" priority="6222" stopIfTrue="1" operator="equal">
      <formula>"SI"</formula>
    </cfRule>
  </conditionalFormatting>
  <conditionalFormatting sqref="T417:V418">
    <cfRule type="cellIs" dxfId="6319" priority="6220" stopIfTrue="1" operator="equal">
      <formula>"NO APLICA"</formula>
    </cfRule>
  </conditionalFormatting>
  <conditionalFormatting sqref="T419:U422">
    <cfRule type="cellIs" dxfId="6318" priority="6219" stopIfTrue="1" operator="equal">
      <formula>"NO APLICA"</formula>
    </cfRule>
  </conditionalFormatting>
  <conditionalFormatting sqref="T419:U419">
    <cfRule type="cellIs" dxfId="6317" priority="6218" stopIfTrue="1" operator="equal">
      <formula>"NO APLICA"</formula>
    </cfRule>
  </conditionalFormatting>
  <conditionalFormatting sqref="V419:V422">
    <cfRule type="cellIs" dxfId="6316" priority="6217" stopIfTrue="1" operator="equal">
      <formula>"NO APLICA"</formula>
    </cfRule>
  </conditionalFormatting>
  <conditionalFormatting sqref="V428:W428">
    <cfRule type="cellIs" dxfId="6315" priority="6215" operator="equal">
      <formula>"CUMPLE"</formula>
    </cfRule>
    <cfRule type="cellIs" dxfId="6314" priority="6216" operator="equal">
      <formula>"NO CUMPLE"</formula>
    </cfRule>
  </conditionalFormatting>
  <conditionalFormatting sqref="V428:W430">
    <cfRule type="cellIs" dxfId="6313" priority="6214" operator="equal">
      <formula>"VERIFICAR"</formula>
    </cfRule>
  </conditionalFormatting>
  <conditionalFormatting sqref="T423:V423">
    <cfRule type="cellIs" dxfId="6312" priority="6212" stopIfTrue="1" operator="equal">
      <formula>"NO"</formula>
    </cfRule>
    <cfRule type="cellIs" dxfId="6311" priority="6213" stopIfTrue="1" operator="equal">
      <formula>"SI"</formula>
    </cfRule>
  </conditionalFormatting>
  <conditionalFormatting sqref="T423:U423">
    <cfRule type="cellIs" dxfId="6310" priority="6211" stopIfTrue="1" operator="equal">
      <formula>"NO APLICA"</formula>
    </cfRule>
  </conditionalFormatting>
  <conditionalFormatting sqref="V423">
    <cfRule type="cellIs" dxfId="6309" priority="6210" stopIfTrue="1" operator="equal">
      <formula>"NO APLICA"</formula>
    </cfRule>
  </conditionalFormatting>
  <conditionalFormatting sqref="T433">
    <cfRule type="cellIs" dxfId="6308" priority="6208" operator="equal">
      <formula>"CUMPLE"</formula>
    </cfRule>
    <cfRule type="cellIs" dxfId="6307" priority="6209" operator="equal">
      <formula>"NO CUMPLE"</formula>
    </cfRule>
  </conditionalFormatting>
  <conditionalFormatting sqref="T433">
    <cfRule type="cellIs" dxfId="6306" priority="6207" operator="equal">
      <formula>"VERIFICAR"</formula>
    </cfRule>
  </conditionalFormatting>
  <conditionalFormatting sqref="Y431:Y436">
    <cfRule type="cellIs" dxfId="6305" priority="6206" stopIfTrue="1" operator="equal">
      <formula>"NO APLICA"</formula>
    </cfRule>
  </conditionalFormatting>
  <conditionalFormatting sqref="Y436">
    <cfRule type="cellIs" dxfId="6304" priority="6205" stopIfTrue="1" operator="equal">
      <formula>"NO APLICA"</formula>
    </cfRule>
  </conditionalFormatting>
  <conditionalFormatting sqref="X431:Y436">
    <cfRule type="cellIs" dxfId="6303" priority="6203" stopIfTrue="1" operator="equal">
      <formula>"NO"</formula>
    </cfRule>
    <cfRule type="cellIs" dxfId="6302" priority="6204" stopIfTrue="1" operator="equal">
      <formula>"SI"</formula>
    </cfRule>
  </conditionalFormatting>
  <conditionalFormatting sqref="X431:X436">
    <cfRule type="cellIs" dxfId="6301" priority="6202" stopIfTrue="1" operator="equal">
      <formula>"NO APLICA"</formula>
    </cfRule>
  </conditionalFormatting>
  <conditionalFormatting sqref="X432:X435">
    <cfRule type="cellIs" dxfId="6300" priority="6201" stopIfTrue="1" operator="equal">
      <formula>"NO APLICA"</formula>
    </cfRule>
  </conditionalFormatting>
  <conditionalFormatting sqref="X432">
    <cfRule type="cellIs" dxfId="6299" priority="6200" stopIfTrue="1" operator="equal">
      <formula>"NO APLICA"</formula>
    </cfRule>
  </conditionalFormatting>
  <conditionalFormatting sqref="X436">
    <cfRule type="cellIs" dxfId="6298" priority="6199" stopIfTrue="1" operator="equal">
      <formula>"NO APLICA"</formula>
    </cfRule>
  </conditionalFormatting>
  <conditionalFormatting sqref="X436">
    <cfRule type="cellIs" dxfId="6297" priority="6198" stopIfTrue="1" operator="equal">
      <formula>"NO APLICA"</formula>
    </cfRule>
  </conditionalFormatting>
  <conditionalFormatting sqref="AA431:AA436">
    <cfRule type="cellIs" dxfId="6296" priority="6197" stopIfTrue="1" operator="equal">
      <formula>"NO APLICA"</formula>
    </cfRule>
  </conditionalFormatting>
  <conditionalFormatting sqref="AA436">
    <cfRule type="cellIs" dxfId="6295" priority="6196" stopIfTrue="1" operator="equal">
      <formula>"NO APLICA"</formula>
    </cfRule>
  </conditionalFormatting>
  <conditionalFormatting sqref="AA431:AA436">
    <cfRule type="cellIs" dxfId="6294" priority="6194" stopIfTrue="1" operator="equal">
      <formula>"NO"</formula>
    </cfRule>
    <cfRule type="cellIs" dxfId="6293" priority="6195" stopIfTrue="1" operator="equal">
      <formula>"SI"</formula>
    </cfRule>
  </conditionalFormatting>
  <conditionalFormatting sqref="Y431:Z436">
    <cfRule type="cellIs" dxfId="6292" priority="6192" operator="equal">
      <formula>"NO APLICA"</formula>
    </cfRule>
    <cfRule type="cellIs" dxfId="6291" priority="6193" operator="equal">
      <formula>"SI APLICA"</formula>
    </cfRule>
  </conditionalFormatting>
  <conditionalFormatting sqref="AB431:AB437">
    <cfRule type="cellIs" dxfId="6290" priority="6190" operator="equal">
      <formula>"NO APLICA"</formula>
    </cfRule>
    <cfRule type="cellIs" dxfId="6289" priority="6191" operator="equal">
      <formula>"SI APLICA"</formula>
    </cfRule>
  </conditionalFormatting>
  <conditionalFormatting sqref="X437">
    <cfRule type="cellIs" dxfId="6288" priority="6188" operator="equal">
      <formula>"PROPONENTE PLURAL"</formula>
    </cfRule>
    <cfRule type="cellIs" dxfId="6287" priority="6189" operator="equal">
      <formula>"PROPONENTE INDIVIDUAL"</formula>
    </cfRule>
  </conditionalFormatting>
  <conditionalFormatting sqref="Z437:AA437 AA431:AA436">
    <cfRule type="cellIs" dxfId="6286" priority="6186" operator="equal">
      <formula>"NO APLICA"</formula>
    </cfRule>
    <cfRule type="cellIs" dxfId="6285" priority="6187" operator="equal">
      <formula>"SI APLICA"</formula>
    </cfRule>
  </conditionalFormatting>
  <conditionalFormatting sqref="AB431:AB436 Y431:Z436">
    <cfRule type="cellIs" dxfId="6284" priority="6185" operator="equal">
      <formula>""</formula>
    </cfRule>
  </conditionalFormatting>
  <conditionalFormatting sqref="H437">
    <cfRule type="containsText" dxfId="6283" priority="6183" stopIfTrue="1" operator="containsText" text="NO CUMPLE">
      <formula>NOT(ISERROR(SEARCH("NO CUMPLE",H437)))</formula>
    </cfRule>
    <cfRule type="containsText" dxfId="6282" priority="6184" stopIfTrue="1" operator="containsText" text="CUMPLE">
      <formula>NOT(ISERROR(SEARCH("CUMPLE",H437)))</formula>
    </cfRule>
  </conditionalFormatting>
  <conditionalFormatting sqref="J437">
    <cfRule type="containsText" dxfId="6281" priority="6181" stopIfTrue="1" operator="containsText" text="NO CUMPLE">
      <formula>NOT(ISERROR(SEARCH("NO CUMPLE",J437)))</formula>
    </cfRule>
    <cfRule type="containsText" dxfId="6280" priority="6182" stopIfTrue="1" operator="containsText" text="CUMPLE">
      <formula>NOT(ISERROR(SEARCH("CUMPLE",J437)))</formula>
    </cfRule>
  </conditionalFormatting>
  <conditionalFormatting sqref="K437">
    <cfRule type="containsText" dxfId="6279" priority="6179" stopIfTrue="1" operator="containsText" text="NO CUMPLE">
      <formula>NOT(ISERROR(SEARCH("NO CUMPLE",K437)))</formula>
    </cfRule>
    <cfRule type="containsText" dxfId="6278" priority="6180" stopIfTrue="1" operator="containsText" text="CUMPLE">
      <formula>NOT(ISERROR(SEARCH("CUMPLE",K437)))</formula>
    </cfRule>
  </conditionalFormatting>
  <conditionalFormatting sqref="L431:L436">
    <cfRule type="containsText" dxfId="6277" priority="6177" stopIfTrue="1" operator="containsText" text="NO CUMPLE">
      <formula>NOT(ISERROR(SEARCH("NO CUMPLE",L431)))</formula>
    </cfRule>
    <cfRule type="containsText" dxfId="6276" priority="6178" stopIfTrue="1" operator="containsText" text="CUMPLE">
      <formula>NOT(ISERROR(SEARCH("CUMPLE",L431)))</formula>
    </cfRule>
  </conditionalFormatting>
  <conditionalFormatting sqref="O436">
    <cfRule type="containsText" dxfId="6275" priority="6175" stopIfTrue="1" operator="containsText" text="NO CUMPLE">
      <formula>NOT(ISERROR(SEARCH("NO CUMPLE",O436)))</formula>
    </cfRule>
    <cfRule type="containsText" dxfId="6274" priority="6176" stopIfTrue="1" operator="containsText" text="CUMPLE">
      <formula>NOT(ISERROR(SEARCH("CUMPLE",O436)))</formula>
    </cfRule>
  </conditionalFormatting>
  <conditionalFormatting sqref="O437:S437">
    <cfRule type="cellIs" dxfId="6273" priority="6174" operator="equal">
      <formula>"EL PROPONENTE SE DEBE REQUERIR POR EXPERIENCIA MINIMA EXIGIDA"</formula>
    </cfRule>
  </conditionalFormatting>
  <conditionalFormatting sqref="X425">
    <cfRule type="cellIs" dxfId="6272" priority="6171" stopIfTrue="1" operator="equal">
      <formula>"VERIFICAR"</formula>
    </cfRule>
    <cfRule type="cellIs" dxfId="6271" priority="6172" stopIfTrue="1" operator="equal">
      <formula>"NO CUMPLE"</formula>
    </cfRule>
    <cfRule type="cellIs" dxfId="6270" priority="6173" stopIfTrue="1" operator="equal">
      <formula>"CUMPLE"</formula>
    </cfRule>
  </conditionalFormatting>
  <conditionalFormatting sqref="X414:Y423 J414:J423">
    <cfRule type="cellIs" dxfId="6269" priority="6170" stopIfTrue="1" operator="greaterThan">
      <formula>0</formula>
    </cfRule>
  </conditionalFormatting>
  <conditionalFormatting sqref="X414:Y423">
    <cfRule type="cellIs" dxfId="6268" priority="6168" operator="equal">
      <formula>"NO CUMPLE"</formula>
    </cfRule>
    <cfRule type="cellIs" dxfId="6267" priority="6169" operator="equal">
      <formula>"CUMPLE"</formula>
    </cfRule>
  </conditionalFormatting>
  <conditionalFormatting sqref="N431:N436">
    <cfRule type="cellIs" dxfId="6266" priority="6166" operator="equal">
      <formula>"NO"</formula>
    </cfRule>
    <cfRule type="cellIs" dxfId="6265" priority="6167" operator="equal">
      <formula>"SI"</formula>
    </cfRule>
  </conditionalFormatting>
  <conditionalFormatting sqref="I423">
    <cfRule type="cellIs" dxfId="6264" priority="6165" stopIfTrue="1" operator="greaterThan">
      <formula>0</formula>
    </cfRule>
  </conditionalFormatting>
  <conditionalFormatting sqref="K417:L423">
    <cfRule type="cellIs" dxfId="6263" priority="6163" operator="equal">
      <formula>0</formula>
    </cfRule>
    <cfRule type="cellIs" dxfId="6262" priority="6164" operator="notBetween">
      <formula>$Q$17</formula>
      <formula>$R$17</formula>
    </cfRule>
  </conditionalFormatting>
  <conditionalFormatting sqref="B414:B423">
    <cfRule type="cellIs" dxfId="6261" priority="6162" stopIfTrue="1" operator="greaterThan">
      <formula>0</formula>
    </cfRule>
  </conditionalFormatting>
  <conditionalFormatting sqref="C414:D414 D415:D416 C415:C423">
    <cfRule type="cellIs" dxfId="6260" priority="6161" stopIfTrue="1" operator="greaterThan">
      <formula>0</formula>
    </cfRule>
  </conditionalFormatting>
  <conditionalFormatting sqref="C414:D414 F414:H416 D415:D416 C415:C423">
    <cfRule type="cellIs" dxfId="6259" priority="6160" stopIfTrue="1" operator="greaterThan">
      <formula>0</formula>
    </cfRule>
  </conditionalFormatting>
  <conditionalFormatting sqref="T414:V416">
    <cfRule type="cellIs" dxfId="6258" priority="6158" stopIfTrue="1" operator="equal">
      <formula>"NO"</formula>
    </cfRule>
    <cfRule type="cellIs" dxfId="6257" priority="6159" stopIfTrue="1" operator="equal">
      <formula>"SI"</formula>
    </cfRule>
  </conditionalFormatting>
  <conditionalFormatting sqref="T414:V415">
    <cfRule type="cellIs" dxfId="6256" priority="6157" stopIfTrue="1" operator="equal">
      <formula>"NO APLICA"</formula>
    </cfRule>
  </conditionalFormatting>
  <conditionalFormatting sqref="T416:U416">
    <cfRule type="cellIs" dxfId="6255" priority="6156" stopIfTrue="1" operator="equal">
      <formula>"NO APLICA"</formula>
    </cfRule>
  </conditionalFormatting>
  <conditionalFormatting sqref="T416:U416">
    <cfRule type="cellIs" dxfId="6254" priority="6155" stopIfTrue="1" operator="equal">
      <formula>"NO APLICA"</formula>
    </cfRule>
  </conditionalFormatting>
  <conditionalFormatting sqref="V416">
    <cfRule type="cellIs" dxfId="6253" priority="6154" stopIfTrue="1" operator="equal">
      <formula>"NO APLICA"</formula>
    </cfRule>
  </conditionalFormatting>
  <conditionalFormatting sqref="K414:L416">
    <cfRule type="cellIs" dxfId="6252" priority="6152" operator="equal">
      <formula>0</formula>
    </cfRule>
    <cfRule type="cellIs" dxfId="6251" priority="6153" operator="notBetween">
      <formula>$Q$17</formula>
      <formula>$R$17</formula>
    </cfRule>
  </conditionalFormatting>
  <conditionalFormatting sqref="F447:H452 D453:H453 I447:I453 C444:D444 K444:O453 F444:I446 D445:D452 C445:C453">
    <cfRule type="cellIs" dxfId="6250" priority="6151" stopIfTrue="1" operator="greaterThan">
      <formula>0</formula>
    </cfRule>
  </conditionalFormatting>
  <conditionalFormatting sqref="D447:D452">
    <cfRule type="cellIs" dxfId="6249" priority="6150" stopIfTrue="1" operator="greaterThan">
      <formula>0</formula>
    </cfRule>
  </conditionalFormatting>
  <conditionalFormatting sqref="D447:D452 F447:H452">
    <cfRule type="cellIs" dxfId="6248" priority="6149" stopIfTrue="1" operator="greaterThan">
      <formula>0</formula>
    </cfRule>
  </conditionalFormatting>
  <conditionalFormatting sqref="H444:H452">
    <cfRule type="cellIs" dxfId="6247" priority="6148" stopIfTrue="1" operator="greaterThan">
      <formula>0</formula>
    </cfRule>
  </conditionalFormatting>
  <conditionalFormatting sqref="E444:E452">
    <cfRule type="cellIs" dxfId="6246" priority="6147" stopIfTrue="1" operator="greaterThan">
      <formula>0</formula>
    </cfRule>
  </conditionalFormatting>
  <conditionalFormatting sqref="M461:M466 K461:K466">
    <cfRule type="containsText" dxfId="6245" priority="6145" stopIfTrue="1" operator="containsText" text="NO CUMPLE">
      <formula>NOT(ISERROR(SEARCH("NO CUMPLE",K461)))</formula>
    </cfRule>
    <cfRule type="containsText" dxfId="6244" priority="6146" stopIfTrue="1" operator="containsText" text="CUMPLE">
      <formula>NOT(ISERROR(SEARCH("CUMPLE",K461)))</formula>
    </cfRule>
  </conditionalFormatting>
  <conditionalFormatting sqref="S460">
    <cfRule type="cellIs" dxfId="6243" priority="6143" operator="greaterThanOrEqual">
      <formula>NUMMINCONT</formula>
    </cfRule>
    <cfRule type="cellIs" dxfId="6242" priority="6144" operator="lessThan">
      <formula>NUMMINCONT</formula>
    </cfRule>
  </conditionalFormatting>
  <conditionalFormatting sqref="T447:V452">
    <cfRule type="cellIs" dxfId="6241" priority="6141" stopIfTrue="1" operator="equal">
      <formula>"NO"</formula>
    </cfRule>
    <cfRule type="cellIs" dxfId="6240" priority="6142" stopIfTrue="1" operator="equal">
      <formula>"SI"</formula>
    </cfRule>
  </conditionalFormatting>
  <conditionalFormatting sqref="T447:V448">
    <cfRule type="cellIs" dxfId="6239" priority="6140" stopIfTrue="1" operator="equal">
      <formula>"NO APLICA"</formula>
    </cfRule>
  </conditionalFormatting>
  <conditionalFormatting sqref="T449:U452">
    <cfRule type="cellIs" dxfId="6238" priority="6139" stopIfTrue="1" operator="equal">
      <formula>"NO APLICA"</formula>
    </cfRule>
  </conditionalFormatting>
  <conditionalFormatting sqref="T449:U449">
    <cfRule type="cellIs" dxfId="6237" priority="6138" stopIfTrue="1" operator="equal">
      <formula>"NO APLICA"</formula>
    </cfRule>
  </conditionalFormatting>
  <conditionalFormatting sqref="V449:V452">
    <cfRule type="cellIs" dxfId="6236" priority="6137" stopIfTrue="1" operator="equal">
      <formula>"NO APLICA"</formula>
    </cfRule>
  </conditionalFormatting>
  <conditionalFormatting sqref="V458:W458">
    <cfRule type="cellIs" dxfId="6235" priority="6135" operator="equal">
      <formula>"CUMPLE"</formula>
    </cfRule>
    <cfRule type="cellIs" dxfId="6234" priority="6136" operator="equal">
      <formula>"NO CUMPLE"</formula>
    </cfRule>
  </conditionalFormatting>
  <conditionalFormatting sqref="V458:W460">
    <cfRule type="cellIs" dxfId="6233" priority="6134" operator="equal">
      <formula>"VERIFICAR"</formula>
    </cfRule>
  </conditionalFormatting>
  <conditionalFormatting sqref="T453:V453">
    <cfRule type="cellIs" dxfId="6232" priority="6132" stopIfTrue="1" operator="equal">
      <formula>"NO"</formula>
    </cfRule>
    <cfRule type="cellIs" dxfId="6231" priority="6133" stopIfTrue="1" operator="equal">
      <formula>"SI"</formula>
    </cfRule>
  </conditionalFormatting>
  <conditionalFormatting sqref="T453:U453">
    <cfRule type="cellIs" dxfId="6230" priority="6131" stopIfTrue="1" operator="equal">
      <formula>"NO APLICA"</formula>
    </cfRule>
  </conditionalFormatting>
  <conditionalFormatting sqref="V453">
    <cfRule type="cellIs" dxfId="6229" priority="6130" stopIfTrue="1" operator="equal">
      <formula>"NO APLICA"</formula>
    </cfRule>
  </conditionalFormatting>
  <conditionalFormatting sqref="T463">
    <cfRule type="cellIs" dxfId="6228" priority="6128" operator="equal">
      <formula>"CUMPLE"</formula>
    </cfRule>
    <cfRule type="cellIs" dxfId="6227" priority="6129" operator="equal">
      <formula>"NO CUMPLE"</formula>
    </cfRule>
  </conditionalFormatting>
  <conditionalFormatting sqref="T463">
    <cfRule type="cellIs" dxfId="6226" priority="6127" operator="equal">
      <formula>"VERIFICAR"</formula>
    </cfRule>
  </conditionalFormatting>
  <conditionalFormatting sqref="Y461:Y466">
    <cfRule type="cellIs" dxfId="6225" priority="6126" stopIfTrue="1" operator="equal">
      <formula>"NO APLICA"</formula>
    </cfRule>
  </conditionalFormatting>
  <conditionalFormatting sqref="Y466">
    <cfRule type="cellIs" dxfId="6224" priority="6125" stopIfTrue="1" operator="equal">
      <formula>"NO APLICA"</formula>
    </cfRule>
  </conditionalFormatting>
  <conditionalFormatting sqref="X461:Y466">
    <cfRule type="cellIs" dxfId="6223" priority="6123" stopIfTrue="1" operator="equal">
      <formula>"NO"</formula>
    </cfRule>
    <cfRule type="cellIs" dxfId="6222" priority="6124" stopIfTrue="1" operator="equal">
      <formula>"SI"</formula>
    </cfRule>
  </conditionalFormatting>
  <conditionalFormatting sqref="X461:X466">
    <cfRule type="cellIs" dxfId="6221" priority="6122" stopIfTrue="1" operator="equal">
      <formula>"NO APLICA"</formula>
    </cfRule>
  </conditionalFormatting>
  <conditionalFormatting sqref="X462:X465">
    <cfRule type="cellIs" dxfId="6220" priority="6121" stopIfTrue="1" operator="equal">
      <formula>"NO APLICA"</formula>
    </cfRule>
  </conditionalFormatting>
  <conditionalFormatting sqref="X462">
    <cfRule type="cellIs" dxfId="6219" priority="6120" stopIfTrue="1" operator="equal">
      <formula>"NO APLICA"</formula>
    </cfRule>
  </conditionalFormatting>
  <conditionalFormatting sqref="X466">
    <cfRule type="cellIs" dxfId="6218" priority="6119" stopIfTrue="1" operator="equal">
      <formula>"NO APLICA"</formula>
    </cfRule>
  </conditionalFormatting>
  <conditionalFormatting sqref="X466">
    <cfRule type="cellIs" dxfId="6217" priority="6118" stopIfTrue="1" operator="equal">
      <formula>"NO APLICA"</formula>
    </cfRule>
  </conditionalFormatting>
  <conditionalFormatting sqref="AA461:AA466">
    <cfRule type="cellIs" dxfId="6216" priority="6117" stopIfTrue="1" operator="equal">
      <formula>"NO APLICA"</formula>
    </cfRule>
  </conditionalFormatting>
  <conditionalFormatting sqref="AA466">
    <cfRule type="cellIs" dxfId="6215" priority="6116" stopIfTrue="1" operator="equal">
      <formula>"NO APLICA"</formula>
    </cfRule>
  </conditionalFormatting>
  <conditionalFormatting sqref="AA461:AA466">
    <cfRule type="cellIs" dxfId="6214" priority="6114" stopIfTrue="1" operator="equal">
      <formula>"NO"</formula>
    </cfRule>
    <cfRule type="cellIs" dxfId="6213" priority="6115" stopIfTrue="1" operator="equal">
      <formula>"SI"</formula>
    </cfRule>
  </conditionalFormatting>
  <conditionalFormatting sqref="Y461:Z466">
    <cfRule type="cellIs" dxfId="6212" priority="6112" operator="equal">
      <formula>"NO APLICA"</formula>
    </cfRule>
    <cfRule type="cellIs" dxfId="6211" priority="6113" operator="equal">
      <formula>"SI APLICA"</formula>
    </cfRule>
  </conditionalFormatting>
  <conditionalFormatting sqref="AB461:AB467">
    <cfRule type="cellIs" dxfId="6210" priority="6110" operator="equal">
      <formula>"NO APLICA"</formula>
    </cfRule>
    <cfRule type="cellIs" dxfId="6209" priority="6111" operator="equal">
      <formula>"SI APLICA"</formula>
    </cfRule>
  </conditionalFormatting>
  <conditionalFormatting sqref="X467">
    <cfRule type="cellIs" dxfId="6208" priority="6108" operator="equal">
      <formula>"PROPONENTE PLURAL"</formula>
    </cfRule>
    <cfRule type="cellIs" dxfId="6207" priority="6109" operator="equal">
      <formula>"PROPONENTE INDIVIDUAL"</formula>
    </cfRule>
  </conditionalFormatting>
  <conditionalFormatting sqref="Z467:AA467 AA461:AA466">
    <cfRule type="cellIs" dxfId="6206" priority="6106" operator="equal">
      <formula>"NO APLICA"</formula>
    </cfRule>
    <cfRule type="cellIs" dxfId="6205" priority="6107" operator="equal">
      <formula>"SI APLICA"</formula>
    </cfRule>
  </conditionalFormatting>
  <conditionalFormatting sqref="AB461:AB466 Y461:Z466">
    <cfRule type="cellIs" dxfId="6204" priority="6105" operator="equal">
      <formula>""</formula>
    </cfRule>
  </conditionalFormatting>
  <conditionalFormatting sqref="H467">
    <cfRule type="containsText" dxfId="6203" priority="6103" stopIfTrue="1" operator="containsText" text="NO CUMPLE">
      <formula>NOT(ISERROR(SEARCH("NO CUMPLE",H467)))</formula>
    </cfRule>
    <cfRule type="containsText" dxfId="6202" priority="6104" stopIfTrue="1" operator="containsText" text="CUMPLE">
      <formula>NOT(ISERROR(SEARCH("CUMPLE",H467)))</formula>
    </cfRule>
  </conditionalFormatting>
  <conditionalFormatting sqref="J467">
    <cfRule type="containsText" dxfId="6201" priority="6101" stopIfTrue="1" operator="containsText" text="NO CUMPLE">
      <formula>NOT(ISERROR(SEARCH("NO CUMPLE",J467)))</formula>
    </cfRule>
    <cfRule type="containsText" dxfId="6200" priority="6102" stopIfTrue="1" operator="containsText" text="CUMPLE">
      <formula>NOT(ISERROR(SEARCH("CUMPLE",J467)))</formula>
    </cfRule>
  </conditionalFormatting>
  <conditionalFormatting sqref="K467">
    <cfRule type="containsText" dxfId="6199" priority="6099" stopIfTrue="1" operator="containsText" text="NO CUMPLE">
      <formula>NOT(ISERROR(SEARCH("NO CUMPLE",K467)))</formula>
    </cfRule>
    <cfRule type="containsText" dxfId="6198" priority="6100" stopIfTrue="1" operator="containsText" text="CUMPLE">
      <formula>NOT(ISERROR(SEARCH("CUMPLE",K467)))</formula>
    </cfRule>
  </conditionalFormatting>
  <conditionalFormatting sqref="L461:L466">
    <cfRule type="containsText" dxfId="6197" priority="6097" stopIfTrue="1" operator="containsText" text="NO CUMPLE">
      <formula>NOT(ISERROR(SEARCH("NO CUMPLE",L461)))</formula>
    </cfRule>
    <cfRule type="containsText" dxfId="6196" priority="6098" stopIfTrue="1" operator="containsText" text="CUMPLE">
      <formula>NOT(ISERROR(SEARCH("CUMPLE",L461)))</formula>
    </cfRule>
  </conditionalFormatting>
  <conditionalFormatting sqref="O466">
    <cfRule type="containsText" dxfId="6195" priority="6095" stopIfTrue="1" operator="containsText" text="NO CUMPLE">
      <formula>NOT(ISERROR(SEARCH("NO CUMPLE",O466)))</formula>
    </cfRule>
    <cfRule type="containsText" dxfId="6194" priority="6096" stopIfTrue="1" operator="containsText" text="CUMPLE">
      <formula>NOT(ISERROR(SEARCH("CUMPLE",O466)))</formula>
    </cfRule>
  </conditionalFormatting>
  <conditionalFormatting sqref="O467:S467">
    <cfRule type="cellIs" dxfId="6193" priority="6094" operator="equal">
      <formula>"EL PROPONENTE SE DEBE REQUERIR POR EXPERIENCIA MINIMA EXIGIDA"</formula>
    </cfRule>
  </conditionalFormatting>
  <conditionalFormatting sqref="X455">
    <cfRule type="cellIs" dxfId="6192" priority="6091" stopIfTrue="1" operator="equal">
      <formula>"VERIFICAR"</formula>
    </cfRule>
    <cfRule type="cellIs" dxfId="6191" priority="6092" stopIfTrue="1" operator="equal">
      <formula>"NO CUMPLE"</formula>
    </cfRule>
    <cfRule type="cellIs" dxfId="6190" priority="6093" stopIfTrue="1" operator="equal">
      <formula>"CUMPLE"</formula>
    </cfRule>
  </conditionalFormatting>
  <conditionalFormatting sqref="X444:Y453 J444:J453">
    <cfRule type="cellIs" dxfId="6189" priority="6090" stopIfTrue="1" operator="greaterThan">
      <formula>0</formula>
    </cfRule>
  </conditionalFormatting>
  <conditionalFormatting sqref="X444:Y453">
    <cfRule type="cellIs" dxfId="6188" priority="6088" operator="equal">
      <formula>"NO CUMPLE"</formula>
    </cfRule>
    <cfRule type="cellIs" dxfId="6187" priority="6089" operator="equal">
      <formula>"CUMPLE"</formula>
    </cfRule>
  </conditionalFormatting>
  <conditionalFormatting sqref="N461:N466">
    <cfRule type="cellIs" dxfId="6186" priority="6086" operator="equal">
      <formula>"NO"</formula>
    </cfRule>
    <cfRule type="cellIs" dxfId="6185" priority="6087" operator="equal">
      <formula>"SI"</formula>
    </cfRule>
  </conditionalFormatting>
  <conditionalFormatting sqref="I453">
    <cfRule type="cellIs" dxfId="6184" priority="6085" stopIfTrue="1" operator="greaterThan">
      <formula>0</formula>
    </cfRule>
  </conditionalFormatting>
  <conditionalFormatting sqref="K447:L453">
    <cfRule type="cellIs" dxfId="6183" priority="6083" operator="equal">
      <formula>0</formula>
    </cfRule>
    <cfRule type="cellIs" dxfId="6182" priority="6084" operator="notBetween">
      <formula>$Q$17</formula>
      <formula>$R$17</formula>
    </cfRule>
  </conditionalFormatting>
  <conditionalFormatting sqref="B444:B453">
    <cfRule type="cellIs" dxfId="6181" priority="6082" stopIfTrue="1" operator="greaterThan">
      <formula>0</formula>
    </cfRule>
  </conditionalFormatting>
  <conditionalFormatting sqref="C444:D444 D445:D446 C445:C453">
    <cfRule type="cellIs" dxfId="6180" priority="6081" stopIfTrue="1" operator="greaterThan">
      <formula>0</formula>
    </cfRule>
  </conditionalFormatting>
  <conditionalFormatting sqref="C444:D444 F444:H446 D445:D446 C445:C453">
    <cfRule type="cellIs" dxfId="6179" priority="6080" stopIfTrue="1" operator="greaterThan">
      <formula>0</formula>
    </cfRule>
  </conditionalFormatting>
  <conditionalFormatting sqref="T444:V446">
    <cfRule type="cellIs" dxfId="6178" priority="6078" stopIfTrue="1" operator="equal">
      <formula>"NO"</formula>
    </cfRule>
    <cfRule type="cellIs" dxfId="6177" priority="6079" stopIfTrue="1" operator="equal">
      <formula>"SI"</formula>
    </cfRule>
  </conditionalFormatting>
  <conditionalFormatting sqref="T444:V445">
    <cfRule type="cellIs" dxfId="6176" priority="6077" stopIfTrue="1" operator="equal">
      <formula>"NO APLICA"</formula>
    </cfRule>
  </conditionalFormatting>
  <conditionalFormatting sqref="T446:U446">
    <cfRule type="cellIs" dxfId="6175" priority="6076" stopIfTrue="1" operator="equal">
      <formula>"NO APLICA"</formula>
    </cfRule>
  </conditionalFormatting>
  <conditionalFormatting sqref="T446:U446">
    <cfRule type="cellIs" dxfId="6174" priority="6075" stopIfTrue="1" operator="equal">
      <formula>"NO APLICA"</formula>
    </cfRule>
  </conditionalFormatting>
  <conditionalFormatting sqref="V446">
    <cfRule type="cellIs" dxfId="6173" priority="6074" stopIfTrue="1" operator="equal">
      <formula>"NO APLICA"</formula>
    </cfRule>
  </conditionalFormatting>
  <conditionalFormatting sqref="K444:L446">
    <cfRule type="cellIs" dxfId="6172" priority="6072" operator="equal">
      <formula>0</formula>
    </cfRule>
    <cfRule type="cellIs" dxfId="6171" priority="6073" operator="notBetween">
      <formula>$Q$17</formula>
      <formula>$R$17</formula>
    </cfRule>
  </conditionalFormatting>
  <conditionalFormatting sqref="F477:H482 D483:H483 I477:I483 C474:D474 D475:D482 C475:C483 F474:I476 K474:O483">
    <cfRule type="cellIs" dxfId="6170" priority="6071" stopIfTrue="1" operator="greaterThan">
      <formula>0</formula>
    </cfRule>
  </conditionalFormatting>
  <conditionalFormatting sqref="D477:D482">
    <cfRule type="cellIs" dxfId="6169" priority="6070" stopIfTrue="1" operator="greaterThan">
      <formula>0</formula>
    </cfRule>
  </conditionalFormatting>
  <conditionalFormatting sqref="D477:D482 F477:H482">
    <cfRule type="cellIs" dxfId="6168" priority="6069" stopIfTrue="1" operator="greaterThan">
      <formula>0</formula>
    </cfRule>
  </conditionalFormatting>
  <conditionalFormatting sqref="H474:H482">
    <cfRule type="cellIs" dxfId="6167" priority="6068" stopIfTrue="1" operator="greaterThan">
      <formula>0</formula>
    </cfRule>
  </conditionalFormatting>
  <conditionalFormatting sqref="E474:E482">
    <cfRule type="cellIs" dxfId="6166" priority="6067" stopIfTrue="1" operator="greaterThan">
      <formula>0</formula>
    </cfRule>
  </conditionalFormatting>
  <conditionalFormatting sqref="M491:M496 K491:K496">
    <cfRule type="containsText" dxfId="6165" priority="6065" stopIfTrue="1" operator="containsText" text="NO CUMPLE">
      <formula>NOT(ISERROR(SEARCH("NO CUMPLE",K491)))</formula>
    </cfRule>
    <cfRule type="containsText" dxfId="6164" priority="6066" stopIfTrue="1" operator="containsText" text="CUMPLE">
      <formula>NOT(ISERROR(SEARCH("CUMPLE",K491)))</formula>
    </cfRule>
  </conditionalFormatting>
  <conditionalFormatting sqref="S490">
    <cfRule type="cellIs" dxfId="6163" priority="6063" operator="greaterThanOrEqual">
      <formula>NUMMINCONT</formula>
    </cfRule>
    <cfRule type="cellIs" dxfId="6162" priority="6064" operator="lessThan">
      <formula>NUMMINCONT</formula>
    </cfRule>
  </conditionalFormatting>
  <conditionalFormatting sqref="T477:V482">
    <cfRule type="cellIs" dxfId="6161" priority="6061" stopIfTrue="1" operator="equal">
      <formula>"NO"</formula>
    </cfRule>
    <cfRule type="cellIs" dxfId="6160" priority="6062" stopIfTrue="1" operator="equal">
      <formula>"SI"</formula>
    </cfRule>
  </conditionalFormatting>
  <conditionalFormatting sqref="T477:V478">
    <cfRule type="cellIs" dxfId="6159" priority="6060" stopIfTrue="1" operator="equal">
      <formula>"NO APLICA"</formula>
    </cfRule>
  </conditionalFormatting>
  <conditionalFormatting sqref="T479:U482">
    <cfRule type="cellIs" dxfId="6158" priority="6059" stopIfTrue="1" operator="equal">
      <formula>"NO APLICA"</formula>
    </cfRule>
  </conditionalFormatting>
  <conditionalFormatting sqref="T479:U479">
    <cfRule type="cellIs" dxfId="6157" priority="6058" stopIfTrue="1" operator="equal">
      <formula>"NO APLICA"</formula>
    </cfRule>
  </conditionalFormatting>
  <conditionalFormatting sqref="V479:V482">
    <cfRule type="cellIs" dxfId="6156" priority="6057" stopIfTrue="1" operator="equal">
      <formula>"NO APLICA"</formula>
    </cfRule>
  </conditionalFormatting>
  <conditionalFormatting sqref="V488:W488">
    <cfRule type="cellIs" dxfId="6155" priority="6055" operator="equal">
      <formula>"CUMPLE"</formula>
    </cfRule>
    <cfRule type="cellIs" dxfId="6154" priority="6056" operator="equal">
      <formula>"NO CUMPLE"</formula>
    </cfRule>
  </conditionalFormatting>
  <conditionalFormatting sqref="V488:W490">
    <cfRule type="cellIs" dxfId="6153" priority="6054" operator="equal">
      <formula>"VERIFICAR"</formula>
    </cfRule>
  </conditionalFormatting>
  <conditionalFormatting sqref="T483:V483">
    <cfRule type="cellIs" dxfId="6152" priority="6052" stopIfTrue="1" operator="equal">
      <formula>"NO"</formula>
    </cfRule>
    <cfRule type="cellIs" dxfId="6151" priority="6053" stopIfTrue="1" operator="equal">
      <formula>"SI"</formula>
    </cfRule>
  </conditionalFormatting>
  <conditionalFormatting sqref="T483:U483">
    <cfRule type="cellIs" dxfId="6150" priority="6051" stopIfTrue="1" operator="equal">
      <formula>"NO APLICA"</formula>
    </cfRule>
  </conditionalFormatting>
  <conditionalFormatting sqref="V483">
    <cfRule type="cellIs" dxfId="6149" priority="6050" stopIfTrue="1" operator="equal">
      <formula>"NO APLICA"</formula>
    </cfRule>
  </conditionalFormatting>
  <conditionalFormatting sqref="T493">
    <cfRule type="cellIs" dxfId="6148" priority="6048" operator="equal">
      <formula>"CUMPLE"</formula>
    </cfRule>
    <cfRule type="cellIs" dxfId="6147" priority="6049" operator="equal">
      <formula>"NO CUMPLE"</formula>
    </cfRule>
  </conditionalFormatting>
  <conditionalFormatting sqref="T493">
    <cfRule type="cellIs" dxfId="6146" priority="6047" operator="equal">
      <formula>"VERIFICAR"</formula>
    </cfRule>
  </conditionalFormatting>
  <conditionalFormatting sqref="Y491:Y496">
    <cfRule type="cellIs" dxfId="6145" priority="6046" stopIfTrue="1" operator="equal">
      <formula>"NO APLICA"</formula>
    </cfRule>
  </conditionalFormatting>
  <conditionalFormatting sqref="Y496">
    <cfRule type="cellIs" dxfId="6144" priority="6045" stopIfTrue="1" operator="equal">
      <formula>"NO APLICA"</formula>
    </cfRule>
  </conditionalFormatting>
  <conditionalFormatting sqref="X491:Y496">
    <cfRule type="cellIs" dxfId="6143" priority="6043" stopIfTrue="1" operator="equal">
      <formula>"NO"</formula>
    </cfRule>
    <cfRule type="cellIs" dxfId="6142" priority="6044" stopIfTrue="1" operator="equal">
      <formula>"SI"</formula>
    </cfRule>
  </conditionalFormatting>
  <conditionalFormatting sqref="X491:X496">
    <cfRule type="cellIs" dxfId="6141" priority="6042" stopIfTrue="1" operator="equal">
      <formula>"NO APLICA"</formula>
    </cfRule>
  </conditionalFormatting>
  <conditionalFormatting sqref="X492:X495">
    <cfRule type="cellIs" dxfId="6140" priority="6041" stopIfTrue="1" operator="equal">
      <formula>"NO APLICA"</formula>
    </cfRule>
  </conditionalFormatting>
  <conditionalFormatting sqref="X492">
    <cfRule type="cellIs" dxfId="6139" priority="6040" stopIfTrue="1" operator="equal">
      <formula>"NO APLICA"</formula>
    </cfRule>
  </conditionalFormatting>
  <conditionalFormatting sqref="X496">
    <cfRule type="cellIs" dxfId="6138" priority="6039" stopIfTrue="1" operator="equal">
      <formula>"NO APLICA"</formula>
    </cfRule>
  </conditionalFormatting>
  <conditionalFormatting sqref="X496">
    <cfRule type="cellIs" dxfId="6137" priority="6038" stopIfTrue="1" operator="equal">
      <formula>"NO APLICA"</formula>
    </cfRule>
  </conditionalFormatting>
  <conditionalFormatting sqref="AA491:AA496">
    <cfRule type="cellIs" dxfId="6136" priority="6037" stopIfTrue="1" operator="equal">
      <formula>"NO APLICA"</formula>
    </cfRule>
  </conditionalFormatting>
  <conditionalFormatting sqref="AA496">
    <cfRule type="cellIs" dxfId="6135" priority="6036" stopIfTrue="1" operator="equal">
      <formula>"NO APLICA"</formula>
    </cfRule>
  </conditionalFormatting>
  <conditionalFormatting sqref="AA491:AA496">
    <cfRule type="cellIs" dxfId="6134" priority="6034" stopIfTrue="1" operator="equal">
      <formula>"NO"</formula>
    </cfRule>
    <cfRule type="cellIs" dxfId="6133" priority="6035" stopIfTrue="1" operator="equal">
      <formula>"SI"</formula>
    </cfRule>
  </conditionalFormatting>
  <conditionalFormatting sqref="Y491:Z496">
    <cfRule type="cellIs" dxfId="6132" priority="6032" operator="equal">
      <formula>"NO APLICA"</formula>
    </cfRule>
    <cfRule type="cellIs" dxfId="6131" priority="6033" operator="equal">
      <formula>"SI APLICA"</formula>
    </cfRule>
  </conditionalFormatting>
  <conditionalFormatting sqref="AB491:AB497">
    <cfRule type="cellIs" dxfId="6130" priority="6030" operator="equal">
      <formula>"NO APLICA"</formula>
    </cfRule>
    <cfRule type="cellIs" dxfId="6129" priority="6031" operator="equal">
      <formula>"SI APLICA"</formula>
    </cfRule>
  </conditionalFormatting>
  <conditionalFormatting sqref="X497">
    <cfRule type="cellIs" dxfId="6128" priority="6028" operator="equal">
      <formula>"PROPONENTE PLURAL"</formula>
    </cfRule>
    <cfRule type="cellIs" dxfId="6127" priority="6029" operator="equal">
      <formula>"PROPONENTE INDIVIDUAL"</formula>
    </cfRule>
  </conditionalFormatting>
  <conditionalFormatting sqref="Z497:AA497 AA491:AA496">
    <cfRule type="cellIs" dxfId="6126" priority="6026" operator="equal">
      <formula>"NO APLICA"</formula>
    </cfRule>
    <cfRule type="cellIs" dxfId="6125" priority="6027" operator="equal">
      <formula>"SI APLICA"</formula>
    </cfRule>
  </conditionalFormatting>
  <conditionalFormatting sqref="AB491:AB496 Y491:Z496">
    <cfRule type="cellIs" dxfId="6124" priority="6025" operator="equal">
      <formula>""</formula>
    </cfRule>
  </conditionalFormatting>
  <conditionalFormatting sqref="H497">
    <cfRule type="containsText" dxfId="6123" priority="6023" stopIfTrue="1" operator="containsText" text="NO CUMPLE">
      <formula>NOT(ISERROR(SEARCH("NO CUMPLE",H497)))</formula>
    </cfRule>
    <cfRule type="containsText" dxfId="6122" priority="6024" stopIfTrue="1" operator="containsText" text="CUMPLE">
      <formula>NOT(ISERROR(SEARCH("CUMPLE",H497)))</formula>
    </cfRule>
  </conditionalFormatting>
  <conditionalFormatting sqref="J497">
    <cfRule type="containsText" dxfId="6121" priority="6021" stopIfTrue="1" operator="containsText" text="NO CUMPLE">
      <formula>NOT(ISERROR(SEARCH("NO CUMPLE",J497)))</formula>
    </cfRule>
    <cfRule type="containsText" dxfId="6120" priority="6022" stopIfTrue="1" operator="containsText" text="CUMPLE">
      <formula>NOT(ISERROR(SEARCH("CUMPLE",J497)))</formula>
    </cfRule>
  </conditionalFormatting>
  <conditionalFormatting sqref="K497">
    <cfRule type="containsText" dxfId="6119" priority="6019" stopIfTrue="1" operator="containsText" text="NO CUMPLE">
      <formula>NOT(ISERROR(SEARCH("NO CUMPLE",K497)))</formula>
    </cfRule>
    <cfRule type="containsText" dxfId="6118" priority="6020" stopIfTrue="1" operator="containsText" text="CUMPLE">
      <formula>NOT(ISERROR(SEARCH("CUMPLE",K497)))</formula>
    </cfRule>
  </conditionalFormatting>
  <conditionalFormatting sqref="L491:L496">
    <cfRule type="containsText" dxfId="6117" priority="6017" stopIfTrue="1" operator="containsText" text="NO CUMPLE">
      <formula>NOT(ISERROR(SEARCH("NO CUMPLE",L491)))</formula>
    </cfRule>
    <cfRule type="containsText" dxfId="6116" priority="6018" stopIfTrue="1" operator="containsText" text="CUMPLE">
      <formula>NOT(ISERROR(SEARCH("CUMPLE",L491)))</formula>
    </cfRule>
  </conditionalFormatting>
  <conditionalFormatting sqref="O496">
    <cfRule type="containsText" dxfId="6115" priority="6015" stopIfTrue="1" operator="containsText" text="NO CUMPLE">
      <formula>NOT(ISERROR(SEARCH("NO CUMPLE",O496)))</formula>
    </cfRule>
    <cfRule type="containsText" dxfId="6114" priority="6016" stopIfTrue="1" operator="containsText" text="CUMPLE">
      <formula>NOT(ISERROR(SEARCH("CUMPLE",O496)))</formula>
    </cfRule>
  </conditionalFormatting>
  <conditionalFormatting sqref="O497:S497">
    <cfRule type="cellIs" dxfId="6113" priority="6014" operator="equal">
      <formula>"EL PROPONENTE SE DEBE REQUERIR POR EXPERIENCIA MINIMA EXIGIDA"</formula>
    </cfRule>
  </conditionalFormatting>
  <conditionalFormatting sqref="X485">
    <cfRule type="cellIs" dxfId="6112" priority="6011" stopIfTrue="1" operator="equal">
      <formula>"VERIFICAR"</formula>
    </cfRule>
    <cfRule type="cellIs" dxfId="6111" priority="6012" stopIfTrue="1" operator="equal">
      <formula>"NO CUMPLE"</formula>
    </cfRule>
    <cfRule type="cellIs" dxfId="6110" priority="6013" stopIfTrue="1" operator="equal">
      <formula>"CUMPLE"</formula>
    </cfRule>
  </conditionalFormatting>
  <conditionalFormatting sqref="X474:Y483 J474:J483">
    <cfRule type="cellIs" dxfId="6109" priority="6010" stopIfTrue="1" operator="greaterThan">
      <formula>0</formula>
    </cfRule>
  </conditionalFormatting>
  <conditionalFormatting sqref="X474:Y483">
    <cfRule type="cellIs" dxfId="6108" priority="6008" operator="equal">
      <formula>"NO CUMPLE"</formula>
    </cfRule>
    <cfRule type="cellIs" dxfId="6107" priority="6009" operator="equal">
      <formula>"CUMPLE"</formula>
    </cfRule>
  </conditionalFormatting>
  <conditionalFormatting sqref="N491:N496">
    <cfRule type="cellIs" dxfId="6106" priority="6006" operator="equal">
      <formula>"NO"</formula>
    </cfRule>
    <cfRule type="cellIs" dxfId="6105" priority="6007" operator="equal">
      <formula>"SI"</formula>
    </cfRule>
  </conditionalFormatting>
  <conditionalFormatting sqref="I483">
    <cfRule type="cellIs" dxfId="6104" priority="6005" stopIfTrue="1" operator="greaterThan">
      <formula>0</formula>
    </cfRule>
  </conditionalFormatting>
  <conditionalFormatting sqref="K477:L483">
    <cfRule type="cellIs" dxfId="6103" priority="6003" operator="equal">
      <formula>0</formula>
    </cfRule>
    <cfRule type="cellIs" dxfId="6102" priority="6004" operator="notBetween">
      <formula>$Q$17</formula>
      <formula>$R$17</formula>
    </cfRule>
  </conditionalFormatting>
  <conditionalFormatting sqref="B474:B483">
    <cfRule type="cellIs" dxfId="6101" priority="6002" stopIfTrue="1" operator="greaterThan">
      <formula>0</formula>
    </cfRule>
  </conditionalFormatting>
  <conditionalFormatting sqref="C474:D474 D475:D476 C475:C483">
    <cfRule type="cellIs" dxfId="6100" priority="6001" stopIfTrue="1" operator="greaterThan">
      <formula>0</formula>
    </cfRule>
  </conditionalFormatting>
  <conditionalFormatting sqref="C474:D474 D475:D476 C475:C483 F474:H476">
    <cfRule type="cellIs" dxfId="6099" priority="6000" stopIfTrue="1" operator="greaterThan">
      <formula>0</formula>
    </cfRule>
  </conditionalFormatting>
  <conditionalFormatting sqref="T474:V476">
    <cfRule type="cellIs" dxfId="6098" priority="5998" stopIfTrue="1" operator="equal">
      <formula>"NO"</formula>
    </cfRule>
    <cfRule type="cellIs" dxfId="6097" priority="5999" stopIfTrue="1" operator="equal">
      <formula>"SI"</formula>
    </cfRule>
  </conditionalFormatting>
  <conditionalFormatting sqref="T474:V475">
    <cfRule type="cellIs" dxfId="6096" priority="5997" stopIfTrue="1" operator="equal">
      <formula>"NO APLICA"</formula>
    </cfRule>
  </conditionalFormatting>
  <conditionalFormatting sqref="T476:U476">
    <cfRule type="cellIs" dxfId="6095" priority="5996" stopIfTrue="1" operator="equal">
      <formula>"NO APLICA"</formula>
    </cfRule>
  </conditionalFormatting>
  <conditionalFormatting sqref="T476:U476">
    <cfRule type="cellIs" dxfId="6094" priority="5995" stopIfTrue="1" operator="equal">
      <formula>"NO APLICA"</formula>
    </cfRule>
  </conditionalFormatting>
  <conditionalFormatting sqref="V476">
    <cfRule type="cellIs" dxfId="6093" priority="5994" stopIfTrue="1" operator="equal">
      <formula>"NO APLICA"</formula>
    </cfRule>
  </conditionalFormatting>
  <conditionalFormatting sqref="K474:L476">
    <cfRule type="cellIs" dxfId="6092" priority="5992" operator="equal">
      <formula>0</formula>
    </cfRule>
    <cfRule type="cellIs" dxfId="6091" priority="5993" operator="notBetween">
      <formula>$Q$17</formula>
      <formula>$R$17</formula>
    </cfRule>
  </conditionalFormatting>
  <conditionalFormatting sqref="F507:H512 D513:H513 I507:I513 C504:D504 K504:O513 F504:I506 D505:D512 C505:C513">
    <cfRule type="cellIs" dxfId="6090" priority="5991" stopIfTrue="1" operator="greaterThan">
      <formula>0</formula>
    </cfRule>
  </conditionalFormatting>
  <conditionalFormatting sqref="D507:D512">
    <cfRule type="cellIs" dxfId="6089" priority="5990" stopIfTrue="1" operator="greaterThan">
      <formula>0</formula>
    </cfRule>
  </conditionalFormatting>
  <conditionalFormatting sqref="D507:D512 F507:H512">
    <cfRule type="cellIs" dxfId="6088" priority="5989" stopIfTrue="1" operator="greaterThan">
      <formula>0</formula>
    </cfRule>
  </conditionalFormatting>
  <conditionalFormatting sqref="H504:H512">
    <cfRule type="cellIs" dxfId="6087" priority="5988" stopIfTrue="1" operator="greaterThan">
      <formula>0</formula>
    </cfRule>
  </conditionalFormatting>
  <conditionalFormatting sqref="E504:E512">
    <cfRule type="cellIs" dxfId="6086" priority="5987" stopIfTrue="1" operator="greaterThan">
      <formula>0</formula>
    </cfRule>
  </conditionalFormatting>
  <conditionalFormatting sqref="M521:M526 K521:K526">
    <cfRule type="containsText" dxfId="6085" priority="5985" stopIfTrue="1" operator="containsText" text="NO CUMPLE">
      <formula>NOT(ISERROR(SEARCH("NO CUMPLE",K521)))</formula>
    </cfRule>
    <cfRule type="containsText" dxfId="6084" priority="5986" stopIfTrue="1" operator="containsText" text="CUMPLE">
      <formula>NOT(ISERROR(SEARCH("CUMPLE",K521)))</formula>
    </cfRule>
  </conditionalFormatting>
  <conditionalFormatting sqref="S520">
    <cfRule type="cellIs" dxfId="6083" priority="5983" operator="greaterThanOrEqual">
      <formula>NUMMINCONT</formula>
    </cfRule>
    <cfRule type="cellIs" dxfId="6082" priority="5984" operator="lessThan">
      <formula>NUMMINCONT</formula>
    </cfRule>
  </conditionalFormatting>
  <conditionalFormatting sqref="T507:V512">
    <cfRule type="cellIs" dxfId="6081" priority="5981" stopIfTrue="1" operator="equal">
      <formula>"NO"</formula>
    </cfRule>
    <cfRule type="cellIs" dxfId="6080" priority="5982" stopIfTrue="1" operator="equal">
      <formula>"SI"</formula>
    </cfRule>
  </conditionalFormatting>
  <conditionalFormatting sqref="T507:V508">
    <cfRule type="cellIs" dxfId="6079" priority="5980" stopIfTrue="1" operator="equal">
      <formula>"NO APLICA"</formula>
    </cfRule>
  </conditionalFormatting>
  <conditionalFormatting sqref="T509:U512">
    <cfRule type="cellIs" dxfId="6078" priority="5979" stopIfTrue="1" operator="equal">
      <formula>"NO APLICA"</formula>
    </cfRule>
  </conditionalFormatting>
  <conditionalFormatting sqref="T509:U509">
    <cfRule type="cellIs" dxfId="6077" priority="5978" stopIfTrue="1" operator="equal">
      <formula>"NO APLICA"</formula>
    </cfRule>
  </conditionalFormatting>
  <conditionalFormatting sqref="V509:V512">
    <cfRule type="cellIs" dxfId="6076" priority="5977" stopIfTrue="1" operator="equal">
      <formula>"NO APLICA"</formula>
    </cfRule>
  </conditionalFormatting>
  <conditionalFormatting sqref="V518:W518">
    <cfRule type="cellIs" dxfId="6075" priority="5975" operator="equal">
      <formula>"CUMPLE"</formula>
    </cfRule>
    <cfRule type="cellIs" dxfId="6074" priority="5976" operator="equal">
      <formula>"NO CUMPLE"</formula>
    </cfRule>
  </conditionalFormatting>
  <conditionalFormatting sqref="V518:W520">
    <cfRule type="cellIs" dxfId="6073" priority="5974" operator="equal">
      <formula>"VERIFICAR"</formula>
    </cfRule>
  </conditionalFormatting>
  <conditionalFormatting sqref="T513:V513">
    <cfRule type="cellIs" dxfId="6072" priority="5972" stopIfTrue="1" operator="equal">
      <formula>"NO"</formula>
    </cfRule>
    <cfRule type="cellIs" dxfId="6071" priority="5973" stopIfTrue="1" operator="equal">
      <formula>"SI"</formula>
    </cfRule>
  </conditionalFormatting>
  <conditionalFormatting sqref="T513:U513">
    <cfRule type="cellIs" dxfId="6070" priority="5971" stopIfTrue="1" operator="equal">
      <formula>"NO APLICA"</formula>
    </cfRule>
  </conditionalFormatting>
  <conditionalFormatting sqref="V513">
    <cfRule type="cellIs" dxfId="6069" priority="5970" stopIfTrue="1" operator="equal">
      <formula>"NO APLICA"</formula>
    </cfRule>
  </conditionalFormatting>
  <conditionalFormatting sqref="T523">
    <cfRule type="cellIs" dxfId="6068" priority="5968" operator="equal">
      <formula>"CUMPLE"</formula>
    </cfRule>
    <cfRule type="cellIs" dxfId="6067" priority="5969" operator="equal">
      <formula>"NO CUMPLE"</formula>
    </cfRule>
  </conditionalFormatting>
  <conditionalFormatting sqref="T523">
    <cfRule type="cellIs" dxfId="6066" priority="5967" operator="equal">
      <formula>"VERIFICAR"</formula>
    </cfRule>
  </conditionalFormatting>
  <conditionalFormatting sqref="Y521:Y526">
    <cfRule type="cellIs" dxfId="6065" priority="5966" stopIfTrue="1" operator="equal">
      <formula>"NO APLICA"</formula>
    </cfRule>
  </conditionalFormatting>
  <conditionalFormatting sqref="Y526">
    <cfRule type="cellIs" dxfId="6064" priority="5965" stopIfTrue="1" operator="equal">
      <formula>"NO APLICA"</formula>
    </cfRule>
  </conditionalFormatting>
  <conditionalFormatting sqref="X521:Y526">
    <cfRule type="cellIs" dxfId="6063" priority="5963" stopIfTrue="1" operator="equal">
      <formula>"NO"</formula>
    </cfRule>
    <cfRule type="cellIs" dxfId="6062" priority="5964" stopIfTrue="1" operator="equal">
      <formula>"SI"</formula>
    </cfRule>
  </conditionalFormatting>
  <conditionalFormatting sqref="X521:X526">
    <cfRule type="cellIs" dxfId="6061" priority="5962" stopIfTrue="1" operator="equal">
      <formula>"NO APLICA"</formula>
    </cfRule>
  </conditionalFormatting>
  <conditionalFormatting sqref="X522:X525">
    <cfRule type="cellIs" dxfId="6060" priority="5961" stopIfTrue="1" operator="equal">
      <formula>"NO APLICA"</formula>
    </cfRule>
  </conditionalFormatting>
  <conditionalFormatting sqref="X522">
    <cfRule type="cellIs" dxfId="6059" priority="5960" stopIfTrue="1" operator="equal">
      <formula>"NO APLICA"</formula>
    </cfRule>
  </conditionalFormatting>
  <conditionalFormatting sqref="X526">
    <cfRule type="cellIs" dxfId="6058" priority="5959" stopIfTrue="1" operator="equal">
      <formula>"NO APLICA"</formula>
    </cfRule>
  </conditionalFormatting>
  <conditionalFormatting sqref="X526">
    <cfRule type="cellIs" dxfId="6057" priority="5958" stopIfTrue="1" operator="equal">
      <formula>"NO APLICA"</formula>
    </cfRule>
  </conditionalFormatting>
  <conditionalFormatting sqref="AA521:AA526">
    <cfRule type="cellIs" dxfId="6056" priority="5957" stopIfTrue="1" operator="equal">
      <formula>"NO APLICA"</formula>
    </cfRule>
  </conditionalFormatting>
  <conditionalFormatting sqref="AA526">
    <cfRule type="cellIs" dxfId="6055" priority="5956" stopIfTrue="1" operator="equal">
      <formula>"NO APLICA"</formula>
    </cfRule>
  </conditionalFormatting>
  <conditionalFormatting sqref="AA521:AA526">
    <cfRule type="cellIs" dxfId="6054" priority="5954" stopIfTrue="1" operator="equal">
      <formula>"NO"</formula>
    </cfRule>
    <cfRule type="cellIs" dxfId="6053" priority="5955" stopIfTrue="1" operator="equal">
      <formula>"SI"</formula>
    </cfRule>
  </conditionalFormatting>
  <conditionalFormatting sqref="Y521:Z526">
    <cfRule type="cellIs" dxfId="6052" priority="5952" operator="equal">
      <formula>"NO APLICA"</formula>
    </cfRule>
    <cfRule type="cellIs" dxfId="6051" priority="5953" operator="equal">
      <formula>"SI APLICA"</formula>
    </cfRule>
  </conditionalFormatting>
  <conditionalFormatting sqref="AB521:AB527">
    <cfRule type="cellIs" dxfId="6050" priority="5950" operator="equal">
      <formula>"NO APLICA"</formula>
    </cfRule>
    <cfRule type="cellIs" dxfId="6049" priority="5951" operator="equal">
      <formula>"SI APLICA"</formula>
    </cfRule>
  </conditionalFormatting>
  <conditionalFormatting sqref="X527">
    <cfRule type="cellIs" dxfId="6048" priority="5948" operator="equal">
      <formula>"PROPONENTE PLURAL"</formula>
    </cfRule>
    <cfRule type="cellIs" dxfId="6047" priority="5949" operator="equal">
      <formula>"PROPONENTE INDIVIDUAL"</formula>
    </cfRule>
  </conditionalFormatting>
  <conditionalFormatting sqref="Z527:AA527 AA521:AA526">
    <cfRule type="cellIs" dxfId="6046" priority="5946" operator="equal">
      <formula>"NO APLICA"</formula>
    </cfRule>
    <cfRule type="cellIs" dxfId="6045" priority="5947" operator="equal">
      <formula>"SI APLICA"</formula>
    </cfRule>
  </conditionalFormatting>
  <conditionalFormatting sqref="AB521:AB526 Y521:Z526">
    <cfRule type="cellIs" dxfId="6044" priority="5945" operator="equal">
      <formula>""</formula>
    </cfRule>
  </conditionalFormatting>
  <conditionalFormatting sqref="H527">
    <cfRule type="containsText" dxfId="6043" priority="5943" stopIfTrue="1" operator="containsText" text="NO CUMPLE">
      <formula>NOT(ISERROR(SEARCH("NO CUMPLE",H527)))</formula>
    </cfRule>
    <cfRule type="containsText" dxfId="6042" priority="5944" stopIfTrue="1" operator="containsText" text="CUMPLE">
      <formula>NOT(ISERROR(SEARCH("CUMPLE",H527)))</formula>
    </cfRule>
  </conditionalFormatting>
  <conditionalFormatting sqref="J527">
    <cfRule type="containsText" dxfId="6041" priority="5941" stopIfTrue="1" operator="containsText" text="NO CUMPLE">
      <formula>NOT(ISERROR(SEARCH("NO CUMPLE",J527)))</formula>
    </cfRule>
    <cfRule type="containsText" dxfId="6040" priority="5942" stopIfTrue="1" operator="containsText" text="CUMPLE">
      <formula>NOT(ISERROR(SEARCH("CUMPLE",J527)))</formula>
    </cfRule>
  </conditionalFormatting>
  <conditionalFormatting sqref="K527">
    <cfRule type="containsText" dxfId="6039" priority="5939" stopIfTrue="1" operator="containsText" text="NO CUMPLE">
      <formula>NOT(ISERROR(SEARCH("NO CUMPLE",K527)))</formula>
    </cfRule>
    <cfRule type="containsText" dxfId="6038" priority="5940" stopIfTrue="1" operator="containsText" text="CUMPLE">
      <formula>NOT(ISERROR(SEARCH("CUMPLE",K527)))</formula>
    </cfRule>
  </conditionalFormatting>
  <conditionalFormatting sqref="L521:L526">
    <cfRule type="containsText" dxfId="6037" priority="5937" stopIfTrue="1" operator="containsText" text="NO CUMPLE">
      <formula>NOT(ISERROR(SEARCH("NO CUMPLE",L521)))</formula>
    </cfRule>
    <cfRule type="containsText" dxfId="6036" priority="5938" stopIfTrue="1" operator="containsText" text="CUMPLE">
      <formula>NOT(ISERROR(SEARCH("CUMPLE",L521)))</formula>
    </cfRule>
  </conditionalFormatting>
  <conditionalFormatting sqref="O526">
    <cfRule type="containsText" dxfId="6035" priority="5935" stopIfTrue="1" operator="containsText" text="NO CUMPLE">
      <formula>NOT(ISERROR(SEARCH("NO CUMPLE",O526)))</formula>
    </cfRule>
    <cfRule type="containsText" dxfId="6034" priority="5936" stopIfTrue="1" operator="containsText" text="CUMPLE">
      <formula>NOT(ISERROR(SEARCH("CUMPLE",O526)))</formula>
    </cfRule>
  </conditionalFormatting>
  <conditionalFormatting sqref="O527:S527">
    <cfRule type="cellIs" dxfId="6033" priority="5934" operator="equal">
      <formula>"EL PROPONENTE SE DEBE REQUERIR POR EXPERIENCIA MINIMA EXIGIDA"</formula>
    </cfRule>
  </conditionalFormatting>
  <conditionalFormatting sqref="X515">
    <cfRule type="cellIs" dxfId="6032" priority="5931" stopIfTrue="1" operator="equal">
      <formula>"VERIFICAR"</formula>
    </cfRule>
    <cfRule type="cellIs" dxfId="6031" priority="5932" stopIfTrue="1" operator="equal">
      <formula>"NO CUMPLE"</formula>
    </cfRule>
    <cfRule type="cellIs" dxfId="6030" priority="5933" stopIfTrue="1" operator="equal">
      <formula>"CUMPLE"</formula>
    </cfRule>
  </conditionalFormatting>
  <conditionalFormatting sqref="X504:Y513 J504:J513">
    <cfRule type="cellIs" dxfId="6029" priority="5930" stopIfTrue="1" operator="greaterThan">
      <formula>0</formula>
    </cfRule>
  </conditionalFormatting>
  <conditionalFormatting sqref="X504:Y513">
    <cfRule type="cellIs" dxfId="6028" priority="5928" operator="equal">
      <formula>"NO CUMPLE"</formula>
    </cfRule>
    <cfRule type="cellIs" dxfId="6027" priority="5929" operator="equal">
      <formula>"CUMPLE"</formula>
    </cfRule>
  </conditionalFormatting>
  <conditionalFormatting sqref="N521:N526">
    <cfRule type="cellIs" dxfId="6026" priority="5926" operator="equal">
      <formula>"NO"</formula>
    </cfRule>
    <cfRule type="cellIs" dxfId="6025" priority="5927" operator="equal">
      <formula>"SI"</formula>
    </cfRule>
  </conditionalFormatting>
  <conditionalFormatting sqref="I513">
    <cfRule type="cellIs" dxfId="6024" priority="5925" stopIfTrue="1" operator="greaterThan">
      <formula>0</formula>
    </cfRule>
  </conditionalFormatting>
  <conditionalFormatting sqref="K507:L513">
    <cfRule type="cellIs" dxfId="6023" priority="5923" operator="equal">
      <formula>0</formula>
    </cfRule>
    <cfRule type="cellIs" dxfId="6022" priority="5924" operator="notBetween">
      <formula>$Q$17</formula>
      <formula>$R$17</formula>
    </cfRule>
  </conditionalFormatting>
  <conditionalFormatting sqref="B504:B513">
    <cfRule type="cellIs" dxfId="6021" priority="5922" stopIfTrue="1" operator="greaterThan">
      <formula>0</formula>
    </cfRule>
  </conditionalFormatting>
  <conditionalFormatting sqref="C504:D504 D505:D506 C505:C513">
    <cfRule type="cellIs" dxfId="6020" priority="5921" stopIfTrue="1" operator="greaterThan">
      <formula>0</formula>
    </cfRule>
  </conditionalFormatting>
  <conditionalFormatting sqref="C504:D504 F504:H506 D505:D506 C505:C513">
    <cfRule type="cellIs" dxfId="6019" priority="5920" stopIfTrue="1" operator="greaterThan">
      <formula>0</formula>
    </cfRule>
  </conditionalFormatting>
  <conditionalFormatting sqref="T504:V506">
    <cfRule type="cellIs" dxfId="6018" priority="5918" stopIfTrue="1" operator="equal">
      <formula>"NO"</formula>
    </cfRule>
    <cfRule type="cellIs" dxfId="6017" priority="5919" stopIfTrue="1" operator="equal">
      <formula>"SI"</formula>
    </cfRule>
  </conditionalFormatting>
  <conditionalFormatting sqref="T504:V505">
    <cfRule type="cellIs" dxfId="6016" priority="5917" stopIfTrue="1" operator="equal">
      <formula>"NO APLICA"</formula>
    </cfRule>
  </conditionalFormatting>
  <conditionalFormatting sqref="T506:U506">
    <cfRule type="cellIs" dxfId="6015" priority="5916" stopIfTrue="1" operator="equal">
      <formula>"NO APLICA"</formula>
    </cfRule>
  </conditionalFormatting>
  <conditionalFormatting sqref="T506:U506">
    <cfRule type="cellIs" dxfId="6014" priority="5915" stopIfTrue="1" operator="equal">
      <formula>"NO APLICA"</formula>
    </cfRule>
  </conditionalFormatting>
  <conditionalFormatting sqref="V506">
    <cfRule type="cellIs" dxfId="6013" priority="5914" stopIfTrue="1" operator="equal">
      <formula>"NO APLICA"</formula>
    </cfRule>
  </conditionalFormatting>
  <conditionalFormatting sqref="K504:L506">
    <cfRule type="cellIs" dxfId="6012" priority="5912" operator="equal">
      <formula>0</formula>
    </cfRule>
    <cfRule type="cellIs" dxfId="6011" priority="5913" operator="notBetween">
      <formula>$Q$17</formula>
      <formula>$R$17</formula>
    </cfRule>
  </conditionalFormatting>
  <conditionalFormatting sqref="F537:H542 D543:H543 I537:I543 C534:D534 F534:I536 D535:D542 C535:C543 K535:O543 K534:M534 O534">
    <cfRule type="cellIs" dxfId="6010" priority="5911" stopIfTrue="1" operator="greaterThan">
      <formula>0</formula>
    </cfRule>
  </conditionalFormatting>
  <conditionalFormatting sqref="D537:D542">
    <cfRule type="cellIs" dxfId="6009" priority="5910" stopIfTrue="1" operator="greaterThan">
      <formula>0</formula>
    </cfRule>
  </conditionalFormatting>
  <conditionalFormatting sqref="D537:D542 F537:H542">
    <cfRule type="cellIs" dxfId="6008" priority="5909" stopIfTrue="1" operator="greaterThan">
      <formula>0</formula>
    </cfRule>
  </conditionalFormatting>
  <conditionalFormatting sqref="H534:H542">
    <cfRule type="cellIs" dxfId="6007" priority="5908" stopIfTrue="1" operator="greaterThan">
      <formula>0</formula>
    </cfRule>
  </conditionalFormatting>
  <conditionalFormatting sqref="E534:E542">
    <cfRule type="cellIs" dxfId="6006" priority="5907" stopIfTrue="1" operator="greaterThan">
      <formula>0</formula>
    </cfRule>
  </conditionalFormatting>
  <conditionalFormatting sqref="M551:M556 K551:K556">
    <cfRule type="containsText" dxfId="6005" priority="5905" stopIfTrue="1" operator="containsText" text="NO CUMPLE">
      <formula>NOT(ISERROR(SEARCH("NO CUMPLE",K551)))</formula>
    </cfRule>
    <cfRule type="containsText" dxfId="6004" priority="5906" stopIfTrue="1" operator="containsText" text="CUMPLE">
      <formula>NOT(ISERROR(SEARCH("CUMPLE",K551)))</formula>
    </cfRule>
  </conditionalFormatting>
  <conditionalFormatting sqref="S550">
    <cfRule type="cellIs" dxfId="6003" priority="5903" operator="greaterThanOrEqual">
      <formula>NUMMINCONT</formula>
    </cfRule>
    <cfRule type="cellIs" dxfId="6002" priority="5904" operator="lessThan">
      <formula>NUMMINCONT</formula>
    </cfRule>
  </conditionalFormatting>
  <conditionalFormatting sqref="T537:V542">
    <cfRule type="cellIs" dxfId="6001" priority="5901" stopIfTrue="1" operator="equal">
      <formula>"NO"</formula>
    </cfRule>
    <cfRule type="cellIs" dxfId="6000" priority="5902" stopIfTrue="1" operator="equal">
      <formula>"SI"</formula>
    </cfRule>
  </conditionalFormatting>
  <conditionalFormatting sqref="T537:V538">
    <cfRule type="cellIs" dxfId="5999" priority="5900" stopIfTrue="1" operator="equal">
      <formula>"NO APLICA"</formula>
    </cfRule>
  </conditionalFormatting>
  <conditionalFormatting sqref="T539:U542">
    <cfRule type="cellIs" dxfId="5998" priority="5899" stopIfTrue="1" operator="equal">
      <formula>"NO APLICA"</formula>
    </cfRule>
  </conditionalFormatting>
  <conditionalFormatting sqref="T539:U539">
    <cfRule type="cellIs" dxfId="5997" priority="5898" stopIfTrue="1" operator="equal">
      <formula>"NO APLICA"</formula>
    </cfRule>
  </conditionalFormatting>
  <conditionalFormatting sqref="V539:V542">
    <cfRule type="cellIs" dxfId="5996" priority="5897" stopIfTrue="1" operator="equal">
      <formula>"NO APLICA"</formula>
    </cfRule>
  </conditionalFormatting>
  <conditionalFormatting sqref="V548:W548">
    <cfRule type="cellIs" dxfId="5995" priority="5895" operator="equal">
      <formula>"CUMPLE"</formula>
    </cfRule>
    <cfRule type="cellIs" dxfId="5994" priority="5896" operator="equal">
      <formula>"NO CUMPLE"</formula>
    </cfRule>
  </conditionalFormatting>
  <conditionalFormatting sqref="V548:W550">
    <cfRule type="cellIs" dxfId="5993" priority="5894" operator="equal">
      <formula>"VERIFICAR"</formula>
    </cfRule>
  </conditionalFormatting>
  <conditionalFormatting sqref="T543:V543">
    <cfRule type="cellIs" dxfId="5992" priority="5892" stopIfTrue="1" operator="equal">
      <formula>"NO"</formula>
    </cfRule>
    <cfRule type="cellIs" dxfId="5991" priority="5893" stopIfTrue="1" operator="equal">
      <formula>"SI"</formula>
    </cfRule>
  </conditionalFormatting>
  <conditionalFormatting sqref="T543:U543">
    <cfRule type="cellIs" dxfId="5990" priority="5891" stopIfTrue="1" operator="equal">
      <formula>"NO APLICA"</formula>
    </cfRule>
  </conditionalFormatting>
  <conditionalFormatting sqref="V543">
    <cfRule type="cellIs" dxfId="5989" priority="5890" stopIfTrue="1" operator="equal">
      <formula>"NO APLICA"</formula>
    </cfRule>
  </conditionalFormatting>
  <conditionalFormatting sqref="T553">
    <cfRule type="cellIs" dxfId="5988" priority="5888" operator="equal">
      <formula>"CUMPLE"</formula>
    </cfRule>
    <cfRule type="cellIs" dxfId="5987" priority="5889" operator="equal">
      <formula>"NO CUMPLE"</formula>
    </cfRule>
  </conditionalFormatting>
  <conditionalFormatting sqref="T553">
    <cfRule type="cellIs" dxfId="5986" priority="5887" operator="equal">
      <formula>"VERIFICAR"</formula>
    </cfRule>
  </conditionalFormatting>
  <conditionalFormatting sqref="Y551:Y556">
    <cfRule type="cellIs" dxfId="5985" priority="5886" stopIfTrue="1" operator="equal">
      <formula>"NO APLICA"</formula>
    </cfRule>
  </conditionalFormatting>
  <conditionalFormatting sqref="Y556">
    <cfRule type="cellIs" dxfId="5984" priority="5885" stopIfTrue="1" operator="equal">
      <formula>"NO APLICA"</formula>
    </cfRule>
  </conditionalFormatting>
  <conditionalFormatting sqref="X551:Y556">
    <cfRule type="cellIs" dxfId="5983" priority="5883" stopIfTrue="1" operator="equal">
      <formula>"NO"</formula>
    </cfRule>
    <cfRule type="cellIs" dxfId="5982" priority="5884" stopIfTrue="1" operator="equal">
      <formula>"SI"</formula>
    </cfRule>
  </conditionalFormatting>
  <conditionalFormatting sqref="X551:X556">
    <cfRule type="cellIs" dxfId="5981" priority="5882" stopIfTrue="1" operator="equal">
      <formula>"NO APLICA"</formula>
    </cfRule>
  </conditionalFormatting>
  <conditionalFormatting sqref="X552:X555">
    <cfRule type="cellIs" dxfId="5980" priority="5881" stopIfTrue="1" operator="equal">
      <formula>"NO APLICA"</formula>
    </cfRule>
  </conditionalFormatting>
  <conditionalFormatting sqref="X552">
    <cfRule type="cellIs" dxfId="5979" priority="5880" stopIfTrue="1" operator="equal">
      <formula>"NO APLICA"</formula>
    </cfRule>
  </conditionalFormatting>
  <conditionalFormatting sqref="X556">
    <cfRule type="cellIs" dxfId="5978" priority="5879" stopIfTrue="1" operator="equal">
      <formula>"NO APLICA"</formula>
    </cfRule>
  </conditionalFormatting>
  <conditionalFormatting sqref="X556">
    <cfRule type="cellIs" dxfId="5977" priority="5878" stopIfTrue="1" operator="equal">
      <formula>"NO APLICA"</formula>
    </cfRule>
  </conditionalFormatting>
  <conditionalFormatting sqref="AA551:AA556">
    <cfRule type="cellIs" dxfId="5976" priority="5877" stopIfTrue="1" operator="equal">
      <formula>"NO APLICA"</formula>
    </cfRule>
  </conditionalFormatting>
  <conditionalFormatting sqref="AA556">
    <cfRule type="cellIs" dxfId="5975" priority="5876" stopIfTrue="1" operator="equal">
      <formula>"NO APLICA"</formula>
    </cfRule>
  </conditionalFormatting>
  <conditionalFormatting sqref="AA551:AA556">
    <cfRule type="cellIs" dxfId="5974" priority="5874" stopIfTrue="1" operator="equal">
      <formula>"NO"</formula>
    </cfRule>
    <cfRule type="cellIs" dxfId="5973" priority="5875" stopIfTrue="1" operator="equal">
      <formula>"SI"</formula>
    </cfRule>
  </conditionalFormatting>
  <conditionalFormatting sqref="Y551:Z556">
    <cfRule type="cellIs" dxfId="5972" priority="5872" operator="equal">
      <formula>"NO APLICA"</formula>
    </cfRule>
    <cfRule type="cellIs" dxfId="5971" priority="5873" operator="equal">
      <formula>"SI APLICA"</formula>
    </cfRule>
  </conditionalFormatting>
  <conditionalFormatting sqref="AB551:AB557">
    <cfRule type="cellIs" dxfId="5970" priority="5870" operator="equal">
      <formula>"NO APLICA"</formula>
    </cfRule>
    <cfRule type="cellIs" dxfId="5969" priority="5871" operator="equal">
      <formula>"SI APLICA"</formula>
    </cfRule>
  </conditionalFormatting>
  <conditionalFormatting sqref="X557">
    <cfRule type="cellIs" dxfId="5968" priority="5868" operator="equal">
      <formula>"PROPONENTE PLURAL"</formula>
    </cfRule>
    <cfRule type="cellIs" dxfId="5967" priority="5869" operator="equal">
      <formula>"PROPONENTE INDIVIDUAL"</formula>
    </cfRule>
  </conditionalFormatting>
  <conditionalFormatting sqref="Z557:AA557 AA551:AA556">
    <cfRule type="cellIs" dxfId="5966" priority="5866" operator="equal">
      <formula>"NO APLICA"</formula>
    </cfRule>
    <cfRule type="cellIs" dxfId="5965" priority="5867" operator="equal">
      <formula>"SI APLICA"</formula>
    </cfRule>
  </conditionalFormatting>
  <conditionalFormatting sqref="AB551:AB556 Y551:Z556">
    <cfRule type="cellIs" dxfId="5964" priority="5865" operator="equal">
      <formula>""</formula>
    </cfRule>
  </conditionalFormatting>
  <conditionalFormatting sqref="H557">
    <cfRule type="containsText" dxfId="5963" priority="5863" stopIfTrue="1" operator="containsText" text="NO CUMPLE">
      <formula>NOT(ISERROR(SEARCH("NO CUMPLE",H557)))</formula>
    </cfRule>
    <cfRule type="containsText" dxfId="5962" priority="5864" stopIfTrue="1" operator="containsText" text="CUMPLE">
      <formula>NOT(ISERROR(SEARCH("CUMPLE",H557)))</formula>
    </cfRule>
  </conditionalFormatting>
  <conditionalFormatting sqref="J557">
    <cfRule type="containsText" dxfId="5961" priority="5861" stopIfTrue="1" operator="containsText" text="NO CUMPLE">
      <formula>NOT(ISERROR(SEARCH("NO CUMPLE",J557)))</formula>
    </cfRule>
    <cfRule type="containsText" dxfId="5960" priority="5862" stopIfTrue="1" operator="containsText" text="CUMPLE">
      <formula>NOT(ISERROR(SEARCH("CUMPLE",J557)))</formula>
    </cfRule>
  </conditionalFormatting>
  <conditionalFormatting sqref="K557">
    <cfRule type="containsText" dxfId="5959" priority="5859" stopIfTrue="1" operator="containsText" text="NO CUMPLE">
      <formula>NOT(ISERROR(SEARCH("NO CUMPLE",K557)))</formula>
    </cfRule>
    <cfRule type="containsText" dxfId="5958" priority="5860" stopIfTrue="1" operator="containsText" text="CUMPLE">
      <formula>NOT(ISERROR(SEARCH("CUMPLE",K557)))</formula>
    </cfRule>
  </conditionalFormatting>
  <conditionalFormatting sqref="L551:L556">
    <cfRule type="containsText" dxfId="5957" priority="5857" stopIfTrue="1" operator="containsText" text="NO CUMPLE">
      <formula>NOT(ISERROR(SEARCH("NO CUMPLE",L551)))</formula>
    </cfRule>
    <cfRule type="containsText" dxfId="5956" priority="5858" stopIfTrue="1" operator="containsText" text="CUMPLE">
      <formula>NOT(ISERROR(SEARCH("CUMPLE",L551)))</formula>
    </cfRule>
  </conditionalFormatting>
  <conditionalFormatting sqref="O556">
    <cfRule type="containsText" dxfId="5955" priority="5855" stopIfTrue="1" operator="containsText" text="NO CUMPLE">
      <formula>NOT(ISERROR(SEARCH("NO CUMPLE",O556)))</formula>
    </cfRule>
    <cfRule type="containsText" dxfId="5954" priority="5856" stopIfTrue="1" operator="containsText" text="CUMPLE">
      <formula>NOT(ISERROR(SEARCH("CUMPLE",O556)))</formula>
    </cfRule>
  </conditionalFormatting>
  <conditionalFormatting sqref="O557:S557">
    <cfRule type="cellIs" dxfId="5953" priority="5854" operator="equal">
      <formula>"EL PROPONENTE SE DEBE REQUERIR POR EXPERIENCIA MINIMA EXIGIDA"</formula>
    </cfRule>
  </conditionalFormatting>
  <conditionalFormatting sqref="X545">
    <cfRule type="cellIs" dxfId="5952" priority="5851" stopIfTrue="1" operator="equal">
      <formula>"VERIFICAR"</formula>
    </cfRule>
    <cfRule type="cellIs" dxfId="5951" priority="5852" stopIfTrue="1" operator="equal">
      <formula>"NO CUMPLE"</formula>
    </cfRule>
    <cfRule type="cellIs" dxfId="5950" priority="5853" stopIfTrue="1" operator="equal">
      <formula>"CUMPLE"</formula>
    </cfRule>
  </conditionalFormatting>
  <conditionalFormatting sqref="X534:Y543 J534:J543">
    <cfRule type="cellIs" dxfId="5949" priority="5850" stopIfTrue="1" operator="greaterThan">
      <formula>0</formula>
    </cfRule>
  </conditionalFormatting>
  <conditionalFormatting sqref="X534:Y543">
    <cfRule type="cellIs" dxfId="5948" priority="5848" operator="equal">
      <formula>"NO CUMPLE"</formula>
    </cfRule>
    <cfRule type="cellIs" dxfId="5947" priority="5849" operator="equal">
      <formula>"CUMPLE"</formula>
    </cfRule>
  </conditionalFormatting>
  <conditionalFormatting sqref="N551:N556">
    <cfRule type="cellIs" dxfId="5946" priority="5846" operator="equal">
      <formula>"NO"</formula>
    </cfRule>
    <cfRule type="cellIs" dxfId="5945" priority="5847" operator="equal">
      <formula>"SI"</formula>
    </cfRule>
  </conditionalFormatting>
  <conditionalFormatting sqref="I543">
    <cfRule type="cellIs" dxfId="5944" priority="5845" stopIfTrue="1" operator="greaterThan">
      <formula>0</formula>
    </cfRule>
  </conditionalFormatting>
  <conditionalFormatting sqref="K537:L543">
    <cfRule type="cellIs" dxfId="5943" priority="5843" operator="equal">
      <formula>0</formula>
    </cfRule>
    <cfRule type="cellIs" dxfId="5942" priority="5844" operator="notBetween">
      <formula>$Q$17</formula>
      <formula>$R$17</formula>
    </cfRule>
  </conditionalFormatting>
  <conditionalFormatting sqref="B534:B543">
    <cfRule type="cellIs" dxfId="5941" priority="5842" stopIfTrue="1" operator="greaterThan">
      <formula>0</formula>
    </cfRule>
  </conditionalFormatting>
  <conditionalFormatting sqref="C534:D534 D535:D536 C535:C543">
    <cfRule type="cellIs" dxfId="5940" priority="5841" stopIfTrue="1" operator="greaterThan">
      <formula>0</formula>
    </cfRule>
  </conditionalFormatting>
  <conditionalFormatting sqref="C534:D534 F534:H536 D535:D536 C535:C543">
    <cfRule type="cellIs" dxfId="5939" priority="5840" stopIfTrue="1" operator="greaterThan">
      <formula>0</formula>
    </cfRule>
  </conditionalFormatting>
  <conditionalFormatting sqref="T534:V536">
    <cfRule type="cellIs" dxfId="5938" priority="5838" stopIfTrue="1" operator="equal">
      <formula>"NO"</formula>
    </cfRule>
    <cfRule type="cellIs" dxfId="5937" priority="5839" stopIfTrue="1" operator="equal">
      <formula>"SI"</formula>
    </cfRule>
  </conditionalFormatting>
  <conditionalFormatting sqref="T534:V535">
    <cfRule type="cellIs" dxfId="5936" priority="5837" stopIfTrue="1" operator="equal">
      <formula>"NO APLICA"</formula>
    </cfRule>
  </conditionalFormatting>
  <conditionalFormatting sqref="T536:U536">
    <cfRule type="cellIs" dxfId="5935" priority="5836" stopIfTrue="1" operator="equal">
      <formula>"NO APLICA"</formula>
    </cfRule>
  </conditionalFormatting>
  <conditionalFormatting sqref="T536:U536">
    <cfRule type="cellIs" dxfId="5934" priority="5835" stopIfTrue="1" operator="equal">
      <formula>"NO APLICA"</formula>
    </cfRule>
  </conditionalFormatting>
  <conditionalFormatting sqref="V536">
    <cfRule type="cellIs" dxfId="5933" priority="5834" stopIfTrue="1" operator="equal">
      <formula>"NO APLICA"</formula>
    </cfRule>
  </conditionalFormatting>
  <conditionalFormatting sqref="K534:L536">
    <cfRule type="cellIs" dxfId="5932" priority="5832" operator="equal">
      <formula>0</formula>
    </cfRule>
    <cfRule type="cellIs" dxfId="5931" priority="5833" operator="notBetween">
      <formula>$Q$17</formula>
      <formula>$R$17</formula>
    </cfRule>
  </conditionalFormatting>
  <conditionalFormatting sqref="F567:H572 D573:H573 I567:I573 C564:D564 K564:O573 F564:I566 D565:D572 C565:C573">
    <cfRule type="cellIs" dxfId="5930" priority="5831" stopIfTrue="1" operator="greaterThan">
      <formula>0</formula>
    </cfRule>
  </conditionalFormatting>
  <conditionalFormatting sqref="D567:D572">
    <cfRule type="cellIs" dxfId="5929" priority="5830" stopIfTrue="1" operator="greaterThan">
      <formula>0</formula>
    </cfRule>
  </conditionalFormatting>
  <conditionalFormatting sqref="D567:D572 F567:H572">
    <cfRule type="cellIs" dxfId="5928" priority="5829" stopIfTrue="1" operator="greaterThan">
      <formula>0</formula>
    </cfRule>
  </conditionalFormatting>
  <conditionalFormatting sqref="H564:H572">
    <cfRule type="cellIs" dxfId="5927" priority="5828" stopIfTrue="1" operator="greaterThan">
      <formula>0</formula>
    </cfRule>
  </conditionalFormatting>
  <conditionalFormatting sqref="E564:E572">
    <cfRule type="cellIs" dxfId="5926" priority="5827" stopIfTrue="1" operator="greaterThan">
      <formula>0</formula>
    </cfRule>
  </conditionalFormatting>
  <conditionalFormatting sqref="M581:M586 K581:K586">
    <cfRule type="containsText" dxfId="5925" priority="5825" stopIfTrue="1" operator="containsText" text="NO CUMPLE">
      <formula>NOT(ISERROR(SEARCH("NO CUMPLE",K581)))</formula>
    </cfRule>
    <cfRule type="containsText" dxfId="5924" priority="5826" stopIfTrue="1" operator="containsText" text="CUMPLE">
      <formula>NOT(ISERROR(SEARCH("CUMPLE",K581)))</formula>
    </cfRule>
  </conditionalFormatting>
  <conditionalFormatting sqref="S580">
    <cfRule type="cellIs" dxfId="5923" priority="5823" operator="greaterThanOrEqual">
      <formula>NUMMINCONT</formula>
    </cfRule>
    <cfRule type="cellIs" dxfId="5922" priority="5824" operator="lessThan">
      <formula>NUMMINCONT</formula>
    </cfRule>
  </conditionalFormatting>
  <conditionalFormatting sqref="T567:V572">
    <cfRule type="cellIs" dxfId="5921" priority="5821" stopIfTrue="1" operator="equal">
      <formula>"NO"</formula>
    </cfRule>
    <cfRule type="cellIs" dxfId="5920" priority="5822" stopIfTrue="1" operator="equal">
      <formula>"SI"</formula>
    </cfRule>
  </conditionalFormatting>
  <conditionalFormatting sqref="T567:V568">
    <cfRule type="cellIs" dxfId="5919" priority="5820" stopIfTrue="1" operator="equal">
      <formula>"NO APLICA"</formula>
    </cfRule>
  </conditionalFormatting>
  <conditionalFormatting sqref="T569:U572">
    <cfRule type="cellIs" dxfId="5918" priority="5819" stopIfTrue="1" operator="equal">
      <formula>"NO APLICA"</formula>
    </cfRule>
  </conditionalFormatting>
  <conditionalFormatting sqref="T569:U569">
    <cfRule type="cellIs" dxfId="5917" priority="5818" stopIfTrue="1" operator="equal">
      <formula>"NO APLICA"</formula>
    </cfRule>
  </conditionalFormatting>
  <conditionalFormatting sqref="V569:V572">
    <cfRule type="cellIs" dxfId="5916" priority="5817" stopIfTrue="1" operator="equal">
      <formula>"NO APLICA"</formula>
    </cfRule>
  </conditionalFormatting>
  <conditionalFormatting sqref="V578:W578">
    <cfRule type="cellIs" dxfId="5915" priority="5815" operator="equal">
      <formula>"CUMPLE"</formula>
    </cfRule>
    <cfRule type="cellIs" dxfId="5914" priority="5816" operator="equal">
      <formula>"NO CUMPLE"</formula>
    </cfRule>
  </conditionalFormatting>
  <conditionalFormatting sqref="V578:W580">
    <cfRule type="cellIs" dxfId="5913" priority="5814" operator="equal">
      <formula>"VERIFICAR"</formula>
    </cfRule>
  </conditionalFormatting>
  <conditionalFormatting sqref="T573:V573">
    <cfRule type="cellIs" dxfId="5912" priority="5812" stopIfTrue="1" operator="equal">
      <formula>"NO"</formula>
    </cfRule>
    <cfRule type="cellIs" dxfId="5911" priority="5813" stopIfTrue="1" operator="equal">
      <formula>"SI"</formula>
    </cfRule>
  </conditionalFormatting>
  <conditionalFormatting sqref="T573:U573">
    <cfRule type="cellIs" dxfId="5910" priority="5811" stopIfTrue="1" operator="equal">
      <formula>"NO APLICA"</formula>
    </cfRule>
  </conditionalFormatting>
  <conditionalFormatting sqref="V573">
    <cfRule type="cellIs" dxfId="5909" priority="5810" stopIfTrue="1" operator="equal">
      <formula>"NO APLICA"</formula>
    </cfRule>
  </conditionalFormatting>
  <conditionalFormatting sqref="T583">
    <cfRule type="cellIs" dxfId="5908" priority="5808" operator="equal">
      <formula>"CUMPLE"</formula>
    </cfRule>
    <cfRule type="cellIs" dxfId="5907" priority="5809" operator="equal">
      <formula>"NO CUMPLE"</formula>
    </cfRule>
  </conditionalFormatting>
  <conditionalFormatting sqref="T583">
    <cfRule type="cellIs" dxfId="5906" priority="5807" operator="equal">
      <formula>"VERIFICAR"</formula>
    </cfRule>
  </conditionalFormatting>
  <conditionalFormatting sqref="Y581:Y586">
    <cfRule type="cellIs" dxfId="5905" priority="5806" stopIfTrue="1" operator="equal">
      <formula>"NO APLICA"</formula>
    </cfRule>
  </conditionalFormatting>
  <conditionalFormatting sqref="Y586">
    <cfRule type="cellIs" dxfId="5904" priority="5805" stopIfTrue="1" operator="equal">
      <formula>"NO APLICA"</formula>
    </cfRule>
  </conditionalFormatting>
  <conditionalFormatting sqref="X581:Y586">
    <cfRule type="cellIs" dxfId="5903" priority="5803" stopIfTrue="1" operator="equal">
      <formula>"NO"</formula>
    </cfRule>
    <cfRule type="cellIs" dxfId="5902" priority="5804" stopIfTrue="1" operator="equal">
      <formula>"SI"</formula>
    </cfRule>
  </conditionalFormatting>
  <conditionalFormatting sqref="X581:X586">
    <cfRule type="cellIs" dxfId="5901" priority="5802" stopIfTrue="1" operator="equal">
      <formula>"NO APLICA"</formula>
    </cfRule>
  </conditionalFormatting>
  <conditionalFormatting sqref="X582:X585">
    <cfRule type="cellIs" dxfId="5900" priority="5801" stopIfTrue="1" operator="equal">
      <formula>"NO APLICA"</formula>
    </cfRule>
  </conditionalFormatting>
  <conditionalFormatting sqref="X582">
    <cfRule type="cellIs" dxfId="5899" priority="5800" stopIfTrue="1" operator="equal">
      <formula>"NO APLICA"</formula>
    </cfRule>
  </conditionalFormatting>
  <conditionalFormatting sqref="X586">
    <cfRule type="cellIs" dxfId="5898" priority="5799" stopIfTrue="1" operator="equal">
      <formula>"NO APLICA"</formula>
    </cfRule>
  </conditionalFormatting>
  <conditionalFormatting sqref="X586">
    <cfRule type="cellIs" dxfId="5897" priority="5798" stopIfTrue="1" operator="equal">
      <formula>"NO APLICA"</formula>
    </cfRule>
  </conditionalFormatting>
  <conditionalFormatting sqref="AA581:AA586">
    <cfRule type="cellIs" dxfId="5896" priority="5797" stopIfTrue="1" operator="equal">
      <formula>"NO APLICA"</formula>
    </cfRule>
  </conditionalFormatting>
  <conditionalFormatting sqref="AA586">
    <cfRule type="cellIs" dxfId="5895" priority="5796" stopIfTrue="1" operator="equal">
      <formula>"NO APLICA"</formula>
    </cfRule>
  </conditionalFormatting>
  <conditionalFormatting sqref="AA581:AA586">
    <cfRule type="cellIs" dxfId="5894" priority="5794" stopIfTrue="1" operator="equal">
      <formula>"NO"</formula>
    </cfRule>
    <cfRule type="cellIs" dxfId="5893" priority="5795" stopIfTrue="1" operator="equal">
      <formula>"SI"</formula>
    </cfRule>
  </conditionalFormatting>
  <conditionalFormatting sqref="Y581:Z586">
    <cfRule type="cellIs" dxfId="5892" priority="5792" operator="equal">
      <formula>"NO APLICA"</formula>
    </cfRule>
    <cfRule type="cellIs" dxfId="5891" priority="5793" operator="equal">
      <formula>"SI APLICA"</formula>
    </cfRule>
  </conditionalFormatting>
  <conditionalFormatting sqref="AB581:AB587">
    <cfRule type="cellIs" dxfId="5890" priority="5790" operator="equal">
      <formula>"NO APLICA"</formula>
    </cfRule>
    <cfRule type="cellIs" dxfId="5889" priority="5791" operator="equal">
      <formula>"SI APLICA"</formula>
    </cfRule>
  </conditionalFormatting>
  <conditionalFormatting sqref="X587">
    <cfRule type="cellIs" dxfId="5888" priority="5788" operator="equal">
      <formula>"PROPONENTE PLURAL"</formula>
    </cfRule>
    <cfRule type="cellIs" dxfId="5887" priority="5789" operator="equal">
      <formula>"PROPONENTE INDIVIDUAL"</formula>
    </cfRule>
  </conditionalFormatting>
  <conditionalFormatting sqref="Z587:AA587 AA581:AA586">
    <cfRule type="cellIs" dxfId="5886" priority="5786" operator="equal">
      <formula>"NO APLICA"</formula>
    </cfRule>
    <cfRule type="cellIs" dxfId="5885" priority="5787" operator="equal">
      <formula>"SI APLICA"</formula>
    </cfRule>
  </conditionalFormatting>
  <conditionalFormatting sqref="AB581:AB586 Y581:Z586">
    <cfRule type="cellIs" dxfId="5884" priority="5785" operator="equal">
      <formula>""</formula>
    </cfRule>
  </conditionalFormatting>
  <conditionalFormatting sqref="H587">
    <cfRule type="containsText" dxfId="5883" priority="5783" stopIfTrue="1" operator="containsText" text="NO CUMPLE">
      <formula>NOT(ISERROR(SEARCH("NO CUMPLE",H587)))</formula>
    </cfRule>
    <cfRule type="containsText" dxfId="5882" priority="5784" stopIfTrue="1" operator="containsText" text="CUMPLE">
      <formula>NOT(ISERROR(SEARCH("CUMPLE",H587)))</formula>
    </cfRule>
  </conditionalFormatting>
  <conditionalFormatting sqref="J587">
    <cfRule type="containsText" dxfId="5881" priority="5781" stopIfTrue="1" operator="containsText" text="NO CUMPLE">
      <formula>NOT(ISERROR(SEARCH("NO CUMPLE",J587)))</formula>
    </cfRule>
    <cfRule type="containsText" dxfId="5880" priority="5782" stopIfTrue="1" operator="containsText" text="CUMPLE">
      <formula>NOT(ISERROR(SEARCH("CUMPLE",J587)))</formula>
    </cfRule>
  </conditionalFormatting>
  <conditionalFormatting sqref="K587">
    <cfRule type="containsText" dxfId="5879" priority="5779" stopIfTrue="1" operator="containsText" text="NO CUMPLE">
      <formula>NOT(ISERROR(SEARCH("NO CUMPLE",K587)))</formula>
    </cfRule>
    <cfRule type="containsText" dxfId="5878" priority="5780" stopIfTrue="1" operator="containsText" text="CUMPLE">
      <formula>NOT(ISERROR(SEARCH("CUMPLE",K587)))</formula>
    </cfRule>
  </conditionalFormatting>
  <conditionalFormatting sqref="L581:L586">
    <cfRule type="containsText" dxfId="5877" priority="5777" stopIfTrue="1" operator="containsText" text="NO CUMPLE">
      <formula>NOT(ISERROR(SEARCH("NO CUMPLE",L581)))</formula>
    </cfRule>
    <cfRule type="containsText" dxfId="5876" priority="5778" stopIfTrue="1" operator="containsText" text="CUMPLE">
      <formula>NOT(ISERROR(SEARCH("CUMPLE",L581)))</formula>
    </cfRule>
  </conditionalFormatting>
  <conditionalFormatting sqref="O586">
    <cfRule type="containsText" dxfId="5875" priority="5775" stopIfTrue="1" operator="containsText" text="NO CUMPLE">
      <formula>NOT(ISERROR(SEARCH("NO CUMPLE",O586)))</formula>
    </cfRule>
    <cfRule type="containsText" dxfId="5874" priority="5776" stopIfTrue="1" operator="containsText" text="CUMPLE">
      <formula>NOT(ISERROR(SEARCH("CUMPLE",O586)))</formula>
    </cfRule>
  </conditionalFormatting>
  <conditionalFormatting sqref="O587:S587">
    <cfRule type="cellIs" dxfId="5873" priority="5774" operator="equal">
      <formula>"EL PROPONENTE SE DEBE REQUERIR POR EXPERIENCIA MINIMA EXIGIDA"</formula>
    </cfRule>
  </conditionalFormatting>
  <conditionalFormatting sqref="X575">
    <cfRule type="cellIs" dxfId="5872" priority="5771" stopIfTrue="1" operator="equal">
      <formula>"VERIFICAR"</formula>
    </cfRule>
    <cfRule type="cellIs" dxfId="5871" priority="5772" stopIfTrue="1" operator="equal">
      <formula>"NO CUMPLE"</formula>
    </cfRule>
    <cfRule type="cellIs" dxfId="5870" priority="5773" stopIfTrue="1" operator="equal">
      <formula>"CUMPLE"</formula>
    </cfRule>
  </conditionalFormatting>
  <conditionalFormatting sqref="X564:Y573 J564:J573">
    <cfRule type="cellIs" dxfId="5869" priority="5770" stopIfTrue="1" operator="greaterThan">
      <formula>0</formula>
    </cfRule>
  </conditionalFormatting>
  <conditionalFormatting sqref="X564:Y573">
    <cfRule type="cellIs" dxfId="5868" priority="5768" operator="equal">
      <formula>"NO CUMPLE"</formula>
    </cfRule>
    <cfRule type="cellIs" dxfId="5867" priority="5769" operator="equal">
      <formula>"CUMPLE"</formula>
    </cfRule>
  </conditionalFormatting>
  <conditionalFormatting sqref="N581:N586">
    <cfRule type="cellIs" dxfId="5866" priority="5766" operator="equal">
      <formula>"NO"</formula>
    </cfRule>
    <cfRule type="cellIs" dxfId="5865" priority="5767" operator="equal">
      <formula>"SI"</formula>
    </cfRule>
  </conditionalFormatting>
  <conditionalFormatting sqref="I573">
    <cfRule type="cellIs" dxfId="5864" priority="5765" stopIfTrue="1" operator="greaterThan">
      <formula>0</formula>
    </cfRule>
  </conditionalFormatting>
  <conditionalFormatting sqref="K567:L573">
    <cfRule type="cellIs" dxfId="5863" priority="5763" operator="equal">
      <formula>0</formula>
    </cfRule>
    <cfRule type="cellIs" dxfId="5862" priority="5764" operator="notBetween">
      <formula>$Q$17</formula>
      <formula>$R$17</formula>
    </cfRule>
  </conditionalFormatting>
  <conditionalFormatting sqref="B564:B573">
    <cfRule type="cellIs" dxfId="5861" priority="5762" stopIfTrue="1" operator="greaterThan">
      <formula>0</formula>
    </cfRule>
  </conditionalFormatting>
  <conditionalFormatting sqref="C564:D564 D565:D566 C565:C573">
    <cfRule type="cellIs" dxfId="5860" priority="5761" stopIfTrue="1" operator="greaterThan">
      <formula>0</formula>
    </cfRule>
  </conditionalFormatting>
  <conditionalFormatting sqref="C564:D564 F564:H566 D565:D566 C565:C573">
    <cfRule type="cellIs" dxfId="5859" priority="5760" stopIfTrue="1" operator="greaterThan">
      <formula>0</formula>
    </cfRule>
  </conditionalFormatting>
  <conditionalFormatting sqref="T564:V566">
    <cfRule type="cellIs" dxfId="5858" priority="5758" stopIfTrue="1" operator="equal">
      <formula>"NO"</formula>
    </cfRule>
    <cfRule type="cellIs" dxfId="5857" priority="5759" stopIfTrue="1" operator="equal">
      <formula>"SI"</formula>
    </cfRule>
  </conditionalFormatting>
  <conditionalFormatting sqref="T564:V565">
    <cfRule type="cellIs" dxfId="5856" priority="5757" stopIfTrue="1" operator="equal">
      <formula>"NO APLICA"</formula>
    </cfRule>
  </conditionalFormatting>
  <conditionalFormatting sqref="T566:U566">
    <cfRule type="cellIs" dxfId="5855" priority="5756" stopIfTrue="1" operator="equal">
      <formula>"NO APLICA"</formula>
    </cfRule>
  </conditionalFormatting>
  <conditionalFormatting sqref="T566:U566">
    <cfRule type="cellIs" dxfId="5854" priority="5755" stopIfTrue="1" operator="equal">
      <formula>"NO APLICA"</formula>
    </cfRule>
  </conditionalFormatting>
  <conditionalFormatting sqref="V566">
    <cfRule type="cellIs" dxfId="5853" priority="5754" stopIfTrue="1" operator="equal">
      <formula>"NO APLICA"</formula>
    </cfRule>
  </conditionalFormatting>
  <conditionalFormatting sqref="K564:L566">
    <cfRule type="cellIs" dxfId="5852" priority="5752" operator="equal">
      <formula>0</formula>
    </cfRule>
    <cfRule type="cellIs" dxfId="5851" priority="5753" operator="notBetween">
      <formula>$Q$17</formula>
      <formula>$R$17</formula>
    </cfRule>
  </conditionalFormatting>
  <conditionalFormatting sqref="F597:H602 D603:H603 I597:I603 C594:D594 F594:I596 D595:D602 C595:C603 K594:O603">
    <cfRule type="cellIs" dxfId="5850" priority="5751" stopIfTrue="1" operator="greaterThan">
      <formula>0</formula>
    </cfRule>
  </conditionalFormatting>
  <conditionalFormatting sqref="D597:D602">
    <cfRule type="cellIs" dxfId="5849" priority="5750" stopIfTrue="1" operator="greaterThan">
      <formula>0</formula>
    </cfRule>
  </conditionalFormatting>
  <conditionalFormatting sqref="D597:D602 F597:H602">
    <cfRule type="cellIs" dxfId="5848" priority="5749" stopIfTrue="1" operator="greaterThan">
      <formula>0</formula>
    </cfRule>
  </conditionalFormatting>
  <conditionalFormatting sqref="H594:H602">
    <cfRule type="cellIs" dxfId="5847" priority="5748" stopIfTrue="1" operator="greaterThan">
      <formula>0</formula>
    </cfRule>
  </conditionalFormatting>
  <conditionalFormatting sqref="E594:E602">
    <cfRule type="cellIs" dxfId="5846" priority="5747" stopIfTrue="1" operator="greaterThan">
      <formula>0</formula>
    </cfRule>
  </conditionalFormatting>
  <conditionalFormatting sqref="M611:M616 K611:K616">
    <cfRule type="containsText" dxfId="5845" priority="5745" stopIfTrue="1" operator="containsText" text="NO CUMPLE">
      <formula>NOT(ISERROR(SEARCH("NO CUMPLE",K611)))</formula>
    </cfRule>
    <cfRule type="containsText" dxfId="5844" priority="5746" stopIfTrue="1" operator="containsText" text="CUMPLE">
      <formula>NOT(ISERROR(SEARCH("CUMPLE",K611)))</formula>
    </cfRule>
  </conditionalFormatting>
  <conditionalFormatting sqref="S610">
    <cfRule type="cellIs" dxfId="5843" priority="5743" operator="greaterThanOrEqual">
      <formula>NUMMINCONT</formula>
    </cfRule>
    <cfRule type="cellIs" dxfId="5842" priority="5744" operator="lessThan">
      <formula>NUMMINCONT</formula>
    </cfRule>
  </conditionalFormatting>
  <conditionalFormatting sqref="T597:V602">
    <cfRule type="cellIs" dxfId="5841" priority="5741" stopIfTrue="1" operator="equal">
      <formula>"NO"</formula>
    </cfRule>
    <cfRule type="cellIs" dxfId="5840" priority="5742" stopIfTrue="1" operator="equal">
      <formula>"SI"</formula>
    </cfRule>
  </conditionalFormatting>
  <conditionalFormatting sqref="T597:V598">
    <cfRule type="cellIs" dxfId="5839" priority="5740" stopIfTrue="1" operator="equal">
      <formula>"NO APLICA"</formula>
    </cfRule>
  </conditionalFormatting>
  <conditionalFormatting sqref="T599:U602">
    <cfRule type="cellIs" dxfId="5838" priority="5739" stopIfTrue="1" operator="equal">
      <formula>"NO APLICA"</formula>
    </cfRule>
  </conditionalFormatting>
  <conditionalFormatting sqref="T599:U599">
    <cfRule type="cellIs" dxfId="5837" priority="5738" stopIfTrue="1" operator="equal">
      <formula>"NO APLICA"</formula>
    </cfRule>
  </conditionalFormatting>
  <conditionalFormatting sqref="V599:V602">
    <cfRule type="cellIs" dxfId="5836" priority="5737" stopIfTrue="1" operator="equal">
      <formula>"NO APLICA"</formula>
    </cfRule>
  </conditionalFormatting>
  <conditionalFormatting sqref="V608:W608">
    <cfRule type="cellIs" dxfId="5835" priority="5735" operator="equal">
      <formula>"CUMPLE"</formula>
    </cfRule>
    <cfRule type="cellIs" dxfId="5834" priority="5736" operator="equal">
      <formula>"NO CUMPLE"</formula>
    </cfRule>
  </conditionalFormatting>
  <conditionalFormatting sqref="V608:W610">
    <cfRule type="cellIs" dxfId="5833" priority="5734" operator="equal">
      <formula>"VERIFICAR"</formula>
    </cfRule>
  </conditionalFormatting>
  <conditionalFormatting sqref="T603:V603">
    <cfRule type="cellIs" dxfId="5832" priority="5732" stopIfTrue="1" operator="equal">
      <formula>"NO"</formula>
    </cfRule>
    <cfRule type="cellIs" dxfId="5831" priority="5733" stopIfTrue="1" operator="equal">
      <formula>"SI"</formula>
    </cfRule>
  </conditionalFormatting>
  <conditionalFormatting sqref="T603:U603">
    <cfRule type="cellIs" dxfId="5830" priority="5731" stopIfTrue="1" operator="equal">
      <formula>"NO APLICA"</formula>
    </cfRule>
  </conditionalFormatting>
  <conditionalFormatting sqref="V603">
    <cfRule type="cellIs" dxfId="5829" priority="5730" stopIfTrue="1" operator="equal">
      <formula>"NO APLICA"</formula>
    </cfRule>
  </conditionalFormatting>
  <conditionalFormatting sqref="T613">
    <cfRule type="cellIs" dxfId="5828" priority="5728" operator="equal">
      <formula>"CUMPLE"</formula>
    </cfRule>
    <cfRule type="cellIs" dxfId="5827" priority="5729" operator="equal">
      <formula>"NO CUMPLE"</formula>
    </cfRule>
  </conditionalFormatting>
  <conditionalFormatting sqref="T613">
    <cfRule type="cellIs" dxfId="5826" priority="5727" operator="equal">
      <formula>"VERIFICAR"</formula>
    </cfRule>
  </conditionalFormatting>
  <conditionalFormatting sqref="Y611:Y616">
    <cfRule type="cellIs" dxfId="5825" priority="5726" stopIfTrue="1" operator="equal">
      <formula>"NO APLICA"</formula>
    </cfRule>
  </conditionalFormatting>
  <conditionalFormatting sqref="Y616">
    <cfRule type="cellIs" dxfId="5824" priority="5725" stopIfTrue="1" operator="equal">
      <formula>"NO APLICA"</formula>
    </cfRule>
  </conditionalFormatting>
  <conditionalFormatting sqref="X611:Y616">
    <cfRule type="cellIs" dxfId="5823" priority="5723" stopIfTrue="1" operator="equal">
      <formula>"NO"</formula>
    </cfRule>
    <cfRule type="cellIs" dxfId="5822" priority="5724" stopIfTrue="1" operator="equal">
      <formula>"SI"</formula>
    </cfRule>
  </conditionalFormatting>
  <conditionalFormatting sqref="X611:X616">
    <cfRule type="cellIs" dxfId="5821" priority="5722" stopIfTrue="1" operator="equal">
      <formula>"NO APLICA"</formula>
    </cfRule>
  </conditionalFormatting>
  <conditionalFormatting sqref="X612:X615">
    <cfRule type="cellIs" dxfId="5820" priority="5721" stopIfTrue="1" operator="equal">
      <formula>"NO APLICA"</formula>
    </cfRule>
  </conditionalFormatting>
  <conditionalFormatting sqref="X612">
    <cfRule type="cellIs" dxfId="5819" priority="5720" stopIfTrue="1" operator="equal">
      <formula>"NO APLICA"</formula>
    </cfRule>
  </conditionalFormatting>
  <conditionalFormatting sqref="X616">
    <cfRule type="cellIs" dxfId="5818" priority="5719" stopIfTrue="1" operator="equal">
      <formula>"NO APLICA"</formula>
    </cfRule>
  </conditionalFormatting>
  <conditionalFormatting sqref="X616">
    <cfRule type="cellIs" dxfId="5817" priority="5718" stopIfTrue="1" operator="equal">
      <formula>"NO APLICA"</formula>
    </cfRule>
  </conditionalFormatting>
  <conditionalFormatting sqref="AA611:AA616">
    <cfRule type="cellIs" dxfId="5816" priority="5717" stopIfTrue="1" operator="equal">
      <formula>"NO APLICA"</formula>
    </cfRule>
  </conditionalFormatting>
  <conditionalFormatting sqref="AA616">
    <cfRule type="cellIs" dxfId="5815" priority="5716" stopIfTrue="1" operator="equal">
      <formula>"NO APLICA"</formula>
    </cfRule>
  </conditionalFormatting>
  <conditionalFormatting sqref="AA611:AA616">
    <cfRule type="cellIs" dxfId="5814" priority="5714" stopIfTrue="1" operator="equal">
      <formula>"NO"</formula>
    </cfRule>
    <cfRule type="cellIs" dxfId="5813" priority="5715" stopIfTrue="1" operator="equal">
      <formula>"SI"</formula>
    </cfRule>
  </conditionalFormatting>
  <conditionalFormatting sqref="Y611:Z616">
    <cfRule type="cellIs" dxfId="5812" priority="5712" operator="equal">
      <formula>"NO APLICA"</formula>
    </cfRule>
    <cfRule type="cellIs" dxfId="5811" priority="5713" operator="equal">
      <formula>"SI APLICA"</formula>
    </cfRule>
  </conditionalFormatting>
  <conditionalFormatting sqref="AB611:AB617">
    <cfRule type="cellIs" dxfId="5810" priority="5710" operator="equal">
      <formula>"NO APLICA"</formula>
    </cfRule>
    <cfRule type="cellIs" dxfId="5809" priority="5711" operator="equal">
      <formula>"SI APLICA"</formula>
    </cfRule>
  </conditionalFormatting>
  <conditionalFormatting sqref="X617">
    <cfRule type="cellIs" dxfId="5808" priority="5708" operator="equal">
      <formula>"PROPONENTE PLURAL"</formula>
    </cfRule>
    <cfRule type="cellIs" dxfId="5807" priority="5709" operator="equal">
      <formula>"PROPONENTE INDIVIDUAL"</formula>
    </cfRule>
  </conditionalFormatting>
  <conditionalFormatting sqref="Z617:AA617 AA611:AA616">
    <cfRule type="cellIs" dxfId="5806" priority="5706" operator="equal">
      <formula>"NO APLICA"</formula>
    </cfRule>
    <cfRule type="cellIs" dxfId="5805" priority="5707" operator="equal">
      <formula>"SI APLICA"</formula>
    </cfRule>
  </conditionalFormatting>
  <conditionalFormatting sqref="AB611:AB616 Y611:Z616">
    <cfRule type="cellIs" dxfId="5804" priority="5705" operator="equal">
      <formula>""</formula>
    </cfRule>
  </conditionalFormatting>
  <conditionalFormatting sqref="H617">
    <cfRule type="containsText" dxfId="5803" priority="5703" stopIfTrue="1" operator="containsText" text="NO CUMPLE">
      <formula>NOT(ISERROR(SEARCH("NO CUMPLE",H617)))</formula>
    </cfRule>
    <cfRule type="containsText" dxfId="5802" priority="5704" stopIfTrue="1" operator="containsText" text="CUMPLE">
      <formula>NOT(ISERROR(SEARCH("CUMPLE",H617)))</formula>
    </cfRule>
  </conditionalFormatting>
  <conditionalFormatting sqref="J617">
    <cfRule type="containsText" dxfId="5801" priority="5701" stopIfTrue="1" operator="containsText" text="NO CUMPLE">
      <formula>NOT(ISERROR(SEARCH("NO CUMPLE",J617)))</formula>
    </cfRule>
    <cfRule type="containsText" dxfId="5800" priority="5702" stopIfTrue="1" operator="containsText" text="CUMPLE">
      <formula>NOT(ISERROR(SEARCH("CUMPLE",J617)))</formula>
    </cfRule>
  </conditionalFormatting>
  <conditionalFormatting sqref="K617">
    <cfRule type="containsText" dxfId="5799" priority="5699" stopIfTrue="1" operator="containsText" text="NO CUMPLE">
      <formula>NOT(ISERROR(SEARCH("NO CUMPLE",K617)))</formula>
    </cfRule>
    <cfRule type="containsText" dxfId="5798" priority="5700" stopIfTrue="1" operator="containsText" text="CUMPLE">
      <formula>NOT(ISERROR(SEARCH("CUMPLE",K617)))</formula>
    </cfRule>
  </conditionalFormatting>
  <conditionalFormatting sqref="L611:L616">
    <cfRule type="containsText" dxfId="5797" priority="5697" stopIfTrue="1" operator="containsText" text="NO CUMPLE">
      <formula>NOT(ISERROR(SEARCH("NO CUMPLE",L611)))</formula>
    </cfRule>
    <cfRule type="containsText" dxfId="5796" priority="5698" stopIfTrue="1" operator="containsText" text="CUMPLE">
      <formula>NOT(ISERROR(SEARCH("CUMPLE",L611)))</formula>
    </cfRule>
  </conditionalFormatting>
  <conditionalFormatting sqref="O616">
    <cfRule type="containsText" dxfId="5795" priority="5695" stopIfTrue="1" operator="containsText" text="NO CUMPLE">
      <formula>NOT(ISERROR(SEARCH("NO CUMPLE",O616)))</formula>
    </cfRule>
    <cfRule type="containsText" dxfId="5794" priority="5696" stopIfTrue="1" operator="containsText" text="CUMPLE">
      <formula>NOT(ISERROR(SEARCH("CUMPLE",O616)))</formula>
    </cfRule>
  </conditionalFormatting>
  <conditionalFormatting sqref="O617:S617">
    <cfRule type="cellIs" dxfId="5793" priority="5694" operator="equal">
      <formula>"EL PROPONENTE SE DEBE REQUERIR POR EXPERIENCIA MINIMA EXIGIDA"</formula>
    </cfRule>
  </conditionalFormatting>
  <conditionalFormatting sqref="X605">
    <cfRule type="cellIs" dxfId="5792" priority="5691" stopIfTrue="1" operator="equal">
      <formula>"VERIFICAR"</formula>
    </cfRule>
    <cfRule type="cellIs" dxfId="5791" priority="5692" stopIfTrue="1" operator="equal">
      <formula>"NO CUMPLE"</formula>
    </cfRule>
    <cfRule type="cellIs" dxfId="5790" priority="5693" stopIfTrue="1" operator="equal">
      <formula>"CUMPLE"</formula>
    </cfRule>
  </conditionalFormatting>
  <conditionalFormatting sqref="X594:Y603 J594:J603">
    <cfRule type="cellIs" dxfId="5789" priority="5690" stopIfTrue="1" operator="greaterThan">
      <formula>0</formula>
    </cfRule>
  </conditionalFormatting>
  <conditionalFormatting sqref="X594:Y603">
    <cfRule type="cellIs" dxfId="5788" priority="5688" operator="equal">
      <formula>"NO CUMPLE"</formula>
    </cfRule>
    <cfRule type="cellIs" dxfId="5787" priority="5689" operator="equal">
      <formula>"CUMPLE"</formula>
    </cfRule>
  </conditionalFormatting>
  <conditionalFormatting sqref="N611:N616">
    <cfRule type="cellIs" dxfId="5786" priority="5686" operator="equal">
      <formula>"NO"</formula>
    </cfRule>
    <cfRule type="cellIs" dxfId="5785" priority="5687" operator="equal">
      <formula>"SI"</formula>
    </cfRule>
  </conditionalFormatting>
  <conditionalFormatting sqref="I603">
    <cfRule type="cellIs" dxfId="5784" priority="5685" stopIfTrue="1" operator="greaterThan">
      <formula>0</formula>
    </cfRule>
  </conditionalFormatting>
  <conditionalFormatting sqref="K597:L603">
    <cfRule type="cellIs" dxfId="5783" priority="5683" operator="equal">
      <formula>0</formula>
    </cfRule>
    <cfRule type="cellIs" dxfId="5782" priority="5684" operator="notBetween">
      <formula>$Q$17</formula>
      <formula>$R$17</formula>
    </cfRule>
  </conditionalFormatting>
  <conditionalFormatting sqref="B594:B603">
    <cfRule type="cellIs" dxfId="5781" priority="5682" stopIfTrue="1" operator="greaterThan">
      <formula>0</formula>
    </cfRule>
  </conditionalFormatting>
  <conditionalFormatting sqref="C594:D594 D595:D596 C595:C603">
    <cfRule type="cellIs" dxfId="5780" priority="5681" stopIfTrue="1" operator="greaterThan">
      <formula>0</formula>
    </cfRule>
  </conditionalFormatting>
  <conditionalFormatting sqref="C594:D594 F594:H596 D595:D596 C595:C603">
    <cfRule type="cellIs" dxfId="5779" priority="5680" stopIfTrue="1" operator="greaterThan">
      <formula>0</formula>
    </cfRule>
  </conditionalFormatting>
  <conditionalFormatting sqref="T594:V596">
    <cfRule type="cellIs" dxfId="5778" priority="5678" stopIfTrue="1" operator="equal">
      <formula>"NO"</formula>
    </cfRule>
    <cfRule type="cellIs" dxfId="5777" priority="5679" stopIfTrue="1" operator="equal">
      <formula>"SI"</formula>
    </cfRule>
  </conditionalFormatting>
  <conditionalFormatting sqref="T594:V595">
    <cfRule type="cellIs" dxfId="5776" priority="5677" stopIfTrue="1" operator="equal">
      <formula>"NO APLICA"</formula>
    </cfRule>
  </conditionalFormatting>
  <conditionalFormatting sqref="T596:U596">
    <cfRule type="cellIs" dxfId="5775" priority="5676" stopIfTrue="1" operator="equal">
      <formula>"NO APLICA"</formula>
    </cfRule>
  </conditionalFormatting>
  <conditionalFormatting sqref="T596:U596">
    <cfRule type="cellIs" dxfId="5774" priority="5675" stopIfTrue="1" operator="equal">
      <formula>"NO APLICA"</formula>
    </cfRule>
  </conditionalFormatting>
  <conditionalFormatting sqref="V596">
    <cfRule type="cellIs" dxfId="5773" priority="5674" stopIfTrue="1" operator="equal">
      <formula>"NO APLICA"</formula>
    </cfRule>
  </conditionalFormatting>
  <conditionalFormatting sqref="K594:L596">
    <cfRule type="cellIs" dxfId="5772" priority="5672" operator="equal">
      <formula>0</formula>
    </cfRule>
    <cfRule type="cellIs" dxfId="5771" priority="5673" operator="notBetween">
      <formula>$Q$17</formula>
      <formula>$R$17</formula>
    </cfRule>
  </conditionalFormatting>
  <conditionalFormatting sqref="F627:H632 D633:H633 I627:I633 C624:D624 K624:O633 F624:I626 D625:D632 C625:C633">
    <cfRule type="cellIs" dxfId="5770" priority="5671" stopIfTrue="1" operator="greaterThan">
      <formula>0</formula>
    </cfRule>
  </conditionalFormatting>
  <conditionalFormatting sqref="D627:D632">
    <cfRule type="cellIs" dxfId="5769" priority="5670" stopIfTrue="1" operator="greaterThan">
      <formula>0</formula>
    </cfRule>
  </conditionalFormatting>
  <conditionalFormatting sqref="D627:D632 F627:H632">
    <cfRule type="cellIs" dxfId="5768" priority="5669" stopIfTrue="1" operator="greaterThan">
      <formula>0</formula>
    </cfRule>
  </conditionalFormatting>
  <conditionalFormatting sqref="H624:H632">
    <cfRule type="cellIs" dxfId="5767" priority="5668" stopIfTrue="1" operator="greaterThan">
      <formula>0</formula>
    </cfRule>
  </conditionalFormatting>
  <conditionalFormatting sqref="E624:E632">
    <cfRule type="cellIs" dxfId="5766" priority="5667" stopIfTrue="1" operator="greaterThan">
      <formula>0</formula>
    </cfRule>
  </conditionalFormatting>
  <conditionalFormatting sqref="M641:M646 K641:K646">
    <cfRule type="containsText" dxfId="5765" priority="5665" stopIfTrue="1" operator="containsText" text="NO CUMPLE">
      <formula>NOT(ISERROR(SEARCH("NO CUMPLE",K641)))</formula>
    </cfRule>
    <cfRule type="containsText" dxfId="5764" priority="5666" stopIfTrue="1" operator="containsText" text="CUMPLE">
      <formula>NOT(ISERROR(SEARCH("CUMPLE",K641)))</formula>
    </cfRule>
  </conditionalFormatting>
  <conditionalFormatting sqref="S640">
    <cfRule type="cellIs" dxfId="5763" priority="5663" operator="greaterThanOrEqual">
      <formula>NUMMINCONT</formula>
    </cfRule>
    <cfRule type="cellIs" dxfId="5762" priority="5664" operator="lessThan">
      <formula>NUMMINCONT</formula>
    </cfRule>
  </conditionalFormatting>
  <conditionalFormatting sqref="T627:V632">
    <cfRule type="cellIs" dxfId="5761" priority="5661" stopIfTrue="1" operator="equal">
      <formula>"NO"</formula>
    </cfRule>
    <cfRule type="cellIs" dxfId="5760" priority="5662" stopIfTrue="1" operator="equal">
      <formula>"SI"</formula>
    </cfRule>
  </conditionalFormatting>
  <conditionalFormatting sqref="T627:V628">
    <cfRule type="cellIs" dxfId="5759" priority="5660" stopIfTrue="1" operator="equal">
      <formula>"NO APLICA"</formula>
    </cfRule>
  </conditionalFormatting>
  <conditionalFormatting sqref="T629:U632">
    <cfRule type="cellIs" dxfId="5758" priority="5659" stopIfTrue="1" operator="equal">
      <formula>"NO APLICA"</formula>
    </cfRule>
  </conditionalFormatting>
  <conditionalFormatting sqref="T629:U629">
    <cfRule type="cellIs" dxfId="5757" priority="5658" stopIfTrue="1" operator="equal">
      <formula>"NO APLICA"</formula>
    </cfRule>
  </conditionalFormatting>
  <conditionalFormatting sqref="V629:V632">
    <cfRule type="cellIs" dxfId="5756" priority="5657" stopIfTrue="1" operator="equal">
      <formula>"NO APLICA"</formula>
    </cfRule>
  </conditionalFormatting>
  <conditionalFormatting sqref="V638:W638">
    <cfRule type="cellIs" dxfId="5755" priority="5655" operator="equal">
      <formula>"CUMPLE"</formula>
    </cfRule>
    <cfRule type="cellIs" dxfId="5754" priority="5656" operator="equal">
      <formula>"NO CUMPLE"</formula>
    </cfRule>
  </conditionalFormatting>
  <conditionalFormatting sqref="V638:W640">
    <cfRule type="cellIs" dxfId="5753" priority="5654" operator="equal">
      <formula>"VERIFICAR"</formula>
    </cfRule>
  </conditionalFormatting>
  <conditionalFormatting sqref="T633:V633">
    <cfRule type="cellIs" dxfId="5752" priority="5652" stopIfTrue="1" operator="equal">
      <formula>"NO"</formula>
    </cfRule>
    <cfRule type="cellIs" dxfId="5751" priority="5653" stopIfTrue="1" operator="equal">
      <formula>"SI"</formula>
    </cfRule>
  </conditionalFormatting>
  <conditionalFormatting sqref="T633:U633">
    <cfRule type="cellIs" dxfId="5750" priority="5651" stopIfTrue="1" operator="equal">
      <formula>"NO APLICA"</formula>
    </cfRule>
  </conditionalFormatting>
  <conditionalFormatting sqref="V633">
    <cfRule type="cellIs" dxfId="5749" priority="5650" stopIfTrue="1" operator="equal">
      <formula>"NO APLICA"</formula>
    </cfRule>
  </conditionalFormatting>
  <conditionalFormatting sqref="T643">
    <cfRule type="cellIs" dxfId="5748" priority="5648" operator="equal">
      <formula>"CUMPLE"</formula>
    </cfRule>
    <cfRule type="cellIs" dxfId="5747" priority="5649" operator="equal">
      <formula>"NO CUMPLE"</formula>
    </cfRule>
  </conditionalFormatting>
  <conditionalFormatting sqref="T643">
    <cfRule type="cellIs" dxfId="5746" priority="5647" operator="equal">
      <formula>"VERIFICAR"</formula>
    </cfRule>
  </conditionalFormatting>
  <conditionalFormatting sqref="Y641:Y646">
    <cfRule type="cellIs" dxfId="5745" priority="5646" stopIfTrue="1" operator="equal">
      <formula>"NO APLICA"</formula>
    </cfRule>
  </conditionalFormatting>
  <conditionalFormatting sqref="Y646">
    <cfRule type="cellIs" dxfId="5744" priority="5645" stopIfTrue="1" operator="equal">
      <formula>"NO APLICA"</formula>
    </cfRule>
  </conditionalFormatting>
  <conditionalFormatting sqref="X641:Y646">
    <cfRule type="cellIs" dxfId="5743" priority="5643" stopIfTrue="1" operator="equal">
      <formula>"NO"</formula>
    </cfRule>
    <cfRule type="cellIs" dxfId="5742" priority="5644" stopIfTrue="1" operator="equal">
      <formula>"SI"</formula>
    </cfRule>
  </conditionalFormatting>
  <conditionalFormatting sqref="X641:X646">
    <cfRule type="cellIs" dxfId="5741" priority="5642" stopIfTrue="1" operator="equal">
      <formula>"NO APLICA"</formula>
    </cfRule>
  </conditionalFormatting>
  <conditionalFormatting sqref="X642:X645">
    <cfRule type="cellIs" dxfId="5740" priority="5641" stopIfTrue="1" operator="equal">
      <formula>"NO APLICA"</formula>
    </cfRule>
  </conditionalFormatting>
  <conditionalFormatting sqref="X642">
    <cfRule type="cellIs" dxfId="5739" priority="5640" stopIfTrue="1" operator="equal">
      <formula>"NO APLICA"</formula>
    </cfRule>
  </conditionalFormatting>
  <conditionalFormatting sqref="X646">
    <cfRule type="cellIs" dxfId="5738" priority="5639" stopIfTrue="1" operator="equal">
      <formula>"NO APLICA"</formula>
    </cfRule>
  </conditionalFormatting>
  <conditionalFormatting sqref="X646">
    <cfRule type="cellIs" dxfId="5737" priority="5638" stopIfTrue="1" operator="equal">
      <formula>"NO APLICA"</formula>
    </cfRule>
  </conditionalFormatting>
  <conditionalFormatting sqref="AA641:AA646">
    <cfRule type="cellIs" dxfId="5736" priority="5637" stopIfTrue="1" operator="equal">
      <formula>"NO APLICA"</formula>
    </cfRule>
  </conditionalFormatting>
  <conditionalFormatting sqref="AA646">
    <cfRule type="cellIs" dxfId="5735" priority="5636" stopIfTrue="1" operator="equal">
      <formula>"NO APLICA"</formula>
    </cfRule>
  </conditionalFormatting>
  <conditionalFormatting sqref="AA641:AA646">
    <cfRule type="cellIs" dxfId="5734" priority="5634" stopIfTrue="1" operator="equal">
      <formula>"NO"</formula>
    </cfRule>
    <cfRule type="cellIs" dxfId="5733" priority="5635" stopIfTrue="1" operator="equal">
      <formula>"SI"</formula>
    </cfRule>
  </conditionalFormatting>
  <conditionalFormatting sqref="Y641:Z646">
    <cfRule type="cellIs" dxfId="5732" priority="5632" operator="equal">
      <formula>"NO APLICA"</formula>
    </cfRule>
    <cfRule type="cellIs" dxfId="5731" priority="5633" operator="equal">
      <formula>"SI APLICA"</formula>
    </cfRule>
  </conditionalFormatting>
  <conditionalFormatting sqref="AB641:AB647">
    <cfRule type="cellIs" dxfId="5730" priority="5630" operator="equal">
      <formula>"NO APLICA"</formula>
    </cfRule>
    <cfRule type="cellIs" dxfId="5729" priority="5631" operator="equal">
      <formula>"SI APLICA"</formula>
    </cfRule>
  </conditionalFormatting>
  <conditionalFormatting sqref="X647">
    <cfRule type="cellIs" dxfId="5728" priority="5628" operator="equal">
      <formula>"PROPONENTE PLURAL"</formula>
    </cfRule>
    <cfRule type="cellIs" dxfId="5727" priority="5629" operator="equal">
      <formula>"PROPONENTE INDIVIDUAL"</formula>
    </cfRule>
  </conditionalFormatting>
  <conditionalFormatting sqref="Z647:AA647 AA641:AA646">
    <cfRule type="cellIs" dxfId="5726" priority="5626" operator="equal">
      <formula>"NO APLICA"</formula>
    </cfRule>
    <cfRule type="cellIs" dxfId="5725" priority="5627" operator="equal">
      <formula>"SI APLICA"</formula>
    </cfRule>
  </conditionalFormatting>
  <conditionalFormatting sqref="AB641:AB646 Y641:Z646">
    <cfRule type="cellIs" dxfId="5724" priority="5625" operator="equal">
      <formula>""</formula>
    </cfRule>
  </conditionalFormatting>
  <conditionalFormatting sqref="H647">
    <cfRule type="containsText" dxfId="5723" priority="5623" stopIfTrue="1" operator="containsText" text="NO CUMPLE">
      <formula>NOT(ISERROR(SEARCH("NO CUMPLE",H647)))</formula>
    </cfRule>
    <cfRule type="containsText" dxfId="5722" priority="5624" stopIfTrue="1" operator="containsText" text="CUMPLE">
      <formula>NOT(ISERROR(SEARCH("CUMPLE",H647)))</formula>
    </cfRule>
  </conditionalFormatting>
  <conditionalFormatting sqref="J647">
    <cfRule type="containsText" dxfId="5721" priority="5621" stopIfTrue="1" operator="containsText" text="NO CUMPLE">
      <formula>NOT(ISERROR(SEARCH("NO CUMPLE",J647)))</formula>
    </cfRule>
    <cfRule type="containsText" dxfId="5720" priority="5622" stopIfTrue="1" operator="containsText" text="CUMPLE">
      <formula>NOT(ISERROR(SEARCH("CUMPLE",J647)))</formula>
    </cfRule>
  </conditionalFormatting>
  <conditionalFormatting sqref="K647">
    <cfRule type="containsText" dxfId="5719" priority="5619" stopIfTrue="1" operator="containsText" text="NO CUMPLE">
      <formula>NOT(ISERROR(SEARCH("NO CUMPLE",K647)))</formula>
    </cfRule>
    <cfRule type="containsText" dxfId="5718" priority="5620" stopIfTrue="1" operator="containsText" text="CUMPLE">
      <formula>NOT(ISERROR(SEARCH("CUMPLE",K647)))</formula>
    </cfRule>
  </conditionalFormatting>
  <conditionalFormatting sqref="L641:L646">
    <cfRule type="containsText" dxfId="5717" priority="5617" stopIfTrue="1" operator="containsText" text="NO CUMPLE">
      <formula>NOT(ISERROR(SEARCH("NO CUMPLE",L641)))</formula>
    </cfRule>
    <cfRule type="containsText" dxfId="5716" priority="5618" stopIfTrue="1" operator="containsText" text="CUMPLE">
      <formula>NOT(ISERROR(SEARCH("CUMPLE",L641)))</formula>
    </cfRule>
  </conditionalFormatting>
  <conditionalFormatting sqref="O646">
    <cfRule type="containsText" dxfId="5715" priority="5615" stopIfTrue="1" operator="containsText" text="NO CUMPLE">
      <formula>NOT(ISERROR(SEARCH("NO CUMPLE",O646)))</formula>
    </cfRule>
    <cfRule type="containsText" dxfId="5714" priority="5616" stopIfTrue="1" operator="containsText" text="CUMPLE">
      <formula>NOT(ISERROR(SEARCH("CUMPLE",O646)))</formula>
    </cfRule>
  </conditionalFormatting>
  <conditionalFormatting sqref="O647:S647">
    <cfRule type="cellIs" dxfId="5713" priority="5614" operator="equal">
      <formula>"EL PROPONENTE SE DEBE REQUERIR POR EXPERIENCIA MINIMA EXIGIDA"</formula>
    </cfRule>
  </conditionalFormatting>
  <conditionalFormatting sqref="X635">
    <cfRule type="cellIs" dxfId="5712" priority="5611" stopIfTrue="1" operator="equal">
      <formula>"VERIFICAR"</formula>
    </cfRule>
    <cfRule type="cellIs" dxfId="5711" priority="5612" stopIfTrue="1" operator="equal">
      <formula>"NO CUMPLE"</formula>
    </cfRule>
    <cfRule type="cellIs" dxfId="5710" priority="5613" stopIfTrue="1" operator="equal">
      <formula>"CUMPLE"</formula>
    </cfRule>
  </conditionalFormatting>
  <conditionalFormatting sqref="X624:Y633 J624:J633">
    <cfRule type="cellIs" dxfId="5709" priority="5610" stopIfTrue="1" operator="greaterThan">
      <formula>0</formula>
    </cfRule>
  </conditionalFormatting>
  <conditionalFormatting sqref="X624:Y633">
    <cfRule type="cellIs" dxfId="5708" priority="5608" operator="equal">
      <formula>"NO CUMPLE"</formula>
    </cfRule>
    <cfRule type="cellIs" dxfId="5707" priority="5609" operator="equal">
      <formula>"CUMPLE"</formula>
    </cfRule>
  </conditionalFormatting>
  <conditionalFormatting sqref="N641:N646">
    <cfRule type="cellIs" dxfId="5706" priority="5606" operator="equal">
      <formula>"NO"</formula>
    </cfRule>
    <cfRule type="cellIs" dxfId="5705" priority="5607" operator="equal">
      <formula>"SI"</formula>
    </cfRule>
  </conditionalFormatting>
  <conditionalFormatting sqref="I633">
    <cfRule type="cellIs" dxfId="5704" priority="5605" stopIfTrue="1" operator="greaterThan">
      <formula>0</formula>
    </cfRule>
  </conditionalFormatting>
  <conditionalFormatting sqref="K627:L633">
    <cfRule type="cellIs" dxfId="5703" priority="5603" operator="equal">
      <formula>0</formula>
    </cfRule>
    <cfRule type="cellIs" dxfId="5702" priority="5604" operator="notBetween">
      <formula>$Q$17</formula>
      <formula>$R$17</formula>
    </cfRule>
  </conditionalFormatting>
  <conditionalFormatting sqref="B624:B633">
    <cfRule type="cellIs" dxfId="5701" priority="5602" stopIfTrue="1" operator="greaterThan">
      <formula>0</formula>
    </cfRule>
  </conditionalFormatting>
  <conditionalFormatting sqref="C624:D624 D625:D626 C625:C633">
    <cfRule type="cellIs" dxfId="5700" priority="5601" stopIfTrue="1" operator="greaterThan">
      <formula>0</formula>
    </cfRule>
  </conditionalFormatting>
  <conditionalFormatting sqref="C624:D624 F624:H626 D625:D626 C625:C633">
    <cfRule type="cellIs" dxfId="5699" priority="5600" stopIfTrue="1" operator="greaterThan">
      <formula>0</formula>
    </cfRule>
  </conditionalFormatting>
  <conditionalFormatting sqref="T624:V626">
    <cfRule type="cellIs" dxfId="5698" priority="5598" stopIfTrue="1" operator="equal">
      <formula>"NO"</formula>
    </cfRule>
    <cfRule type="cellIs" dxfId="5697" priority="5599" stopIfTrue="1" operator="equal">
      <formula>"SI"</formula>
    </cfRule>
  </conditionalFormatting>
  <conditionalFormatting sqref="T624:V625">
    <cfRule type="cellIs" dxfId="5696" priority="5597" stopIfTrue="1" operator="equal">
      <formula>"NO APLICA"</formula>
    </cfRule>
  </conditionalFormatting>
  <conditionalFormatting sqref="T626:U626">
    <cfRule type="cellIs" dxfId="5695" priority="5596" stopIfTrue="1" operator="equal">
      <formula>"NO APLICA"</formula>
    </cfRule>
  </conditionalFormatting>
  <conditionalFormatting sqref="T626:U626">
    <cfRule type="cellIs" dxfId="5694" priority="5595" stopIfTrue="1" operator="equal">
      <formula>"NO APLICA"</formula>
    </cfRule>
  </conditionalFormatting>
  <conditionalFormatting sqref="V626">
    <cfRule type="cellIs" dxfId="5693" priority="5594" stopIfTrue="1" operator="equal">
      <formula>"NO APLICA"</formula>
    </cfRule>
  </conditionalFormatting>
  <conditionalFormatting sqref="K624:L626">
    <cfRule type="cellIs" dxfId="5692" priority="5592" operator="equal">
      <formula>0</formula>
    </cfRule>
    <cfRule type="cellIs" dxfId="5691" priority="5593" operator="notBetween">
      <formula>$Q$17</formula>
      <formula>$R$17</formula>
    </cfRule>
  </conditionalFormatting>
  <conditionalFormatting sqref="F657:H662 D663:H663 I657:I663 C654:D654 F654:I656 D655:D662 C655:C663 K654:O663">
    <cfRule type="cellIs" dxfId="5690" priority="5591" stopIfTrue="1" operator="greaterThan">
      <formula>0</formula>
    </cfRule>
  </conditionalFormatting>
  <conditionalFormatting sqref="D657:D662">
    <cfRule type="cellIs" dxfId="5689" priority="5590" stopIfTrue="1" operator="greaterThan">
      <formula>0</formula>
    </cfRule>
  </conditionalFormatting>
  <conditionalFormatting sqref="D657:D662 F657:H662">
    <cfRule type="cellIs" dxfId="5688" priority="5589" stopIfTrue="1" operator="greaterThan">
      <formula>0</formula>
    </cfRule>
  </conditionalFormatting>
  <conditionalFormatting sqref="H654:H662">
    <cfRule type="cellIs" dxfId="5687" priority="5588" stopIfTrue="1" operator="greaterThan">
      <formula>0</formula>
    </cfRule>
  </conditionalFormatting>
  <conditionalFormatting sqref="E654:E662">
    <cfRule type="cellIs" dxfId="5686" priority="5587" stopIfTrue="1" operator="greaterThan">
      <formula>0</formula>
    </cfRule>
  </conditionalFormatting>
  <conditionalFormatting sqref="M671:M676 K671:K676">
    <cfRule type="containsText" dxfId="5685" priority="5585" stopIfTrue="1" operator="containsText" text="NO CUMPLE">
      <formula>NOT(ISERROR(SEARCH("NO CUMPLE",K671)))</formula>
    </cfRule>
    <cfRule type="containsText" dxfId="5684" priority="5586" stopIfTrue="1" operator="containsText" text="CUMPLE">
      <formula>NOT(ISERROR(SEARCH("CUMPLE",K671)))</formula>
    </cfRule>
  </conditionalFormatting>
  <conditionalFormatting sqref="S670">
    <cfRule type="cellIs" dxfId="5683" priority="5583" operator="greaterThanOrEqual">
      <formula>NUMMINCONT</formula>
    </cfRule>
    <cfRule type="cellIs" dxfId="5682" priority="5584" operator="lessThan">
      <formula>NUMMINCONT</formula>
    </cfRule>
  </conditionalFormatting>
  <conditionalFormatting sqref="T657:V662">
    <cfRule type="cellIs" dxfId="5681" priority="5581" stopIfTrue="1" operator="equal">
      <formula>"NO"</formula>
    </cfRule>
    <cfRule type="cellIs" dxfId="5680" priority="5582" stopIfTrue="1" operator="equal">
      <formula>"SI"</formula>
    </cfRule>
  </conditionalFormatting>
  <conditionalFormatting sqref="T657:V658">
    <cfRule type="cellIs" dxfId="5679" priority="5580" stopIfTrue="1" operator="equal">
      <formula>"NO APLICA"</formula>
    </cfRule>
  </conditionalFormatting>
  <conditionalFormatting sqref="T659:U662">
    <cfRule type="cellIs" dxfId="5678" priority="5579" stopIfTrue="1" operator="equal">
      <formula>"NO APLICA"</formula>
    </cfRule>
  </conditionalFormatting>
  <conditionalFormatting sqref="T659:U659">
    <cfRule type="cellIs" dxfId="5677" priority="5578" stopIfTrue="1" operator="equal">
      <formula>"NO APLICA"</formula>
    </cfRule>
  </conditionalFormatting>
  <conditionalFormatting sqref="V659:V662">
    <cfRule type="cellIs" dxfId="5676" priority="5577" stopIfTrue="1" operator="equal">
      <formula>"NO APLICA"</formula>
    </cfRule>
  </conditionalFormatting>
  <conditionalFormatting sqref="V668:W668">
    <cfRule type="cellIs" dxfId="5675" priority="5575" operator="equal">
      <formula>"CUMPLE"</formula>
    </cfRule>
    <cfRule type="cellIs" dxfId="5674" priority="5576" operator="equal">
      <formula>"NO CUMPLE"</formula>
    </cfRule>
  </conditionalFormatting>
  <conditionalFormatting sqref="V668:W670">
    <cfRule type="cellIs" dxfId="5673" priority="5574" operator="equal">
      <formula>"VERIFICAR"</formula>
    </cfRule>
  </conditionalFormatting>
  <conditionalFormatting sqref="T663:V663">
    <cfRule type="cellIs" dxfId="5672" priority="5572" stopIfTrue="1" operator="equal">
      <formula>"NO"</formula>
    </cfRule>
    <cfRule type="cellIs" dxfId="5671" priority="5573" stopIfTrue="1" operator="equal">
      <formula>"SI"</formula>
    </cfRule>
  </conditionalFormatting>
  <conditionalFormatting sqref="T663:U663">
    <cfRule type="cellIs" dxfId="5670" priority="5571" stopIfTrue="1" operator="equal">
      <formula>"NO APLICA"</formula>
    </cfRule>
  </conditionalFormatting>
  <conditionalFormatting sqref="V663">
    <cfRule type="cellIs" dxfId="5669" priority="5570" stopIfTrue="1" operator="equal">
      <formula>"NO APLICA"</formula>
    </cfRule>
  </conditionalFormatting>
  <conditionalFormatting sqref="T673">
    <cfRule type="cellIs" dxfId="5668" priority="5568" operator="equal">
      <formula>"CUMPLE"</formula>
    </cfRule>
    <cfRule type="cellIs" dxfId="5667" priority="5569" operator="equal">
      <formula>"NO CUMPLE"</formula>
    </cfRule>
  </conditionalFormatting>
  <conditionalFormatting sqref="T673">
    <cfRule type="cellIs" dxfId="5666" priority="5567" operator="equal">
      <formula>"VERIFICAR"</formula>
    </cfRule>
  </conditionalFormatting>
  <conditionalFormatting sqref="Y671:Y676">
    <cfRule type="cellIs" dxfId="5665" priority="5566" stopIfTrue="1" operator="equal">
      <formula>"NO APLICA"</formula>
    </cfRule>
  </conditionalFormatting>
  <conditionalFormatting sqref="Y676">
    <cfRule type="cellIs" dxfId="5664" priority="5565" stopIfTrue="1" operator="equal">
      <formula>"NO APLICA"</formula>
    </cfRule>
  </conditionalFormatting>
  <conditionalFormatting sqref="X671:Y676">
    <cfRule type="cellIs" dxfId="5663" priority="5563" stopIfTrue="1" operator="equal">
      <formula>"NO"</formula>
    </cfRule>
    <cfRule type="cellIs" dxfId="5662" priority="5564" stopIfTrue="1" operator="equal">
      <formula>"SI"</formula>
    </cfRule>
  </conditionalFormatting>
  <conditionalFormatting sqref="X671:X676">
    <cfRule type="cellIs" dxfId="5661" priority="5562" stopIfTrue="1" operator="equal">
      <formula>"NO APLICA"</formula>
    </cfRule>
  </conditionalFormatting>
  <conditionalFormatting sqref="X672:X675">
    <cfRule type="cellIs" dxfId="5660" priority="5561" stopIfTrue="1" operator="equal">
      <formula>"NO APLICA"</formula>
    </cfRule>
  </conditionalFormatting>
  <conditionalFormatting sqref="X672">
    <cfRule type="cellIs" dxfId="5659" priority="5560" stopIfTrue="1" operator="equal">
      <formula>"NO APLICA"</formula>
    </cfRule>
  </conditionalFormatting>
  <conditionalFormatting sqref="X676">
    <cfRule type="cellIs" dxfId="5658" priority="5559" stopIfTrue="1" operator="equal">
      <formula>"NO APLICA"</formula>
    </cfRule>
  </conditionalFormatting>
  <conditionalFormatting sqref="X676">
    <cfRule type="cellIs" dxfId="5657" priority="5558" stopIfTrue="1" operator="equal">
      <formula>"NO APLICA"</formula>
    </cfRule>
  </conditionalFormatting>
  <conditionalFormatting sqref="AA671:AA676">
    <cfRule type="cellIs" dxfId="5656" priority="5557" stopIfTrue="1" operator="equal">
      <formula>"NO APLICA"</formula>
    </cfRule>
  </conditionalFormatting>
  <conditionalFormatting sqref="AA676">
    <cfRule type="cellIs" dxfId="5655" priority="5556" stopIfTrue="1" operator="equal">
      <formula>"NO APLICA"</formula>
    </cfRule>
  </conditionalFormatting>
  <conditionalFormatting sqref="AA671:AA676">
    <cfRule type="cellIs" dxfId="5654" priority="5554" stopIfTrue="1" operator="equal">
      <formula>"NO"</formula>
    </cfRule>
    <cfRule type="cellIs" dxfId="5653" priority="5555" stopIfTrue="1" operator="equal">
      <formula>"SI"</formula>
    </cfRule>
  </conditionalFormatting>
  <conditionalFormatting sqref="Y671:Z676">
    <cfRule type="cellIs" dxfId="5652" priority="5552" operator="equal">
      <formula>"NO APLICA"</formula>
    </cfRule>
    <cfRule type="cellIs" dxfId="5651" priority="5553" operator="equal">
      <formula>"SI APLICA"</formula>
    </cfRule>
  </conditionalFormatting>
  <conditionalFormatting sqref="AB671:AB677">
    <cfRule type="cellIs" dxfId="5650" priority="5550" operator="equal">
      <formula>"NO APLICA"</formula>
    </cfRule>
    <cfRule type="cellIs" dxfId="5649" priority="5551" operator="equal">
      <formula>"SI APLICA"</formula>
    </cfRule>
  </conditionalFormatting>
  <conditionalFormatting sqref="X677">
    <cfRule type="cellIs" dxfId="5648" priority="5548" operator="equal">
      <formula>"PROPONENTE PLURAL"</formula>
    </cfRule>
    <cfRule type="cellIs" dxfId="5647" priority="5549" operator="equal">
      <formula>"PROPONENTE INDIVIDUAL"</formula>
    </cfRule>
  </conditionalFormatting>
  <conditionalFormatting sqref="Z677:AA677 AA671:AA676">
    <cfRule type="cellIs" dxfId="5646" priority="5546" operator="equal">
      <formula>"NO APLICA"</formula>
    </cfRule>
    <cfRule type="cellIs" dxfId="5645" priority="5547" operator="equal">
      <formula>"SI APLICA"</formula>
    </cfRule>
  </conditionalFormatting>
  <conditionalFormatting sqref="AB671:AB676 Y671:Z676">
    <cfRule type="cellIs" dxfId="5644" priority="5545" operator="equal">
      <formula>""</formula>
    </cfRule>
  </conditionalFormatting>
  <conditionalFormatting sqref="H677">
    <cfRule type="containsText" dxfId="5643" priority="5543" stopIfTrue="1" operator="containsText" text="NO CUMPLE">
      <formula>NOT(ISERROR(SEARCH("NO CUMPLE",H677)))</formula>
    </cfRule>
    <cfRule type="containsText" dxfId="5642" priority="5544" stopIfTrue="1" operator="containsText" text="CUMPLE">
      <formula>NOT(ISERROR(SEARCH("CUMPLE",H677)))</formula>
    </cfRule>
  </conditionalFormatting>
  <conditionalFormatting sqref="J677">
    <cfRule type="containsText" dxfId="5641" priority="5541" stopIfTrue="1" operator="containsText" text="NO CUMPLE">
      <formula>NOT(ISERROR(SEARCH("NO CUMPLE",J677)))</formula>
    </cfRule>
    <cfRule type="containsText" dxfId="5640" priority="5542" stopIfTrue="1" operator="containsText" text="CUMPLE">
      <formula>NOT(ISERROR(SEARCH("CUMPLE",J677)))</formula>
    </cfRule>
  </conditionalFormatting>
  <conditionalFormatting sqref="K677">
    <cfRule type="containsText" dxfId="5639" priority="5539" stopIfTrue="1" operator="containsText" text="NO CUMPLE">
      <formula>NOT(ISERROR(SEARCH("NO CUMPLE",K677)))</formula>
    </cfRule>
    <cfRule type="containsText" dxfId="5638" priority="5540" stopIfTrue="1" operator="containsText" text="CUMPLE">
      <formula>NOT(ISERROR(SEARCH("CUMPLE",K677)))</formula>
    </cfRule>
  </conditionalFormatting>
  <conditionalFormatting sqref="L671:L676">
    <cfRule type="containsText" dxfId="5637" priority="5537" stopIfTrue="1" operator="containsText" text="NO CUMPLE">
      <formula>NOT(ISERROR(SEARCH("NO CUMPLE",L671)))</formula>
    </cfRule>
    <cfRule type="containsText" dxfId="5636" priority="5538" stopIfTrue="1" operator="containsText" text="CUMPLE">
      <formula>NOT(ISERROR(SEARCH("CUMPLE",L671)))</formula>
    </cfRule>
  </conditionalFormatting>
  <conditionalFormatting sqref="O676">
    <cfRule type="containsText" dxfId="5635" priority="5535" stopIfTrue="1" operator="containsText" text="NO CUMPLE">
      <formula>NOT(ISERROR(SEARCH("NO CUMPLE",O676)))</formula>
    </cfRule>
    <cfRule type="containsText" dxfId="5634" priority="5536" stopIfTrue="1" operator="containsText" text="CUMPLE">
      <formula>NOT(ISERROR(SEARCH("CUMPLE",O676)))</formula>
    </cfRule>
  </conditionalFormatting>
  <conditionalFormatting sqref="O677:S677">
    <cfRule type="cellIs" dxfId="5633" priority="5534" operator="equal">
      <formula>"EL PROPONENTE SE DEBE REQUERIR POR EXPERIENCIA MINIMA EXIGIDA"</formula>
    </cfRule>
  </conditionalFormatting>
  <conditionalFormatting sqref="X665">
    <cfRule type="cellIs" dxfId="5632" priority="5531" stopIfTrue="1" operator="equal">
      <formula>"VERIFICAR"</formula>
    </cfRule>
    <cfRule type="cellIs" dxfId="5631" priority="5532" stopIfTrue="1" operator="equal">
      <formula>"NO CUMPLE"</formula>
    </cfRule>
    <cfRule type="cellIs" dxfId="5630" priority="5533" stopIfTrue="1" operator="equal">
      <formula>"CUMPLE"</formula>
    </cfRule>
  </conditionalFormatting>
  <conditionalFormatting sqref="X654:Y663 J654:J663">
    <cfRule type="cellIs" dxfId="5629" priority="5530" stopIfTrue="1" operator="greaterThan">
      <formula>0</formula>
    </cfRule>
  </conditionalFormatting>
  <conditionalFormatting sqref="X654:Y663">
    <cfRule type="cellIs" dxfId="5628" priority="5528" operator="equal">
      <formula>"NO CUMPLE"</formula>
    </cfRule>
    <cfRule type="cellIs" dxfId="5627" priority="5529" operator="equal">
      <formula>"CUMPLE"</formula>
    </cfRule>
  </conditionalFormatting>
  <conditionalFormatting sqref="N671:N676">
    <cfRule type="cellIs" dxfId="5626" priority="5526" operator="equal">
      <formula>"NO"</formula>
    </cfRule>
    <cfRule type="cellIs" dxfId="5625" priority="5527" operator="equal">
      <formula>"SI"</formula>
    </cfRule>
  </conditionalFormatting>
  <conditionalFormatting sqref="I663">
    <cfRule type="cellIs" dxfId="5624" priority="5525" stopIfTrue="1" operator="greaterThan">
      <formula>0</formula>
    </cfRule>
  </conditionalFormatting>
  <conditionalFormatting sqref="K657:L663">
    <cfRule type="cellIs" dxfId="5623" priority="5523" operator="equal">
      <formula>0</formula>
    </cfRule>
    <cfRule type="cellIs" dxfId="5622" priority="5524" operator="notBetween">
      <formula>$Q$17</formula>
      <formula>$R$17</formula>
    </cfRule>
  </conditionalFormatting>
  <conditionalFormatting sqref="B654:B663">
    <cfRule type="cellIs" dxfId="5621" priority="5522" stopIfTrue="1" operator="greaterThan">
      <formula>0</formula>
    </cfRule>
  </conditionalFormatting>
  <conditionalFormatting sqref="C654:D654 D655:D656 C655:C663">
    <cfRule type="cellIs" dxfId="5620" priority="5521" stopIfTrue="1" operator="greaterThan">
      <formula>0</formula>
    </cfRule>
  </conditionalFormatting>
  <conditionalFormatting sqref="C654:D654 F654:H656 D655:D656 C655:C663">
    <cfRule type="cellIs" dxfId="5619" priority="5520" stopIfTrue="1" operator="greaterThan">
      <formula>0</formula>
    </cfRule>
  </conditionalFormatting>
  <conditionalFormatting sqref="T654:V656">
    <cfRule type="cellIs" dxfId="5618" priority="5518" stopIfTrue="1" operator="equal">
      <formula>"NO"</formula>
    </cfRule>
    <cfRule type="cellIs" dxfId="5617" priority="5519" stopIfTrue="1" operator="equal">
      <formula>"SI"</formula>
    </cfRule>
  </conditionalFormatting>
  <conditionalFormatting sqref="T654:V655">
    <cfRule type="cellIs" dxfId="5616" priority="5517" stopIfTrue="1" operator="equal">
      <formula>"NO APLICA"</formula>
    </cfRule>
  </conditionalFormatting>
  <conditionalFormatting sqref="T656:U656">
    <cfRule type="cellIs" dxfId="5615" priority="5516" stopIfTrue="1" operator="equal">
      <formula>"NO APLICA"</formula>
    </cfRule>
  </conditionalFormatting>
  <conditionalFormatting sqref="T656:U656">
    <cfRule type="cellIs" dxfId="5614" priority="5515" stopIfTrue="1" operator="equal">
      <formula>"NO APLICA"</formula>
    </cfRule>
  </conditionalFormatting>
  <conditionalFormatting sqref="V656">
    <cfRule type="cellIs" dxfId="5613" priority="5514" stopIfTrue="1" operator="equal">
      <formula>"NO APLICA"</formula>
    </cfRule>
  </conditionalFormatting>
  <conditionalFormatting sqref="K654:L656">
    <cfRule type="cellIs" dxfId="5612" priority="5512" operator="equal">
      <formula>0</formula>
    </cfRule>
    <cfRule type="cellIs" dxfId="5611" priority="5513" operator="notBetween">
      <formula>$Q$17</formula>
      <formula>$R$17</formula>
    </cfRule>
  </conditionalFormatting>
  <conditionalFormatting sqref="F687:H692 D693:H693 I687:I693 C684:D684 K684:O693 F684:I686 D685:D692 C685:C693">
    <cfRule type="cellIs" dxfId="5610" priority="5511" stopIfTrue="1" operator="greaterThan">
      <formula>0</formula>
    </cfRule>
  </conditionalFormatting>
  <conditionalFormatting sqref="D687:D692">
    <cfRule type="cellIs" dxfId="5609" priority="5510" stopIfTrue="1" operator="greaterThan">
      <formula>0</formula>
    </cfRule>
  </conditionalFormatting>
  <conditionalFormatting sqref="D687:D692 F687:H692">
    <cfRule type="cellIs" dxfId="5608" priority="5509" stopIfTrue="1" operator="greaterThan">
      <formula>0</formula>
    </cfRule>
  </conditionalFormatting>
  <conditionalFormatting sqref="H684:H692">
    <cfRule type="cellIs" dxfId="5607" priority="5508" stopIfTrue="1" operator="greaterThan">
      <formula>0</formula>
    </cfRule>
  </conditionalFormatting>
  <conditionalFormatting sqref="E684:E692">
    <cfRule type="cellIs" dxfId="5606" priority="5507" stopIfTrue="1" operator="greaterThan">
      <formula>0</formula>
    </cfRule>
  </conditionalFormatting>
  <conditionalFormatting sqref="M701:M706 K701:K706">
    <cfRule type="containsText" dxfId="5605" priority="5505" stopIfTrue="1" operator="containsText" text="NO CUMPLE">
      <formula>NOT(ISERROR(SEARCH("NO CUMPLE",K701)))</formula>
    </cfRule>
    <cfRule type="containsText" dxfId="5604" priority="5506" stopIfTrue="1" operator="containsText" text="CUMPLE">
      <formula>NOT(ISERROR(SEARCH("CUMPLE",K701)))</formula>
    </cfRule>
  </conditionalFormatting>
  <conditionalFormatting sqref="S700">
    <cfRule type="cellIs" dxfId="5603" priority="5503" operator="greaterThanOrEqual">
      <formula>NUMMINCONT</formula>
    </cfRule>
    <cfRule type="cellIs" dxfId="5602" priority="5504" operator="lessThan">
      <formula>NUMMINCONT</formula>
    </cfRule>
  </conditionalFormatting>
  <conditionalFormatting sqref="T687:V692">
    <cfRule type="cellIs" dxfId="5601" priority="5501" stopIfTrue="1" operator="equal">
      <formula>"NO"</formula>
    </cfRule>
    <cfRule type="cellIs" dxfId="5600" priority="5502" stopIfTrue="1" operator="equal">
      <formula>"SI"</formula>
    </cfRule>
  </conditionalFormatting>
  <conditionalFormatting sqref="T687:V688">
    <cfRule type="cellIs" dxfId="5599" priority="5500" stopIfTrue="1" operator="equal">
      <formula>"NO APLICA"</formula>
    </cfRule>
  </conditionalFormatting>
  <conditionalFormatting sqref="T689:U692">
    <cfRule type="cellIs" dxfId="5598" priority="5499" stopIfTrue="1" operator="equal">
      <formula>"NO APLICA"</formula>
    </cfRule>
  </conditionalFormatting>
  <conditionalFormatting sqref="T689:U689">
    <cfRule type="cellIs" dxfId="5597" priority="5498" stopIfTrue="1" operator="equal">
      <formula>"NO APLICA"</formula>
    </cfRule>
  </conditionalFormatting>
  <conditionalFormatting sqref="V689:V692">
    <cfRule type="cellIs" dxfId="5596" priority="5497" stopIfTrue="1" operator="equal">
      <formula>"NO APLICA"</formula>
    </cfRule>
  </conditionalFormatting>
  <conditionalFormatting sqref="V698:W698">
    <cfRule type="cellIs" dxfId="5595" priority="5495" operator="equal">
      <formula>"CUMPLE"</formula>
    </cfRule>
    <cfRule type="cellIs" dxfId="5594" priority="5496" operator="equal">
      <formula>"NO CUMPLE"</formula>
    </cfRule>
  </conditionalFormatting>
  <conditionalFormatting sqref="V698:W700">
    <cfRule type="cellIs" dxfId="5593" priority="5494" operator="equal">
      <formula>"VERIFICAR"</formula>
    </cfRule>
  </conditionalFormatting>
  <conditionalFormatting sqref="T693:V693">
    <cfRule type="cellIs" dxfId="5592" priority="5492" stopIfTrue="1" operator="equal">
      <formula>"NO"</formula>
    </cfRule>
    <cfRule type="cellIs" dxfId="5591" priority="5493" stopIfTrue="1" operator="equal">
      <formula>"SI"</formula>
    </cfRule>
  </conditionalFormatting>
  <conditionalFormatting sqref="T693:U693">
    <cfRule type="cellIs" dxfId="5590" priority="5491" stopIfTrue="1" operator="equal">
      <formula>"NO APLICA"</formula>
    </cfRule>
  </conditionalFormatting>
  <conditionalFormatting sqref="V693">
    <cfRule type="cellIs" dxfId="5589" priority="5490" stopIfTrue="1" operator="equal">
      <formula>"NO APLICA"</formula>
    </cfRule>
  </conditionalFormatting>
  <conditionalFormatting sqref="T703">
    <cfRule type="cellIs" dxfId="5588" priority="5488" operator="equal">
      <formula>"CUMPLE"</formula>
    </cfRule>
    <cfRule type="cellIs" dxfId="5587" priority="5489" operator="equal">
      <formula>"NO CUMPLE"</formula>
    </cfRule>
  </conditionalFormatting>
  <conditionalFormatting sqref="T703">
    <cfRule type="cellIs" dxfId="5586" priority="5487" operator="equal">
      <formula>"VERIFICAR"</formula>
    </cfRule>
  </conditionalFormatting>
  <conditionalFormatting sqref="Y701:Y706">
    <cfRule type="cellIs" dxfId="5585" priority="5486" stopIfTrue="1" operator="equal">
      <formula>"NO APLICA"</formula>
    </cfRule>
  </conditionalFormatting>
  <conditionalFormatting sqref="Y706">
    <cfRule type="cellIs" dxfId="5584" priority="5485" stopIfTrue="1" operator="equal">
      <formula>"NO APLICA"</formula>
    </cfRule>
  </conditionalFormatting>
  <conditionalFormatting sqref="X701:Y706">
    <cfRule type="cellIs" dxfId="5583" priority="5483" stopIfTrue="1" operator="equal">
      <formula>"NO"</formula>
    </cfRule>
    <cfRule type="cellIs" dxfId="5582" priority="5484" stopIfTrue="1" operator="equal">
      <formula>"SI"</formula>
    </cfRule>
  </conditionalFormatting>
  <conditionalFormatting sqref="X701:X706">
    <cfRule type="cellIs" dxfId="5581" priority="5482" stopIfTrue="1" operator="equal">
      <formula>"NO APLICA"</formula>
    </cfRule>
  </conditionalFormatting>
  <conditionalFormatting sqref="X702:X705">
    <cfRule type="cellIs" dxfId="5580" priority="5481" stopIfTrue="1" operator="equal">
      <formula>"NO APLICA"</formula>
    </cfRule>
  </conditionalFormatting>
  <conditionalFormatting sqref="X702">
    <cfRule type="cellIs" dxfId="5579" priority="5480" stopIfTrue="1" operator="equal">
      <formula>"NO APLICA"</formula>
    </cfRule>
  </conditionalFormatting>
  <conditionalFormatting sqref="X706">
    <cfRule type="cellIs" dxfId="5578" priority="5479" stopIfTrue="1" operator="equal">
      <formula>"NO APLICA"</formula>
    </cfRule>
  </conditionalFormatting>
  <conditionalFormatting sqref="X706">
    <cfRule type="cellIs" dxfId="5577" priority="5478" stopIfTrue="1" operator="equal">
      <formula>"NO APLICA"</formula>
    </cfRule>
  </conditionalFormatting>
  <conditionalFormatting sqref="AA701:AA706">
    <cfRule type="cellIs" dxfId="5576" priority="5477" stopIfTrue="1" operator="equal">
      <formula>"NO APLICA"</formula>
    </cfRule>
  </conditionalFormatting>
  <conditionalFormatting sqref="AA706">
    <cfRule type="cellIs" dxfId="5575" priority="5476" stopIfTrue="1" operator="equal">
      <formula>"NO APLICA"</formula>
    </cfRule>
  </conditionalFormatting>
  <conditionalFormatting sqref="AA701:AA706">
    <cfRule type="cellIs" dxfId="5574" priority="5474" stopIfTrue="1" operator="equal">
      <formula>"NO"</formula>
    </cfRule>
    <cfRule type="cellIs" dxfId="5573" priority="5475" stopIfTrue="1" operator="equal">
      <formula>"SI"</formula>
    </cfRule>
  </conditionalFormatting>
  <conditionalFormatting sqref="Y701:Z706">
    <cfRule type="cellIs" dxfId="5572" priority="5472" operator="equal">
      <formula>"NO APLICA"</formula>
    </cfRule>
    <cfRule type="cellIs" dxfId="5571" priority="5473" operator="equal">
      <formula>"SI APLICA"</formula>
    </cfRule>
  </conditionalFormatting>
  <conditionalFormatting sqref="AB701:AB707">
    <cfRule type="cellIs" dxfId="5570" priority="5470" operator="equal">
      <formula>"NO APLICA"</formula>
    </cfRule>
    <cfRule type="cellIs" dxfId="5569" priority="5471" operator="equal">
      <formula>"SI APLICA"</formula>
    </cfRule>
  </conditionalFormatting>
  <conditionalFormatting sqref="X707">
    <cfRule type="cellIs" dxfId="5568" priority="5468" operator="equal">
      <formula>"PROPONENTE PLURAL"</formula>
    </cfRule>
    <cfRule type="cellIs" dxfId="5567" priority="5469" operator="equal">
      <formula>"PROPONENTE INDIVIDUAL"</formula>
    </cfRule>
  </conditionalFormatting>
  <conditionalFormatting sqref="Z707:AA707 AA701:AA706">
    <cfRule type="cellIs" dxfId="5566" priority="5466" operator="equal">
      <formula>"NO APLICA"</formula>
    </cfRule>
    <cfRule type="cellIs" dxfId="5565" priority="5467" operator="equal">
      <formula>"SI APLICA"</formula>
    </cfRule>
  </conditionalFormatting>
  <conditionalFormatting sqref="AB701:AB706 Y701:Z706">
    <cfRule type="cellIs" dxfId="5564" priority="5465" operator="equal">
      <formula>""</formula>
    </cfRule>
  </conditionalFormatting>
  <conditionalFormatting sqref="H707">
    <cfRule type="containsText" dxfId="5563" priority="5463" stopIfTrue="1" operator="containsText" text="NO CUMPLE">
      <formula>NOT(ISERROR(SEARCH("NO CUMPLE",H707)))</formula>
    </cfRule>
    <cfRule type="containsText" dxfId="5562" priority="5464" stopIfTrue="1" operator="containsText" text="CUMPLE">
      <formula>NOT(ISERROR(SEARCH("CUMPLE",H707)))</formula>
    </cfRule>
  </conditionalFormatting>
  <conditionalFormatting sqref="J707">
    <cfRule type="containsText" dxfId="5561" priority="5461" stopIfTrue="1" operator="containsText" text="NO CUMPLE">
      <formula>NOT(ISERROR(SEARCH("NO CUMPLE",J707)))</formula>
    </cfRule>
    <cfRule type="containsText" dxfId="5560" priority="5462" stopIfTrue="1" operator="containsText" text="CUMPLE">
      <formula>NOT(ISERROR(SEARCH("CUMPLE",J707)))</formula>
    </cfRule>
  </conditionalFormatting>
  <conditionalFormatting sqref="K707">
    <cfRule type="containsText" dxfId="5559" priority="5459" stopIfTrue="1" operator="containsText" text="NO CUMPLE">
      <formula>NOT(ISERROR(SEARCH("NO CUMPLE",K707)))</formula>
    </cfRule>
    <cfRule type="containsText" dxfId="5558" priority="5460" stopIfTrue="1" operator="containsText" text="CUMPLE">
      <formula>NOT(ISERROR(SEARCH("CUMPLE",K707)))</formula>
    </cfRule>
  </conditionalFormatting>
  <conditionalFormatting sqref="L701:L706">
    <cfRule type="containsText" dxfId="5557" priority="5457" stopIfTrue="1" operator="containsText" text="NO CUMPLE">
      <formula>NOT(ISERROR(SEARCH("NO CUMPLE",L701)))</formula>
    </cfRule>
    <cfRule type="containsText" dxfId="5556" priority="5458" stopIfTrue="1" operator="containsText" text="CUMPLE">
      <formula>NOT(ISERROR(SEARCH("CUMPLE",L701)))</formula>
    </cfRule>
  </conditionalFormatting>
  <conditionalFormatting sqref="O706">
    <cfRule type="containsText" dxfId="5555" priority="5455" stopIfTrue="1" operator="containsText" text="NO CUMPLE">
      <formula>NOT(ISERROR(SEARCH("NO CUMPLE",O706)))</formula>
    </cfRule>
    <cfRule type="containsText" dxfId="5554" priority="5456" stopIfTrue="1" operator="containsText" text="CUMPLE">
      <formula>NOT(ISERROR(SEARCH("CUMPLE",O706)))</formula>
    </cfRule>
  </conditionalFormatting>
  <conditionalFormatting sqref="O707:S707">
    <cfRule type="cellIs" dxfId="5553" priority="5454" operator="equal">
      <formula>"EL PROPONENTE SE DEBE REQUERIR POR EXPERIENCIA MINIMA EXIGIDA"</formula>
    </cfRule>
  </conditionalFormatting>
  <conditionalFormatting sqref="X695">
    <cfRule type="cellIs" dxfId="5552" priority="5451" stopIfTrue="1" operator="equal">
      <formula>"VERIFICAR"</formula>
    </cfRule>
    <cfRule type="cellIs" dxfId="5551" priority="5452" stopIfTrue="1" operator="equal">
      <formula>"NO CUMPLE"</formula>
    </cfRule>
    <cfRule type="cellIs" dxfId="5550" priority="5453" stopIfTrue="1" operator="equal">
      <formula>"CUMPLE"</formula>
    </cfRule>
  </conditionalFormatting>
  <conditionalFormatting sqref="X684:Y693 J684:J693">
    <cfRule type="cellIs" dxfId="5549" priority="5450" stopIfTrue="1" operator="greaterThan">
      <formula>0</formula>
    </cfRule>
  </conditionalFormatting>
  <conditionalFormatting sqref="X684:Y693">
    <cfRule type="cellIs" dxfId="5548" priority="5448" operator="equal">
      <formula>"NO CUMPLE"</formula>
    </cfRule>
    <cfRule type="cellIs" dxfId="5547" priority="5449" operator="equal">
      <formula>"CUMPLE"</formula>
    </cfRule>
  </conditionalFormatting>
  <conditionalFormatting sqref="N701:N706">
    <cfRule type="cellIs" dxfId="5546" priority="5446" operator="equal">
      <formula>"NO"</formula>
    </cfRule>
    <cfRule type="cellIs" dxfId="5545" priority="5447" operator="equal">
      <formula>"SI"</formula>
    </cfRule>
  </conditionalFormatting>
  <conditionalFormatting sqref="I693">
    <cfRule type="cellIs" dxfId="5544" priority="5445" stopIfTrue="1" operator="greaterThan">
      <formula>0</formula>
    </cfRule>
  </conditionalFormatting>
  <conditionalFormatting sqref="K687:L693">
    <cfRule type="cellIs" dxfId="5543" priority="5443" operator="equal">
      <formula>0</formula>
    </cfRule>
    <cfRule type="cellIs" dxfId="5542" priority="5444" operator="notBetween">
      <formula>$Q$17</formula>
      <formula>$R$17</formula>
    </cfRule>
  </conditionalFormatting>
  <conditionalFormatting sqref="B684:B693">
    <cfRule type="cellIs" dxfId="5541" priority="5442" stopIfTrue="1" operator="greaterThan">
      <formula>0</formula>
    </cfRule>
  </conditionalFormatting>
  <conditionalFormatting sqref="C684:D684 D685:D686 C685:C693">
    <cfRule type="cellIs" dxfId="5540" priority="5441" stopIfTrue="1" operator="greaterThan">
      <formula>0</formula>
    </cfRule>
  </conditionalFormatting>
  <conditionalFormatting sqref="C684:D684 F684:H686 D685:D686 C685:C693">
    <cfRule type="cellIs" dxfId="5539" priority="5440" stopIfTrue="1" operator="greaterThan">
      <formula>0</formula>
    </cfRule>
  </conditionalFormatting>
  <conditionalFormatting sqref="T684:V686">
    <cfRule type="cellIs" dxfId="5538" priority="5438" stopIfTrue="1" operator="equal">
      <formula>"NO"</formula>
    </cfRule>
    <cfRule type="cellIs" dxfId="5537" priority="5439" stopIfTrue="1" operator="equal">
      <formula>"SI"</formula>
    </cfRule>
  </conditionalFormatting>
  <conditionalFormatting sqref="T684:V685">
    <cfRule type="cellIs" dxfId="5536" priority="5437" stopIfTrue="1" operator="equal">
      <formula>"NO APLICA"</formula>
    </cfRule>
  </conditionalFormatting>
  <conditionalFormatting sqref="T686:U686">
    <cfRule type="cellIs" dxfId="5535" priority="5436" stopIfTrue="1" operator="equal">
      <formula>"NO APLICA"</formula>
    </cfRule>
  </conditionalFormatting>
  <conditionalFormatting sqref="T686:U686">
    <cfRule type="cellIs" dxfId="5534" priority="5435" stopIfTrue="1" operator="equal">
      <formula>"NO APLICA"</formula>
    </cfRule>
  </conditionalFormatting>
  <conditionalFormatting sqref="V686">
    <cfRule type="cellIs" dxfId="5533" priority="5434" stopIfTrue="1" operator="equal">
      <formula>"NO APLICA"</formula>
    </cfRule>
  </conditionalFormatting>
  <conditionalFormatting sqref="K684:L686">
    <cfRule type="cellIs" dxfId="5532" priority="5432" operator="equal">
      <formula>0</formula>
    </cfRule>
    <cfRule type="cellIs" dxfId="5531" priority="5433" operator="notBetween">
      <formula>$Q$17</formula>
      <formula>$R$17</formula>
    </cfRule>
  </conditionalFormatting>
  <conditionalFormatting sqref="F717:H722 D723:H723 I717:I723 C714:D714 K714:O723 F714:I716 D715:D722 C715:C723">
    <cfRule type="cellIs" dxfId="5530" priority="5431" stopIfTrue="1" operator="greaterThan">
      <formula>0</formula>
    </cfRule>
  </conditionalFormatting>
  <conditionalFormatting sqref="D717:D722">
    <cfRule type="cellIs" dxfId="5529" priority="5430" stopIfTrue="1" operator="greaterThan">
      <formula>0</formula>
    </cfRule>
  </conditionalFormatting>
  <conditionalFormatting sqref="D717:D722 F717:H722">
    <cfRule type="cellIs" dxfId="5528" priority="5429" stopIfTrue="1" operator="greaterThan">
      <formula>0</formula>
    </cfRule>
  </conditionalFormatting>
  <conditionalFormatting sqref="H714:H722">
    <cfRule type="cellIs" dxfId="5527" priority="5428" stopIfTrue="1" operator="greaterThan">
      <formula>0</formula>
    </cfRule>
  </conditionalFormatting>
  <conditionalFormatting sqref="E714:E722">
    <cfRule type="cellIs" dxfId="5526" priority="5427" stopIfTrue="1" operator="greaterThan">
      <formula>0</formula>
    </cfRule>
  </conditionalFormatting>
  <conditionalFormatting sqref="M731:M736 K731:K736">
    <cfRule type="containsText" dxfId="5525" priority="5425" stopIfTrue="1" operator="containsText" text="NO CUMPLE">
      <formula>NOT(ISERROR(SEARCH("NO CUMPLE",K731)))</formula>
    </cfRule>
    <cfRule type="containsText" dxfId="5524" priority="5426" stopIfTrue="1" operator="containsText" text="CUMPLE">
      <formula>NOT(ISERROR(SEARCH("CUMPLE",K731)))</formula>
    </cfRule>
  </conditionalFormatting>
  <conditionalFormatting sqref="S730">
    <cfRule type="cellIs" dxfId="5523" priority="5423" operator="greaterThanOrEqual">
      <formula>NUMMINCONT</formula>
    </cfRule>
    <cfRule type="cellIs" dxfId="5522" priority="5424" operator="lessThan">
      <formula>NUMMINCONT</formula>
    </cfRule>
  </conditionalFormatting>
  <conditionalFormatting sqref="T717:V722">
    <cfRule type="cellIs" dxfId="5521" priority="5421" stopIfTrue="1" operator="equal">
      <formula>"NO"</formula>
    </cfRule>
    <cfRule type="cellIs" dxfId="5520" priority="5422" stopIfTrue="1" operator="equal">
      <formula>"SI"</formula>
    </cfRule>
  </conditionalFormatting>
  <conditionalFormatting sqref="T717:V718">
    <cfRule type="cellIs" dxfId="5519" priority="5420" stopIfTrue="1" operator="equal">
      <formula>"NO APLICA"</formula>
    </cfRule>
  </conditionalFormatting>
  <conditionalFormatting sqref="T719:U722">
    <cfRule type="cellIs" dxfId="5518" priority="5419" stopIfTrue="1" operator="equal">
      <formula>"NO APLICA"</formula>
    </cfRule>
  </conditionalFormatting>
  <conditionalFormatting sqref="T719:U719">
    <cfRule type="cellIs" dxfId="5517" priority="5418" stopIfTrue="1" operator="equal">
      <formula>"NO APLICA"</formula>
    </cfRule>
  </conditionalFormatting>
  <conditionalFormatting sqref="V719:V722">
    <cfRule type="cellIs" dxfId="5516" priority="5417" stopIfTrue="1" operator="equal">
      <formula>"NO APLICA"</formula>
    </cfRule>
  </conditionalFormatting>
  <conditionalFormatting sqref="V728:W728">
    <cfRule type="cellIs" dxfId="5515" priority="5415" operator="equal">
      <formula>"CUMPLE"</formula>
    </cfRule>
    <cfRule type="cellIs" dxfId="5514" priority="5416" operator="equal">
      <formula>"NO CUMPLE"</formula>
    </cfRule>
  </conditionalFormatting>
  <conditionalFormatting sqref="V728:W730">
    <cfRule type="cellIs" dxfId="5513" priority="5414" operator="equal">
      <formula>"VERIFICAR"</formula>
    </cfRule>
  </conditionalFormatting>
  <conditionalFormatting sqref="T723:V723">
    <cfRule type="cellIs" dxfId="5512" priority="5412" stopIfTrue="1" operator="equal">
      <formula>"NO"</formula>
    </cfRule>
    <cfRule type="cellIs" dxfId="5511" priority="5413" stopIfTrue="1" operator="equal">
      <formula>"SI"</formula>
    </cfRule>
  </conditionalFormatting>
  <conditionalFormatting sqref="T723:U723">
    <cfRule type="cellIs" dxfId="5510" priority="5411" stopIfTrue="1" operator="equal">
      <formula>"NO APLICA"</formula>
    </cfRule>
  </conditionalFormatting>
  <conditionalFormatting sqref="V723">
    <cfRule type="cellIs" dxfId="5509" priority="5410" stopIfTrue="1" operator="equal">
      <formula>"NO APLICA"</formula>
    </cfRule>
  </conditionalFormatting>
  <conditionalFormatting sqref="T733">
    <cfRule type="cellIs" dxfId="5508" priority="5408" operator="equal">
      <formula>"CUMPLE"</formula>
    </cfRule>
    <cfRule type="cellIs" dxfId="5507" priority="5409" operator="equal">
      <formula>"NO CUMPLE"</formula>
    </cfRule>
  </conditionalFormatting>
  <conditionalFormatting sqref="T733">
    <cfRule type="cellIs" dxfId="5506" priority="5407" operator="equal">
      <formula>"VERIFICAR"</formula>
    </cfRule>
  </conditionalFormatting>
  <conditionalFormatting sqref="Y731:Y736">
    <cfRule type="cellIs" dxfId="5505" priority="5406" stopIfTrue="1" operator="equal">
      <formula>"NO APLICA"</formula>
    </cfRule>
  </conditionalFormatting>
  <conditionalFormatting sqref="Y736">
    <cfRule type="cellIs" dxfId="5504" priority="5405" stopIfTrue="1" operator="equal">
      <formula>"NO APLICA"</formula>
    </cfRule>
  </conditionalFormatting>
  <conditionalFormatting sqref="X731:Y736">
    <cfRule type="cellIs" dxfId="5503" priority="5403" stopIfTrue="1" operator="equal">
      <formula>"NO"</formula>
    </cfRule>
    <cfRule type="cellIs" dxfId="5502" priority="5404" stopIfTrue="1" operator="equal">
      <formula>"SI"</formula>
    </cfRule>
  </conditionalFormatting>
  <conditionalFormatting sqref="X731:X736">
    <cfRule type="cellIs" dxfId="5501" priority="5402" stopIfTrue="1" operator="equal">
      <formula>"NO APLICA"</formula>
    </cfRule>
  </conditionalFormatting>
  <conditionalFormatting sqref="X732:X735">
    <cfRule type="cellIs" dxfId="5500" priority="5401" stopIfTrue="1" operator="equal">
      <formula>"NO APLICA"</formula>
    </cfRule>
  </conditionalFormatting>
  <conditionalFormatting sqref="X732">
    <cfRule type="cellIs" dxfId="5499" priority="5400" stopIfTrue="1" operator="equal">
      <formula>"NO APLICA"</formula>
    </cfRule>
  </conditionalFormatting>
  <conditionalFormatting sqref="X736">
    <cfRule type="cellIs" dxfId="5498" priority="5399" stopIfTrue="1" operator="equal">
      <formula>"NO APLICA"</formula>
    </cfRule>
  </conditionalFormatting>
  <conditionalFormatting sqref="X736">
    <cfRule type="cellIs" dxfId="5497" priority="5398" stopIfTrue="1" operator="equal">
      <formula>"NO APLICA"</formula>
    </cfRule>
  </conditionalFormatting>
  <conditionalFormatting sqref="AA731:AA736">
    <cfRule type="cellIs" dxfId="5496" priority="5397" stopIfTrue="1" operator="equal">
      <formula>"NO APLICA"</formula>
    </cfRule>
  </conditionalFormatting>
  <conditionalFormatting sqref="AA736">
    <cfRule type="cellIs" dxfId="5495" priority="5396" stopIfTrue="1" operator="equal">
      <formula>"NO APLICA"</formula>
    </cfRule>
  </conditionalFormatting>
  <conditionalFormatting sqref="AA731:AA736">
    <cfRule type="cellIs" dxfId="5494" priority="5394" stopIfTrue="1" operator="equal">
      <formula>"NO"</formula>
    </cfRule>
    <cfRule type="cellIs" dxfId="5493" priority="5395" stopIfTrue="1" operator="equal">
      <formula>"SI"</formula>
    </cfRule>
  </conditionalFormatting>
  <conditionalFormatting sqref="Y731:Z736">
    <cfRule type="cellIs" dxfId="5492" priority="5392" operator="equal">
      <formula>"NO APLICA"</formula>
    </cfRule>
    <cfRule type="cellIs" dxfId="5491" priority="5393" operator="equal">
      <formula>"SI APLICA"</formula>
    </cfRule>
  </conditionalFormatting>
  <conditionalFormatting sqref="AB731:AB737">
    <cfRule type="cellIs" dxfId="5490" priority="5390" operator="equal">
      <formula>"NO APLICA"</formula>
    </cfRule>
    <cfRule type="cellIs" dxfId="5489" priority="5391" operator="equal">
      <formula>"SI APLICA"</formula>
    </cfRule>
  </conditionalFormatting>
  <conditionalFormatting sqref="X737">
    <cfRule type="cellIs" dxfId="5488" priority="5388" operator="equal">
      <formula>"PROPONENTE PLURAL"</formula>
    </cfRule>
    <cfRule type="cellIs" dxfId="5487" priority="5389" operator="equal">
      <formula>"PROPONENTE INDIVIDUAL"</formula>
    </cfRule>
  </conditionalFormatting>
  <conditionalFormatting sqref="Z737:AA737 AA731:AA736">
    <cfRule type="cellIs" dxfId="5486" priority="5386" operator="equal">
      <formula>"NO APLICA"</formula>
    </cfRule>
    <cfRule type="cellIs" dxfId="5485" priority="5387" operator="equal">
      <formula>"SI APLICA"</formula>
    </cfRule>
  </conditionalFormatting>
  <conditionalFormatting sqref="AB731:AB736 Y731:Z736">
    <cfRule type="cellIs" dxfId="5484" priority="5385" operator="equal">
      <formula>""</formula>
    </cfRule>
  </conditionalFormatting>
  <conditionalFormatting sqref="H737">
    <cfRule type="containsText" dxfId="5483" priority="5383" stopIfTrue="1" operator="containsText" text="NO CUMPLE">
      <formula>NOT(ISERROR(SEARCH("NO CUMPLE",H737)))</formula>
    </cfRule>
    <cfRule type="containsText" dxfId="5482" priority="5384" stopIfTrue="1" operator="containsText" text="CUMPLE">
      <formula>NOT(ISERROR(SEARCH("CUMPLE",H737)))</formula>
    </cfRule>
  </conditionalFormatting>
  <conditionalFormatting sqref="J737">
    <cfRule type="containsText" dxfId="5481" priority="5381" stopIfTrue="1" operator="containsText" text="NO CUMPLE">
      <formula>NOT(ISERROR(SEARCH("NO CUMPLE",J737)))</formula>
    </cfRule>
    <cfRule type="containsText" dxfId="5480" priority="5382" stopIfTrue="1" operator="containsText" text="CUMPLE">
      <formula>NOT(ISERROR(SEARCH("CUMPLE",J737)))</formula>
    </cfRule>
  </conditionalFormatting>
  <conditionalFormatting sqref="K737">
    <cfRule type="containsText" dxfId="5479" priority="5379" stopIfTrue="1" operator="containsText" text="NO CUMPLE">
      <formula>NOT(ISERROR(SEARCH("NO CUMPLE",K737)))</formula>
    </cfRule>
    <cfRule type="containsText" dxfId="5478" priority="5380" stopIfTrue="1" operator="containsText" text="CUMPLE">
      <formula>NOT(ISERROR(SEARCH("CUMPLE",K737)))</formula>
    </cfRule>
  </conditionalFormatting>
  <conditionalFormatting sqref="L731:L736">
    <cfRule type="containsText" dxfId="5477" priority="5377" stopIfTrue="1" operator="containsText" text="NO CUMPLE">
      <formula>NOT(ISERROR(SEARCH("NO CUMPLE",L731)))</formula>
    </cfRule>
    <cfRule type="containsText" dxfId="5476" priority="5378" stopIfTrue="1" operator="containsText" text="CUMPLE">
      <formula>NOT(ISERROR(SEARCH("CUMPLE",L731)))</formula>
    </cfRule>
  </conditionalFormatting>
  <conditionalFormatting sqref="O736">
    <cfRule type="containsText" dxfId="5475" priority="5375" stopIfTrue="1" operator="containsText" text="NO CUMPLE">
      <formula>NOT(ISERROR(SEARCH("NO CUMPLE",O736)))</formula>
    </cfRule>
    <cfRule type="containsText" dxfId="5474" priority="5376" stopIfTrue="1" operator="containsText" text="CUMPLE">
      <formula>NOT(ISERROR(SEARCH("CUMPLE",O736)))</formula>
    </cfRule>
  </conditionalFormatting>
  <conditionalFormatting sqref="O737:S737">
    <cfRule type="cellIs" dxfId="5473" priority="5374" operator="equal">
      <formula>"EL PROPONENTE SE DEBE REQUERIR POR EXPERIENCIA MINIMA EXIGIDA"</formula>
    </cfRule>
  </conditionalFormatting>
  <conditionalFormatting sqref="X725">
    <cfRule type="cellIs" dxfId="5472" priority="5371" stopIfTrue="1" operator="equal">
      <formula>"VERIFICAR"</formula>
    </cfRule>
    <cfRule type="cellIs" dxfId="5471" priority="5372" stopIfTrue="1" operator="equal">
      <formula>"NO CUMPLE"</formula>
    </cfRule>
    <cfRule type="cellIs" dxfId="5470" priority="5373" stopIfTrue="1" operator="equal">
      <formula>"CUMPLE"</formula>
    </cfRule>
  </conditionalFormatting>
  <conditionalFormatting sqref="X714:Y723 J714:J723">
    <cfRule type="cellIs" dxfId="5469" priority="5370" stopIfTrue="1" operator="greaterThan">
      <formula>0</formula>
    </cfRule>
  </conditionalFormatting>
  <conditionalFormatting sqref="X714:Y723">
    <cfRule type="cellIs" dxfId="5468" priority="5368" operator="equal">
      <formula>"NO CUMPLE"</formula>
    </cfRule>
    <cfRule type="cellIs" dxfId="5467" priority="5369" operator="equal">
      <formula>"CUMPLE"</formula>
    </cfRule>
  </conditionalFormatting>
  <conditionalFormatting sqref="N731:N736">
    <cfRule type="cellIs" dxfId="5466" priority="5366" operator="equal">
      <formula>"NO"</formula>
    </cfRule>
    <cfRule type="cellIs" dxfId="5465" priority="5367" operator="equal">
      <formula>"SI"</formula>
    </cfRule>
  </conditionalFormatting>
  <conditionalFormatting sqref="I723">
    <cfRule type="cellIs" dxfId="5464" priority="5365" stopIfTrue="1" operator="greaterThan">
      <formula>0</formula>
    </cfRule>
  </conditionalFormatting>
  <conditionalFormatting sqref="K717:L723">
    <cfRule type="cellIs" dxfId="5463" priority="5363" operator="equal">
      <formula>0</formula>
    </cfRule>
    <cfRule type="cellIs" dxfId="5462" priority="5364" operator="notBetween">
      <formula>$Q$17</formula>
      <formula>$R$17</formula>
    </cfRule>
  </conditionalFormatting>
  <conditionalFormatting sqref="B714:B723">
    <cfRule type="cellIs" dxfId="5461" priority="5362" stopIfTrue="1" operator="greaterThan">
      <formula>0</formula>
    </cfRule>
  </conditionalFormatting>
  <conditionalFormatting sqref="C714:D714 D715:D716 C715:C723">
    <cfRule type="cellIs" dxfId="5460" priority="5361" stopIfTrue="1" operator="greaterThan">
      <formula>0</formula>
    </cfRule>
  </conditionalFormatting>
  <conditionalFormatting sqref="C714:D714 F714:H716 D715:D716 C715:C723">
    <cfRule type="cellIs" dxfId="5459" priority="5360" stopIfTrue="1" operator="greaterThan">
      <formula>0</formula>
    </cfRule>
  </conditionalFormatting>
  <conditionalFormatting sqref="T714:V716">
    <cfRule type="cellIs" dxfId="5458" priority="5358" stopIfTrue="1" operator="equal">
      <formula>"NO"</formula>
    </cfRule>
    <cfRule type="cellIs" dxfId="5457" priority="5359" stopIfTrue="1" operator="equal">
      <formula>"SI"</formula>
    </cfRule>
  </conditionalFormatting>
  <conditionalFormatting sqref="T714:V715">
    <cfRule type="cellIs" dxfId="5456" priority="5357" stopIfTrue="1" operator="equal">
      <formula>"NO APLICA"</formula>
    </cfRule>
  </conditionalFormatting>
  <conditionalFormatting sqref="T716:U716">
    <cfRule type="cellIs" dxfId="5455" priority="5356" stopIfTrue="1" operator="equal">
      <formula>"NO APLICA"</formula>
    </cfRule>
  </conditionalFormatting>
  <conditionalFormatting sqref="T716:U716">
    <cfRule type="cellIs" dxfId="5454" priority="5355" stopIfTrue="1" operator="equal">
      <formula>"NO APLICA"</formula>
    </cfRule>
  </conditionalFormatting>
  <conditionalFormatting sqref="V716">
    <cfRule type="cellIs" dxfId="5453" priority="5354" stopIfTrue="1" operator="equal">
      <formula>"NO APLICA"</formula>
    </cfRule>
  </conditionalFormatting>
  <conditionalFormatting sqref="K714:L716">
    <cfRule type="cellIs" dxfId="5452" priority="5352" operator="equal">
      <formula>0</formula>
    </cfRule>
    <cfRule type="cellIs" dxfId="5451" priority="5353" operator="notBetween">
      <formula>$Q$17</formula>
      <formula>$R$17</formula>
    </cfRule>
  </conditionalFormatting>
  <conditionalFormatting sqref="D753:H753 I747:I753 K744:O753 F744:I746 C750:C753 D750:D752 F747:H752 C744:D749">
    <cfRule type="cellIs" dxfId="5450" priority="5351" stopIfTrue="1" operator="greaterThan">
      <formula>0</formula>
    </cfRule>
  </conditionalFormatting>
  <conditionalFormatting sqref="D747:D752">
    <cfRule type="cellIs" dxfId="5449" priority="5350" stopIfTrue="1" operator="greaterThan">
      <formula>0</formula>
    </cfRule>
  </conditionalFormatting>
  <conditionalFormatting sqref="D747:D752 F747:H752">
    <cfRule type="cellIs" dxfId="5448" priority="5349" stopIfTrue="1" operator="greaterThan">
      <formula>0</formula>
    </cfRule>
  </conditionalFormatting>
  <conditionalFormatting sqref="H744:H752">
    <cfRule type="cellIs" dxfId="5447" priority="5348" stopIfTrue="1" operator="greaterThan">
      <formula>0</formula>
    </cfRule>
  </conditionalFormatting>
  <conditionalFormatting sqref="E744:E752">
    <cfRule type="cellIs" dxfId="5446" priority="5347" stopIfTrue="1" operator="greaterThan">
      <formula>0</formula>
    </cfRule>
  </conditionalFormatting>
  <conditionalFormatting sqref="M761:M766 K761:K766">
    <cfRule type="containsText" dxfId="5445" priority="5345" stopIfTrue="1" operator="containsText" text="NO CUMPLE">
      <formula>NOT(ISERROR(SEARCH("NO CUMPLE",K761)))</formula>
    </cfRule>
    <cfRule type="containsText" dxfId="5444" priority="5346" stopIfTrue="1" operator="containsText" text="CUMPLE">
      <formula>NOT(ISERROR(SEARCH("CUMPLE",K761)))</formula>
    </cfRule>
  </conditionalFormatting>
  <conditionalFormatting sqref="S760">
    <cfRule type="cellIs" dxfId="5443" priority="5343" operator="greaterThanOrEqual">
      <formula>NUMMINCONT</formula>
    </cfRule>
    <cfRule type="cellIs" dxfId="5442" priority="5344" operator="lessThan">
      <formula>NUMMINCONT</formula>
    </cfRule>
  </conditionalFormatting>
  <conditionalFormatting sqref="T747:V752">
    <cfRule type="cellIs" dxfId="5441" priority="5341" stopIfTrue="1" operator="equal">
      <formula>"NO"</formula>
    </cfRule>
    <cfRule type="cellIs" dxfId="5440" priority="5342" stopIfTrue="1" operator="equal">
      <formula>"SI"</formula>
    </cfRule>
  </conditionalFormatting>
  <conditionalFormatting sqref="T747:V748">
    <cfRule type="cellIs" dxfId="5439" priority="5340" stopIfTrue="1" operator="equal">
      <formula>"NO APLICA"</formula>
    </cfRule>
  </conditionalFormatting>
  <conditionalFormatting sqref="T749:U752">
    <cfRule type="cellIs" dxfId="5438" priority="5339" stopIfTrue="1" operator="equal">
      <formula>"NO APLICA"</formula>
    </cfRule>
  </conditionalFormatting>
  <conditionalFormatting sqref="T749:U749">
    <cfRule type="cellIs" dxfId="5437" priority="5338" stopIfTrue="1" operator="equal">
      <formula>"NO APLICA"</formula>
    </cfRule>
  </conditionalFormatting>
  <conditionalFormatting sqref="V749:V752">
    <cfRule type="cellIs" dxfId="5436" priority="5337" stopIfTrue="1" operator="equal">
      <formula>"NO APLICA"</formula>
    </cfRule>
  </conditionalFormatting>
  <conditionalFormatting sqref="V758:W758">
    <cfRule type="cellIs" dxfId="5435" priority="5335" operator="equal">
      <formula>"CUMPLE"</formula>
    </cfRule>
    <cfRule type="cellIs" dxfId="5434" priority="5336" operator="equal">
      <formula>"NO CUMPLE"</formula>
    </cfRule>
  </conditionalFormatting>
  <conditionalFormatting sqref="V758:W760">
    <cfRule type="cellIs" dxfId="5433" priority="5334" operator="equal">
      <formula>"VERIFICAR"</formula>
    </cfRule>
  </conditionalFormatting>
  <conditionalFormatting sqref="T753:V753">
    <cfRule type="cellIs" dxfId="5432" priority="5332" stopIfTrue="1" operator="equal">
      <formula>"NO"</formula>
    </cfRule>
    <cfRule type="cellIs" dxfId="5431" priority="5333" stopIfTrue="1" operator="equal">
      <formula>"SI"</formula>
    </cfRule>
  </conditionalFormatting>
  <conditionalFormatting sqref="T753:U753">
    <cfRule type="cellIs" dxfId="5430" priority="5331" stopIfTrue="1" operator="equal">
      <formula>"NO APLICA"</formula>
    </cfRule>
  </conditionalFormatting>
  <conditionalFormatting sqref="V753">
    <cfRule type="cellIs" dxfId="5429" priority="5330" stopIfTrue="1" operator="equal">
      <formula>"NO APLICA"</formula>
    </cfRule>
  </conditionalFormatting>
  <conditionalFormatting sqref="T763">
    <cfRule type="cellIs" dxfId="5428" priority="5328" operator="equal">
      <formula>"CUMPLE"</formula>
    </cfRule>
    <cfRule type="cellIs" dxfId="5427" priority="5329" operator="equal">
      <formula>"NO CUMPLE"</formula>
    </cfRule>
  </conditionalFormatting>
  <conditionalFormatting sqref="T763">
    <cfRule type="cellIs" dxfId="5426" priority="5327" operator="equal">
      <formula>"VERIFICAR"</formula>
    </cfRule>
  </conditionalFormatting>
  <conditionalFormatting sqref="Y761:Y766">
    <cfRule type="cellIs" dxfId="5425" priority="5326" stopIfTrue="1" operator="equal">
      <formula>"NO APLICA"</formula>
    </cfRule>
  </conditionalFormatting>
  <conditionalFormatting sqref="Y766">
    <cfRule type="cellIs" dxfId="5424" priority="5325" stopIfTrue="1" operator="equal">
      <formula>"NO APLICA"</formula>
    </cfRule>
  </conditionalFormatting>
  <conditionalFormatting sqref="X761:Y766">
    <cfRule type="cellIs" dxfId="5423" priority="5323" stopIfTrue="1" operator="equal">
      <formula>"NO"</formula>
    </cfRule>
    <cfRule type="cellIs" dxfId="5422" priority="5324" stopIfTrue="1" operator="equal">
      <formula>"SI"</formula>
    </cfRule>
  </conditionalFormatting>
  <conditionalFormatting sqref="X761:X766">
    <cfRule type="cellIs" dxfId="5421" priority="5322" stopIfTrue="1" operator="equal">
      <formula>"NO APLICA"</formula>
    </cfRule>
  </conditionalFormatting>
  <conditionalFormatting sqref="X762:X765">
    <cfRule type="cellIs" dxfId="5420" priority="5321" stopIfTrue="1" operator="equal">
      <formula>"NO APLICA"</formula>
    </cfRule>
  </conditionalFormatting>
  <conditionalFormatting sqref="X762">
    <cfRule type="cellIs" dxfId="5419" priority="5320" stopIfTrue="1" operator="equal">
      <formula>"NO APLICA"</formula>
    </cfRule>
  </conditionalFormatting>
  <conditionalFormatting sqref="X766">
    <cfRule type="cellIs" dxfId="5418" priority="5319" stopIfTrue="1" operator="equal">
      <formula>"NO APLICA"</formula>
    </cfRule>
  </conditionalFormatting>
  <conditionalFormatting sqref="X766">
    <cfRule type="cellIs" dxfId="5417" priority="5318" stopIfTrue="1" operator="equal">
      <formula>"NO APLICA"</formula>
    </cfRule>
  </conditionalFormatting>
  <conditionalFormatting sqref="AA761:AA766">
    <cfRule type="cellIs" dxfId="5416" priority="5317" stopIfTrue="1" operator="equal">
      <formula>"NO APLICA"</formula>
    </cfRule>
  </conditionalFormatting>
  <conditionalFormatting sqref="AA766">
    <cfRule type="cellIs" dxfId="5415" priority="5316" stopIfTrue="1" operator="equal">
      <formula>"NO APLICA"</formula>
    </cfRule>
  </conditionalFormatting>
  <conditionalFormatting sqref="AA761:AA766">
    <cfRule type="cellIs" dxfId="5414" priority="5314" stopIfTrue="1" operator="equal">
      <formula>"NO"</formula>
    </cfRule>
    <cfRule type="cellIs" dxfId="5413" priority="5315" stopIfTrue="1" operator="equal">
      <formula>"SI"</formula>
    </cfRule>
  </conditionalFormatting>
  <conditionalFormatting sqref="Y761:Z766">
    <cfRule type="cellIs" dxfId="5412" priority="5312" operator="equal">
      <formula>"NO APLICA"</formula>
    </cfRule>
    <cfRule type="cellIs" dxfId="5411" priority="5313" operator="equal">
      <formula>"SI APLICA"</formula>
    </cfRule>
  </conditionalFormatting>
  <conditionalFormatting sqref="AB761:AB767">
    <cfRule type="cellIs" dxfId="5410" priority="5310" operator="equal">
      <formula>"NO APLICA"</formula>
    </cfRule>
    <cfRule type="cellIs" dxfId="5409" priority="5311" operator="equal">
      <formula>"SI APLICA"</formula>
    </cfRule>
  </conditionalFormatting>
  <conditionalFormatting sqref="X767">
    <cfRule type="cellIs" dxfId="5408" priority="5308" operator="equal">
      <formula>"PROPONENTE PLURAL"</formula>
    </cfRule>
    <cfRule type="cellIs" dxfId="5407" priority="5309" operator="equal">
      <formula>"PROPONENTE INDIVIDUAL"</formula>
    </cfRule>
  </conditionalFormatting>
  <conditionalFormatting sqref="Z767:AA767 AA761:AA766">
    <cfRule type="cellIs" dxfId="5406" priority="5306" operator="equal">
      <formula>"NO APLICA"</formula>
    </cfRule>
    <cfRule type="cellIs" dxfId="5405" priority="5307" operator="equal">
      <formula>"SI APLICA"</formula>
    </cfRule>
  </conditionalFormatting>
  <conditionalFormatting sqref="AB761:AB766 Y761:Z766">
    <cfRule type="cellIs" dxfId="5404" priority="5305" operator="equal">
      <formula>""</formula>
    </cfRule>
  </conditionalFormatting>
  <conditionalFormatting sqref="H767">
    <cfRule type="containsText" dxfId="5403" priority="5303" stopIfTrue="1" operator="containsText" text="NO CUMPLE">
      <formula>NOT(ISERROR(SEARCH("NO CUMPLE",H767)))</formula>
    </cfRule>
    <cfRule type="containsText" dxfId="5402" priority="5304" stopIfTrue="1" operator="containsText" text="CUMPLE">
      <formula>NOT(ISERROR(SEARCH("CUMPLE",H767)))</formula>
    </cfRule>
  </conditionalFormatting>
  <conditionalFormatting sqref="J767">
    <cfRule type="containsText" dxfId="5401" priority="5301" stopIfTrue="1" operator="containsText" text="NO CUMPLE">
      <formula>NOT(ISERROR(SEARCH("NO CUMPLE",J767)))</formula>
    </cfRule>
    <cfRule type="containsText" dxfId="5400" priority="5302" stopIfTrue="1" operator="containsText" text="CUMPLE">
      <formula>NOT(ISERROR(SEARCH("CUMPLE",J767)))</formula>
    </cfRule>
  </conditionalFormatting>
  <conditionalFormatting sqref="K767">
    <cfRule type="containsText" dxfId="5399" priority="5299" stopIfTrue="1" operator="containsText" text="NO CUMPLE">
      <formula>NOT(ISERROR(SEARCH("NO CUMPLE",K767)))</formula>
    </cfRule>
    <cfRule type="containsText" dxfId="5398" priority="5300" stopIfTrue="1" operator="containsText" text="CUMPLE">
      <formula>NOT(ISERROR(SEARCH("CUMPLE",K767)))</formula>
    </cfRule>
  </conditionalFormatting>
  <conditionalFormatting sqref="L761:L766">
    <cfRule type="containsText" dxfId="5397" priority="5297" stopIfTrue="1" operator="containsText" text="NO CUMPLE">
      <formula>NOT(ISERROR(SEARCH("NO CUMPLE",L761)))</formula>
    </cfRule>
    <cfRule type="containsText" dxfId="5396" priority="5298" stopIfTrue="1" operator="containsText" text="CUMPLE">
      <formula>NOT(ISERROR(SEARCH("CUMPLE",L761)))</formula>
    </cfRule>
  </conditionalFormatting>
  <conditionalFormatting sqref="O766">
    <cfRule type="containsText" dxfId="5395" priority="5295" stopIfTrue="1" operator="containsText" text="NO CUMPLE">
      <formula>NOT(ISERROR(SEARCH("NO CUMPLE",O766)))</formula>
    </cfRule>
    <cfRule type="containsText" dxfId="5394" priority="5296" stopIfTrue="1" operator="containsText" text="CUMPLE">
      <formula>NOT(ISERROR(SEARCH("CUMPLE",O766)))</formula>
    </cfRule>
  </conditionalFormatting>
  <conditionalFormatting sqref="O767:S767">
    <cfRule type="cellIs" dxfId="5393" priority="5294" operator="equal">
      <formula>"EL PROPONENTE SE DEBE REQUERIR POR EXPERIENCIA MINIMA EXIGIDA"</formula>
    </cfRule>
  </conditionalFormatting>
  <conditionalFormatting sqref="X755">
    <cfRule type="cellIs" dxfId="5392" priority="5291" stopIfTrue="1" operator="equal">
      <formula>"VERIFICAR"</formula>
    </cfRule>
    <cfRule type="cellIs" dxfId="5391" priority="5292" stopIfTrue="1" operator="equal">
      <formula>"NO CUMPLE"</formula>
    </cfRule>
    <cfRule type="cellIs" dxfId="5390" priority="5293" stopIfTrue="1" operator="equal">
      <formula>"CUMPLE"</formula>
    </cfRule>
  </conditionalFormatting>
  <conditionalFormatting sqref="X744:Y753 J744:J753">
    <cfRule type="cellIs" dxfId="5389" priority="5290" stopIfTrue="1" operator="greaterThan">
      <formula>0</formula>
    </cfRule>
  </conditionalFormatting>
  <conditionalFormatting sqref="X744:Y753">
    <cfRule type="cellIs" dxfId="5388" priority="5288" operator="equal">
      <formula>"NO CUMPLE"</formula>
    </cfRule>
    <cfRule type="cellIs" dxfId="5387" priority="5289" operator="equal">
      <formula>"CUMPLE"</formula>
    </cfRule>
  </conditionalFormatting>
  <conditionalFormatting sqref="N761:N766">
    <cfRule type="cellIs" dxfId="5386" priority="5286" operator="equal">
      <formula>"NO"</formula>
    </cfRule>
    <cfRule type="cellIs" dxfId="5385" priority="5287" operator="equal">
      <formula>"SI"</formula>
    </cfRule>
  </conditionalFormatting>
  <conditionalFormatting sqref="I753">
    <cfRule type="cellIs" dxfId="5384" priority="5285" stopIfTrue="1" operator="greaterThan">
      <formula>0</formula>
    </cfRule>
  </conditionalFormatting>
  <conditionalFormatting sqref="K747:L753">
    <cfRule type="cellIs" dxfId="5383" priority="5283" operator="equal">
      <formula>0</formula>
    </cfRule>
    <cfRule type="cellIs" dxfId="5382" priority="5284" operator="notBetween">
      <formula>$Q$17</formula>
      <formula>$R$17</formula>
    </cfRule>
  </conditionalFormatting>
  <conditionalFormatting sqref="B744:B753">
    <cfRule type="cellIs" dxfId="5381" priority="5282" stopIfTrue="1" operator="greaterThan">
      <formula>0</formula>
    </cfRule>
  </conditionalFormatting>
  <conditionalFormatting sqref="C744:D744 D745:D746 C745:C753">
    <cfRule type="cellIs" dxfId="5380" priority="5281" stopIfTrue="1" operator="greaterThan">
      <formula>0</formula>
    </cfRule>
  </conditionalFormatting>
  <conditionalFormatting sqref="C744:D744 F744:H746 D745:D746 C745:C753">
    <cfRule type="cellIs" dxfId="5379" priority="5280" stopIfTrue="1" operator="greaterThan">
      <formula>0</formula>
    </cfRule>
  </conditionalFormatting>
  <conditionalFormatting sqref="T744:V746">
    <cfRule type="cellIs" dxfId="5378" priority="5278" stopIfTrue="1" operator="equal">
      <formula>"NO"</formula>
    </cfRule>
    <cfRule type="cellIs" dxfId="5377" priority="5279" stopIfTrue="1" operator="equal">
      <formula>"SI"</formula>
    </cfRule>
  </conditionalFormatting>
  <conditionalFormatting sqref="T744:V745">
    <cfRule type="cellIs" dxfId="5376" priority="5277" stopIfTrue="1" operator="equal">
      <formula>"NO APLICA"</formula>
    </cfRule>
  </conditionalFormatting>
  <conditionalFormatting sqref="T746:U746">
    <cfRule type="cellIs" dxfId="5375" priority="5276" stopIfTrue="1" operator="equal">
      <formula>"NO APLICA"</formula>
    </cfRule>
  </conditionalFormatting>
  <conditionalFormatting sqref="T746:U746">
    <cfRule type="cellIs" dxfId="5374" priority="5275" stopIfTrue="1" operator="equal">
      <formula>"NO APLICA"</formula>
    </cfRule>
  </conditionalFormatting>
  <conditionalFormatting sqref="V746">
    <cfRule type="cellIs" dxfId="5373" priority="5274" stopIfTrue="1" operator="equal">
      <formula>"NO APLICA"</formula>
    </cfRule>
  </conditionalFormatting>
  <conditionalFormatting sqref="K744:L746">
    <cfRule type="cellIs" dxfId="5372" priority="5272" operator="equal">
      <formula>0</formula>
    </cfRule>
    <cfRule type="cellIs" dxfId="5371" priority="5273" operator="notBetween">
      <formula>$Q$17</formula>
      <formula>$R$17</formula>
    </cfRule>
  </conditionalFormatting>
  <conditionalFormatting sqref="F777:H782 D783:H783 I777:I783 C774:D774 K774:O783 F774:I776 D775:D782 C775:C783">
    <cfRule type="cellIs" dxfId="5370" priority="5271" stopIfTrue="1" operator="greaterThan">
      <formula>0</formula>
    </cfRule>
  </conditionalFormatting>
  <conditionalFormatting sqref="D777:D782">
    <cfRule type="cellIs" dxfId="5369" priority="5270" stopIfTrue="1" operator="greaterThan">
      <formula>0</formula>
    </cfRule>
  </conditionalFormatting>
  <conditionalFormatting sqref="D777:D782 F777:H782">
    <cfRule type="cellIs" dxfId="5368" priority="5269" stopIfTrue="1" operator="greaterThan">
      <formula>0</formula>
    </cfRule>
  </conditionalFormatting>
  <conditionalFormatting sqref="H774:H782">
    <cfRule type="cellIs" dxfId="5367" priority="5268" stopIfTrue="1" operator="greaterThan">
      <formula>0</formula>
    </cfRule>
  </conditionalFormatting>
  <conditionalFormatting sqref="E774:E782">
    <cfRule type="cellIs" dxfId="5366" priority="5267" stopIfTrue="1" operator="greaterThan">
      <formula>0</formula>
    </cfRule>
  </conditionalFormatting>
  <conditionalFormatting sqref="M791:M796 K791:K796">
    <cfRule type="containsText" dxfId="5365" priority="5265" stopIfTrue="1" operator="containsText" text="NO CUMPLE">
      <formula>NOT(ISERROR(SEARCH("NO CUMPLE",K791)))</formula>
    </cfRule>
    <cfRule type="containsText" dxfId="5364" priority="5266" stopIfTrue="1" operator="containsText" text="CUMPLE">
      <formula>NOT(ISERROR(SEARCH("CUMPLE",K791)))</formula>
    </cfRule>
  </conditionalFormatting>
  <conditionalFormatting sqref="S790">
    <cfRule type="cellIs" dxfId="5363" priority="5263" operator="greaterThanOrEqual">
      <formula>NUMMINCONT</formula>
    </cfRule>
    <cfRule type="cellIs" dxfId="5362" priority="5264" operator="lessThan">
      <formula>NUMMINCONT</formula>
    </cfRule>
  </conditionalFormatting>
  <conditionalFormatting sqref="T777:V782">
    <cfRule type="cellIs" dxfId="5361" priority="5261" stopIfTrue="1" operator="equal">
      <formula>"NO"</formula>
    </cfRule>
    <cfRule type="cellIs" dxfId="5360" priority="5262" stopIfTrue="1" operator="equal">
      <formula>"SI"</formula>
    </cfRule>
  </conditionalFormatting>
  <conditionalFormatting sqref="T777:V778">
    <cfRule type="cellIs" dxfId="5359" priority="5260" stopIfTrue="1" operator="equal">
      <formula>"NO APLICA"</formula>
    </cfRule>
  </conditionalFormatting>
  <conditionalFormatting sqref="T779:U782">
    <cfRule type="cellIs" dxfId="5358" priority="5259" stopIfTrue="1" operator="equal">
      <formula>"NO APLICA"</formula>
    </cfRule>
  </conditionalFormatting>
  <conditionalFormatting sqref="T779:U779">
    <cfRule type="cellIs" dxfId="5357" priority="5258" stopIfTrue="1" operator="equal">
      <formula>"NO APLICA"</formula>
    </cfRule>
  </conditionalFormatting>
  <conditionalFormatting sqref="V779:V782">
    <cfRule type="cellIs" dxfId="5356" priority="5257" stopIfTrue="1" operator="equal">
      <formula>"NO APLICA"</formula>
    </cfRule>
  </conditionalFormatting>
  <conditionalFormatting sqref="V788:W788">
    <cfRule type="cellIs" dxfId="5355" priority="5255" operator="equal">
      <formula>"CUMPLE"</formula>
    </cfRule>
    <cfRule type="cellIs" dxfId="5354" priority="5256" operator="equal">
      <formula>"NO CUMPLE"</formula>
    </cfRule>
  </conditionalFormatting>
  <conditionalFormatting sqref="V788:W790">
    <cfRule type="cellIs" dxfId="5353" priority="5254" operator="equal">
      <formula>"VERIFICAR"</formula>
    </cfRule>
  </conditionalFormatting>
  <conditionalFormatting sqref="T783:V783">
    <cfRule type="cellIs" dxfId="5352" priority="5252" stopIfTrue="1" operator="equal">
      <formula>"NO"</formula>
    </cfRule>
    <cfRule type="cellIs" dxfId="5351" priority="5253" stopIfTrue="1" operator="equal">
      <formula>"SI"</formula>
    </cfRule>
  </conditionalFormatting>
  <conditionalFormatting sqref="T783:U783">
    <cfRule type="cellIs" dxfId="5350" priority="5251" stopIfTrue="1" operator="equal">
      <formula>"NO APLICA"</formula>
    </cfRule>
  </conditionalFormatting>
  <conditionalFormatting sqref="V783">
    <cfRule type="cellIs" dxfId="5349" priority="5250" stopIfTrue="1" operator="equal">
      <formula>"NO APLICA"</formula>
    </cfRule>
  </conditionalFormatting>
  <conditionalFormatting sqref="T793">
    <cfRule type="cellIs" dxfId="5348" priority="5248" operator="equal">
      <formula>"CUMPLE"</formula>
    </cfRule>
    <cfRule type="cellIs" dxfId="5347" priority="5249" operator="equal">
      <formula>"NO CUMPLE"</formula>
    </cfRule>
  </conditionalFormatting>
  <conditionalFormatting sqref="T793">
    <cfRule type="cellIs" dxfId="5346" priority="5247" operator="equal">
      <formula>"VERIFICAR"</formula>
    </cfRule>
  </conditionalFormatting>
  <conditionalFormatting sqref="Y791:Y796">
    <cfRule type="cellIs" dxfId="5345" priority="5246" stopIfTrue="1" operator="equal">
      <formula>"NO APLICA"</formula>
    </cfRule>
  </conditionalFormatting>
  <conditionalFormatting sqref="Y796">
    <cfRule type="cellIs" dxfId="5344" priority="5245" stopIfTrue="1" operator="equal">
      <formula>"NO APLICA"</formula>
    </cfRule>
  </conditionalFormatting>
  <conditionalFormatting sqref="X791:Y796">
    <cfRule type="cellIs" dxfId="5343" priority="5243" stopIfTrue="1" operator="equal">
      <formula>"NO"</formula>
    </cfRule>
    <cfRule type="cellIs" dxfId="5342" priority="5244" stopIfTrue="1" operator="equal">
      <formula>"SI"</formula>
    </cfRule>
  </conditionalFormatting>
  <conditionalFormatting sqref="X791:X796">
    <cfRule type="cellIs" dxfId="5341" priority="5242" stopIfTrue="1" operator="equal">
      <formula>"NO APLICA"</formula>
    </cfRule>
  </conditionalFormatting>
  <conditionalFormatting sqref="X792:X795">
    <cfRule type="cellIs" dxfId="5340" priority="5241" stopIfTrue="1" operator="equal">
      <formula>"NO APLICA"</formula>
    </cfRule>
  </conditionalFormatting>
  <conditionalFormatting sqref="X792">
    <cfRule type="cellIs" dxfId="5339" priority="5240" stopIfTrue="1" operator="equal">
      <formula>"NO APLICA"</formula>
    </cfRule>
  </conditionalFormatting>
  <conditionalFormatting sqref="X796">
    <cfRule type="cellIs" dxfId="5338" priority="5239" stopIfTrue="1" operator="equal">
      <formula>"NO APLICA"</formula>
    </cfRule>
  </conditionalFormatting>
  <conditionalFormatting sqref="X796">
    <cfRule type="cellIs" dxfId="5337" priority="5238" stopIfTrue="1" operator="equal">
      <formula>"NO APLICA"</formula>
    </cfRule>
  </conditionalFormatting>
  <conditionalFormatting sqref="AA791:AA796">
    <cfRule type="cellIs" dxfId="5336" priority="5237" stopIfTrue="1" operator="equal">
      <formula>"NO APLICA"</formula>
    </cfRule>
  </conditionalFormatting>
  <conditionalFormatting sqref="AA796">
    <cfRule type="cellIs" dxfId="5335" priority="5236" stopIfTrue="1" operator="equal">
      <formula>"NO APLICA"</formula>
    </cfRule>
  </conditionalFormatting>
  <conditionalFormatting sqref="AA791:AA796">
    <cfRule type="cellIs" dxfId="5334" priority="5234" stopIfTrue="1" operator="equal">
      <formula>"NO"</formula>
    </cfRule>
    <cfRule type="cellIs" dxfId="5333" priority="5235" stopIfTrue="1" operator="equal">
      <formula>"SI"</formula>
    </cfRule>
  </conditionalFormatting>
  <conditionalFormatting sqref="Y791:Z796">
    <cfRule type="cellIs" dxfId="5332" priority="5232" operator="equal">
      <formula>"NO APLICA"</formula>
    </cfRule>
    <cfRule type="cellIs" dxfId="5331" priority="5233" operator="equal">
      <formula>"SI APLICA"</formula>
    </cfRule>
  </conditionalFormatting>
  <conditionalFormatting sqref="AB791:AB797">
    <cfRule type="cellIs" dxfId="5330" priority="5230" operator="equal">
      <formula>"NO APLICA"</formula>
    </cfRule>
    <cfRule type="cellIs" dxfId="5329" priority="5231" operator="equal">
      <formula>"SI APLICA"</formula>
    </cfRule>
  </conditionalFormatting>
  <conditionalFormatting sqref="X797">
    <cfRule type="cellIs" dxfId="5328" priority="5228" operator="equal">
      <formula>"PROPONENTE PLURAL"</formula>
    </cfRule>
    <cfRule type="cellIs" dxfId="5327" priority="5229" operator="equal">
      <formula>"PROPONENTE INDIVIDUAL"</formula>
    </cfRule>
  </conditionalFormatting>
  <conditionalFormatting sqref="Z797:AA797 AA791:AA796">
    <cfRule type="cellIs" dxfId="5326" priority="5226" operator="equal">
      <formula>"NO APLICA"</formula>
    </cfRule>
    <cfRule type="cellIs" dxfId="5325" priority="5227" operator="equal">
      <formula>"SI APLICA"</formula>
    </cfRule>
  </conditionalFormatting>
  <conditionalFormatting sqref="AB791:AB796 Y791:Z796">
    <cfRule type="cellIs" dxfId="5324" priority="5225" operator="equal">
      <formula>""</formula>
    </cfRule>
  </conditionalFormatting>
  <conditionalFormatting sqref="H797">
    <cfRule type="containsText" dxfId="5323" priority="5223" stopIfTrue="1" operator="containsText" text="NO CUMPLE">
      <formula>NOT(ISERROR(SEARCH("NO CUMPLE",H797)))</formula>
    </cfRule>
    <cfRule type="containsText" dxfId="5322" priority="5224" stopIfTrue="1" operator="containsText" text="CUMPLE">
      <formula>NOT(ISERROR(SEARCH("CUMPLE",H797)))</formula>
    </cfRule>
  </conditionalFormatting>
  <conditionalFormatting sqref="J797">
    <cfRule type="containsText" dxfId="5321" priority="5221" stopIfTrue="1" operator="containsText" text="NO CUMPLE">
      <formula>NOT(ISERROR(SEARCH("NO CUMPLE",J797)))</formula>
    </cfRule>
    <cfRule type="containsText" dxfId="5320" priority="5222" stopIfTrue="1" operator="containsText" text="CUMPLE">
      <formula>NOT(ISERROR(SEARCH("CUMPLE",J797)))</formula>
    </cfRule>
  </conditionalFormatting>
  <conditionalFormatting sqref="K797">
    <cfRule type="containsText" dxfId="5319" priority="5219" stopIfTrue="1" operator="containsText" text="NO CUMPLE">
      <formula>NOT(ISERROR(SEARCH("NO CUMPLE",K797)))</formula>
    </cfRule>
    <cfRule type="containsText" dxfId="5318" priority="5220" stopIfTrue="1" operator="containsText" text="CUMPLE">
      <formula>NOT(ISERROR(SEARCH("CUMPLE",K797)))</formula>
    </cfRule>
  </conditionalFormatting>
  <conditionalFormatting sqref="L791:L796">
    <cfRule type="containsText" dxfId="5317" priority="5217" stopIfTrue="1" operator="containsText" text="NO CUMPLE">
      <formula>NOT(ISERROR(SEARCH("NO CUMPLE",L791)))</formula>
    </cfRule>
    <cfRule type="containsText" dxfId="5316" priority="5218" stopIfTrue="1" operator="containsText" text="CUMPLE">
      <formula>NOT(ISERROR(SEARCH("CUMPLE",L791)))</formula>
    </cfRule>
  </conditionalFormatting>
  <conditionalFormatting sqref="O796">
    <cfRule type="containsText" dxfId="5315" priority="5215" stopIfTrue="1" operator="containsText" text="NO CUMPLE">
      <formula>NOT(ISERROR(SEARCH("NO CUMPLE",O796)))</formula>
    </cfRule>
    <cfRule type="containsText" dxfId="5314" priority="5216" stopIfTrue="1" operator="containsText" text="CUMPLE">
      <formula>NOT(ISERROR(SEARCH("CUMPLE",O796)))</formula>
    </cfRule>
  </conditionalFormatting>
  <conditionalFormatting sqref="O797:S797">
    <cfRule type="cellIs" dxfId="5313" priority="5214" operator="equal">
      <formula>"EL PROPONENTE SE DEBE REQUERIR POR EXPERIENCIA MINIMA EXIGIDA"</formula>
    </cfRule>
  </conditionalFormatting>
  <conditionalFormatting sqref="X785">
    <cfRule type="cellIs" dxfId="5312" priority="5211" stopIfTrue="1" operator="equal">
      <formula>"VERIFICAR"</formula>
    </cfRule>
    <cfRule type="cellIs" dxfId="5311" priority="5212" stopIfTrue="1" operator="equal">
      <formula>"NO CUMPLE"</formula>
    </cfRule>
    <cfRule type="cellIs" dxfId="5310" priority="5213" stopIfTrue="1" operator="equal">
      <formula>"CUMPLE"</formula>
    </cfRule>
  </conditionalFormatting>
  <conditionalFormatting sqref="X774:Y783 J774:J783">
    <cfRule type="cellIs" dxfId="5309" priority="5210" stopIfTrue="1" operator="greaterThan">
      <formula>0</formula>
    </cfRule>
  </conditionalFormatting>
  <conditionalFormatting sqref="X774:Y783">
    <cfRule type="cellIs" dxfId="5308" priority="5208" operator="equal">
      <formula>"NO CUMPLE"</formula>
    </cfRule>
    <cfRule type="cellIs" dxfId="5307" priority="5209" operator="equal">
      <formula>"CUMPLE"</formula>
    </cfRule>
  </conditionalFormatting>
  <conditionalFormatting sqref="N791:N796">
    <cfRule type="cellIs" dxfId="5306" priority="5206" operator="equal">
      <formula>"NO"</formula>
    </cfRule>
    <cfRule type="cellIs" dxfId="5305" priority="5207" operator="equal">
      <formula>"SI"</formula>
    </cfRule>
  </conditionalFormatting>
  <conditionalFormatting sqref="I783">
    <cfRule type="cellIs" dxfId="5304" priority="5205" stopIfTrue="1" operator="greaterThan">
      <formula>0</formula>
    </cfRule>
  </conditionalFormatting>
  <conditionalFormatting sqref="K777:L783">
    <cfRule type="cellIs" dxfId="5303" priority="5203" operator="equal">
      <formula>0</formula>
    </cfRule>
    <cfRule type="cellIs" dxfId="5302" priority="5204" operator="notBetween">
      <formula>$Q$17</formula>
      <formula>$R$17</formula>
    </cfRule>
  </conditionalFormatting>
  <conditionalFormatting sqref="B774:B783">
    <cfRule type="cellIs" dxfId="5301" priority="5202" stopIfTrue="1" operator="greaterThan">
      <formula>0</formula>
    </cfRule>
  </conditionalFormatting>
  <conditionalFormatting sqref="C774:D774 D775:D776 C775:C783">
    <cfRule type="cellIs" dxfId="5300" priority="5201" stopIfTrue="1" operator="greaterThan">
      <formula>0</formula>
    </cfRule>
  </conditionalFormatting>
  <conditionalFormatting sqref="C774:D774 F774:H776 D775:D776 C775:C783">
    <cfRule type="cellIs" dxfId="5299" priority="5200" stopIfTrue="1" operator="greaterThan">
      <formula>0</formula>
    </cfRule>
  </conditionalFormatting>
  <conditionalFormatting sqref="T774:V776">
    <cfRule type="cellIs" dxfId="5298" priority="5198" stopIfTrue="1" operator="equal">
      <formula>"NO"</formula>
    </cfRule>
    <cfRule type="cellIs" dxfId="5297" priority="5199" stopIfTrue="1" operator="equal">
      <formula>"SI"</formula>
    </cfRule>
  </conditionalFormatting>
  <conditionalFormatting sqref="T774:V775">
    <cfRule type="cellIs" dxfId="5296" priority="5197" stopIfTrue="1" operator="equal">
      <formula>"NO APLICA"</formula>
    </cfRule>
  </conditionalFormatting>
  <conditionalFormatting sqref="T776:U776">
    <cfRule type="cellIs" dxfId="5295" priority="5196" stopIfTrue="1" operator="equal">
      <formula>"NO APLICA"</formula>
    </cfRule>
  </conditionalFormatting>
  <conditionalFormatting sqref="T776:U776">
    <cfRule type="cellIs" dxfId="5294" priority="5195" stopIfTrue="1" operator="equal">
      <formula>"NO APLICA"</formula>
    </cfRule>
  </conditionalFormatting>
  <conditionalFormatting sqref="V776">
    <cfRule type="cellIs" dxfId="5293" priority="5194" stopIfTrue="1" operator="equal">
      <formula>"NO APLICA"</formula>
    </cfRule>
  </conditionalFormatting>
  <conditionalFormatting sqref="K774:L776">
    <cfRule type="cellIs" dxfId="5292" priority="5192" operator="equal">
      <formula>0</formula>
    </cfRule>
    <cfRule type="cellIs" dxfId="5291" priority="5193" operator="notBetween">
      <formula>$Q$17</formula>
      <formula>$R$17</formula>
    </cfRule>
  </conditionalFormatting>
  <conditionalFormatting sqref="D813:H813 I807:I813 C804:D804 K804:O813 D805:D812 C805:C813 F804:I806 F807:H812">
    <cfRule type="cellIs" dxfId="5290" priority="5191" stopIfTrue="1" operator="greaterThan">
      <formula>0</formula>
    </cfRule>
  </conditionalFormatting>
  <conditionalFormatting sqref="D807:D812">
    <cfRule type="cellIs" dxfId="5289" priority="5190" stopIfTrue="1" operator="greaterThan">
      <formula>0</formula>
    </cfRule>
  </conditionalFormatting>
  <conditionalFormatting sqref="D807:D812 F807:H812">
    <cfRule type="cellIs" dxfId="5288" priority="5189" stopIfTrue="1" operator="greaterThan">
      <formula>0</formula>
    </cfRule>
  </conditionalFormatting>
  <conditionalFormatting sqref="H804:H812">
    <cfRule type="cellIs" dxfId="5287" priority="5188" stopIfTrue="1" operator="greaterThan">
      <formula>0</formula>
    </cfRule>
  </conditionalFormatting>
  <conditionalFormatting sqref="E804:E812">
    <cfRule type="cellIs" dxfId="5286" priority="5187" stopIfTrue="1" operator="greaterThan">
      <formula>0</formula>
    </cfRule>
  </conditionalFormatting>
  <conditionalFormatting sqref="M821:M826 K821:K826">
    <cfRule type="containsText" dxfId="5285" priority="5185" stopIfTrue="1" operator="containsText" text="NO CUMPLE">
      <formula>NOT(ISERROR(SEARCH("NO CUMPLE",K821)))</formula>
    </cfRule>
    <cfRule type="containsText" dxfId="5284" priority="5186" stopIfTrue="1" operator="containsText" text="CUMPLE">
      <formula>NOT(ISERROR(SEARCH("CUMPLE",K821)))</formula>
    </cfRule>
  </conditionalFormatting>
  <conditionalFormatting sqref="S820">
    <cfRule type="cellIs" dxfId="5283" priority="5183" operator="greaterThanOrEqual">
      <formula>NUMMINCONT</formula>
    </cfRule>
    <cfRule type="cellIs" dxfId="5282" priority="5184" operator="lessThan">
      <formula>NUMMINCONT</formula>
    </cfRule>
  </conditionalFormatting>
  <conditionalFormatting sqref="T807:V812">
    <cfRule type="cellIs" dxfId="5281" priority="5181" stopIfTrue="1" operator="equal">
      <formula>"NO"</formula>
    </cfRule>
    <cfRule type="cellIs" dxfId="5280" priority="5182" stopIfTrue="1" operator="equal">
      <formula>"SI"</formula>
    </cfRule>
  </conditionalFormatting>
  <conditionalFormatting sqref="T807:V808">
    <cfRule type="cellIs" dxfId="5279" priority="5180" stopIfTrue="1" operator="equal">
      <formula>"NO APLICA"</formula>
    </cfRule>
  </conditionalFormatting>
  <conditionalFormatting sqref="T809:U812">
    <cfRule type="cellIs" dxfId="5278" priority="5179" stopIfTrue="1" operator="equal">
      <formula>"NO APLICA"</formula>
    </cfRule>
  </conditionalFormatting>
  <conditionalFormatting sqref="T809:U809">
    <cfRule type="cellIs" dxfId="5277" priority="5178" stopIfTrue="1" operator="equal">
      <formula>"NO APLICA"</formula>
    </cfRule>
  </conditionalFormatting>
  <conditionalFormatting sqref="V809:V812">
    <cfRule type="cellIs" dxfId="5276" priority="5177" stopIfTrue="1" operator="equal">
      <formula>"NO APLICA"</formula>
    </cfRule>
  </conditionalFormatting>
  <conditionalFormatting sqref="V818:W818">
    <cfRule type="cellIs" dxfId="5275" priority="5175" operator="equal">
      <formula>"CUMPLE"</formula>
    </cfRule>
    <cfRule type="cellIs" dxfId="5274" priority="5176" operator="equal">
      <formula>"NO CUMPLE"</formula>
    </cfRule>
  </conditionalFormatting>
  <conditionalFormatting sqref="V818:W820">
    <cfRule type="cellIs" dxfId="5273" priority="5174" operator="equal">
      <formula>"VERIFICAR"</formula>
    </cfRule>
  </conditionalFormatting>
  <conditionalFormatting sqref="T813:V813">
    <cfRule type="cellIs" dxfId="5272" priority="5172" stopIfTrue="1" operator="equal">
      <formula>"NO"</formula>
    </cfRule>
    <cfRule type="cellIs" dxfId="5271" priority="5173" stopIfTrue="1" operator="equal">
      <formula>"SI"</formula>
    </cfRule>
  </conditionalFormatting>
  <conditionalFormatting sqref="T813:U813">
    <cfRule type="cellIs" dxfId="5270" priority="5171" stopIfTrue="1" operator="equal">
      <formula>"NO APLICA"</formula>
    </cfRule>
  </conditionalFormatting>
  <conditionalFormatting sqref="V813">
    <cfRule type="cellIs" dxfId="5269" priority="5170" stopIfTrue="1" operator="equal">
      <formula>"NO APLICA"</formula>
    </cfRule>
  </conditionalFormatting>
  <conditionalFormatting sqref="T823">
    <cfRule type="cellIs" dxfId="5268" priority="5168" operator="equal">
      <formula>"CUMPLE"</formula>
    </cfRule>
    <cfRule type="cellIs" dxfId="5267" priority="5169" operator="equal">
      <formula>"NO CUMPLE"</formula>
    </cfRule>
  </conditionalFormatting>
  <conditionalFormatting sqref="T823">
    <cfRule type="cellIs" dxfId="5266" priority="5167" operator="equal">
      <formula>"VERIFICAR"</formula>
    </cfRule>
  </conditionalFormatting>
  <conditionalFormatting sqref="Y821:Y826">
    <cfRule type="cellIs" dxfId="5265" priority="5166" stopIfTrue="1" operator="equal">
      <formula>"NO APLICA"</formula>
    </cfRule>
  </conditionalFormatting>
  <conditionalFormatting sqref="Y826">
    <cfRule type="cellIs" dxfId="5264" priority="5165" stopIfTrue="1" operator="equal">
      <formula>"NO APLICA"</formula>
    </cfRule>
  </conditionalFormatting>
  <conditionalFormatting sqref="X821:Y826">
    <cfRule type="cellIs" dxfId="5263" priority="5163" stopIfTrue="1" operator="equal">
      <formula>"NO"</formula>
    </cfRule>
    <cfRule type="cellIs" dxfId="5262" priority="5164" stopIfTrue="1" operator="equal">
      <formula>"SI"</formula>
    </cfRule>
  </conditionalFormatting>
  <conditionalFormatting sqref="X821:X826">
    <cfRule type="cellIs" dxfId="5261" priority="5162" stopIfTrue="1" operator="equal">
      <formula>"NO APLICA"</formula>
    </cfRule>
  </conditionalFormatting>
  <conditionalFormatting sqref="X822:X825">
    <cfRule type="cellIs" dxfId="5260" priority="5161" stopIfTrue="1" operator="equal">
      <formula>"NO APLICA"</formula>
    </cfRule>
  </conditionalFormatting>
  <conditionalFormatting sqref="X822">
    <cfRule type="cellIs" dxfId="5259" priority="5160" stopIfTrue="1" operator="equal">
      <formula>"NO APLICA"</formula>
    </cfRule>
  </conditionalFormatting>
  <conditionalFormatting sqref="X826">
    <cfRule type="cellIs" dxfId="5258" priority="5159" stopIfTrue="1" operator="equal">
      <formula>"NO APLICA"</formula>
    </cfRule>
  </conditionalFormatting>
  <conditionalFormatting sqref="X826">
    <cfRule type="cellIs" dxfId="5257" priority="5158" stopIfTrue="1" operator="equal">
      <formula>"NO APLICA"</formula>
    </cfRule>
  </conditionalFormatting>
  <conditionalFormatting sqref="AA821:AA826">
    <cfRule type="cellIs" dxfId="5256" priority="5157" stopIfTrue="1" operator="equal">
      <formula>"NO APLICA"</formula>
    </cfRule>
  </conditionalFormatting>
  <conditionalFormatting sqref="AA826">
    <cfRule type="cellIs" dxfId="5255" priority="5156" stopIfTrue="1" operator="equal">
      <formula>"NO APLICA"</formula>
    </cfRule>
  </conditionalFormatting>
  <conditionalFormatting sqref="AA821:AA826">
    <cfRule type="cellIs" dxfId="5254" priority="5154" stopIfTrue="1" operator="equal">
      <formula>"NO"</formula>
    </cfRule>
    <cfRule type="cellIs" dxfId="5253" priority="5155" stopIfTrue="1" operator="equal">
      <formula>"SI"</formula>
    </cfRule>
  </conditionalFormatting>
  <conditionalFormatting sqref="Y821:Z826">
    <cfRule type="cellIs" dxfId="5252" priority="5152" operator="equal">
      <formula>"NO APLICA"</formula>
    </cfRule>
    <cfRule type="cellIs" dxfId="5251" priority="5153" operator="equal">
      <formula>"SI APLICA"</formula>
    </cfRule>
  </conditionalFormatting>
  <conditionalFormatting sqref="AB821:AB827">
    <cfRule type="cellIs" dxfId="5250" priority="5150" operator="equal">
      <formula>"NO APLICA"</formula>
    </cfRule>
    <cfRule type="cellIs" dxfId="5249" priority="5151" operator="equal">
      <formula>"SI APLICA"</formula>
    </cfRule>
  </conditionalFormatting>
  <conditionalFormatting sqref="X827">
    <cfRule type="cellIs" dxfId="5248" priority="5148" operator="equal">
      <formula>"PROPONENTE PLURAL"</formula>
    </cfRule>
    <cfRule type="cellIs" dxfId="5247" priority="5149" operator="equal">
      <formula>"PROPONENTE INDIVIDUAL"</formula>
    </cfRule>
  </conditionalFormatting>
  <conditionalFormatting sqref="Z827:AA827 AA821:AA826">
    <cfRule type="cellIs" dxfId="5246" priority="5146" operator="equal">
      <formula>"NO APLICA"</formula>
    </cfRule>
    <cfRule type="cellIs" dxfId="5245" priority="5147" operator="equal">
      <formula>"SI APLICA"</formula>
    </cfRule>
  </conditionalFormatting>
  <conditionalFormatting sqref="AB821:AB826 Y821:Z826">
    <cfRule type="cellIs" dxfId="5244" priority="5145" operator="equal">
      <formula>""</formula>
    </cfRule>
  </conditionalFormatting>
  <conditionalFormatting sqref="H827">
    <cfRule type="containsText" dxfId="5243" priority="5143" stopIfTrue="1" operator="containsText" text="NO CUMPLE">
      <formula>NOT(ISERROR(SEARCH("NO CUMPLE",H827)))</formula>
    </cfRule>
    <cfRule type="containsText" dxfId="5242" priority="5144" stopIfTrue="1" operator="containsText" text="CUMPLE">
      <formula>NOT(ISERROR(SEARCH("CUMPLE",H827)))</formula>
    </cfRule>
  </conditionalFormatting>
  <conditionalFormatting sqref="J827">
    <cfRule type="containsText" dxfId="5241" priority="5141" stopIfTrue="1" operator="containsText" text="NO CUMPLE">
      <formula>NOT(ISERROR(SEARCH("NO CUMPLE",J827)))</formula>
    </cfRule>
    <cfRule type="containsText" dxfId="5240" priority="5142" stopIfTrue="1" operator="containsText" text="CUMPLE">
      <formula>NOT(ISERROR(SEARCH("CUMPLE",J827)))</formula>
    </cfRule>
  </conditionalFormatting>
  <conditionalFormatting sqref="K827">
    <cfRule type="containsText" dxfId="5239" priority="5139" stopIfTrue="1" operator="containsText" text="NO CUMPLE">
      <formula>NOT(ISERROR(SEARCH("NO CUMPLE",K827)))</formula>
    </cfRule>
    <cfRule type="containsText" dxfId="5238" priority="5140" stopIfTrue="1" operator="containsText" text="CUMPLE">
      <formula>NOT(ISERROR(SEARCH("CUMPLE",K827)))</formula>
    </cfRule>
  </conditionalFormatting>
  <conditionalFormatting sqref="L821:L826">
    <cfRule type="containsText" dxfId="5237" priority="5137" stopIfTrue="1" operator="containsText" text="NO CUMPLE">
      <formula>NOT(ISERROR(SEARCH("NO CUMPLE",L821)))</formula>
    </cfRule>
    <cfRule type="containsText" dxfId="5236" priority="5138" stopIfTrue="1" operator="containsText" text="CUMPLE">
      <formula>NOT(ISERROR(SEARCH("CUMPLE",L821)))</formula>
    </cfRule>
  </conditionalFormatting>
  <conditionalFormatting sqref="O826">
    <cfRule type="containsText" dxfId="5235" priority="5135" stopIfTrue="1" operator="containsText" text="NO CUMPLE">
      <formula>NOT(ISERROR(SEARCH("NO CUMPLE",O826)))</formula>
    </cfRule>
    <cfRule type="containsText" dxfId="5234" priority="5136" stopIfTrue="1" operator="containsText" text="CUMPLE">
      <formula>NOT(ISERROR(SEARCH("CUMPLE",O826)))</formula>
    </cfRule>
  </conditionalFormatting>
  <conditionalFormatting sqref="O827:S827">
    <cfRule type="cellIs" dxfId="5233" priority="5134" operator="equal">
      <formula>"EL PROPONENTE SE DEBE REQUERIR POR EXPERIENCIA MINIMA EXIGIDA"</formula>
    </cfRule>
  </conditionalFormatting>
  <conditionalFormatting sqref="X815">
    <cfRule type="cellIs" dxfId="5232" priority="5131" stopIfTrue="1" operator="equal">
      <formula>"VERIFICAR"</formula>
    </cfRule>
    <cfRule type="cellIs" dxfId="5231" priority="5132" stopIfTrue="1" operator="equal">
      <formula>"NO CUMPLE"</formula>
    </cfRule>
    <cfRule type="cellIs" dxfId="5230" priority="5133" stopIfTrue="1" operator="equal">
      <formula>"CUMPLE"</formula>
    </cfRule>
  </conditionalFormatting>
  <conditionalFormatting sqref="X804:Y813 J804:J813">
    <cfRule type="cellIs" dxfId="5229" priority="5130" stopIfTrue="1" operator="greaterThan">
      <formula>0</formula>
    </cfRule>
  </conditionalFormatting>
  <conditionalFormatting sqref="X804:Y813">
    <cfRule type="cellIs" dxfId="5228" priority="5128" operator="equal">
      <formula>"NO CUMPLE"</formula>
    </cfRule>
    <cfRule type="cellIs" dxfId="5227" priority="5129" operator="equal">
      <formula>"CUMPLE"</formula>
    </cfRule>
  </conditionalFormatting>
  <conditionalFormatting sqref="N821:N826">
    <cfRule type="cellIs" dxfId="5226" priority="5126" operator="equal">
      <formula>"NO"</formula>
    </cfRule>
    <cfRule type="cellIs" dxfId="5225" priority="5127" operator="equal">
      <formula>"SI"</formula>
    </cfRule>
  </conditionalFormatting>
  <conditionalFormatting sqref="I813">
    <cfRule type="cellIs" dxfId="5224" priority="5125" stopIfTrue="1" operator="greaterThan">
      <formula>0</formula>
    </cfRule>
  </conditionalFormatting>
  <conditionalFormatting sqref="K807:L813">
    <cfRule type="cellIs" dxfId="5223" priority="5123" operator="equal">
      <formula>0</formula>
    </cfRule>
    <cfRule type="cellIs" dxfId="5222" priority="5124" operator="notBetween">
      <formula>$Q$17</formula>
      <formula>$R$17</formula>
    </cfRule>
  </conditionalFormatting>
  <conditionalFormatting sqref="B804:B813">
    <cfRule type="cellIs" dxfId="5221" priority="5122" stopIfTrue="1" operator="greaterThan">
      <formula>0</formula>
    </cfRule>
  </conditionalFormatting>
  <conditionalFormatting sqref="C804:D804 D805:D806 C805:C813">
    <cfRule type="cellIs" dxfId="5220" priority="5121" stopIfTrue="1" operator="greaterThan">
      <formula>0</formula>
    </cfRule>
  </conditionalFormatting>
  <conditionalFormatting sqref="C804:D804 D805:D806 C805:C813 F804:H806 H807">
    <cfRule type="cellIs" dxfId="5219" priority="5120" stopIfTrue="1" operator="greaterThan">
      <formula>0</formula>
    </cfRule>
  </conditionalFormatting>
  <conditionalFormatting sqref="T804:V806">
    <cfRule type="cellIs" dxfId="5218" priority="5118" stopIfTrue="1" operator="equal">
      <formula>"NO"</formula>
    </cfRule>
    <cfRule type="cellIs" dxfId="5217" priority="5119" stopIfTrue="1" operator="equal">
      <formula>"SI"</formula>
    </cfRule>
  </conditionalFormatting>
  <conditionalFormatting sqref="T804:V805">
    <cfRule type="cellIs" dxfId="5216" priority="5117" stopIfTrue="1" operator="equal">
      <formula>"NO APLICA"</formula>
    </cfRule>
  </conditionalFormatting>
  <conditionalFormatting sqref="T806:U806">
    <cfRule type="cellIs" dxfId="5215" priority="5116" stopIfTrue="1" operator="equal">
      <formula>"NO APLICA"</formula>
    </cfRule>
  </conditionalFormatting>
  <conditionalFormatting sqref="T806:U806">
    <cfRule type="cellIs" dxfId="5214" priority="5115" stopIfTrue="1" operator="equal">
      <formula>"NO APLICA"</formula>
    </cfRule>
  </conditionalFormatting>
  <conditionalFormatting sqref="V806">
    <cfRule type="cellIs" dxfId="5213" priority="5114" stopIfTrue="1" operator="equal">
      <formula>"NO APLICA"</formula>
    </cfRule>
  </conditionalFormatting>
  <conditionalFormatting sqref="K804:L806">
    <cfRule type="cellIs" dxfId="5212" priority="5112" operator="equal">
      <formula>0</formula>
    </cfRule>
    <cfRule type="cellIs" dxfId="5211" priority="5113" operator="notBetween">
      <formula>$Q$17</formula>
      <formula>$R$17</formula>
    </cfRule>
  </conditionalFormatting>
  <conditionalFormatting sqref="F837:H842 D843:H843 I837:I843 K836:O843 F836:I836 D836:D842 C836:C843">
    <cfRule type="cellIs" dxfId="5210" priority="5111" stopIfTrue="1" operator="greaterThan">
      <formula>0</formula>
    </cfRule>
  </conditionalFormatting>
  <conditionalFormatting sqref="D837:D842">
    <cfRule type="cellIs" dxfId="5209" priority="5110" stopIfTrue="1" operator="greaterThan">
      <formula>0</formula>
    </cfRule>
  </conditionalFormatting>
  <conditionalFormatting sqref="D837:D842 F837:H842">
    <cfRule type="cellIs" dxfId="5208" priority="5109" stopIfTrue="1" operator="greaterThan">
      <formula>0</formula>
    </cfRule>
  </conditionalFormatting>
  <conditionalFormatting sqref="H836:H842">
    <cfRule type="cellIs" dxfId="5207" priority="5108" stopIfTrue="1" operator="greaterThan">
      <formula>0</formula>
    </cfRule>
  </conditionalFormatting>
  <conditionalFormatting sqref="E836:E842">
    <cfRule type="cellIs" dxfId="5206" priority="5107" stopIfTrue="1" operator="greaterThan">
      <formula>0</formula>
    </cfRule>
  </conditionalFormatting>
  <conditionalFormatting sqref="M851:M856 K851:K856">
    <cfRule type="containsText" dxfId="5205" priority="5105" stopIfTrue="1" operator="containsText" text="NO CUMPLE">
      <formula>NOT(ISERROR(SEARCH("NO CUMPLE",K851)))</formula>
    </cfRule>
    <cfRule type="containsText" dxfId="5204" priority="5106" stopIfTrue="1" operator="containsText" text="CUMPLE">
      <formula>NOT(ISERROR(SEARCH("CUMPLE",K851)))</formula>
    </cfRule>
  </conditionalFormatting>
  <conditionalFormatting sqref="S850">
    <cfRule type="cellIs" dxfId="5203" priority="5103" operator="greaterThanOrEqual">
      <formula>NUMMINCONT</formula>
    </cfRule>
    <cfRule type="cellIs" dxfId="5202" priority="5104" operator="lessThan">
      <formula>NUMMINCONT</formula>
    </cfRule>
  </conditionalFormatting>
  <conditionalFormatting sqref="T837:V842">
    <cfRule type="cellIs" dxfId="5201" priority="5101" stopIfTrue="1" operator="equal">
      <formula>"NO"</formula>
    </cfRule>
    <cfRule type="cellIs" dxfId="5200" priority="5102" stopIfTrue="1" operator="equal">
      <formula>"SI"</formula>
    </cfRule>
  </conditionalFormatting>
  <conditionalFormatting sqref="T837:V838">
    <cfRule type="cellIs" dxfId="5199" priority="5100" stopIfTrue="1" operator="equal">
      <formula>"NO APLICA"</formula>
    </cfRule>
  </conditionalFormatting>
  <conditionalFormatting sqref="T839:U842">
    <cfRule type="cellIs" dxfId="5198" priority="5099" stopIfTrue="1" operator="equal">
      <formula>"NO APLICA"</formula>
    </cfRule>
  </conditionalFormatting>
  <conditionalFormatting sqref="T839:U839">
    <cfRule type="cellIs" dxfId="5197" priority="5098" stopIfTrue="1" operator="equal">
      <formula>"NO APLICA"</formula>
    </cfRule>
  </conditionalFormatting>
  <conditionalFormatting sqref="V839:V842">
    <cfRule type="cellIs" dxfId="5196" priority="5097" stopIfTrue="1" operator="equal">
      <formula>"NO APLICA"</formula>
    </cfRule>
  </conditionalFormatting>
  <conditionalFormatting sqref="V848:W848">
    <cfRule type="cellIs" dxfId="5195" priority="5095" operator="equal">
      <formula>"CUMPLE"</formula>
    </cfRule>
    <cfRule type="cellIs" dxfId="5194" priority="5096" operator="equal">
      <formula>"NO CUMPLE"</formula>
    </cfRule>
  </conditionalFormatting>
  <conditionalFormatting sqref="V848:W850">
    <cfRule type="cellIs" dxfId="5193" priority="5094" operator="equal">
      <formula>"VERIFICAR"</formula>
    </cfRule>
  </conditionalFormatting>
  <conditionalFormatting sqref="T843:V843">
    <cfRule type="cellIs" dxfId="5192" priority="5092" stopIfTrue="1" operator="equal">
      <formula>"NO"</formula>
    </cfRule>
    <cfRule type="cellIs" dxfId="5191" priority="5093" stopIfTrue="1" operator="equal">
      <formula>"SI"</formula>
    </cfRule>
  </conditionalFormatting>
  <conditionalFormatting sqref="T843:U843">
    <cfRule type="cellIs" dxfId="5190" priority="5091" stopIfTrue="1" operator="equal">
      <formula>"NO APLICA"</formula>
    </cfRule>
  </conditionalFormatting>
  <conditionalFormatting sqref="V843">
    <cfRule type="cellIs" dxfId="5189" priority="5090" stopIfTrue="1" operator="equal">
      <formula>"NO APLICA"</formula>
    </cfRule>
  </conditionalFormatting>
  <conditionalFormatting sqref="T853">
    <cfRule type="cellIs" dxfId="5188" priority="5088" operator="equal">
      <formula>"CUMPLE"</formula>
    </cfRule>
    <cfRule type="cellIs" dxfId="5187" priority="5089" operator="equal">
      <formula>"NO CUMPLE"</formula>
    </cfRule>
  </conditionalFormatting>
  <conditionalFormatting sqref="T853">
    <cfRule type="cellIs" dxfId="5186" priority="5087" operator="equal">
      <formula>"VERIFICAR"</formula>
    </cfRule>
  </conditionalFormatting>
  <conditionalFormatting sqref="Y851:Y856">
    <cfRule type="cellIs" dxfId="5185" priority="5086" stopIfTrue="1" operator="equal">
      <formula>"NO APLICA"</formula>
    </cfRule>
  </conditionalFormatting>
  <conditionalFormatting sqref="Y856">
    <cfRule type="cellIs" dxfId="5184" priority="5085" stopIfTrue="1" operator="equal">
      <formula>"NO APLICA"</formula>
    </cfRule>
  </conditionalFormatting>
  <conditionalFormatting sqref="X851:Y856">
    <cfRule type="cellIs" dxfId="5183" priority="5083" stopIfTrue="1" operator="equal">
      <formula>"NO"</formula>
    </cfRule>
    <cfRule type="cellIs" dxfId="5182" priority="5084" stopIfTrue="1" operator="equal">
      <formula>"SI"</formula>
    </cfRule>
  </conditionalFormatting>
  <conditionalFormatting sqref="X851:X856">
    <cfRule type="cellIs" dxfId="5181" priority="5082" stopIfTrue="1" operator="equal">
      <formula>"NO APLICA"</formula>
    </cfRule>
  </conditionalFormatting>
  <conditionalFormatting sqref="X852:X855">
    <cfRule type="cellIs" dxfId="5180" priority="5081" stopIfTrue="1" operator="equal">
      <formula>"NO APLICA"</formula>
    </cfRule>
  </conditionalFormatting>
  <conditionalFormatting sqref="X852">
    <cfRule type="cellIs" dxfId="5179" priority="5080" stopIfTrue="1" operator="equal">
      <formula>"NO APLICA"</formula>
    </cfRule>
  </conditionalFormatting>
  <conditionalFormatting sqref="X856">
    <cfRule type="cellIs" dxfId="5178" priority="5079" stopIfTrue="1" operator="equal">
      <formula>"NO APLICA"</formula>
    </cfRule>
  </conditionalFormatting>
  <conditionalFormatting sqref="X856">
    <cfRule type="cellIs" dxfId="5177" priority="5078" stopIfTrue="1" operator="equal">
      <formula>"NO APLICA"</formula>
    </cfRule>
  </conditionalFormatting>
  <conditionalFormatting sqref="AA851:AA856">
    <cfRule type="cellIs" dxfId="5176" priority="5077" stopIfTrue="1" operator="equal">
      <formula>"NO APLICA"</formula>
    </cfRule>
  </conditionalFormatting>
  <conditionalFormatting sqref="AA856">
    <cfRule type="cellIs" dxfId="5175" priority="5076" stopIfTrue="1" operator="equal">
      <formula>"NO APLICA"</formula>
    </cfRule>
  </conditionalFormatting>
  <conditionalFormatting sqref="AA851:AA856">
    <cfRule type="cellIs" dxfId="5174" priority="5074" stopIfTrue="1" operator="equal">
      <formula>"NO"</formula>
    </cfRule>
    <cfRule type="cellIs" dxfId="5173" priority="5075" stopIfTrue="1" operator="equal">
      <formula>"SI"</formula>
    </cfRule>
  </conditionalFormatting>
  <conditionalFormatting sqref="Y851:Z856">
    <cfRule type="cellIs" dxfId="5172" priority="5072" operator="equal">
      <formula>"NO APLICA"</formula>
    </cfRule>
    <cfRule type="cellIs" dxfId="5171" priority="5073" operator="equal">
      <formula>"SI APLICA"</formula>
    </cfRule>
  </conditionalFormatting>
  <conditionalFormatting sqref="AB851:AB857">
    <cfRule type="cellIs" dxfId="5170" priority="5070" operator="equal">
      <formula>"NO APLICA"</formula>
    </cfRule>
    <cfRule type="cellIs" dxfId="5169" priority="5071" operator="equal">
      <formula>"SI APLICA"</formula>
    </cfRule>
  </conditionalFormatting>
  <conditionalFormatting sqref="X857">
    <cfRule type="cellIs" dxfId="5168" priority="5068" operator="equal">
      <formula>"PROPONENTE PLURAL"</formula>
    </cfRule>
    <cfRule type="cellIs" dxfId="5167" priority="5069" operator="equal">
      <formula>"PROPONENTE INDIVIDUAL"</formula>
    </cfRule>
  </conditionalFormatting>
  <conditionalFormatting sqref="Z857:AA857 AA851:AA856">
    <cfRule type="cellIs" dxfId="5166" priority="5066" operator="equal">
      <formula>"NO APLICA"</formula>
    </cfRule>
    <cfRule type="cellIs" dxfId="5165" priority="5067" operator="equal">
      <formula>"SI APLICA"</formula>
    </cfRule>
  </conditionalFormatting>
  <conditionalFormatting sqref="AB851:AB856 Y851:Z856">
    <cfRule type="cellIs" dxfId="5164" priority="5065" operator="equal">
      <formula>""</formula>
    </cfRule>
  </conditionalFormatting>
  <conditionalFormatting sqref="H857">
    <cfRule type="containsText" dxfId="5163" priority="5063" stopIfTrue="1" operator="containsText" text="NO CUMPLE">
      <formula>NOT(ISERROR(SEARCH("NO CUMPLE",H857)))</formula>
    </cfRule>
    <cfRule type="containsText" dxfId="5162" priority="5064" stopIfTrue="1" operator="containsText" text="CUMPLE">
      <formula>NOT(ISERROR(SEARCH("CUMPLE",H857)))</formula>
    </cfRule>
  </conditionalFormatting>
  <conditionalFormatting sqref="J857">
    <cfRule type="containsText" dxfId="5161" priority="5061" stopIfTrue="1" operator="containsText" text="NO CUMPLE">
      <formula>NOT(ISERROR(SEARCH("NO CUMPLE",J857)))</formula>
    </cfRule>
    <cfRule type="containsText" dxfId="5160" priority="5062" stopIfTrue="1" operator="containsText" text="CUMPLE">
      <formula>NOT(ISERROR(SEARCH("CUMPLE",J857)))</formula>
    </cfRule>
  </conditionalFormatting>
  <conditionalFormatting sqref="K857">
    <cfRule type="containsText" dxfId="5159" priority="5059" stopIfTrue="1" operator="containsText" text="NO CUMPLE">
      <formula>NOT(ISERROR(SEARCH("NO CUMPLE",K857)))</formula>
    </cfRule>
    <cfRule type="containsText" dxfId="5158" priority="5060" stopIfTrue="1" operator="containsText" text="CUMPLE">
      <formula>NOT(ISERROR(SEARCH("CUMPLE",K857)))</formula>
    </cfRule>
  </conditionalFormatting>
  <conditionalFormatting sqref="L851:L856">
    <cfRule type="containsText" dxfId="5157" priority="5057" stopIfTrue="1" operator="containsText" text="NO CUMPLE">
      <formula>NOT(ISERROR(SEARCH("NO CUMPLE",L851)))</formula>
    </cfRule>
    <cfRule type="containsText" dxfId="5156" priority="5058" stopIfTrue="1" operator="containsText" text="CUMPLE">
      <formula>NOT(ISERROR(SEARCH("CUMPLE",L851)))</formula>
    </cfRule>
  </conditionalFormatting>
  <conditionalFormatting sqref="O856">
    <cfRule type="containsText" dxfId="5155" priority="5055" stopIfTrue="1" operator="containsText" text="NO CUMPLE">
      <formula>NOT(ISERROR(SEARCH("NO CUMPLE",O856)))</formula>
    </cfRule>
    <cfRule type="containsText" dxfId="5154" priority="5056" stopIfTrue="1" operator="containsText" text="CUMPLE">
      <formula>NOT(ISERROR(SEARCH("CUMPLE",O856)))</formula>
    </cfRule>
  </conditionalFormatting>
  <conditionalFormatting sqref="O857:S857">
    <cfRule type="cellIs" dxfId="5153" priority="5054" operator="equal">
      <formula>"EL PROPONENTE SE DEBE REQUERIR POR EXPERIENCIA MINIMA EXIGIDA"</formula>
    </cfRule>
  </conditionalFormatting>
  <conditionalFormatting sqref="X845">
    <cfRule type="cellIs" dxfId="5152" priority="5051" stopIfTrue="1" operator="equal">
      <formula>"VERIFICAR"</formula>
    </cfRule>
    <cfRule type="cellIs" dxfId="5151" priority="5052" stopIfTrue="1" operator="equal">
      <formula>"NO CUMPLE"</formula>
    </cfRule>
    <cfRule type="cellIs" dxfId="5150" priority="5053" stopIfTrue="1" operator="equal">
      <formula>"CUMPLE"</formula>
    </cfRule>
  </conditionalFormatting>
  <conditionalFormatting sqref="X834:Y843 J836:J843">
    <cfRule type="cellIs" dxfId="5149" priority="5050" stopIfTrue="1" operator="greaterThan">
      <formula>0</formula>
    </cfRule>
  </conditionalFormatting>
  <conditionalFormatting sqref="X834:Y843">
    <cfRule type="cellIs" dxfId="5148" priority="5048" operator="equal">
      <formula>"NO CUMPLE"</formula>
    </cfRule>
    <cfRule type="cellIs" dxfId="5147" priority="5049" operator="equal">
      <formula>"CUMPLE"</formula>
    </cfRule>
  </conditionalFormatting>
  <conditionalFormatting sqref="N851:N856">
    <cfRule type="cellIs" dxfId="5146" priority="5046" operator="equal">
      <formula>"NO"</formula>
    </cfRule>
    <cfRule type="cellIs" dxfId="5145" priority="5047" operator="equal">
      <formula>"SI"</formula>
    </cfRule>
  </conditionalFormatting>
  <conditionalFormatting sqref="I843">
    <cfRule type="cellIs" dxfId="5144" priority="5045" stopIfTrue="1" operator="greaterThan">
      <formula>0</formula>
    </cfRule>
  </conditionalFormatting>
  <conditionalFormatting sqref="K837:L843">
    <cfRule type="cellIs" dxfId="5143" priority="5043" operator="equal">
      <formula>0</formula>
    </cfRule>
    <cfRule type="cellIs" dxfId="5142" priority="5044" operator="notBetween">
      <formula>$Q$17</formula>
      <formula>$R$17</formula>
    </cfRule>
  </conditionalFormatting>
  <conditionalFormatting sqref="B834:B843">
    <cfRule type="cellIs" dxfId="5141" priority="5042" stopIfTrue="1" operator="greaterThan">
      <formula>0</formula>
    </cfRule>
  </conditionalFormatting>
  <conditionalFormatting sqref="D836 C836:C843">
    <cfRule type="cellIs" dxfId="5140" priority="5041" stopIfTrue="1" operator="greaterThan">
      <formula>0</formula>
    </cfRule>
  </conditionalFormatting>
  <conditionalFormatting sqref="F836:H836 D836 C836:C843">
    <cfRule type="cellIs" dxfId="5139" priority="5040" stopIfTrue="1" operator="greaterThan">
      <formula>0</formula>
    </cfRule>
  </conditionalFormatting>
  <conditionalFormatting sqref="T836:V836">
    <cfRule type="cellIs" dxfId="5138" priority="5038" stopIfTrue="1" operator="equal">
      <formula>"NO"</formula>
    </cfRule>
    <cfRule type="cellIs" dxfId="5137" priority="5039" stopIfTrue="1" operator="equal">
      <formula>"SI"</formula>
    </cfRule>
  </conditionalFormatting>
  <conditionalFormatting sqref="T836:U836">
    <cfRule type="cellIs" dxfId="5136" priority="5036" stopIfTrue="1" operator="equal">
      <formula>"NO APLICA"</formula>
    </cfRule>
  </conditionalFormatting>
  <conditionalFormatting sqref="T836:U836">
    <cfRule type="cellIs" dxfId="5135" priority="5035" stopIfTrue="1" operator="equal">
      <formula>"NO APLICA"</formula>
    </cfRule>
  </conditionalFormatting>
  <conditionalFormatting sqref="V836">
    <cfRule type="cellIs" dxfId="5134" priority="5034" stopIfTrue="1" operator="equal">
      <formula>"NO APLICA"</formula>
    </cfRule>
  </conditionalFormatting>
  <conditionalFormatting sqref="K836:L836">
    <cfRule type="cellIs" dxfId="5133" priority="5032" operator="equal">
      <formula>0</formula>
    </cfRule>
    <cfRule type="cellIs" dxfId="5132" priority="5033" operator="notBetween">
      <formula>$Q$17</formula>
      <formula>$R$17</formula>
    </cfRule>
  </conditionalFormatting>
  <conditionalFormatting sqref="F869:H872 D873:H873 I869:I873 K869:O873 D869:D872 C869:C873 M864:O868">
    <cfRule type="cellIs" dxfId="5131" priority="5031" stopIfTrue="1" operator="greaterThan">
      <formula>0</formula>
    </cfRule>
  </conditionalFormatting>
  <conditionalFormatting sqref="D869:D872">
    <cfRule type="cellIs" dxfId="5130" priority="5030" stopIfTrue="1" operator="greaterThan">
      <formula>0</formula>
    </cfRule>
  </conditionalFormatting>
  <conditionalFormatting sqref="D869:D872 F869:H872">
    <cfRule type="cellIs" dxfId="5129" priority="5029" stopIfTrue="1" operator="greaterThan">
      <formula>0</formula>
    </cfRule>
  </conditionalFormatting>
  <conditionalFormatting sqref="H869:H872">
    <cfRule type="cellIs" dxfId="5128" priority="5028" stopIfTrue="1" operator="greaterThan">
      <formula>0</formula>
    </cfRule>
  </conditionalFormatting>
  <conditionalFormatting sqref="E869:E872">
    <cfRule type="cellIs" dxfId="5127" priority="5027" stopIfTrue="1" operator="greaterThan">
      <formula>0</formula>
    </cfRule>
  </conditionalFormatting>
  <conditionalFormatting sqref="M881:M886 K881:K886">
    <cfRule type="containsText" dxfId="5126" priority="5025" stopIfTrue="1" operator="containsText" text="NO CUMPLE">
      <formula>NOT(ISERROR(SEARCH("NO CUMPLE",K881)))</formula>
    </cfRule>
    <cfRule type="containsText" dxfId="5125" priority="5026" stopIfTrue="1" operator="containsText" text="CUMPLE">
      <formula>NOT(ISERROR(SEARCH("CUMPLE",K881)))</formula>
    </cfRule>
  </conditionalFormatting>
  <conditionalFormatting sqref="S880">
    <cfRule type="cellIs" dxfId="5124" priority="5023" operator="greaterThanOrEqual">
      <formula>NUMMINCONT</formula>
    </cfRule>
    <cfRule type="cellIs" dxfId="5123" priority="5024" operator="lessThan">
      <formula>NUMMINCONT</formula>
    </cfRule>
  </conditionalFormatting>
  <conditionalFormatting sqref="T869:V872 U867:U868">
    <cfRule type="cellIs" dxfId="5122" priority="5021" stopIfTrue="1" operator="equal">
      <formula>"NO"</formula>
    </cfRule>
    <cfRule type="cellIs" dxfId="5121" priority="5022" stopIfTrue="1" operator="equal">
      <formula>"SI"</formula>
    </cfRule>
  </conditionalFormatting>
  <conditionalFormatting sqref="U867:U868">
    <cfRule type="cellIs" dxfId="5120" priority="5020" stopIfTrue="1" operator="equal">
      <formula>"NO APLICA"</formula>
    </cfRule>
  </conditionalFormatting>
  <conditionalFormatting sqref="T869:U872">
    <cfRule type="cellIs" dxfId="5119" priority="5019" stopIfTrue="1" operator="equal">
      <formula>"NO APLICA"</formula>
    </cfRule>
  </conditionalFormatting>
  <conditionalFormatting sqref="T869:U869">
    <cfRule type="cellIs" dxfId="5118" priority="5018" stopIfTrue="1" operator="equal">
      <formula>"NO APLICA"</formula>
    </cfRule>
  </conditionalFormatting>
  <conditionalFormatting sqref="V869:V872">
    <cfRule type="cellIs" dxfId="5117" priority="5017" stopIfTrue="1" operator="equal">
      <formula>"NO APLICA"</formula>
    </cfRule>
  </conditionalFormatting>
  <conditionalFormatting sqref="V878:W878">
    <cfRule type="cellIs" dxfId="5116" priority="5015" operator="equal">
      <formula>"CUMPLE"</formula>
    </cfRule>
    <cfRule type="cellIs" dxfId="5115" priority="5016" operator="equal">
      <formula>"NO CUMPLE"</formula>
    </cfRule>
  </conditionalFormatting>
  <conditionalFormatting sqref="V878:W880">
    <cfRule type="cellIs" dxfId="5114" priority="5014" operator="equal">
      <formula>"VERIFICAR"</formula>
    </cfRule>
  </conditionalFormatting>
  <conditionalFormatting sqref="T873:V873">
    <cfRule type="cellIs" dxfId="5113" priority="5012" stopIfTrue="1" operator="equal">
      <formula>"NO"</formula>
    </cfRule>
    <cfRule type="cellIs" dxfId="5112" priority="5013" stopIfTrue="1" operator="equal">
      <formula>"SI"</formula>
    </cfRule>
  </conditionalFormatting>
  <conditionalFormatting sqref="T873:U873">
    <cfRule type="cellIs" dxfId="5111" priority="5011" stopIfTrue="1" operator="equal">
      <formula>"NO APLICA"</formula>
    </cfRule>
  </conditionalFormatting>
  <conditionalFormatting sqref="V873">
    <cfRule type="cellIs" dxfId="5110" priority="5010" stopIfTrue="1" operator="equal">
      <formula>"NO APLICA"</formula>
    </cfRule>
  </conditionalFormatting>
  <conditionalFormatting sqref="T883">
    <cfRule type="cellIs" dxfId="5109" priority="5008" operator="equal">
      <formula>"CUMPLE"</formula>
    </cfRule>
    <cfRule type="cellIs" dxfId="5108" priority="5009" operator="equal">
      <formula>"NO CUMPLE"</formula>
    </cfRule>
  </conditionalFormatting>
  <conditionalFormatting sqref="T883">
    <cfRule type="cellIs" dxfId="5107" priority="5007" operator="equal">
      <formula>"VERIFICAR"</formula>
    </cfRule>
  </conditionalFormatting>
  <conditionalFormatting sqref="Y881:Y886">
    <cfRule type="cellIs" dxfId="5106" priority="5006" stopIfTrue="1" operator="equal">
      <formula>"NO APLICA"</formula>
    </cfRule>
  </conditionalFormatting>
  <conditionalFormatting sqref="Y886">
    <cfRule type="cellIs" dxfId="5105" priority="5005" stopIfTrue="1" operator="equal">
      <formula>"NO APLICA"</formula>
    </cfRule>
  </conditionalFormatting>
  <conditionalFormatting sqref="X881:Y886">
    <cfRule type="cellIs" dxfId="5104" priority="5003" stopIfTrue="1" operator="equal">
      <formula>"NO"</formula>
    </cfRule>
    <cfRule type="cellIs" dxfId="5103" priority="5004" stopIfTrue="1" operator="equal">
      <formula>"SI"</formula>
    </cfRule>
  </conditionalFormatting>
  <conditionalFormatting sqref="X881:X886">
    <cfRule type="cellIs" dxfId="5102" priority="5002" stopIfTrue="1" operator="equal">
      <formula>"NO APLICA"</formula>
    </cfRule>
  </conditionalFormatting>
  <conditionalFormatting sqref="X882:X885">
    <cfRule type="cellIs" dxfId="5101" priority="5001" stopIfTrue="1" operator="equal">
      <formula>"NO APLICA"</formula>
    </cfRule>
  </conditionalFormatting>
  <conditionalFormatting sqref="X882">
    <cfRule type="cellIs" dxfId="5100" priority="5000" stopIfTrue="1" operator="equal">
      <formula>"NO APLICA"</formula>
    </cfRule>
  </conditionalFormatting>
  <conditionalFormatting sqref="X886">
    <cfRule type="cellIs" dxfId="5099" priority="4999" stopIfTrue="1" operator="equal">
      <formula>"NO APLICA"</formula>
    </cfRule>
  </conditionalFormatting>
  <conditionalFormatting sqref="X886">
    <cfRule type="cellIs" dxfId="5098" priority="4998" stopIfTrue="1" operator="equal">
      <formula>"NO APLICA"</formula>
    </cfRule>
  </conditionalFormatting>
  <conditionalFormatting sqref="AA881:AA886">
    <cfRule type="cellIs" dxfId="5097" priority="4997" stopIfTrue="1" operator="equal">
      <formula>"NO APLICA"</formula>
    </cfRule>
  </conditionalFormatting>
  <conditionalFormatting sqref="AA886">
    <cfRule type="cellIs" dxfId="5096" priority="4996" stopIfTrue="1" operator="equal">
      <formula>"NO APLICA"</formula>
    </cfRule>
  </conditionalFormatting>
  <conditionalFormatting sqref="AA881:AA886">
    <cfRule type="cellIs" dxfId="5095" priority="4994" stopIfTrue="1" operator="equal">
      <formula>"NO"</formula>
    </cfRule>
    <cfRule type="cellIs" dxfId="5094" priority="4995" stopIfTrue="1" operator="equal">
      <formula>"SI"</formula>
    </cfRule>
  </conditionalFormatting>
  <conditionalFormatting sqref="Y881:Z886">
    <cfRule type="cellIs" dxfId="5093" priority="4992" operator="equal">
      <formula>"NO APLICA"</formula>
    </cfRule>
    <cfRule type="cellIs" dxfId="5092" priority="4993" operator="equal">
      <formula>"SI APLICA"</formula>
    </cfRule>
  </conditionalFormatting>
  <conditionalFormatting sqref="AB881:AB887">
    <cfRule type="cellIs" dxfId="5091" priority="4990" operator="equal">
      <formula>"NO APLICA"</formula>
    </cfRule>
    <cfRule type="cellIs" dxfId="5090" priority="4991" operator="equal">
      <formula>"SI APLICA"</formula>
    </cfRule>
  </conditionalFormatting>
  <conditionalFormatting sqref="X887">
    <cfRule type="cellIs" dxfId="5089" priority="4988" operator="equal">
      <formula>"PROPONENTE PLURAL"</formula>
    </cfRule>
    <cfRule type="cellIs" dxfId="5088" priority="4989" operator="equal">
      <formula>"PROPONENTE INDIVIDUAL"</formula>
    </cfRule>
  </conditionalFormatting>
  <conditionalFormatting sqref="Z887:AA887 AA881:AA886">
    <cfRule type="cellIs" dxfId="5087" priority="4986" operator="equal">
      <formula>"NO APLICA"</formula>
    </cfRule>
    <cfRule type="cellIs" dxfId="5086" priority="4987" operator="equal">
      <formula>"SI APLICA"</formula>
    </cfRule>
  </conditionalFormatting>
  <conditionalFormatting sqref="AB881:AB886 Y881:Z886">
    <cfRule type="cellIs" dxfId="5085" priority="4985" operator="equal">
      <formula>""</formula>
    </cfRule>
  </conditionalFormatting>
  <conditionalFormatting sqref="H887">
    <cfRule type="containsText" dxfId="5084" priority="4983" stopIfTrue="1" operator="containsText" text="NO CUMPLE">
      <formula>NOT(ISERROR(SEARCH("NO CUMPLE",H887)))</formula>
    </cfRule>
    <cfRule type="containsText" dxfId="5083" priority="4984" stopIfTrue="1" operator="containsText" text="CUMPLE">
      <formula>NOT(ISERROR(SEARCH("CUMPLE",H887)))</formula>
    </cfRule>
  </conditionalFormatting>
  <conditionalFormatting sqref="J887">
    <cfRule type="containsText" dxfId="5082" priority="4981" stopIfTrue="1" operator="containsText" text="NO CUMPLE">
      <formula>NOT(ISERROR(SEARCH("NO CUMPLE",J887)))</formula>
    </cfRule>
    <cfRule type="containsText" dxfId="5081" priority="4982" stopIfTrue="1" operator="containsText" text="CUMPLE">
      <formula>NOT(ISERROR(SEARCH("CUMPLE",J887)))</formula>
    </cfRule>
  </conditionalFormatting>
  <conditionalFormatting sqref="K887">
    <cfRule type="containsText" dxfId="5080" priority="4979" stopIfTrue="1" operator="containsText" text="NO CUMPLE">
      <formula>NOT(ISERROR(SEARCH("NO CUMPLE",K887)))</formula>
    </cfRule>
    <cfRule type="containsText" dxfId="5079" priority="4980" stopIfTrue="1" operator="containsText" text="CUMPLE">
      <formula>NOT(ISERROR(SEARCH("CUMPLE",K887)))</formula>
    </cfRule>
  </conditionalFormatting>
  <conditionalFormatting sqref="L881:L886">
    <cfRule type="containsText" dxfId="5078" priority="4977" stopIfTrue="1" operator="containsText" text="NO CUMPLE">
      <formula>NOT(ISERROR(SEARCH("NO CUMPLE",L881)))</formula>
    </cfRule>
    <cfRule type="containsText" dxfId="5077" priority="4978" stopIfTrue="1" operator="containsText" text="CUMPLE">
      <formula>NOT(ISERROR(SEARCH("CUMPLE",L881)))</formula>
    </cfRule>
  </conditionalFormatting>
  <conditionalFormatting sqref="O886">
    <cfRule type="containsText" dxfId="5076" priority="4975" stopIfTrue="1" operator="containsText" text="NO CUMPLE">
      <formula>NOT(ISERROR(SEARCH("NO CUMPLE",O886)))</formula>
    </cfRule>
    <cfRule type="containsText" dxfId="5075" priority="4976" stopIfTrue="1" operator="containsText" text="CUMPLE">
      <formula>NOT(ISERROR(SEARCH("CUMPLE",O886)))</formula>
    </cfRule>
  </conditionalFormatting>
  <conditionalFormatting sqref="O887:S887">
    <cfRule type="cellIs" dxfId="5074" priority="4974" operator="equal">
      <formula>"EL PROPONENTE SE DEBE REQUERIR POR EXPERIENCIA MINIMA EXIGIDA"</formula>
    </cfRule>
  </conditionalFormatting>
  <conditionalFormatting sqref="X875">
    <cfRule type="cellIs" dxfId="5073" priority="4971" stopIfTrue="1" operator="equal">
      <formula>"VERIFICAR"</formula>
    </cfRule>
    <cfRule type="cellIs" dxfId="5072" priority="4972" stopIfTrue="1" operator="equal">
      <formula>"NO CUMPLE"</formula>
    </cfRule>
    <cfRule type="cellIs" dxfId="5071" priority="4973" stopIfTrue="1" operator="equal">
      <formula>"CUMPLE"</formula>
    </cfRule>
  </conditionalFormatting>
  <conditionalFormatting sqref="X864:Y873 J869:J873">
    <cfRule type="cellIs" dxfId="5070" priority="4970" stopIfTrue="1" operator="greaterThan">
      <formula>0</formula>
    </cfRule>
  </conditionalFormatting>
  <conditionalFormatting sqref="X864:Y873">
    <cfRule type="cellIs" dxfId="5069" priority="4968" operator="equal">
      <formula>"NO CUMPLE"</formula>
    </cfRule>
    <cfRule type="cellIs" dxfId="5068" priority="4969" operator="equal">
      <formula>"CUMPLE"</formula>
    </cfRule>
  </conditionalFormatting>
  <conditionalFormatting sqref="N881:N886">
    <cfRule type="cellIs" dxfId="5067" priority="4966" operator="equal">
      <formula>"NO"</formula>
    </cfRule>
    <cfRule type="cellIs" dxfId="5066" priority="4967" operator="equal">
      <formula>"SI"</formula>
    </cfRule>
  </conditionalFormatting>
  <conditionalFormatting sqref="I873">
    <cfRule type="cellIs" dxfId="5065" priority="4965" stopIfTrue="1" operator="greaterThan">
      <formula>0</formula>
    </cfRule>
  </conditionalFormatting>
  <conditionalFormatting sqref="K869:L873">
    <cfRule type="cellIs" dxfId="5064" priority="4963" operator="equal">
      <formula>0</formula>
    </cfRule>
    <cfRule type="cellIs" dxfId="5063" priority="4964" operator="notBetween">
      <formula>$Q$17</formula>
      <formula>$R$17</formula>
    </cfRule>
  </conditionalFormatting>
  <conditionalFormatting sqref="B864:B873">
    <cfRule type="cellIs" dxfId="5062" priority="4962" stopIfTrue="1" operator="greaterThan">
      <formula>0</formula>
    </cfRule>
  </conditionalFormatting>
  <conditionalFormatting sqref="C869:C873">
    <cfRule type="cellIs" dxfId="5061" priority="4961" stopIfTrue="1" operator="greaterThan">
      <formula>0</formula>
    </cfRule>
  </conditionalFormatting>
  <conditionalFormatting sqref="C869:C873">
    <cfRule type="cellIs" dxfId="5060" priority="4960" stopIfTrue="1" operator="greaterThan">
      <formula>0</formula>
    </cfRule>
  </conditionalFormatting>
  <conditionalFormatting sqref="T864:V864 U865:U866 T865:T868 V865:V868">
    <cfRule type="cellIs" dxfId="5059" priority="4958" stopIfTrue="1" operator="equal">
      <formula>"NO"</formula>
    </cfRule>
    <cfRule type="cellIs" dxfId="5058" priority="4959" stopIfTrue="1" operator="equal">
      <formula>"SI"</formula>
    </cfRule>
  </conditionalFormatting>
  <conditionalFormatting sqref="T864:V864 U865 T865:T868 V865:V868">
    <cfRule type="cellIs" dxfId="5057" priority="4957" stopIfTrue="1" operator="equal">
      <formula>"NO APLICA"</formula>
    </cfRule>
  </conditionalFormatting>
  <conditionalFormatting sqref="U866">
    <cfRule type="cellIs" dxfId="5056" priority="4956" stopIfTrue="1" operator="equal">
      <formula>"NO APLICA"</formula>
    </cfRule>
  </conditionalFormatting>
  <conditionalFormatting sqref="U866">
    <cfRule type="cellIs" dxfId="5055" priority="4955" stopIfTrue="1" operator="equal">
      <formula>"NO APLICA"</formula>
    </cfRule>
  </conditionalFormatting>
  <conditionalFormatting sqref="F898:H903 D904:H904 I898:I904 D896:D903 C896:C904 F894:I897 C894:D896 K894:O904">
    <cfRule type="cellIs" dxfId="5054" priority="4951" stopIfTrue="1" operator="greaterThan">
      <formula>0</formula>
    </cfRule>
  </conditionalFormatting>
  <conditionalFormatting sqref="D898:D903">
    <cfRule type="cellIs" dxfId="5053" priority="4950" stopIfTrue="1" operator="greaterThan">
      <formula>0</formula>
    </cfRule>
  </conditionalFormatting>
  <conditionalFormatting sqref="D898:D903 F898:H903">
    <cfRule type="cellIs" dxfId="5052" priority="4949" stopIfTrue="1" operator="greaterThan">
      <formula>0</formula>
    </cfRule>
  </conditionalFormatting>
  <conditionalFormatting sqref="H894:H903">
    <cfRule type="cellIs" dxfId="5051" priority="4948" stopIfTrue="1" operator="greaterThan">
      <formula>0</formula>
    </cfRule>
  </conditionalFormatting>
  <conditionalFormatting sqref="E894:E903">
    <cfRule type="cellIs" dxfId="5050" priority="4947" stopIfTrue="1" operator="greaterThan">
      <formula>0</formula>
    </cfRule>
  </conditionalFormatting>
  <conditionalFormatting sqref="M912:M917 K912:K917">
    <cfRule type="containsText" dxfId="5049" priority="4945" stopIfTrue="1" operator="containsText" text="NO CUMPLE">
      <formula>NOT(ISERROR(SEARCH("NO CUMPLE",K912)))</formula>
    </cfRule>
    <cfRule type="containsText" dxfId="5048" priority="4946" stopIfTrue="1" operator="containsText" text="CUMPLE">
      <formula>NOT(ISERROR(SEARCH("CUMPLE",K912)))</formula>
    </cfRule>
  </conditionalFormatting>
  <conditionalFormatting sqref="S911">
    <cfRule type="cellIs" dxfId="5047" priority="4943" operator="greaterThanOrEqual">
      <formula>NUMMINCONT</formula>
    </cfRule>
    <cfRule type="cellIs" dxfId="5046" priority="4944" operator="lessThan">
      <formula>NUMMINCONT</formula>
    </cfRule>
  </conditionalFormatting>
  <conditionalFormatting sqref="T898:V903">
    <cfRule type="cellIs" dxfId="5045" priority="4941" stopIfTrue="1" operator="equal">
      <formula>"NO"</formula>
    </cfRule>
    <cfRule type="cellIs" dxfId="5044" priority="4942" stopIfTrue="1" operator="equal">
      <formula>"SI"</formula>
    </cfRule>
  </conditionalFormatting>
  <conditionalFormatting sqref="T898:V899">
    <cfRule type="cellIs" dxfId="5043" priority="4940" stopIfTrue="1" operator="equal">
      <formula>"NO APLICA"</formula>
    </cfRule>
  </conditionalFormatting>
  <conditionalFormatting sqref="T900:U903">
    <cfRule type="cellIs" dxfId="5042" priority="4939" stopIfTrue="1" operator="equal">
      <formula>"NO APLICA"</formula>
    </cfRule>
  </conditionalFormatting>
  <conditionalFormatting sqref="T900:U900">
    <cfRule type="cellIs" dxfId="5041" priority="4938" stopIfTrue="1" operator="equal">
      <formula>"NO APLICA"</formula>
    </cfRule>
  </conditionalFormatting>
  <conditionalFormatting sqref="V900:V903">
    <cfRule type="cellIs" dxfId="5040" priority="4937" stopIfTrue="1" operator="equal">
      <formula>"NO APLICA"</formula>
    </cfRule>
  </conditionalFormatting>
  <conditionalFormatting sqref="V909:W909">
    <cfRule type="cellIs" dxfId="5039" priority="4935" operator="equal">
      <formula>"CUMPLE"</formula>
    </cfRule>
    <cfRule type="cellIs" dxfId="5038" priority="4936" operator="equal">
      <formula>"NO CUMPLE"</formula>
    </cfRule>
  </conditionalFormatting>
  <conditionalFormatting sqref="V909:W911">
    <cfRule type="cellIs" dxfId="5037" priority="4934" operator="equal">
      <formula>"VERIFICAR"</formula>
    </cfRule>
  </conditionalFormatting>
  <conditionalFormatting sqref="T904:V904">
    <cfRule type="cellIs" dxfId="5036" priority="4932" stopIfTrue="1" operator="equal">
      <formula>"NO"</formula>
    </cfRule>
    <cfRule type="cellIs" dxfId="5035" priority="4933" stopIfTrue="1" operator="equal">
      <formula>"SI"</formula>
    </cfRule>
  </conditionalFormatting>
  <conditionalFormatting sqref="T904:U904">
    <cfRule type="cellIs" dxfId="5034" priority="4931" stopIfTrue="1" operator="equal">
      <formula>"NO APLICA"</formula>
    </cfRule>
  </conditionalFormatting>
  <conditionalFormatting sqref="V904">
    <cfRule type="cellIs" dxfId="5033" priority="4930" stopIfTrue="1" operator="equal">
      <formula>"NO APLICA"</formula>
    </cfRule>
  </conditionalFormatting>
  <conditionalFormatting sqref="T914">
    <cfRule type="cellIs" dxfId="5032" priority="4928" operator="equal">
      <formula>"CUMPLE"</formula>
    </cfRule>
    <cfRule type="cellIs" dxfId="5031" priority="4929" operator="equal">
      <formula>"NO CUMPLE"</formula>
    </cfRule>
  </conditionalFormatting>
  <conditionalFormatting sqref="T914">
    <cfRule type="cellIs" dxfId="5030" priority="4927" operator="equal">
      <formula>"VERIFICAR"</formula>
    </cfRule>
  </conditionalFormatting>
  <conditionalFormatting sqref="Y912:Y917">
    <cfRule type="cellIs" dxfId="5029" priority="4926" stopIfTrue="1" operator="equal">
      <formula>"NO APLICA"</formula>
    </cfRule>
  </conditionalFormatting>
  <conditionalFormatting sqref="Y917">
    <cfRule type="cellIs" dxfId="5028" priority="4925" stopIfTrue="1" operator="equal">
      <formula>"NO APLICA"</formula>
    </cfRule>
  </conditionalFormatting>
  <conditionalFormatting sqref="X912:Y917">
    <cfRule type="cellIs" dxfId="5027" priority="4923" stopIfTrue="1" operator="equal">
      <formula>"NO"</formula>
    </cfRule>
    <cfRule type="cellIs" dxfId="5026" priority="4924" stopIfTrue="1" operator="equal">
      <formula>"SI"</formula>
    </cfRule>
  </conditionalFormatting>
  <conditionalFormatting sqref="X912:X917">
    <cfRule type="cellIs" dxfId="5025" priority="4922" stopIfTrue="1" operator="equal">
      <formula>"NO APLICA"</formula>
    </cfRule>
  </conditionalFormatting>
  <conditionalFormatting sqref="X913:X916">
    <cfRule type="cellIs" dxfId="5024" priority="4921" stopIfTrue="1" operator="equal">
      <formula>"NO APLICA"</formula>
    </cfRule>
  </conditionalFormatting>
  <conditionalFormatting sqref="X913">
    <cfRule type="cellIs" dxfId="5023" priority="4920" stopIfTrue="1" operator="equal">
      <formula>"NO APLICA"</formula>
    </cfRule>
  </conditionalFormatting>
  <conditionalFormatting sqref="X917">
    <cfRule type="cellIs" dxfId="5022" priority="4919" stopIfTrue="1" operator="equal">
      <formula>"NO APLICA"</formula>
    </cfRule>
  </conditionalFormatting>
  <conditionalFormatting sqref="X917">
    <cfRule type="cellIs" dxfId="5021" priority="4918" stopIfTrue="1" operator="equal">
      <formula>"NO APLICA"</formula>
    </cfRule>
  </conditionalFormatting>
  <conditionalFormatting sqref="AA912:AA917">
    <cfRule type="cellIs" dxfId="5020" priority="4917" stopIfTrue="1" operator="equal">
      <formula>"NO APLICA"</formula>
    </cfRule>
  </conditionalFormatting>
  <conditionalFormatting sqref="AA917">
    <cfRule type="cellIs" dxfId="5019" priority="4916" stopIfTrue="1" operator="equal">
      <formula>"NO APLICA"</formula>
    </cfRule>
  </conditionalFormatting>
  <conditionalFormatting sqref="AA912:AA917">
    <cfRule type="cellIs" dxfId="5018" priority="4914" stopIfTrue="1" operator="equal">
      <formula>"NO"</formula>
    </cfRule>
    <cfRule type="cellIs" dxfId="5017" priority="4915" stopIfTrue="1" operator="equal">
      <formula>"SI"</formula>
    </cfRule>
  </conditionalFormatting>
  <conditionalFormatting sqref="Y912:Z917">
    <cfRule type="cellIs" dxfId="5016" priority="4912" operator="equal">
      <formula>"NO APLICA"</formula>
    </cfRule>
    <cfRule type="cellIs" dxfId="5015" priority="4913" operator="equal">
      <formula>"SI APLICA"</formula>
    </cfRule>
  </conditionalFormatting>
  <conditionalFormatting sqref="AB912:AB918">
    <cfRule type="cellIs" dxfId="5014" priority="4910" operator="equal">
      <formula>"NO APLICA"</formula>
    </cfRule>
    <cfRule type="cellIs" dxfId="5013" priority="4911" operator="equal">
      <formula>"SI APLICA"</formula>
    </cfRule>
  </conditionalFormatting>
  <conditionalFormatting sqref="X918">
    <cfRule type="cellIs" dxfId="5012" priority="4908" operator="equal">
      <formula>"PROPONENTE PLURAL"</formula>
    </cfRule>
    <cfRule type="cellIs" dxfId="5011" priority="4909" operator="equal">
      <formula>"PROPONENTE INDIVIDUAL"</formula>
    </cfRule>
  </conditionalFormatting>
  <conditionalFormatting sqref="Z918:AA918 AA912:AA917">
    <cfRule type="cellIs" dxfId="5010" priority="4906" operator="equal">
      <formula>"NO APLICA"</formula>
    </cfRule>
    <cfRule type="cellIs" dxfId="5009" priority="4907" operator="equal">
      <formula>"SI APLICA"</formula>
    </cfRule>
  </conditionalFormatting>
  <conditionalFormatting sqref="AB912:AB917 Y912:Z917">
    <cfRule type="cellIs" dxfId="5008" priority="4905" operator="equal">
      <formula>""</formula>
    </cfRule>
  </conditionalFormatting>
  <conditionalFormatting sqref="H918">
    <cfRule type="containsText" dxfId="5007" priority="4903" stopIfTrue="1" operator="containsText" text="NO CUMPLE">
      <formula>NOT(ISERROR(SEARCH("NO CUMPLE",H918)))</formula>
    </cfRule>
    <cfRule type="containsText" dxfId="5006" priority="4904" stopIfTrue="1" operator="containsText" text="CUMPLE">
      <formula>NOT(ISERROR(SEARCH("CUMPLE",H918)))</formula>
    </cfRule>
  </conditionalFormatting>
  <conditionalFormatting sqref="J918">
    <cfRule type="containsText" dxfId="5005" priority="4901" stopIfTrue="1" operator="containsText" text="NO CUMPLE">
      <formula>NOT(ISERROR(SEARCH("NO CUMPLE",J918)))</formula>
    </cfRule>
    <cfRule type="containsText" dxfId="5004" priority="4902" stopIfTrue="1" operator="containsText" text="CUMPLE">
      <formula>NOT(ISERROR(SEARCH("CUMPLE",J918)))</formula>
    </cfRule>
  </conditionalFormatting>
  <conditionalFormatting sqref="K918">
    <cfRule type="containsText" dxfId="5003" priority="4899" stopIfTrue="1" operator="containsText" text="NO CUMPLE">
      <formula>NOT(ISERROR(SEARCH("NO CUMPLE",K918)))</formula>
    </cfRule>
    <cfRule type="containsText" dxfId="5002" priority="4900" stopIfTrue="1" operator="containsText" text="CUMPLE">
      <formula>NOT(ISERROR(SEARCH("CUMPLE",K918)))</formula>
    </cfRule>
  </conditionalFormatting>
  <conditionalFormatting sqref="L912:L917">
    <cfRule type="containsText" dxfId="5001" priority="4897" stopIfTrue="1" operator="containsText" text="NO CUMPLE">
      <formula>NOT(ISERROR(SEARCH("NO CUMPLE",L912)))</formula>
    </cfRule>
    <cfRule type="containsText" dxfId="5000" priority="4898" stopIfTrue="1" operator="containsText" text="CUMPLE">
      <formula>NOT(ISERROR(SEARCH("CUMPLE",L912)))</formula>
    </cfRule>
  </conditionalFormatting>
  <conditionalFormatting sqref="O917">
    <cfRule type="containsText" dxfId="4999" priority="4895" stopIfTrue="1" operator="containsText" text="NO CUMPLE">
      <formula>NOT(ISERROR(SEARCH("NO CUMPLE",O917)))</formula>
    </cfRule>
    <cfRule type="containsText" dxfId="4998" priority="4896" stopIfTrue="1" operator="containsText" text="CUMPLE">
      <formula>NOT(ISERROR(SEARCH("CUMPLE",O917)))</formula>
    </cfRule>
  </conditionalFormatting>
  <conditionalFormatting sqref="O918:S918">
    <cfRule type="cellIs" dxfId="4997" priority="4894" operator="equal">
      <formula>"EL PROPONENTE SE DEBE REQUERIR POR EXPERIENCIA MINIMA EXIGIDA"</formula>
    </cfRule>
  </conditionalFormatting>
  <conditionalFormatting sqref="X906">
    <cfRule type="cellIs" dxfId="4996" priority="4891" stopIfTrue="1" operator="equal">
      <formula>"VERIFICAR"</formula>
    </cfRule>
    <cfRule type="cellIs" dxfId="4995" priority="4892" stopIfTrue="1" operator="equal">
      <formula>"NO CUMPLE"</formula>
    </cfRule>
    <cfRule type="cellIs" dxfId="4994" priority="4893" stopIfTrue="1" operator="equal">
      <formula>"CUMPLE"</formula>
    </cfRule>
  </conditionalFormatting>
  <conditionalFormatting sqref="J894:J904 X894:Y904">
    <cfRule type="cellIs" dxfId="4993" priority="4890" stopIfTrue="1" operator="greaterThan">
      <formula>0</formula>
    </cfRule>
  </conditionalFormatting>
  <conditionalFormatting sqref="X894:Y904">
    <cfRule type="cellIs" dxfId="4992" priority="4888" operator="equal">
      <formula>"NO CUMPLE"</formula>
    </cfRule>
    <cfRule type="cellIs" dxfId="4991" priority="4889" operator="equal">
      <formula>"CUMPLE"</formula>
    </cfRule>
  </conditionalFormatting>
  <conditionalFormatting sqref="N912:N917">
    <cfRule type="cellIs" dxfId="4990" priority="4886" operator="equal">
      <formula>"NO"</formula>
    </cfRule>
    <cfRule type="cellIs" dxfId="4989" priority="4887" operator="equal">
      <formula>"SI"</formula>
    </cfRule>
  </conditionalFormatting>
  <conditionalFormatting sqref="I904">
    <cfRule type="cellIs" dxfId="4988" priority="4885" stopIfTrue="1" operator="greaterThan">
      <formula>0</formula>
    </cfRule>
  </conditionalFormatting>
  <conditionalFormatting sqref="K898:L904">
    <cfRule type="cellIs" dxfId="4987" priority="4883" operator="equal">
      <formula>0</formula>
    </cfRule>
    <cfRule type="cellIs" dxfId="4986" priority="4884" operator="notBetween">
      <formula>$Q$17</formula>
      <formula>$R$17</formula>
    </cfRule>
  </conditionalFormatting>
  <conditionalFormatting sqref="B894:B904">
    <cfRule type="cellIs" dxfId="4985" priority="4882" stopIfTrue="1" operator="greaterThan">
      <formula>0</formula>
    </cfRule>
  </conditionalFormatting>
  <conditionalFormatting sqref="D896:D897 C896:C904 C894:D896">
    <cfRule type="cellIs" dxfId="4984" priority="4881" stopIfTrue="1" operator="greaterThan">
      <formula>0</formula>
    </cfRule>
  </conditionalFormatting>
  <conditionalFormatting sqref="D896:D897 C896:C904 F894:H897 C894:D896">
    <cfRule type="cellIs" dxfId="4983" priority="4880" stopIfTrue="1" operator="greaterThan">
      <formula>0</formula>
    </cfRule>
  </conditionalFormatting>
  <conditionalFormatting sqref="T894:V897">
    <cfRule type="cellIs" dxfId="4982" priority="4878" stopIfTrue="1" operator="equal">
      <formula>"NO"</formula>
    </cfRule>
    <cfRule type="cellIs" dxfId="4981" priority="4879" stopIfTrue="1" operator="equal">
      <formula>"SI"</formula>
    </cfRule>
  </conditionalFormatting>
  <conditionalFormatting sqref="T894:V896 T895:T897 V894:V897">
    <cfRule type="cellIs" dxfId="4980" priority="4877" stopIfTrue="1" operator="equal">
      <formula>"NO APLICA"</formula>
    </cfRule>
  </conditionalFormatting>
  <conditionalFormatting sqref="T897:V897">
    <cfRule type="cellIs" dxfId="4979" priority="4876" stopIfTrue="1" operator="equal">
      <formula>"NO APLICA"</formula>
    </cfRule>
  </conditionalFormatting>
  <conditionalFormatting sqref="T897:V897">
    <cfRule type="cellIs" dxfId="4978" priority="4875" stopIfTrue="1" operator="equal">
      <formula>"NO APLICA"</formula>
    </cfRule>
  </conditionalFormatting>
  <conditionalFormatting sqref="V896:V897">
    <cfRule type="cellIs" dxfId="4977" priority="4874" stopIfTrue="1" operator="equal">
      <formula>"NO APLICA"</formula>
    </cfRule>
  </conditionalFormatting>
  <conditionalFormatting sqref="K894:L897">
    <cfRule type="cellIs" dxfId="4976" priority="4872" operator="equal">
      <formula>0</formula>
    </cfRule>
    <cfRule type="cellIs" dxfId="4975" priority="4873" operator="notBetween">
      <formula>$Q$17</formula>
      <formula>$R$17</formula>
    </cfRule>
  </conditionalFormatting>
  <conditionalFormatting sqref="F928:H933 D934:H934 I928:I934 C925:D925 K925:O934 F925:I927 D926:D933 C926:C934">
    <cfRule type="cellIs" dxfId="4974" priority="4871" stopIfTrue="1" operator="greaterThan">
      <formula>0</formula>
    </cfRule>
  </conditionalFormatting>
  <conditionalFormatting sqref="D928:D933">
    <cfRule type="cellIs" dxfId="4973" priority="4870" stopIfTrue="1" operator="greaterThan">
      <formula>0</formula>
    </cfRule>
  </conditionalFormatting>
  <conditionalFormatting sqref="D928:D933 F928:H933">
    <cfRule type="cellIs" dxfId="4972" priority="4869" stopIfTrue="1" operator="greaterThan">
      <formula>0</formula>
    </cfRule>
  </conditionalFormatting>
  <conditionalFormatting sqref="H925:H933">
    <cfRule type="cellIs" dxfId="4971" priority="4868" stopIfTrue="1" operator="greaterThan">
      <formula>0</formula>
    </cfRule>
  </conditionalFormatting>
  <conditionalFormatting sqref="E925:E933">
    <cfRule type="cellIs" dxfId="4970" priority="4867" stopIfTrue="1" operator="greaterThan">
      <formula>0</formula>
    </cfRule>
  </conditionalFormatting>
  <conditionalFormatting sqref="M942:M947 K942:K947">
    <cfRule type="containsText" dxfId="4969" priority="4865" stopIfTrue="1" operator="containsText" text="NO CUMPLE">
      <formula>NOT(ISERROR(SEARCH("NO CUMPLE",K942)))</formula>
    </cfRule>
    <cfRule type="containsText" dxfId="4968" priority="4866" stopIfTrue="1" operator="containsText" text="CUMPLE">
      <formula>NOT(ISERROR(SEARCH("CUMPLE",K942)))</formula>
    </cfRule>
  </conditionalFormatting>
  <conditionalFormatting sqref="S941">
    <cfRule type="cellIs" dxfId="4967" priority="4863" operator="greaterThanOrEqual">
      <formula>NUMMINCONT</formula>
    </cfRule>
    <cfRule type="cellIs" dxfId="4966" priority="4864" operator="lessThan">
      <formula>NUMMINCONT</formula>
    </cfRule>
  </conditionalFormatting>
  <conditionalFormatting sqref="T928:V933">
    <cfRule type="cellIs" dxfId="4965" priority="4861" stopIfTrue="1" operator="equal">
      <formula>"NO"</formula>
    </cfRule>
    <cfRule type="cellIs" dxfId="4964" priority="4862" stopIfTrue="1" operator="equal">
      <formula>"SI"</formula>
    </cfRule>
  </conditionalFormatting>
  <conditionalFormatting sqref="T928:V929">
    <cfRule type="cellIs" dxfId="4963" priority="4860" stopIfTrue="1" operator="equal">
      <formula>"NO APLICA"</formula>
    </cfRule>
  </conditionalFormatting>
  <conditionalFormatting sqref="T930:U933">
    <cfRule type="cellIs" dxfId="4962" priority="4859" stopIfTrue="1" operator="equal">
      <formula>"NO APLICA"</formula>
    </cfRule>
  </conditionalFormatting>
  <conditionalFormatting sqref="T930:U930">
    <cfRule type="cellIs" dxfId="4961" priority="4858" stopIfTrue="1" operator="equal">
      <formula>"NO APLICA"</formula>
    </cfRule>
  </conditionalFormatting>
  <conditionalFormatting sqref="V930:V933">
    <cfRule type="cellIs" dxfId="4960" priority="4857" stopIfTrue="1" operator="equal">
      <formula>"NO APLICA"</formula>
    </cfRule>
  </conditionalFormatting>
  <conditionalFormatting sqref="V939:W939">
    <cfRule type="cellIs" dxfId="4959" priority="4855" operator="equal">
      <formula>"CUMPLE"</formula>
    </cfRule>
    <cfRule type="cellIs" dxfId="4958" priority="4856" operator="equal">
      <formula>"NO CUMPLE"</formula>
    </cfRule>
  </conditionalFormatting>
  <conditionalFormatting sqref="V939:W941">
    <cfRule type="cellIs" dxfId="4957" priority="4854" operator="equal">
      <formula>"VERIFICAR"</formula>
    </cfRule>
  </conditionalFormatting>
  <conditionalFormatting sqref="T934:V934">
    <cfRule type="cellIs" dxfId="4956" priority="4852" stopIfTrue="1" operator="equal">
      <formula>"NO"</formula>
    </cfRule>
    <cfRule type="cellIs" dxfId="4955" priority="4853" stopIfTrue="1" operator="equal">
      <formula>"SI"</formula>
    </cfRule>
  </conditionalFormatting>
  <conditionalFormatting sqref="T934:U934">
    <cfRule type="cellIs" dxfId="4954" priority="4851" stopIfTrue="1" operator="equal">
      <formula>"NO APLICA"</formula>
    </cfRule>
  </conditionalFormatting>
  <conditionalFormatting sqref="V934">
    <cfRule type="cellIs" dxfId="4953" priority="4850" stopIfTrue="1" operator="equal">
      <formula>"NO APLICA"</formula>
    </cfRule>
  </conditionalFormatting>
  <conditionalFormatting sqref="T944">
    <cfRule type="cellIs" dxfId="4952" priority="4848" operator="equal">
      <formula>"CUMPLE"</formula>
    </cfRule>
    <cfRule type="cellIs" dxfId="4951" priority="4849" operator="equal">
      <formula>"NO CUMPLE"</formula>
    </cfRule>
  </conditionalFormatting>
  <conditionalFormatting sqref="T944">
    <cfRule type="cellIs" dxfId="4950" priority="4847" operator="equal">
      <formula>"VERIFICAR"</formula>
    </cfRule>
  </conditionalFormatting>
  <conditionalFormatting sqref="Y942:Y947">
    <cfRule type="cellIs" dxfId="4949" priority="4846" stopIfTrue="1" operator="equal">
      <formula>"NO APLICA"</formula>
    </cfRule>
  </conditionalFormatting>
  <conditionalFormatting sqref="Y947">
    <cfRule type="cellIs" dxfId="4948" priority="4845" stopIfTrue="1" operator="equal">
      <formula>"NO APLICA"</formula>
    </cfRule>
  </conditionalFormatting>
  <conditionalFormatting sqref="X942:Y947">
    <cfRule type="cellIs" dxfId="4947" priority="4843" stopIfTrue="1" operator="equal">
      <formula>"NO"</formula>
    </cfRule>
    <cfRule type="cellIs" dxfId="4946" priority="4844" stopIfTrue="1" operator="equal">
      <formula>"SI"</formula>
    </cfRule>
  </conditionalFormatting>
  <conditionalFormatting sqref="X942:X947">
    <cfRule type="cellIs" dxfId="4945" priority="4842" stopIfTrue="1" operator="equal">
      <formula>"NO APLICA"</formula>
    </cfRule>
  </conditionalFormatting>
  <conditionalFormatting sqref="X943:X946">
    <cfRule type="cellIs" dxfId="4944" priority="4841" stopIfTrue="1" operator="equal">
      <formula>"NO APLICA"</formula>
    </cfRule>
  </conditionalFormatting>
  <conditionalFormatting sqref="X943">
    <cfRule type="cellIs" dxfId="4943" priority="4840" stopIfTrue="1" operator="equal">
      <formula>"NO APLICA"</formula>
    </cfRule>
  </conditionalFormatting>
  <conditionalFormatting sqref="X947">
    <cfRule type="cellIs" dxfId="4942" priority="4839" stopIfTrue="1" operator="equal">
      <formula>"NO APLICA"</formula>
    </cfRule>
  </conditionalFormatting>
  <conditionalFormatting sqref="X947">
    <cfRule type="cellIs" dxfId="4941" priority="4838" stopIfTrue="1" operator="equal">
      <formula>"NO APLICA"</formula>
    </cfRule>
  </conditionalFormatting>
  <conditionalFormatting sqref="AA942:AA947">
    <cfRule type="cellIs" dxfId="4940" priority="4837" stopIfTrue="1" operator="equal">
      <formula>"NO APLICA"</formula>
    </cfRule>
  </conditionalFormatting>
  <conditionalFormatting sqref="AA947">
    <cfRule type="cellIs" dxfId="4939" priority="4836" stopIfTrue="1" operator="equal">
      <formula>"NO APLICA"</formula>
    </cfRule>
  </conditionalFormatting>
  <conditionalFormatting sqref="AA942:AA947">
    <cfRule type="cellIs" dxfId="4938" priority="4834" stopIfTrue="1" operator="equal">
      <formula>"NO"</formula>
    </cfRule>
    <cfRule type="cellIs" dxfId="4937" priority="4835" stopIfTrue="1" operator="equal">
      <formula>"SI"</formula>
    </cfRule>
  </conditionalFormatting>
  <conditionalFormatting sqref="Y942:Z947">
    <cfRule type="cellIs" dxfId="4936" priority="4832" operator="equal">
      <formula>"NO APLICA"</formula>
    </cfRule>
    <cfRule type="cellIs" dxfId="4935" priority="4833" operator="equal">
      <formula>"SI APLICA"</formula>
    </cfRule>
  </conditionalFormatting>
  <conditionalFormatting sqref="AB942:AB948">
    <cfRule type="cellIs" dxfId="4934" priority="4830" operator="equal">
      <formula>"NO APLICA"</formula>
    </cfRule>
    <cfRule type="cellIs" dxfId="4933" priority="4831" operator="equal">
      <formula>"SI APLICA"</formula>
    </cfRule>
  </conditionalFormatting>
  <conditionalFormatting sqref="X948">
    <cfRule type="cellIs" dxfId="4932" priority="4828" operator="equal">
      <formula>"PROPONENTE PLURAL"</formula>
    </cfRule>
    <cfRule type="cellIs" dxfId="4931" priority="4829" operator="equal">
      <formula>"PROPONENTE INDIVIDUAL"</formula>
    </cfRule>
  </conditionalFormatting>
  <conditionalFormatting sqref="Z948:AA948 AA942:AA947">
    <cfRule type="cellIs" dxfId="4930" priority="4826" operator="equal">
      <formula>"NO APLICA"</formula>
    </cfRule>
    <cfRule type="cellIs" dxfId="4929" priority="4827" operator="equal">
      <formula>"SI APLICA"</formula>
    </cfRule>
  </conditionalFormatting>
  <conditionalFormatting sqref="AB942:AB947 Y942:Z947">
    <cfRule type="cellIs" dxfId="4928" priority="4825" operator="equal">
      <formula>""</formula>
    </cfRule>
  </conditionalFormatting>
  <conditionalFormatting sqref="H948">
    <cfRule type="containsText" dxfId="4927" priority="4823" stopIfTrue="1" operator="containsText" text="NO CUMPLE">
      <formula>NOT(ISERROR(SEARCH("NO CUMPLE",H948)))</formula>
    </cfRule>
    <cfRule type="containsText" dxfId="4926" priority="4824" stopIfTrue="1" operator="containsText" text="CUMPLE">
      <formula>NOT(ISERROR(SEARCH("CUMPLE",H948)))</formula>
    </cfRule>
  </conditionalFormatting>
  <conditionalFormatting sqref="J948">
    <cfRule type="containsText" dxfId="4925" priority="4821" stopIfTrue="1" operator="containsText" text="NO CUMPLE">
      <formula>NOT(ISERROR(SEARCH("NO CUMPLE",J948)))</formula>
    </cfRule>
    <cfRule type="containsText" dxfId="4924" priority="4822" stopIfTrue="1" operator="containsText" text="CUMPLE">
      <formula>NOT(ISERROR(SEARCH("CUMPLE",J948)))</formula>
    </cfRule>
  </conditionalFormatting>
  <conditionalFormatting sqref="K948">
    <cfRule type="containsText" dxfId="4923" priority="4819" stopIfTrue="1" operator="containsText" text="NO CUMPLE">
      <formula>NOT(ISERROR(SEARCH("NO CUMPLE",K948)))</formula>
    </cfRule>
    <cfRule type="containsText" dxfId="4922" priority="4820" stopIfTrue="1" operator="containsText" text="CUMPLE">
      <formula>NOT(ISERROR(SEARCH("CUMPLE",K948)))</formula>
    </cfRule>
  </conditionalFormatting>
  <conditionalFormatting sqref="L942:L947">
    <cfRule type="containsText" dxfId="4921" priority="4817" stopIfTrue="1" operator="containsText" text="NO CUMPLE">
      <formula>NOT(ISERROR(SEARCH("NO CUMPLE",L942)))</formula>
    </cfRule>
    <cfRule type="containsText" dxfId="4920" priority="4818" stopIfTrue="1" operator="containsText" text="CUMPLE">
      <formula>NOT(ISERROR(SEARCH("CUMPLE",L942)))</formula>
    </cfRule>
  </conditionalFormatting>
  <conditionalFormatting sqref="O947">
    <cfRule type="containsText" dxfId="4919" priority="4815" stopIfTrue="1" operator="containsText" text="NO CUMPLE">
      <formula>NOT(ISERROR(SEARCH("NO CUMPLE",O947)))</formula>
    </cfRule>
    <cfRule type="containsText" dxfId="4918" priority="4816" stopIfTrue="1" operator="containsText" text="CUMPLE">
      <formula>NOT(ISERROR(SEARCH("CUMPLE",O947)))</formula>
    </cfRule>
  </conditionalFormatting>
  <conditionalFormatting sqref="O948:S948">
    <cfRule type="cellIs" dxfId="4917" priority="4814" operator="equal">
      <formula>"EL PROPONENTE SE DEBE REQUERIR POR EXPERIENCIA MINIMA EXIGIDA"</formula>
    </cfRule>
  </conditionalFormatting>
  <conditionalFormatting sqref="X936">
    <cfRule type="cellIs" dxfId="4916" priority="4811" stopIfTrue="1" operator="equal">
      <formula>"VERIFICAR"</formula>
    </cfRule>
    <cfRule type="cellIs" dxfId="4915" priority="4812" stopIfTrue="1" operator="equal">
      <formula>"NO CUMPLE"</formula>
    </cfRule>
    <cfRule type="cellIs" dxfId="4914" priority="4813" stopIfTrue="1" operator="equal">
      <formula>"CUMPLE"</formula>
    </cfRule>
  </conditionalFormatting>
  <conditionalFormatting sqref="X925:Y934 J925:J934">
    <cfRule type="cellIs" dxfId="4913" priority="4810" stopIfTrue="1" operator="greaterThan">
      <formula>0</formula>
    </cfRule>
  </conditionalFormatting>
  <conditionalFormatting sqref="X925:Y934">
    <cfRule type="cellIs" dxfId="4912" priority="4808" operator="equal">
      <formula>"NO CUMPLE"</formula>
    </cfRule>
    <cfRule type="cellIs" dxfId="4911" priority="4809" operator="equal">
      <formula>"CUMPLE"</formula>
    </cfRule>
  </conditionalFormatting>
  <conditionalFormatting sqref="N942:N947">
    <cfRule type="cellIs" dxfId="4910" priority="4806" operator="equal">
      <formula>"NO"</formula>
    </cfRule>
    <cfRule type="cellIs" dxfId="4909" priority="4807" operator="equal">
      <formula>"SI"</formula>
    </cfRule>
  </conditionalFormatting>
  <conditionalFormatting sqref="I934">
    <cfRule type="cellIs" dxfId="4908" priority="4805" stopIfTrue="1" operator="greaterThan">
      <formula>0</formula>
    </cfRule>
  </conditionalFormatting>
  <conditionalFormatting sqref="K928:L934">
    <cfRule type="cellIs" dxfId="4907" priority="4803" operator="equal">
      <formula>0</formula>
    </cfRule>
    <cfRule type="cellIs" dxfId="4906" priority="4804" operator="notBetween">
      <formula>$Q$17</formula>
      <formula>$R$17</formula>
    </cfRule>
  </conditionalFormatting>
  <conditionalFormatting sqref="B925:B934">
    <cfRule type="cellIs" dxfId="4905" priority="4802" stopIfTrue="1" operator="greaterThan">
      <formula>0</formula>
    </cfRule>
  </conditionalFormatting>
  <conditionalFormatting sqref="C925:D925 D926:D927 C926:C934">
    <cfRule type="cellIs" dxfId="4904" priority="4801" stopIfTrue="1" operator="greaterThan">
      <formula>0</formula>
    </cfRule>
  </conditionalFormatting>
  <conditionalFormatting sqref="C925:D925 F925:H927 D926:D927 C926:C934">
    <cfRule type="cellIs" dxfId="4903" priority="4800" stopIfTrue="1" operator="greaterThan">
      <formula>0</formula>
    </cfRule>
  </conditionalFormatting>
  <conditionalFormatting sqref="T925:V927">
    <cfRule type="cellIs" dxfId="4902" priority="4798" stopIfTrue="1" operator="equal">
      <formula>"NO"</formula>
    </cfRule>
    <cfRule type="cellIs" dxfId="4901" priority="4799" stopIfTrue="1" operator="equal">
      <formula>"SI"</formula>
    </cfRule>
  </conditionalFormatting>
  <conditionalFormatting sqref="T925:V926">
    <cfRule type="cellIs" dxfId="4900" priority="4797" stopIfTrue="1" operator="equal">
      <formula>"NO APLICA"</formula>
    </cfRule>
  </conditionalFormatting>
  <conditionalFormatting sqref="T927:U927">
    <cfRule type="cellIs" dxfId="4899" priority="4796" stopIfTrue="1" operator="equal">
      <formula>"NO APLICA"</formula>
    </cfRule>
  </conditionalFormatting>
  <conditionalFormatting sqref="T927:U927">
    <cfRule type="cellIs" dxfId="4898" priority="4795" stopIfTrue="1" operator="equal">
      <formula>"NO APLICA"</formula>
    </cfRule>
  </conditionalFormatting>
  <conditionalFormatting sqref="V927">
    <cfRule type="cellIs" dxfId="4897" priority="4794" stopIfTrue="1" operator="equal">
      <formula>"NO APLICA"</formula>
    </cfRule>
  </conditionalFormatting>
  <conditionalFormatting sqref="K925:L927">
    <cfRule type="cellIs" dxfId="4896" priority="4792" operator="equal">
      <formula>0</formula>
    </cfRule>
    <cfRule type="cellIs" dxfId="4895" priority="4793" operator="notBetween">
      <formula>$Q$17</formula>
      <formula>$R$17</formula>
    </cfRule>
  </conditionalFormatting>
  <conditionalFormatting sqref="F958:H963 D964:H964 I958:I964 C955:D955 K955:O964 F955:I957 D956:D963 C956:C964">
    <cfRule type="cellIs" dxfId="4894" priority="4791" stopIfTrue="1" operator="greaterThan">
      <formula>0</formula>
    </cfRule>
  </conditionalFormatting>
  <conditionalFormatting sqref="D958:D963">
    <cfRule type="cellIs" dxfId="4893" priority="4790" stopIfTrue="1" operator="greaterThan">
      <formula>0</formula>
    </cfRule>
  </conditionalFormatting>
  <conditionalFormatting sqref="D958:D963 F958:H963">
    <cfRule type="cellIs" dxfId="4892" priority="4789" stopIfTrue="1" operator="greaterThan">
      <formula>0</formula>
    </cfRule>
  </conditionalFormatting>
  <conditionalFormatting sqref="H955:H963">
    <cfRule type="cellIs" dxfId="4891" priority="4788" stopIfTrue="1" operator="greaterThan">
      <formula>0</formula>
    </cfRule>
  </conditionalFormatting>
  <conditionalFormatting sqref="E955:E963">
    <cfRule type="cellIs" dxfId="4890" priority="4787" stopIfTrue="1" operator="greaterThan">
      <formula>0</formula>
    </cfRule>
  </conditionalFormatting>
  <conditionalFormatting sqref="M972:M977 K972:K977">
    <cfRule type="containsText" dxfId="4889" priority="4785" stopIfTrue="1" operator="containsText" text="NO CUMPLE">
      <formula>NOT(ISERROR(SEARCH("NO CUMPLE",K972)))</formula>
    </cfRule>
    <cfRule type="containsText" dxfId="4888" priority="4786" stopIfTrue="1" operator="containsText" text="CUMPLE">
      <formula>NOT(ISERROR(SEARCH("CUMPLE",K972)))</formula>
    </cfRule>
  </conditionalFormatting>
  <conditionalFormatting sqref="S971">
    <cfRule type="cellIs" dxfId="4887" priority="4783" operator="greaterThanOrEqual">
      <formula>NUMMINCONT</formula>
    </cfRule>
    <cfRule type="cellIs" dxfId="4886" priority="4784" operator="lessThan">
      <formula>NUMMINCONT</formula>
    </cfRule>
  </conditionalFormatting>
  <conditionalFormatting sqref="T958:V963">
    <cfRule type="cellIs" dxfId="4885" priority="4781" stopIfTrue="1" operator="equal">
      <formula>"NO"</formula>
    </cfRule>
    <cfRule type="cellIs" dxfId="4884" priority="4782" stopIfTrue="1" operator="equal">
      <formula>"SI"</formula>
    </cfRule>
  </conditionalFormatting>
  <conditionalFormatting sqref="T958:V959">
    <cfRule type="cellIs" dxfId="4883" priority="4780" stopIfTrue="1" operator="equal">
      <formula>"NO APLICA"</formula>
    </cfRule>
  </conditionalFormatting>
  <conditionalFormatting sqref="T960:U963">
    <cfRule type="cellIs" dxfId="4882" priority="4779" stopIfTrue="1" operator="equal">
      <formula>"NO APLICA"</formula>
    </cfRule>
  </conditionalFormatting>
  <conditionalFormatting sqref="T960:U960">
    <cfRule type="cellIs" dxfId="4881" priority="4778" stopIfTrue="1" operator="equal">
      <formula>"NO APLICA"</formula>
    </cfRule>
  </conditionalFormatting>
  <conditionalFormatting sqref="V960:V963">
    <cfRule type="cellIs" dxfId="4880" priority="4777" stopIfTrue="1" operator="equal">
      <formula>"NO APLICA"</formula>
    </cfRule>
  </conditionalFormatting>
  <conditionalFormatting sqref="V969:W969">
    <cfRule type="cellIs" dxfId="4879" priority="4775" operator="equal">
      <formula>"CUMPLE"</formula>
    </cfRule>
    <cfRule type="cellIs" dxfId="4878" priority="4776" operator="equal">
      <formula>"NO CUMPLE"</formula>
    </cfRule>
  </conditionalFormatting>
  <conditionalFormatting sqref="V969:W971">
    <cfRule type="cellIs" dxfId="4877" priority="4774" operator="equal">
      <formula>"VERIFICAR"</formula>
    </cfRule>
  </conditionalFormatting>
  <conditionalFormatting sqref="T964:V964">
    <cfRule type="cellIs" dxfId="4876" priority="4772" stopIfTrue="1" operator="equal">
      <formula>"NO"</formula>
    </cfRule>
    <cfRule type="cellIs" dxfId="4875" priority="4773" stopIfTrue="1" operator="equal">
      <formula>"SI"</formula>
    </cfRule>
  </conditionalFormatting>
  <conditionalFormatting sqref="T964:U964">
    <cfRule type="cellIs" dxfId="4874" priority="4771" stopIfTrue="1" operator="equal">
      <formula>"NO APLICA"</formula>
    </cfRule>
  </conditionalFormatting>
  <conditionalFormatting sqref="V964">
    <cfRule type="cellIs" dxfId="4873" priority="4770" stopIfTrue="1" operator="equal">
      <formula>"NO APLICA"</formula>
    </cfRule>
  </conditionalFormatting>
  <conditionalFormatting sqref="T974">
    <cfRule type="cellIs" dxfId="4872" priority="4768" operator="equal">
      <formula>"CUMPLE"</formula>
    </cfRule>
    <cfRule type="cellIs" dxfId="4871" priority="4769" operator="equal">
      <formula>"NO CUMPLE"</formula>
    </cfRule>
  </conditionalFormatting>
  <conditionalFormatting sqref="T974">
    <cfRule type="cellIs" dxfId="4870" priority="4767" operator="equal">
      <formula>"VERIFICAR"</formula>
    </cfRule>
  </conditionalFormatting>
  <conditionalFormatting sqref="Y972:Y977">
    <cfRule type="cellIs" dxfId="4869" priority="4766" stopIfTrue="1" operator="equal">
      <formula>"NO APLICA"</formula>
    </cfRule>
  </conditionalFormatting>
  <conditionalFormatting sqref="Y977">
    <cfRule type="cellIs" dxfId="4868" priority="4765" stopIfTrue="1" operator="equal">
      <formula>"NO APLICA"</formula>
    </cfRule>
  </conditionalFormatting>
  <conditionalFormatting sqref="X972:Y977">
    <cfRule type="cellIs" dxfId="4867" priority="4763" stopIfTrue="1" operator="equal">
      <formula>"NO"</formula>
    </cfRule>
    <cfRule type="cellIs" dxfId="4866" priority="4764" stopIfTrue="1" operator="equal">
      <formula>"SI"</formula>
    </cfRule>
  </conditionalFormatting>
  <conditionalFormatting sqref="X972:X977">
    <cfRule type="cellIs" dxfId="4865" priority="4762" stopIfTrue="1" operator="equal">
      <formula>"NO APLICA"</formula>
    </cfRule>
  </conditionalFormatting>
  <conditionalFormatting sqref="X973:X976">
    <cfRule type="cellIs" dxfId="4864" priority="4761" stopIfTrue="1" operator="equal">
      <formula>"NO APLICA"</formula>
    </cfRule>
  </conditionalFormatting>
  <conditionalFormatting sqref="X973">
    <cfRule type="cellIs" dxfId="4863" priority="4760" stopIfTrue="1" operator="equal">
      <formula>"NO APLICA"</formula>
    </cfRule>
  </conditionalFormatting>
  <conditionalFormatting sqref="X977">
    <cfRule type="cellIs" dxfId="4862" priority="4759" stopIfTrue="1" operator="equal">
      <formula>"NO APLICA"</formula>
    </cfRule>
  </conditionalFormatting>
  <conditionalFormatting sqref="X977">
    <cfRule type="cellIs" dxfId="4861" priority="4758" stopIfTrue="1" operator="equal">
      <formula>"NO APLICA"</formula>
    </cfRule>
  </conditionalFormatting>
  <conditionalFormatting sqref="AA972:AA977">
    <cfRule type="cellIs" dxfId="4860" priority="4757" stopIfTrue="1" operator="equal">
      <formula>"NO APLICA"</formula>
    </cfRule>
  </conditionalFormatting>
  <conditionalFormatting sqref="AA977">
    <cfRule type="cellIs" dxfId="4859" priority="4756" stopIfTrue="1" operator="equal">
      <formula>"NO APLICA"</formula>
    </cfRule>
  </conditionalFormatting>
  <conditionalFormatting sqref="AA972:AA977">
    <cfRule type="cellIs" dxfId="4858" priority="4754" stopIfTrue="1" operator="equal">
      <formula>"NO"</formula>
    </cfRule>
    <cfRule type="cellIs" dxfId="4857" priority="4755" stopIfTrue="1" operator="equal">
      <formula>"SI"</formula>
    </cfRule>
  </conditionalFormatting>
  <conditionalFormatting sqref="Y972:Z977">
    <cfRule type="cellIs" dxfId="4856" priority="4752" operator="equal">
      <formula>"NO APLICA"</formula>
    </cfRule>
    <cfRule type="cellIs" dxfId="4855" priority="4753" operator="equal">
      <formula>"SI APLICA"</formula>
    </cfRule>
  </conditionalFormatting>
  <conditionalFormatting sqref="AB972:AB978">
    <cfRule type="cellIs" dxfId="4854" priority="4750" operator="equal">
      <formula>"NO APLICA"</formula>
    </cfRule>
    <cfRule type="cellIs" dxfId="4853" priority="4751" operator="equal">
      <formula>"SI APLICA"</formula>
    </cfRule>
  </conditionalFormatting>
  <conditionalFormatting sqref="X978">
    <cfRule type="cellIs" dxfId="4852" priority="4748" operator="equal">
      <formula>"PROPONENTE PLURAL"</formula>
    </cfRule>
    <cfRule type="cellIs" dxfId="4851" priority="4749" operator="equal">
      <formula>"PROPONENTE INDIVIDUAL"</formula>
    </cfRule>
  </conditionalFormatting>
  <conditionalFormatting sqref="Z978:AA978 AA972:AA977">
    <cfRule type="cellIs" dxfId="4850" priority="4746" operator="equal">
      <formula>"NO APLICA"</formula>
    </cfRule>
    <cfRule type="cellIs" dxfId="4849" priority="4747" operator="equal">
      <formula>"SI APLICA"</formula>
    </cfRule>
  </conditionalFormatting>
  <conditionalFormatting sqref="AB972:AB977 Y972:Z977">
    <cfRule type="cellIs" dxfId="4848" priority="4745" operator="equal">
      <formula>""</formula>
    </cfRule>
  </conditionalFormatting>
  <conditionalFormatting sqref="H978">
    <cfRule type="containsText" dxfId="4847" priority="4743" stopIfTrue="1" operator="containsText" text="NO CUMPLE">
      <formula>NOT(ISERROR(SEARCH("NO CUMPLE",H978)))</formula>
    </cfRule>
    <cfRule type="containsText" dxfId="4846" priority="4744" stopIfTrue="1" operator="containsText" text="CUMPLE">
      <formula>NOT(ISERROR(SEARCH("CUMPLE",H978)))</formula>
    </cfRule>
  </conditionalFormatting>
  <conditionalFormatting sqref="J978">
    <cfRule type="containsText" dxfId="4845" priority="4741" stopIfTrue="1" operator="containsText" text="NO CUMPLE">
      <formula>NOT(ISERROR(SEARCH("NO CUMPLE",J978)))</formula>
    </cfRule>
    <cfRule type="containsText" dxfId="4844" priority="4742" stopIfTrue="1" operator="containsText" text="CUMPLE">
      <formula>NOT(ISERROR(SEARCH("CUMPLE",J978)))</formula>
    </cfRule>
  </conditionalFormatting>
  <conditionalFormatting sqref="K978">
    <cfRule type="containsText" dxfId="4843" priority="4739" stopIfTrue="1" operator="containsText" text="NO CUMPLE">
      <formula>NOT(ISERROR(SEARCH("NO CUMPLE",K978)))</formula>
    </cfRule>
    <cfRule type="containsText" dxfId="4842" priority="4740" stopIfTrue="1" operator="containsText" text="CUMPLE">
      <formula>NOT(ISERROR(SEARCH("CUMPLE",K978)))</formula>
    </cfRule>
  </conditionalFormatting>
  <conditionalFormatting sqref="L972:L977">
    <cfRule type="containsText" dxfId="4841" priority="4737" stopIfTrue="1" operator="containsText" text="NO CUMPLE">
      <formula>NOT(ISERROR(SEARCH("NO CUMPLE",L972)))</formula>
    </cfRule>
    <cfRule type="containsText" dxfId="4840" priority="4738" stopIfTrue="1" operator="containsText" text="CUMPLE">
      <formula>NOT(ISERROR(SEARCH("CUMPLE",L972)))</formula>
    </cfRule>
  </conditionalFormatting>
  <conditionalFormatting sqref="O977">
    <cfRule type="containsText" dxfId="4839" priority="4735" stopIfTrue="1" operator="containsText" text="NO CUMPLE">
      <formula>NOT(ISERROR(SEARCH("NO CUMPLE",O977)))</formula>
    </cfRule>
    <cfRule type="containsText" dxfId="4838" priority="4736" stopIfTrue="1" operator="containsText" text="CUMPLE">
      <formula>NOT(ISERROR(SEARCH("CUMPLE",O977)))</formula>
    </cfRule>
  </conditionalFormatting>
  <conditionalFormatting sqref="O978:S978">
    <cfRule type="cellIs" dxfId="4837" priority="4734" operator="equal">
      <formula>"EL PROPONENTE SE DEBE REQUERIR POR EXPERIENCIA MINIMA EXIGIDA"</formula>
    </cfRule>
  </conditionalFormatting>
  <conditionalFormatting sqref="X966">
    <cfRule type="cellIs" dxfId="4836" priority="4731" stopIfTrue="1" operator="equal">
      <formula>"VERIFICAR"</formula>
    </cfRule>
    <cfRule type="cellIs" dxfId="4835" priority="4732" stopIfTrue="1" operator="equal">
      <formula>"NO CUMPLE"</formula>
    </cfRule>
    <cfRule type="cellIs" dxfId="4834" priority="4733" stopIfTrue="1" operator="equal">
      <formula>"CUMPLE"</formula>
    </cfRule>
  </conditionalFormatting>
  <conditionalFormatting sqref="X955:Y964 J955:J964">
    <cfRule type="cellIs" dxfId="4833" priority="4730" stopIfTrue="1" operator="greaterThan">
      <formula>0</formula>
    </cfRule>
  </conditionalFormatting>
  <conditionalFormatting sqref="X955:Y964">
    <cfRule type="cellIs" dxfId="4832" priority="4728" operator="equal">
      <formula>"NO CUMPLE"</formula>
    </cfRule>
    <cfRule type="cellIs" dxfId="4831" priority="4729" operator="equal">
      <formula>"CUMPLE"</formula>
    </cfRule>
  </conditionalFormatting>
  <conditionalFormatting sqref="N972:N977">
    <cfRule type="cellIs" dxfId="4830" priority="4726" operator="equal">
      <formula>"NO"</formula>
    </cfRule>
    <cfRule type="cellIs" dxfId="4829" priority="4727" operator="equal">
      <formula>"SI"</formula>
    </cfRule>
  </conditionalFormatting>
  <conditionalFormatting sqref="I964">
    <cfRule type="cellIs" dxfId="4828" priority="4725" stopIfTrue="1" operator="greaterThan">
      <formula>0</formula>
    </cfRule>
  </conditionalFormatting>
  <conditionalFormatting sqref="K958:L964">
    <cfRule type="cellIs" dxfId="4827" priority="4723" operator="equal">
      <formula>0</formula>
    </cfRule>
    <cfRule type="cellIs" dxfId="4826" priority="4724" operator="notBetween">
      <formula>$Q$17</formula>
      <formula>$R$17</formula>
    </cfRule>
  </conditionalFormatting>
  <conditionalFormatting sqref="B955:B964">
    <cfRule type="cellIs" dxfId="4825" priority="4722" stopIfTrue="1" operator="greaterThan">
      <formula>0</formula>
    </cfRule>
  </conditionalFormatting>
  <conditionalFormatting sqref="C955:D955 D956:D957 C956:C964">
    <cfRule type="cellIs" dxfId="4824" priority="4721" stopIfTrue="1" operator="greaterThan">
      <formula>0</formula>
    </cfRule>
  </conditionalFormatting>
  <conditionalFormatting sqref="C955:D955 F955:H957 D956:D957 C956:C964">
    <cfRule type="cellIs" dxfId="4823" priority="4720" stopIfTrue="1" operator="greaterThan">
      <formula>0</formula>
    </cfRule>
  </conditionalFormatting>
  <conditionalFormatting sqref="T955:V957">
    <cfRule type="cellIs" dxfId="4822" priority="4718" stopIfTrue="1" operator="equal">
      <formula>"NO"</formula>
    </cfRule>
    <cfRule type="cellIs" dxfId="4821" priority="4719" stopIfTrue="1" operator="equal">
      <formula>"SI"</formula>
    </cfRule>
  </conditionalFormatting>
  <conditionalFormatting sqref="T955:V956">
    <cfRule type="cellIs" dxfId="4820" priority="4717" stopIfTrue="1" operator="equal">
      <formula>"NO APLICA"</formula>
    </cfRule>
  </conditionalFormatting>
  <conditionalFormatting sqref="T957:U957">
    <cfRule type="cellIs" dxfId="4819" priority="4716" stopIfTrue="1" operator="equal">
      <formula>"NO APLICA"</formula>
    </cfRule>
  </conditionalFormatting>
  <conditionalFormatting sqref="T957:U957">
    <cfRule type="cellIs" dxfId="4818" priority="4715" stopIfTrue="1" operator="equal">
      <formula>"NO APLICA"</formula>
    </cfRule>
  </conditionalFormatting>
  <conditionalFormatting sqref="V957">
    <cfRule type="cellIs" dxfId="4817" priority="4714" stopIfTrue="1" operator="equal">
      <formula>"NO APLICA"</formula>
    </cfRule>
  </conditionalFormatting>
  <conditionalFormatting sqref="K955:L957">
    <cfRule type="cellIs" dxfId="4816" priority="4712" operator="equal">
      <formula>0</formula>
    </cfRule>
    <cfRule type="cellIs" dxfId="4815" priority="4713" operator="notBetween">
      <formula>$Q$17</formula>
      <formula>$R$17</formula>
    </cfRule>
  </conditionalFormatting>
  <conditionalFormatting sqref="F988:H993 D994:H994 I988:I994 C985:D985 K985:O994 F985:I987 C986:C994 D986:D993">
    <cfRule type="cellIs" dxfId="4814" priority="4711" stopIfTrue="1" operator="greaterThan">
      <formula>0</formula>
    </cfRule>
  </conditionalFormatting>
  <conditionalFormatting sqref="D988:D993">
    <cfRule type="cellIs" dxfId="4813" priority="4710" stopIfTrue="1" operator="greaterThan">
      <formula>0</formula>
    </cfRule>
  </conditionalFormatting>
  <conditionalFormatting sqref="D988:D993 F988:H993">
    <cfRule type="cellIs" dxfId="4812" priority="4709" stopIfTrue="1" operator="greaterThan">
      <formula>0</formula>
    </cfRule>
  </conditionalFormatting>
  <conditionalFormatting sqref="H985:H993">
    <cfRule type="cellIs" dxfId="4811" priority="4708" stopIfTrue="1" operator="greaterThan">
      <formula>0</formula>
    </cfRule>
  </conditionalFormatting>
  <conditionalFormatting sqref="E985:E993">
    <cfRule type="cellIs" dxfId="4810" priority="4707" stopIfTrue="1" operator="greaterThan">
      <formula>0</formula>
    </cfRule>
  </conditionalFormatting>
  <conditionalFormatting sqref="M1002:M1007 K1002:K1007">
    <cfRule type="containsText" dxfId="4809" priority="4705" stopIfTrue="1" operator="containsText" text="NO CUMPLE">
      <formula>NOT(ISERROR(SEARCH("NO CUMPLE",K1002)))</formula>
    </cfRule>
    <cfRule type="containsText" dxfId="4808" priority="4706" stopIfTrue="1" operator="containsText" text="CUMPLE">
      <formula>NOT(ISERROR(SEARCH("CUMPLE",K1002)))</formula>
    </cfRule>
  </conditionalFormatting>
  <conditionalFormatting sqref="S1001">
    <cfRule type="cellIs" dxfId="4807" priority="4703" operator="greaterThanOrEqual">
      <formula>NUMMINCONT</formula>
    </cfRule>
    <cfRule type="cellIs" dxfId="4806" priority="4704" operator="lessThan">
      <formula>NUMMINCONT</formula>
    </cfRule>
  </conditionalFormatting>
  <conditionalFormatting sqref="T988:V993">
    <cfRule type="cellIs" dxfId="4805" priority="4701" stopIfTrue="1" operator="equal">
      <formula>"NO"</formula>
    </cfRule>
    <cfRule type="cellIs" dxfId="4804" priority="4702" stopIfTrue="1" operator="equal">
      <formula>"SI"</formula>
    </cfRule>
  </conditionalFormatting>
  <conditionalFormatting sqref="T988:V989">
    <cfRule type="cellIs" dxfId="4803" priority="4700" stopIfTrue="1" operator="equal">
      <formula>"NO APLICA"</formula>
    </cfRule>
  </conditionalFormatting>
  <conditionalFormatting sqref="T990:U993">
    <cfRule type="cellIs" dxfId="4802" priority="4699" stopIfTrue="1" operator="equal">
      <formula>"NO APLICA"</formula>
    </cfRule>
  </conditionalFormatting>
  <conditionalFormatting sqref="T990:U990">
    <cfRule type="cellIs" dxfId="4801" priority="4698" stopIfTrue="1" operator="equal">
      <formula>"NO APLICA"</formula>
    </cfRule>
  </conditionalFormatting>
  <conditionalFormatting sqref="V990:V993">
    <cfRule type="cellIs" dxfId="4800" priority="4697" stopIfTrue="1" operator="equal">
      <formula>"NO APLICA"</formula>
    </cfRule>
  </conditionalFormatting>
  <conditionalFormatting sqref="V999:W999">
    <cfRule type="cellIs" dxfId="4799" priority="4695" operator="equal">
      <formula>"CUMPLE"</formula>
    </cfRule>
    <cfRule type="cellIs" dxfId="4798" priority="4696" operator="equal">
      <formula>"NO CUMPLE"</formula>
    </cfRule>
  </conditionalFormatting>
  <conditionalFormatting sqref="V999:W1001">
    <cfRule type="cellIs" dxfId="4797" priority="4694" operator="equal">
      <formula>"VERIFICAR"</formula>
    </cfRule>
  </conditionalFormatting>
  <conditionalFormatting sqref="T994:V994">
    <cfRule type="cellIs" dxfId="4796" priority="4692" stopIfTrue="1" operator="equal">
      <formula>"NO"</formula>
    </cfRule>
    <cfRule type="cellIs" dxfId="4795" priority="4693" stopIfTrue="1" operator="equal">
      <formula>"SI"</formula>
    </cfRule>
  </conditionalFormatting>
  <conditionalFormatting sqref="T994:U994">
    <cfRule type="cellIs" dxfId="4794" priority="4691" stopIfTrue="1" operator="equal">
      <formula>"NO APLICA"</formula>
    </cfRule>
  </conditionalFormatting>
  <conditionalFormatting sqref="V994">
    <cfRule type="cellIs" dxfId="4793" priority="4690" stopIfTrue="1" operator="equal">
      <formula>"NO APLICA"</formula>
    </cfRule>
  </conditionalFormatting>
  <conditionalFormatting sqref="T1004">
    <cfRule type="cellIs" dxfId="4792" priority="4688" operator="equal">
      <formula>"CUMPLE"</formula>
    </cfRule>
    <cfRule type="cellIs" dxfId="4791" priority="4689" operator="equal">
      <formula>"NO CUMPLE"</formula>
    </cfRule>
  </conditionalFormatting>
  <conditionalFormatting sqref="T1004">
    <cfRule type="cellIs" dxfId="4790" priority="4687" operator="equal">
      <formula>"VERIFICAR"</formula>
    </cfRule>
  </conditionalFormatting>
  <conditionalFormatting sqref="Y1002:Y1007">
    <cfRule type="cellIs" dxfId="4789" priority="4686" stopIfTrue="1" operator="equal">
      <formula>"NO APLICA"</formula>
    </cfRule>
  </conditionalFormatting>
  <conditionalFormatting sqref="Y1007">
    <cfRule type="cellIs" dxfId="4788" priority="4685" stopIfTrue="1" operator="equal">
      <formula>"NO APLICA"</formula>
    </cfRule>
  </conditionalFormatting>
  <conditionalFormatting sqref="X1002:Y1007">
    <cfRule type="cellIs" dxfId="4787" priority="4683" stopIfTrue="1" operator="equal">
      <formula>"NO"</formula>
    </cfRule>
    <cfRule type="cellIs" dxfId="4786" priority="4684" stopIfTrue="1" operator="equal">
      <formula>"SI"</formula>
    </cfRule>
  </conditionalFormatting>
  <conditionalFormatting sqref="X1002:X1007">
    <cfRule type="cellIs" dxfId="4785" priority="4682" stopIfTrue="1" operator="equal">
      <formula>"NO APLICA"</formula>
    </cfRule>
  </conditionalFormatting>
  <conditionalFormatting sqref="X1003:X1006">
    <cfRule type="cellIs" dxfId="4784" priority="4681" stopIfTrue="1" operator="equal">
      <formula>"NO APLICA"</formula>
    </cfRule>
  </conditionalFormatting>
  <conditionalFormatting sqref="X1003">
    <cfRule type="cellIs" dxfId="4783" priority="4680" stopIfTrue="1" operator="equal">
      <formula>"NO APLICA"</formula>
    </cfRule>
  </conditionalFormatting>
  <conditionalFormatting sqref="X1007">
    <cfRule type="cellIs" dxfId="4782" priority="4679" stopIfTrue="1" operator="equal">
      <formula>"NO APLICA"</formula>
    </cfRule>
  </conditionalFormatting>
  <conditionalFormatting sqref="X1007">
    <cfRule type="cellIs" dxfId="4781" priority="4678" stopIfTrue="1" operator="equal">
      <formula>"NO APLICA"</formula>
    </cfRule>
  </conditionalFormatting>
  <conditionalFormatting sqref="AA1002:AA1007">
    <cfRule type="cellIs" dxfId="4780" priority="4677" stopIfTrue="1" operator="equal">
      <formula>"NO APLICA"</formula>
    </cfRule>
  </conditionalFormatting>
  <conditionalFormatting sqref="AA1007">
    <cfRule type="cellIs" dxfId="4779" priority="4676" stopIfTrue="1" operator="equal">
      <formula>"NO APLICA"</formula>
    </cfRule>
  </conditionalFormatting>
  <conditionalFormatting sqref="AA1002:AA1007">
    <cfRule type="cellIs" dxfId="4778" priority="4674" stopIfTrue="1" operator="equal">
      <formula>"NO"</formula>
    </cfRule>
    <cfRule type="cellIs" dxfId="4777" priority="4675" stopIfTrue="1" operator="equal">
      <formula>"SI"</formula>
    </cfRule>
  </conditionalFormatting>
  <conditionalFormatting sqref="Y1002:Z1007">
    <cfRule type="cellIs" dxfId="4776" priority="4672" operator="equal">
      <formula>"NO APLICA"</formula>
    </cfRule>
    <cfRule type="cellIs" dxfId="4775" priority="4673" operator="equal">
      <formula>"SI APLICA"</formula>
    </cfRule>
  </conditionalFormatting>
  <conditionalFormatting sqref="AB1002:AB1008">
    <cfRule type="cellIs" dxfId="4774" priority="4670" operator="equal">
      <formula>"NO APLICA"</formula>
    </cfRule>
    <cfRule type="cellIs" dxfId="4773" priority="4671" operator="equal">
      <formula>"SI APLICA"</formula>
    </cfRule>
  </conditionalFormatting>
  <conditionalFormatting sqref="X1008">
    <cfRule type="cellIs" dxfId="4772" priority="4668" operator="equal">
      <formula>"PROPONENTE PLURAL"</formula>
    </cfRule>
    <cfRule type="cellIs" dxfId="4771" priority="4669" operator="equal">
      <formula>"PROPONENTE INDIVIDUAL"</formula>
    </cfRule>
  </conditionalFormatting>
  <conditionalFormatting sqref="Z1008:AA1008 AA1002:AA1007">
    <cfRule type="cellIs" dxfId="4770" priority="4666" operator="equal">
      <formula>"NO APLICA"</formula>
    </cfRule>
    <cfRule type="cellIs" dxfId="4769" priority="4667" operator="equal">
      <formula>"SI APLICA"</formula>
    </cfRule>
  </conditionalFormatting>
  <conditionalFormatting sqref="AB1002:AB1007 Y1002:Z1007">
    <cfRule type="cellIs" dxfId="4768" priority="4665" operator="equal">
      <formula>""</formula>
    </cfRule>
  </conditionalFormatting>
  <conditionalFormatting sqref="H1008">
    <cfRule type="containsText" dxfId="4767" priority="4663" stopIfTrue="1" operator="containsText" text="NO CUMPLE">
      <formula>NOT(ISERROR(SEARCH("NO CUMPLE",H1008)))</formula>
    </cfRule>
    <cfRule type="containsText" dxfId="4766" priority="4664" stopIfTrue="1" operator="containsText" text="CUMPLE">
      <formula>NOT(ISERROR(SEARCH("CUMPLE",H1008)))</formula>
    </cfRule>
  </conditionalFormatting>
  <conditionalFormatting sqref="J1008">
    <cfRule type="containsText" dxfId="4765" priority="4661" stopIfTrue="1" operator="containsText" text="NO CUMPLE">
      <formula>NOT(ISERROR(SEARCH("NO CUMPLE",J1008)))</formula>
    </cfRule>
    <cfRule type="containsText" dxfId="4764" priority="4662" stopIfTrue="1" operator="containsText" text="CUMPLE">
      <formula>NOT(ISERROR(SEARCH("CUMPLE",J1008)))</formula>
    </cfRule>
  </conditionalFormatting>
  <conditionalFormatting sqref="K1008">
    <cfRule type="containsText" dxfId="4763" priority="4659" stopIfTrue="1" operator="containsText" text="NO CUMPLE">
      <formula>NOT(ISERROR(SEARCH("NO CUMPLE",K1008)))</formula>
    </cfRule>
    <cfRule type="containsText" dxfId="4762" priority="4660" stopIfTrue="1" operator="containsText" text="CUMPLE">
      <formula>NOT(ISERROR(SEARCH("CUMPLE",K1008)))</formula>
    </cfRule>
  </conditionalFormatting>
  <conditionalFormatting sqref="L1002:L1007">
    <cfRule type="containsText" dxfId="4761" priority="4657" stopIfTrue="1" operator="containsText" text="NO CUMPLE">
      <formula>NOT(ISERROR(SEARCH("NO CUMPLE",L1002)))</formula>
    </cfRule>
    <cfRule type="containsText" dxfId="4760" priority="4658" stopIfTrue="1" operator="containsText" text="CUMPLE">
      <formula>NOT(ISERROR(SEARCH("CUMPLE",L1002)))</formula>
    </cfRule>
  </conditionalFormatting>
  <conditionalFormatting sqref="O1007">
    <cfRule type="containsText" dxfId="4759" priority="4655" stopIfTrue="1" operator="containsText" text="NO CUMPLE">
      <formula>NOT(ISERROR(SEARCH("NO CUMPLE",O1007)))</formula>
    </cfRule>
    <cfRule type="containsText" dxfId="4758" priority="4656" stopIfTrue="1" operator="containsText" text="CUMPLE">
      <formula>NOT(ISERROR(SEARCH("CUMPLE",O1007)))</formula>
    </cfRule>
  </conditionalFormatting>
  <conditionalFormatting sqref="O1008:S1008">
    <cfRule type="cellIs" dxfId="4757" priority="4654" operator="equal">
      <formula>"EL PROPONENTE SE DEBE REQUERIR POR EXPERIENCIA MINIMA EXIGIDA"</formula>
    </cfRule>
  </conditionalFormatting>
  <conditionalFormatting sqref="X996">
    <cfRule type="cellIs" dxfId="4756" priority="4651" stopIfTrue="1" operator="equal">
      <formula>"VERIFICAR"</formula>
    </cfRule>
    <cfRule type="cellIs" dxfId="4755" priority="4652" stopIfTrue="1" operator="equal">
      <formula>"NO CUMPLE"</formula>
    </cfRule>
    <cfRule type="cellIs" dxfId="4754" priority="4653" stopIfTrue="1" operator="equal">
      <formula>"CUMPLE"</formula>
    </cfRule>
  </conditionalFormatting>
  <conditionalFormatting sqref="X985:Y994 J985:J994">
    <cfRule type="cellIs" dxfId="4753" priority="4650" stopIfTrue="1" operator="greaterThan">
      <formula>0</formula>
    </cfRule>
  </conditionalFormatting>
  <conditionalFormatting sqref="X985:Y994">
    <cfRule type="cellIs" dxfId="4752" priority="4648" operator="equal">
      <formula>"NO CUMPLE"</formula>
    </cfRule>
    <cfRule type="cellIs" dxfId="4751" priority="4649" operator="equal">
      <formula>"CUMPLE"</formula>
    </cfRule>
  </conditionalFormatting>
  <conditionalFormatting sqref="N1002:N1007">
    <cfRule type="cellIs" dxfId="4750" priority="4646" operator="equal">
      <formula>"NO"</formula>
    </cfRule>
    <cfRule type="cellIs" dxfId="4749" priority="4647" operator="equal">
      <formula>"SI"</formula>
    </cfRule>
  </conditionalFormatting>
  <conditionalFormatting sqref="I994">
    <cfRule type="cellIs" dxfId="4748" priority="4645" stopIfTrue="1" operator="greaterThan">
      <formula>0</formula>
    </cfRule>
  </conditionalFormatting>
  <conditionalFormatting sqref="K988:L994">
    <cfRule type="cellIs" dxfId="4747" priority="4643" operator="equal">
      <formula>0</formula>
    </cfRule>
    <cfRule type="cellIs" dxfId="4746" priority="4644" operator="notBetween">
      <formula>$Q$17</formula>
      <formula>$R$17</formula>
    </cfRule>
  </conditionalFormatting>
  <conditionalFormatting sqref="B985:B994">
    <cfRule type="cellIs" dxfId="4745" priority="4642" stopIfTrue="1" operator="greaterThan">
      <formula>0</formula>
    </cfRule>
  </conditionalFormatting>
  <conditionalFormatting sqref="C985:D985 C986:C994 D986:D987">
    <cfRule type="cellIs" dxfId="4744" priority="4641" stopIfTrue="1" operator="greaterThan">
      <formula>0</formula>
    </cfRule>
  </conditionalFormatting>
  <conditionalFormatting sqref="C985:D985 F985:H987 C986:C994 D986:D987">
    <cfRule type="cellIs" dxfId="4743" priority="4640" stopIfTrue="1" operator="greaterThan">
      <formula>0</formula>
    </cfRule>
  </conditionalFormatting>
  <conditionalFormatting sqref="T985:V987">
    <cfRule type="cellIs" dxfId="4742" priority="4638" stopIfTrue="1" operator="equal">
      <formula>"NO"</formula>
    </cfRule>
    <cfRule type="cellIs" dxfId="4741" priority="4639" stopIfTrue="1" operator="equal">
      <formula>"SI"</formula>
    </cfRule>
  </conditionalFormatting>
  <conditionalFormatting sqref="T985:V986">
    <cfRule type="cellIs" dxfId="4740" priority="4637" stopIfTrue="1" operator="equal">
      <formula>"NO APLICA"</formula>
    </cfRule>
  </conditionalFormatting>
  <conditionalFormatting sqref="T987:U987">
    <cfRule type="cellIs" dxfId="4739" priority="4636" stopIfTrue="1" operator="equal">
      <formula>"NO APLICA"</formula>
    </cfRule>
  </conditionalFormatting>
  <conditionalFormatting sqref="T987:U987">
    <cfRule type="cellIs" dxfId="4738" priority="4635" stopIfTrue="1" operator="equal">
      <formula>"NO APLICA"</formula>
    </cfRule>
  </conditionalFormatting>
  <conditionalFormatting sqref="V987">
    <cfRule type="cellIs" dxfId="4737" priority="4634" stopIfTrue="1" operator="equal">
      <formula>"NO APLICA"</formula>
    </cfRule>
  </conditionalFormatting>
  <conditionalFormatting sqref="K985:L987">
    <cfRule type="cellIs" dxfId="4736" priority="4632" operator="equal">
      <formula>0</formula>
    </cfRule>
    <cfRule type="cellIs" dxfId="4735" priority="4633" operator="notBetween">
      <formula>$Q$17</formula>
      <formula>$R$17</formula>
    </cfRule>
  </conditionalFormatting>
  <conditionalFormatting sqref="F1018:H1023 D1024:H1024 I1018:I1024 C1015:D1015 K1015:O1024 F1015:I1017 C1016:C1024 D1016:D1023">
    <cfRule type="cellIs" dxfId="4734" priority="4631" stopIfTrue="1" operator="greaterThan">
      <formula>0</formula>
    </cfRule>
  </conditionalFormatting>
  <conditionalFormatting sqref="D1018:D1023">
    <cfRule type="cellIs" dxfId="4733" priority="4630" stopIfTrue="1" operator="greaterThan">
      <formula>0</formula>
    </cfRule>
  </conditionalFormatting>
  <conditionalFormatting sqref="F1018:H1023 D1018:D1023">
    <cfRule type="cellIs" dxfId="4732" priority="4629" stopIfTrue="1" operator="greaterThan">
      <formula>0</formula>
    </cfRule>
  </conditionalFormatting>
  <conditionalFormatting sqref="H1015:H1023">
    <cfRule type="cellIs" dxfId="4731" priority="4628" stopIfTrue="1" operator="greaterThan">
      <formula>0</formula>
    </cfRule>
  </conditionalFormatting>
  <conditionalFormatting sqref="E1015:E1023">
    <cfRule type="cellIs" dxfId="4730" priority="4627" stopIfTrue="1" operator="greaterThan">
      <formula>0</formula>
    </cfRule>
  </conditionalFormatting>
  <conditionalFormatting sqref="M1032:M1037 K1032:K1037">
    <cfRule type="containsText" dxfId="4729" priority="4625" stopIfTrue="1" operator="containsText" text="NO CUMPLE">
      <formula>NOT(ISERROR(SEARCH("NO CUMPLE",K1032)))</formula>
    </cfRule>
    <cfRule type="containsText" dxfId="4728" priority="4626" stopIfTrue="1" operator="containsText" text="CUMPLE">
      <formula>NOT(ISERROR(SEARCH("CUMPLE",K1032)))</formula>
    </cfRule>
  </conditionalFormatting>
  <conditionalFormatting sqref="S1031">
    <cfRule type="cellIs" dxfId="4727" priority="4623" operator="greaterThanOrEqual">
      <formula>NUMMINCONT</formula>
    </cfRule>
    <cfRule type="cellIs" dxfId="4726" priority="4624" operator="lessThan">
      <formula>NUMMINCONT</formula>
    </cfRule>
  </conditionalFormatting>
  <conditionalFormatting sqref="T1018:V1023">
    <cfRule type="cellIs" dxfId="4725" priority="4621" stopIfTrue="1" operator="equal">
      <formula>"NO"</formula>
    </cfRule>
    <cfRule type="cellIs" dxfId="4724" priority="4622" stopIfTrue="1" operator="equal">
      <formula>"SI"</formula>
    </cfRule>
  </conditionalFormatting>
  <conditionalFormatting sqref="T1018:V1019">
    <cfRule type="cellIs" dxfId="4723" priority="4620" stopIfTrue="1" operator="equal">
      <formula>"NO APLICA"</formula>
    </cfRule>
  </conditionalFormatting>
  <conditionalFormatting sqref="T1020:U1023">
    <cfRule type="cellIs" dxfId="4722" priority="4619" stopIfTrue="1" operator="equal">
      <formula>"NO APLICA"</formula>
    </cfRule>
  </conditionalFormatting>
  <conditionalFormatting sqref="T1020:U1020">
    <cfRule type="cellIs" dxfId="4721" priority="4618" stopIfTrue="1" operator="equal">
      <formula>"NO APLICA"</formula>
    </cfRule>
  </conditionalFormatting>
  <conditionalFormatting sqref="V1020:V1023">
    <cfRule type="cellIs" dxfId="4720" priority="4617" stopIfTrue="1" operator="equal">
      <formula>"NO APLICA"</formula>
    </cfRule>
  </conditionalFormatting>
  <conditionalFormatting sqref="V1029:W1029">
    <cfRule type="cellIs" dxfId="4719" priority="4615" operator="equal">
      <formula>"CUMPLE"</formula>
    </cfRule>
    <cfRule type="cellIs" dxfId="4718" priority="4616" operator="equal">
      <formula>"NO CUMPLE"</formula>
    </cfRule>
  </conditionalFormatting>
  <conditionalFormatting sqref="V1029:W1031">
    <cfRule type="cellIs" dxfId="4717" priority="4614" operator="equal">
      <formula>"VERIFICAR"</formula>
    </cfRule>
  </conditionalFormatting>
  <conditionalFormatting sqref="T1024:V1024">
    <cfRule type="cellIs" dxfId="4716" priority="4612" stopIfTrue="1" operator="equal">
      <formula>"NO"</formula>
    </cfRule>
    <cfRule type="cellIs" dxfId="4715" priority="4613" stopIfTrue="1" operator="equal">
      <formula>"SI"</formula>
    </cfRule>
  </conditionalFormatting>
  <conditionalFormatting sqref="T1024:U1024">
    <cfRule type="cellIs" dxfId="4714" priority="4611" stopIfTrue="1" operator="equal">
      <formula>"NO APLICA"</formula>
    </cfRule>
  </conditionalFormatting>
  <conditionalFormatting sqref="V1024">
    <cfRule type="cellIs" dxfId="4713" priority="4610" stopIfTrue="1" operator="equal">
      <formula>"NO APLICA"</formula>
    </cfRule>
  </conditionalFormatting>
  <conditionalFormatting sqref="T1034">
    <cfRule type="cellIs" dxfId="4712" priority="4608" operator="equal">
      <formula>"CUMPLE"</formula>
    </cfRule>
    <cfRule type="cellIs" dxfId="4711" priority="4609" operator="equal">
      <formula>"NO CUMPLE"</formula>
    </cfRule>
  </conditionalFormatting>
  <conditionalFormatting sqref="T1034">
    <cfRule type="cellIs" dxfId="4710" priority="4607" operator="equal">
      <formula>"VERIFICAR"</formula>
    </cfRule>
  </conditionalFormatting>
  <conditionalFormatting sqref="Y1032:Y1037">
    <cfRule type="cellIs" dxfId="4709" priority="4606" stopIfTrue="1" operator="equal">
      <formula>"NO APLICA"</formula>
    </cfRule>
  </conditionalFormatting>
  <conditionalFormatting sqref="Y1037">
    <cfRule type="cellIs" dxfId="4708" priority="4605" stopIfTrue="1" operator="equal">
      <formula>"NO APLICA"</formula>
    </cfRule>
  </conditionalFormatting>
  <conditionalFormatting sqref="X1032:Y1037">
    <cfRule type="cellIs" dxfId="4707" priority="4603" stopIfTrue="1" operator="equal">
      <formula>"NO"</formula>
    </cfRule>
    <cfRule type="cellIs" dxfId="4706" priority="4604" stopIfTrue="1" operator="equal">
      <formula>"SI"</formula>
    </cfRule>
  </conditionalFormatting>
  <conditionalFormatting sqref="X1032:X1037">
    <cfRule type="cellIs" dxfId="4705" priority="4602" stopIfTrue="1" operator="equal">
      <formula>"NO APLICA"</formula>
    </cfRule>
  </conditionalFormatting>
  <conditionalFormatting sqref="X1033:X1036">
    <cfRule type="cellIs" dxfId="4704" priority="4601" stopIfTrue="1" operator="equal">
      <formula>"NO APLICA"</formula>
    </cfRule>
  </conditionalFormatting>
  <conditionalFormatting sqref="X1033">
    <cfRule type="cellIs" dxfId="4703" priority="4600" stopIfTrue="1" operator="equal">
      <formula>"NO APLICA"</formula>
    </cfRule>
  </conditionalFormatting>
  <conditionalFormatting sqref="X1037">
    <cfRule type="cellIs" dxfId="4702" priority="4599" stopIfTrue="1" operator="equal">
      <formula>"NO APLICA"</formula>
    </cfRule>
  </conditionalFormatting>
  <conditionalFormatting sqref="X1037">
    <cfRule type="cellIs" dxfId="4701" priority="4598" stopIfTrue="1" operator="equal">
      <formula>"NO APLICA"</formula>
    </cfRule>
  </conditionalFormatting>
  <conditionalFormatting sqref="AA1032:AA1037">
    <cfRule type="cellIs" dxfId="4700" priority="4597" stopIfTrue="1" operator="equal">
      <formula>"NO APLICA"</formula>
    </cfRule>
  </conditionalFormatting>
  <conditionalFormatting sqref="AA1037">
    <cfRule type="cellIs" dxfId="4699" priority="4596" stopIfTrue="1" operator="equal">
      <formula>"NO APLICA"</formula>
    </cfRule>
  </conditionalFormatting>
  <conditionalFormatting sqref="AA1032:AA1037">
    <cfRule type="cellIs" dxfId="4698" priority="4594" stopIfTrue="1" operator="equal">
      <formula>"NO"</formula>
    </cfRule>
    <cfRule type="cellIs" dxfId="4697" priority="4595" stopIfTrue="1" operator="equal">
      <formula>"SI"</formula>
    </cfRule>
  </conditionalFormatting>
  <conditionalFormatting sqref="Y1032:Z1037">
    <cfRule type="cellIs" dxfId="4696" priority="4592" operator="equal">
      <formula>"NO APLICA"</formula>
    </cfRule>
    <cfRule type="cellIs" dxfId="4695" priority="4593" operator="equal">
      <formula>"SI APLICA"</formula>
    </cfRule>
  </conditionalFormatting>
  <conditionalFormatting sqref="AB1032:AB1038">
    <cfRule type="cellIs" dxfId="4694" priority="4590" operator="equal">
      <formula>"NO APLICA"</formula>
    </cfRule>
    <cfRule type="cellIs" dxfId="4693" priority="4591" operator="equal">
      <formula>"SI APLICA"</formula>
    </cfRule>
  </conditionalFormatting>
  <conditionalFormatting sqref="X1038">
    <cfRule type="cellIs" dxfId="4692" priority="4588" operator="equal">
      <formula>"PROPONENTE PLURAL"</formula>
    </cfRule>
    <cfRule type="cellIs" dxfId="4691" priority="4589" operator="equal">
      <formula>"PROPONENTE INDIVIDUAL"</formula>
    </cfRule>
  </conditionalFormatting>
  <conditionalFormatting sqref="Z1038:AA1038 AA1032:AA1037">
    <cfRule type="cellIs" dxfId="4690" priority="4586" operator="equal">
      <formula>"NO APLICA"</formula>
    </cfRule>
    <cfRule type="cellIs" dxfId="4689" priority="4587" operator="equal">
      <formula>"SI APLICA"</formula>
    </cfRule>
  </conditionalFormatting>
  <conditionalFormatting sqref="AB1032:AB1037 Y1032:Z1037">
    <cfRule type="cellIs" dxfId="4688" priority="4585" operator="equal">
      <formula>""</formula>
    </cfRule>
  </conditionalFormatting>
  <conditionalFormatting sqref="H1038">
    <cfRule type="containsText" dxfId="4687" priority="4583" stopIfTrue="1" operator="containsText" text="NO CUMPLE">
      <formula>NOT(ISERROR(SEARCH("NO CUMPLE",H1038)))</formula>
    </cfRule>
    <cfRule type="containsText" dxfId="4686" priority="4584" stopIfTrue="1" operator="containsText" text="CUMPLE">
      <formula>NOT(ISERROR(SEARCH("CUMPLE",H1038)))</formula>
    </cfRule>
  </conditionalFormatting>
  <conditionalFormatting sqref="J1038">
    <cfRule type="containsText" dxfId="4685" priority="4581" stopIfTrue="1" operator="containsText" text="NO CUMPLE">
      <formula>NOT(ISERROR(SEARCH("NO CUMPLE",J1038)))</formula>
    </cfRule>
    <cfRule type="containsText" dxfId="4684" priority="4582" stopIfTrue="1" operator="containsText" text="CUMPLE">
      <formula>NOT(ISERROR(SEARCH("CUMPLE",J1038)))</formula>
    </cfRule>
  </conditionalFormatting>
  <conditionalFormatting sqref="K1038">
    <cfRule type="containsText" dxfId="4683" priority="4579" stopIfTrue="1" operator="containsText" text="NO CUMPLE">
      <formula>NOT(ISERROR(SEARCH("NO CUMPLE",K1038)))</formula>
    </cfRule>
    <cfRule type="containsText" dxfId="4682" priority="4580" stopIfTrue="1" operator="containsText" text="CUMPLE">
      <formula>NOT(ISERROR(SEARCH("CUMPLE",K1038)))</formula>
    </cfRule>
  </conditionalFormatting>
  <conditionalFormatting sqref="L1032:L1037">
    <cfRule type="containsText" dxfId="4681" priority="4577" stopIfTrue="1" operator="containsText" text="NO CUMPLE">
      <formula>NOT(ISERROR(SEARCH("NO CUMPLE",L1032)))</formula>
    </cfRule>
    <cfRule type="containsText" dxfId="4680" priority="4578" stopIfTrue="1" operator="containsText" text="CUMPLE">
      <formula>NOT(ISERROR(SEARCH("CUMPLE",L1032)))</formula>
    </cfRule>
  </conditionalFormatting>
  <conditionalFormatting sqref="O1037">
    <cfRule type="containsText" dxfId="4679" priority="4575" stopIfTrue="1" operator="containsText" text="NO CUMPLE">
      <formula>NOT(ISERROR(SEARCH("NO CUMPLE",O1037)))</formula>
    </cfRule>
    <cfRule type="containsText" dxfId="4678" priority="4576" stopIfTrue="1" operator="containsText" text="CUMPLE">
      <formula>NOT(ISERROR(SEARCH("CUMPLE",O1037)))</formula>
    </cfRule>
  </conditionalFormatting>
  <conditionalFormatting sqref="O1038:S1038">
    <cfRule type="cellIs" dxfId="4677" priority="4574" operator="equal">
      <formula>"EL PROPONENTE SE DEBE REQUERIR POR EXPERIENCIA MINIMA EXIGIDA"</formula>
    </cfRule>
  </conditionalFormatting>
  <conditionalFormatting sqref="X1026">
    <cfRule type="cellIs" dxfId="4676" priority="4571" stopIfTrue="1" operator="equal">
      <formula>"VERIFICAR"</formula>
    </cfRule>
    <cfRule type="cellIs" dxfId="4675" priority="4572" stopIfTrue="1" operator="equal">
      <formula>"NO CUMPLE"</formula>
    </cfRule>
    <cfRule type="cellIs" dxfId="4674" priority="4573" stopIfTrue="1" operator="equal">
      <formula>"CUMPLE"</formula>
    </cfRule>
  </conditionalFormatting>
  <conditionalFormatting sqref="X1015:Y1024 J1015:J1024">
    <cfRule type="cellIs" dxfId="4673" priority="4570" stopIfTrue="1" operator="greaterThan">
      <formula>0</formula>
    </cfRule>
  </conditionalFormatting>
  <conditionalFormatting sqref="X1015:Y1024">
    <cfRule type="cellIs" dxfId="4672" priority="4568" operator="equal">
      <formula>"NO CUMPLE"</formula>
    </cfRule>
    <cfRule type="cellIs" dxfId="4671" priority="4569" operator="equal">
      <formula>"CUMPLE"</formula>
    </cfRule>
  </conditionalFormatting>
  <conditionalFormatting sqref="N1032:N1037">
    <cfRule type="cellIs" dxfId="4670" priority="4566" operator="equal">
      <formula>"NO"</formula>
    </cfRule>
    <cfRule type="cellIs" dxfId="4669" priority="4567" operator="equal">
      <formula>"SI"</formula>
    </cfRule>
  </conditionalFormatting>
  <conditionalFormatting sqref="I1024">
    <cfRule type="cellIs" dxfId="4668" priority="4565" stopIfTrue="1" operator="greaterThan">
      <formula>0</formula>
    </cfRule>
  </conditionalFormatting>
  <conditionalFormatting sqref="K1018:L1024">
    <cfRule type="cellIs" dxfId="4667" priority="4563" operator="equal">
      <formula>0</formula>
    </cfRule>
    <cfRule type="cellIs" dxfId="4666" priority="4564" operator="notBetween">
      <formula>$Q$17</formula>
      <formula>$R$17</formula>
    </cfRule>
  </conditionalFormatting>
  <conditionalFormatting sqref="B1015:B1024">
    <cfRule type="cellIs" dxfId="4665" priority="4562" stopIfTrue="1" operator="greaterThan">
      <formula>0</formula>
    </cfRule>
  </conditionalFormatting>
  <conditionalFormatting sqref="C1015:D1015 D1016:D1017 C1016:C1024">
    <cfRule type="cellIs" dxfId="4664" priority="4561" stopIfTrue="1" operator="greaterThan">
      <formula>0</formula>
    </cfRule>
  </conditionalFormatting>
  <conditionalFormatting sqref="C1015:D1015 F1015:H1017 D1016:D1017 C1016:C1024">
    <cfRule type="cellIs" dxfId="4663" priority="4560" stopIfTrue="1" operator="greaterThan">
      <formula>0</formula>
    </cfRule>
  </conditionalFormatting>
  <conditionalFormatting sqref="T1015:V1017">
    <cfRule type="cellIs" dxfId="4662" priority="4558" stopIfTrue="1" operator="equal">
      <formula>"NO"</formula>
    </cfRule>
    <cfRule type="cellIs" dxfId="4661" priority="4559" stopIfTrue="1" operator="equal">
      <formula>"SI"</formula>
    </cfRule>
  </conditionalFormatting>
  <conditionalFormatting sqref="T1015:V1016">
    <cfRule type="cellIs" dxfId="4660" priority="4557" stopIfTrue="1" operator="equal">
      <formula>"NO APLICA"</formula>
    </cfRule>
  </conditionalFormatting>
  <conditionalFormatting sqref="T1017:V1017">
    <cfRule type="cellIs" dxfId="4659" priority="4556" stopIfTrue="1" operator="equal">
      <formula>"NO APLICA"</formula>
    </cfRule>
  </conditionalFormatting>
  <conditionalFormatting sqref="T1017:V1017">
    <cfRule type="cellIs" dxfId="4658" priority="4555" stopIfTrue="1" operator="equal">
      <formula>"NO APLICA"</formula>
    </cfRule>
  </conditionalFormatting>
  <conditionalFormatting sqref="K1015:L1017">
    <cfRule type="cellIs" dxfId="4657" priority="4552" operator="equal">
      <formula>0</formula>
    </cfRule>
    <cfRule type="cellIs" dxfId="4656" priority="4553" operator="notBetween">
      <formula>$Q$17</formula>
      <formula>$R$17</formula>
    </cfRule>
  </conditionalFormatting>
  <conditionalFormatting sqref="F1048:H1053 D1054:H1054 I1048:I1054 C1045:D1045 K1045:O1054 F1045:I1047 C1046:C1054 D1046:D1053">
    <cfRule type="cellIs" dxfId="4655" priority="4551" stopIfTrue="1" operator="greaterThan">
      <formula>0</formula>
    </cfRule>
  </conditionalFormatting>
  <conditionalFormatting sqref="D1048:D1053">
    <cfRule type="cellIs" dxfId="4654" priority="4550" stopIfTrue="1" operator="greaterThan">
      <formula>0</formula>
    </cfRule>
  </conditionalFormatting>
  <conditionalFormatting sqref="D1048:D1053 F1048:H1053">
    <cfRule type="cellIs" dxfId="4653" priority="4549" stopIfTrue="1" operator="greaterThan">
      <formula>0</formula>
    </cfRule>
  </conditionalFormatting>
  <conditionalFormatting sqref="H1045:H1053">
    <cfRule type="cellIs" dxfId="4652" priority="4548" stopIfTrue="1" operator="greaterThan">
      <formula>0</formula>
    </cfRule>
  </conditionalFormatting>
  <conditionalFormatting sqref="E1045:E1053">
    <cfRule type="cellIs" dxfId="4651" priority="4547" stopIfTrue="1" operator="greaterThan">
      <formula>0</formula>
    </cfRule>
  </conditionalFormatting>
  <conditionalFormatting sqref="M1062:M1067 K1062:K1067">
    <cfRule type="containsText" dxfId="4650" priority="4545" stopIfTrue="1" operator="containsText" text="NO CUMPLE">
      <formula>NOT(ISERROR(SEARCH("NO CUMPLE",K1062)))</formula>
    </cfRule>
    <cfRule type="containsText" dxfId="4649" priority="4546" stopIfTrue="1" operator="containsText" text="CUMPLE">
      <formula>NOT(ISERROR(SEARCH("CUMPLE",K1062)))</formula>
    </cfRule>
  </conditionalFormatting>
  <conditionalFormatting sqref="S1061">
    <cfRule type="cellIs" dxfId="4648" priority="4543" operator="greaterThanOrEqual">
      <formula>NUMMINCONT</formula>
    </cfRule>
    <cfRule type="cellIs" dxfId="4647" priority="4544" operator="lessThan">
      <formula>NUMMINCONT</formula>
    </cfRule>
  </conditionalFormatting>
  <conditionalFormatting sqref="T1048:V1053">
    <cfRule type="cellIs" dxfId="4646" priority="4541" stopIfTrue="1" operator="equal">
      <formula>"NO"</formula>
    </cfRule>
    <cfRule type="cellIs" dxfId="4645" priority="4542" stopIfTrue="1" operator="equal">
      <formula>"SI"</formula>
    </cfRule>
  </conditionalFormatting>
  <conditionalFormatting sqref="T1048:V1049">
    <cfRule type="cellIs" dxfId="4644" priority="4540" stopIfTrue="1" operator="equal">
      <formula>"NO APLICA"</formula>
    </cfRule>
  </conditionalFormatting>
  <conditionalFormatting sqref="T1050:U1053">
    <cfRule type="cellIs" dxfId="4643" priority="4539" stopIfTrue="1" operator="equal">
      <formula>"NO APLICA"</formula>
    </cfRule>
  </conditionalFormatting>
  <conditionalFormatting sqref="T1050:U1050">
    <cfRule type="cellIs" dxfId="4642" priority="4538" stopIfTrue="1" operator="equal">
      <formula>"NO APLICA"</formula>
    </cfRule>
  </conditionalFormatting>
  <conditionalFormatting sqref="V1050:V1053">
    <cfRule type="cellIs" dxfId="4641" priority="4537" stopIfTrue="1" operator="equal">
      <formula>"NO APLICA"</formula>
    </cfRule>
  </conditionalFormatting>
  <conditionalFormatting sqref="V1059:W1059">
    <cfRule type="cellIs" dxfId="4640" priority="4535" operator="equal">
      <formula>"CUMPLE"</formula>
    </cfRule>
    <cfRule type="cellIs" dxfId="4639" priority="4536" operator="equal">
      <formula>"NO CUMPLE"</formula>
    </cfRule>
  </conditionalFormatting>
  <conditionalFormatting sqref="V1059:W1061">
    <cfRule type="cellIs" dxfId="4638" priority="4534" operator="equal">
      <formula>"VERIFICAR"</formula>
    </cfRule>
  </conditionalFormatting>
  <conditionalFormatting sqref="T1054:V1054">
    <cfRule type="cellIs" dxfId="4637" priority="4532" stopIfTrue="1" operator="equal">
      <formula>"NO"</formula>
    </cfRule>
    <cfRule type="cellIs" dxfId="4636" priority="4533" stopIfTrue="1" operator="equal">
      <formula>"SI"</formula>
    </cfRule>
  </conditionalFormatting>
  <conditionalFormatting sqref="T1054:U1054">
    <cfRule type="cellIs" dxfId="4635" priority="4531" stopIfTrue="1" operator="equal">
      <formula>"NO APLICA"</formula>
    </cfRule>
  </conditionalFormatting>
  <conditionalFormatting sqref="V1054">
    <cfRule type="cellIs" dxfId="4634" priority="4530" stopIfTrue="1" operator="equal">
      <formula>"NO APLICA"</formula>
    </cfRule>
  </conditionalFormatting>
  <conditionalFormatting sqref="T1064">
    <cfRule type="cellIs" dxfId="4633" priority="4528" operator="equal">
      <formula>"CUMPLE"</formula>
    </cfRule>
    <cfRule type="cellIs" dxfId="4632" priority="4529" operator="equal">
      <formula>"NO CUMPLE"</formula>
    </cfRule>
  </conditionalFormatting>
  <conditionalFormatting sqref="T1064">
    <cfRule type="cellIs" dxfId="4631" priority="4527" operator="equal">
      <formula>"VERIFICAR"</formula>
    </cfRule>
  </conditionalFormatting>
  <conditionalFormatting sqref="Y1062:Y1067">
    <cfRule type="cellIs" dxfId="4630" priority="4526" stopIfTrue="1" operator="equal">
      <formula>"NO APLICA"</formula>
    </cfRule>
  </conditionalFormatting>
  <conditionalFormatting sqref="Y1067">
    <cfRule type="cellIs" dxfId="4629" priority="4525" stopIfTrue="1" operator="equal">
      <formula>"NO APLICA"</formula>
    </cfRule>
  </conditionalFormatting>
  <conditionalFormatting sqref="X1062:Y1067">
    <cfRule type="cellIs" dxfId="4628" priority="4523" stopIfTrue="1" operator="equal">
      <formula>"NO"</formula>
    </cfRule>
    <cfRule type="cellIs" dxfId="4627" priority="4524" stopIfTrue="1" operator="equal">
      <formula>"SI"</formula>
    </cfRule>
  </conditionalFormatting>
  <conditionalFormatting sqref="X1062:X1067">
    <cfRule type="cellIs" dxfId="4626" priority="4522" stopIfTrue="1" operator="equal">
      <formula>"NO APLICA"</formula>
    </cfRule>
  </conditionalFormatting>
  <conditionalFormatting sqref="X1063:X1066">
    <cfRule type="cellIs" dxfId="4625" priority="4521" stopIfTrue="1" operator="equal">
      <formula>"NO APLICA"</formula>
    </cfRule>
  </conditionalFormatting>
  <conditionalFormatting sqref="X1063">
    <cfRule type="cellIs" dxfId="4624" priority="4520" stopIfTrue="1" operator="equal">
      <formula>"NO APLICA"</formula>
    </cfRule>
  </conditionalFormatting>
  <conditionalFormatting sqref="X1067">
    <cfRule type="cellIs" dxfId="4623" priority="4519" stopIfTrue="1" operator="equal">
      <formula>"NO APLICA"</formula>
    </cfRule>
  </conditionalFormatting>
  <conditionalFormatting sqref="X1067">
    <cfRule type="cellIs" dxfId="4622" priority="4518" stopIfTrue="1" operator="equal">
      <formula>"NO APLICA"</formula>
    </cfRule>
  </conditionalFormatting>
  <conditionalFormatting sqref="AA1062:AA1067">
    <cfRule type="cellIs" dxfId="4621" priority="4517" stopIfTrue="1" operator="equal">
      <formula>"NO APLICA"</formula>
    </cfRule>
  </conditionalFormatting>
  <conditionalFormatting sqref="AA1067">
    <cfRule type="cellIs" dxfId="4620" priority="4516" stopIfTrue="1" operator="equal">
      <formula>"NO APLICA"</formula>
    </cfRule>
  </conditionalFormatting>
  <conditionalFormatting sqref="AA1062:AA1067">
    <cfRule type="cellIs" dxfId="4619" priority="4514" stopIfTrue="1" operator="equal">
      <formula>"NO"</formula>
    </cfRule>
    <cfRule type="cellIs" dxfId="4618" priority="4515" stopIfTrue="1" operator="equal">
      <formula>"SI"</formula>
    </cfRule>
  </conditionalFormatting>
  <conditionalFormatting sqref="Y1062:Z1067">
    <cfRule type="cellIs" dxfId="4617" priority="4512" operator="equal">
      <formula>"NO APLICA"</formula>
    </cfRule>
    <cfRule type="cellIs" dxfId="4616" priority="4513" operator="equal">
      <formula>"SI APLICA"</formula>
    </cfRule>
  </conditionalFormatting>
  <conditionalFormatting sqref="AB1062:AB1068">
    <cfRule type="cellIs" dxfId="4615" priority="4510" operator="equal">
      <formula>"NO APLICA"</formula>
    </cfRule>
    <cfRule type="cellIs" dxfId="4614" priority="4511" operator="equal">
      <formula>"SI APLICA"</formula>
    </cfRule>
  </conditionalFormatting>
  <conditionalFormatting sqref="X1068">
    <cfRule type="cellIs" dxfId="4613" priority="4508" operator="equal">
      <formula>"PROPONENTE PLURAL"</formula>
    </cfRule>
    <cfRule type="cellIs" dxfId="4612" priority="4509" operator="equal">
      <formula>"PROPONENTE INDIVIDUAL"</formula>
    </cfRule>
  </conditionalFormatting>
  <conditionalFormatting sqref="Z1068:AA1068 AA1062:AA1067">
    <cfRule type="cellIs" dxfId="4611" priority="4506" operator="equal">
      <formula>"NO APLICA"</formula>
    </cfRule>
    <cfRule type="cellIs" dxfId="4610" priority="4507" operator="equal">
      <formula>"SI APLICA"</formula>
    </cfRule>
  </conditionalFormatting>
  <conditionalFormatting sqref="AB1062:AB1067 Y1062:Z1067">
    <cfRule type="cellIs" dxfId="4609" priority="4505" operator="equal">
      <formula>""</formula>
    </cfRule>
  </conditionalFormatting>
  <conditionalFormatting sqref="H1068">
    <cfRule type="containsText" dxfId="4608" priority="4503" stopIfTrue="1" operator="containsText" text="NO CUMPLE">
      <formula>NOT(ISERROR(SEARCH("NO CUMPLE",H1068)))</formula>
    </cfRule>
    <cfRule type="containsText" dxfId="4607" priority="4504" stopIfTrue="1" operator="containsText" text="CUMPLE">
      <formula>NOT(ISERROR(SEARCH("CUMPLE",H1068)))</formula>
    </cfRule>
  </conditionalFormatting>
  <conditionalFormatting sqref="J1068">
    <cfRule type="containsText" dxfId="4606" priority="4501" stopIfTrue="1" operator="containsText" text="NO CUMPLE">
      <formula>NOT(ISERROR(SEARCH("NO CUMPLE",J1068)))</formula>
    </cfRule>
    <cfRule type="containsText" dxfId="4605" priority="4502" stopIfTrue="1" operator="containsText" text="CUMPLE">
      <formula>NOT(ISERROR(SEARCH("CUMPLE",J1068)))</formula>
    </cfRule>
  </conditionalFormatting>
  <conditionalFormatting sqref="K1068">
    <cfRule type="containsText" dxfId="4604" priority="4499" stopIfTrue="1" operator="containsText" text="NO CUMPLE">
      <formula>NOT(ISERROR(SEARCH("NO CUMPLE",K1068)))</formula>
    </cfRule>
    <cfRule type="containsText" dxfId="4603" priority="4500" stopIfTrue="1" operator="containsText" text="CUMPLE">
      <formula>NOT(ISERROR(SEARCH("CUMPLE",K1068)))</formula>
    </cfRule>
  </conditionalFormatting>
  <conditionalFormatting sqref="L1062:L1067">
    <cfRule type="containsText" dxfId="4602" priority="4497" stopIfTrue="1" operator="containsText" text="NO CUMPLE">
      <formula>NOT(ISERROR(SEARCH("NO CUMPLE",L1062)))</formula>
    </cfRule>
    <cfRule type="containsText" dxfId="4601" priority="4498" stopIfTrue="1" operator="containsText" text="CUMPLE">
      <formula>NOT(ISERROR(SEARCH("CUMPLE",L1062)))</formula>
    </cfRule>
  </conditionalFormatting>
  <conditionalFormatting sqref="O1067">
    <cfRule type="containsText" dxfId="4600" priority="4495" stopIfTrue="1" operator="containsText" text="NO CUMPLE">
      <formula>NOT(ISERROR(SEARCH("NO CUMPLE",O1067)))</formula>
    </cfRule>
    <cfRule type="containsText" dxfId="4599" priority="4496" stopIfTrue="1" operator="containsText" text="CUMPLE">
      <formula>NOT(ISERROR(SEARCH("CUMPLE",O1067)))</formula>
    </cfRule>
  </conditionalFormatting>
  <conditionalFormatting sqref="O1068:S1068">
    <cfRule type="cellIs" dxfId="4598" priority="4494" operator="equal">
      <formula>"EL PROPONENTE SE DEBE REQUERIR POR EXPERIENCIA MINIMA EXIGIDA"</formula>
    </cfRule>
  </conditionalFormatting>
  <conditionalFormatting sqref="X1056">
    <cfRule type="cellIs" dxfId="4597" priority="4491" stopIfTrue="1" operator="equal">
      <formula>"VERIFICAR"</formula>
    </cfRule>
    <cfRule type="cellIs" dxfId="4596" priority="4492" stopIfTrue="1" operator="equal">
      <formula>"NO CUMPLE"</formula>
    </cfRule>
    <cfRule type="cellIs" dxfId="4595" priority="4493" stopIfTrue="1" operator="equal">
      <formula>"CUMPLE"</formula>
    </cfRule>
  </conditionalFormatting>
  <conditionalFormatting sqref="X1045:Y1054 J1045:J1054">
    <cfRule type="cellIs" dxfId="4594" priority="4490" stopIfTrue="1" operator="greaterThan">
      <formula>0</formula>
    </cfRule>
  </conditionalFormatting>
  <conditionalFormatting sqref="X1045:Y1054">
    <cfRule type="cellIs" dxfId="4593" priority="4488" operator="equal">
      <formula>"NO CUMPLE"</formula>
    </cfRule>
    <cfRule type="cellIs" dxfId="4592" priority="4489" operator="equal">
      <formula>"CUMPLE"</formula>
    </cfRule>
  </conditionalFormatting>
  <conditionalFormatting sqref="N1062:N1067">
    <cfRule type="cellIs" dxfId="4591" priority="4486" operator="equal">
      <formula>"NO"</formula>
    </cfRule>
    <cfRule type="cellIs" dxfId="4590" priority="4487" operator="equal">
      <formula>"SI"</formula>
    </cfRule>
  </conditionalFormatting>
  <conditionalFormatting sqref="I1054">
    <cfRule type="cellIs" dxfId="4589" priority="4485" stopIfTrue="1" operator="greaterThan">
      <formula>0</formula>
    </cfRule>
  </conditionalFormatting>
  <conditionalFormatting sqref="K1048:L1054">
    <cfRule type="cellIs" dxfId="4588" priority="4483" operator="equal">
      <formula>0</formula>
    </cfRule>
    <cfRule type="cellIs" dxfId="4587" priority="4484" operator="notBetween">
      <formula>$Q$17</formula>
      <formula>$R$17</formula>
    </cfRule>
  </conditionalFormatting>
  <conditionalFormatting sqref="B1045:B1054">
    <cfRule type="cellIs" dxfId="4586" priority="4482" stopIfTrue="1" operator="greaterThan">
      <formula>0</formula>
    </cfRule>
  </conditionalFormatting>
  <conditionalFormatting sqref="C1045:D1045 C1046:C1054 D1046:D1047">
    <cfRule type="cellIs" dxfId="4585" priority="4481" stopIfTrue="1" operator="greaterThan">
      <formula>0</formula>
    </cfRule>
  </conditionalFormatting>
  <conditionalFormatting sqref="C1045:D1045 F1045:H1047 C1046:C1054 D1046:D1047">
    <cfRule type="cellIs" dxfId="4584" priority="4480" stopIfTrue="1" operator="greaterThan">
      <formula>0</formula>
    </cfRule>
  </conditionalFormatting>
  <conditionalFormatting sqref="T1045:V1047">
    <cfRule type="cellIs" dxfId="4583" priority="4478" stopIfTrue="1" operator="equal">
      <formula>"NO"</formula>
    </cfRule>
    <cfRule type="cellIs" dxfId="4582" priority="4479" stopIfTrue="1" operator="equal">
      <formula>"SI"</formula>
    </cfRule>
  </conditionalFormatting>
  <conditionalFormatting sqref="T1045:V1046">
    <cfRule type="cellIs" dxfId="4581" priority="4477" stopIfTrue="1" operator="equal">
      <formula>"NO APLICA"</formula>
    </cfRule>
  </conditionalFormatting>
  <conditionalFormatting sqref="T1047:U1047">
    <cfRule type="cellIs" dxfId="4580" priority="4476" stopIfTrue="1" operator="equal">
      <formula>"NO APLICA"</formula>
    </cfRule>
  </conditionalFormatting>
  <conditionalFormatting sqref="T1047:U1047">
    <cfRule type="cellIs" dxfId="4579" priority="4475" stopIfTrue="1" operator="equal">
      <formula>"NO APLICA"</formula>
    </cfRule>
  </conditionalFormatting>
  <conditionalFormatting sqref="V1047">
    <cfRule type="cellIs" dxfId="4578" priority="4474" stopIfTrue="1" operator="equal">
      <formula>"NO APLICA"</formula>
    </cfRule>
  </conditionalFormatting>
  <conditionalFormatting sqref="K1045:L1047">
    <cfRule type="cellIs" dxfId="4577" priority="4472" operator="equal">
      <formula>0</formula>
    </cfRule>
    <cfRule type="cellIs" dxfId="4576" priority="4473" operator="notBetween">
      <formula>$Q$17</formula>
      <formula>$R$17</formula>
    </cfRule>
  </conditionalFormatting>
  <conditionalFormatting sqref="F1078:H1083 D1084:H1084 I1078:I1084 C1075:D1075 K1075:O1084 F1075:I1077 D1076:D1083 C1076:C1084">
    <cfRule type="cellIs" dxfId="4575" priority="4471" stopIfTrue="1" operator="greaterThan">
      <formula>0</formula>
    </cfRule>
  </conditionalFormatting>
  <conditionalFormatting sqref="D1078:D1083">
    <cfRule type="cellIs" dxfId="4574" priority="4470" stopIfTrue="1" operator="greaterThan">
      <formula>0</formula>
    </cfRule>
  </conditionalFormatting>
  <conditionalFormatting sqref="D1078:D1083 F1078:H1083">
    <cfRule type="cellIs" dxfId="4573" priority="4469" stopIfTrue="1" operator="greaterThan">
      <formula>0</formula>
    </cfRule>
  </conditionalFormatting>
  <conditionalFormatting sqref="H1075:H1083">
    <cfRule type="cellIs" dxfId="4572" priority="4468" stopIfTrue="1" operator="greaterThan">
      <formula>0</formula>
    </cfRule>
  </conditionalFormatting>
  <conditionalFormatting sqref="E1075:E1083">
    <cfRule type="cellIs" dxfId="4571" priority="4467" stopIfTrue="1" operator="greaterThan">
      <formula>0</formula>
    </cfRule>
  </conditionalFormatting>
  <conditionalFormatting sqref="M1092:M1097 K1092:K1097">
    <cfRule type="containsText" dxfId="4570" priority="4465" stopIfTrue="1" operator="containsText" text="NO CUMPLE">
      <formula>NOT(ISERROR(SEARCH("NO CUMPLE",K1092)))</formula>
    </cfRule>
    <cfRule type="containsText" dxfId="4569" priority="4466" stopIfTrue="1" operator="containsText" text="CUMPLE">
      <formula>NOT(ISERROR(SEARCH("CUMPLE",K1092)))</formula>
    </cfRule>
  </conditionalFormatting>
  <conditionalFormatting sqref="S1091">
    <cfRule type="cellIs" dxfId="4568" priority="4463" operator="greaterThanOrEqual">
      <formula>NUMMINCONT</formula>
    </cfRule>
    <cfRule type="cellIs" dxfId="4567" priority="4464" operator="lessThan">
      <formula>NUMMINCONT</formula>
    </cfRule>
  </conditionalFormatting>
  <conditionalFormatting sqref="T1078:V1083">
    <cfRule type="cellIs" dxfId="4566" priority="4461" stopIfTrue="1" operator="equal">
      <formula>"NO"</formula>
    </cfRule>
    <cfRule type="cellIs" dxfId="4565" priority="4462" stopIfTrue="1" operator="equal">
      <formula>"SI"</formula>
    </cfRule>
  </conditionalFormatting>
  <conditionalFormatting sqref="T1078:V1079">
    <cfRule type="cellIs" dxfId="4564" priority="4460" stopIfTrue="1" operator="equal">
      <formula>"NO APLICA"</formula>
    </cfRule>
  </conditionalFormatting>
  <conditionalFormatting sqref="T1080:U1083">
    <cfRule type="cellIs" dxfId="4563" priority="4459" stopIfTrue="1" operator="equal">
      <formula>"NO APLICA"</formula>
    </cfRule>
  </conditionalFormatting>
  <conditionalFormatting sqref="T1080:U1080">
    <cfRule type="cellIs" dxfId="4562" priority="4458" stopIfTrue="1" operator="equal">
      <formula>"NO APLICA"</formula>
    </cfRule>
  </conditionalFormatting>
  <conditionalFormatting sqref="V1080:V1083">
    <cfRule type="cellIs" dxfId="4561" priority="4457" stopIfTrue="1" operator="equal">
      <formula>"NO APLICA"</formula>
    </cfRule>
  </conditionalFormatting>
  <conditionalFormatting sqref="V1089:W1089">
    <cfRule type="cellIs" dxfId="4560" priority="4455" operator="equal">
      <formula>"CUMPLE"</formula>
    </cfRule>
    <cfRule type="cellIs" dxfId="4559" priority="4456" operator="equal">
      <formula>"NO CUMPLE"</formula>
    </cfRule>
  </conditionalFormatting>
  <conditionalFormatting sqref="V1089:W1091">
    <cfRule type="cellIs" dxfId="4558" priority="4454" operator="equal">
      <formula>"VERIFICAR"</formula>
    </cfRule>
  </conditionalFormatting>
  <conditionalFormatting sqref="T1084:V1084">
    <cfRule type="cellIs" dxfId="4557" priority="4452" stopIfTrue="1" operator="equal">
      <formula>"NO"</formula>
    </cfRule>
    <cfRule type="cellIs" dxfId="4556" priority="4453" stopIfTrue="1" operator="equal">
      <formula>"SI"</formula>
    </cfRule>
  </conditionalFormatting>
  <conditionalFormatting sqref="T1084:U1084">
    <cfRule type="cellIs" dxfId="4555" priority="4451" stopIfTrue="1" operator="equal">
      <formula>"NO APLICA"</formula>
    </cfRule>
  </conditionalFormatting>
  <conditionalFormatting sqref="V1084">
    <cfRule type="cellIs" dxfId="4554" priority="4450" stopIfTrue="1" operator="equal">
      <formula>"NO APLICA"</formula>
    </cfRule>
  </conditionalFormatting>
  <conditionalFormatting sqref="T1094">
    <cfRule type="cellIs" dxfId="4553" priority="4448" operator="equal">
      <formula>"CUMPLE"</formula>
    </cfRule>
    <cfRule type="cellIs" dxfId="4552" priority="4449" operator="equal">
      <formula>"NO CUMPLE"</formula>
    </cfRule>
  </conditionalFormatting>
  <conditionalFormatting sqref="T1094">
    <cfRule type="cellIs" dxfId="4551" priority="4447" operator="equal">
      <formula>"VERIFICAR"</formula>
    </cfRule>
  </conditionalFormatting>
  <conditionalFormatting sqref="Y1092:Y1097">
    <cfRule type="cellIs" dxfId="4550" priority="4446" stopIfTrue="1" operator="equal">
      <formula>"NO APLICA"</formula>
    </cfRule>
  </conditionalFormatting>
  <conditionalFormatting sqref="Y1097">
    <cfRule type="cellIs" dxfId="4549" priority="4445" stopIfTrue="1" operator="equal">
      <formula>"NO APLICA"</formula>
    </cfRule>
  </conditionalFormatting>
  <conditionalFormatting sqref="X1092:Y1097">
    <cfRule type="cellIs" dxfId="4548" priority="4443" stopIfTrue="1" operator="equal">
      <formula>"NO"</formula>
    </cfRule>
    <cfRule type="cellIs" dxfId="4547" priority="4444" stopIfTrue="1" operator="equal">
      <formula>"SI"</formula>
    </cfRule>
  </conditionalFormatting>
  <conditionalFormatting sqref="X1092:X1097">
    <cfRule type="cellIs" dxfId="4546" priority="4442" stopIfTrue="1" operator="equal">
      <formula>"NO APLICA"</formula>
    </cfRule>
  </conditionalFormatting>
  <conditionalFormatting sqref="X1093:X1096">
    <cfRule type="cellIs" dxfId="4545" priority="4441" stopIfTrue="1" operator="equal">
      <formula>"NO APLICA"</formula>
    </cfRule>
  </conditionalFormatting>
  <conditionalFormatting sqref="X1093">
    <cfRule type="cellIs" dxfId="4544" priority="4440" stopIfTrue="1" operator="equal">
      <formula>"NO APLICA"</formula>
    </cfRule>
  </conditionalFormatting>
  <conditionalFormatting sqref="X1097">
    <cfRule type="cellIs" dxfId="4543" priority="4439" stopIfTrue="1" operator="equal">
      <formula>"NO APLICA"</formula>
    </cfRule>
  </conditionalFormatting>
  <conditionalFormatting sqref="X1097">
    <cfRule type="cellIs" dxfId="4542" priority="4438" stopIfTrue="1" operator="equal">
      <formula>"NO APLICA"</formula>
    </cfRule>
  </conditionalFormatting>
  <conditionalFormatting sqref="AA1092:AA1097">
    <cfRule type="cellIs" dxfId="4541" priority="4437" stopIfTrue="1" operator="equal">
      <formula>"NO APLICA"</formula>
    </cfRule>
  </conditionalFormatting>
  <conditionalFormatting sqref="AA1097">
    <cfRule type="cellIs" dxfId="4540" priority="4436" stopIfTrue="1" operator="equal">
      <formula>"NO APLICA"</formula>
    </cfRule>
  </conditionalFormatting>
  <conditionalFormatting sqref="AA1092:AA1097">
    <cfRule type="cellIs" dxfId="4539" priority="4434" stopIfTrue="1" operator="equal">
      <formula>"NO"</formula>
    </cfRule>
    <cfRule type="cellIs" dxfId="4538" priority="4435" stopIfTrue="1" operator="equal">
      <formula>"SI"</formula>
    </cfRule>
  </conditionalFormatting>
  <conditionalFormatting sqref="Y1092:Z1097">
    <cfRule type="cellIs" dxfId="4537" priority="4432" operator="equal">
      <formula>"NO APLICA"</formula>
    </cfRule>
    <cfRule type="cellIs" dxfId="4536" priority="4433" operator="equal">
      <formula>"SI APLICA"</formula>
    </cfRule>
  </conditionalFormatting>
  <conditionalFormatting sqref="AB1092:AB1098">
    <cfRule type="cellIs" dxfId="4535" priority="4430" operator="equal">
      <formula>"NO APLICA"</formula>
    </cfRule>
    <cfRule type="cellIs" dxfId="4534" priority="4431" operator="equal">
      <formula>"SI APLICA"</formula>
    </cfRule>
  </conditionalFormatting>
  <conditionalFormatting sqref="X1098">
    <cfRule type="cellIs" dxfId="4533" priority="4428" operator="equal">
      <formula>"PROPONENTE PLURAL"</formula>
    </cfRule>
    <cfRule type="cellIs" dxfId="4532" priority="4429" operator="equal">
      <formula>"PROPONENTE INDIVIDUAL"</formula>
    </cfRule>
  </conditionalFormatting>
  <conditionalFormatting sqref="Z1098:AA1098 AA1092:AA1097">
    <cfRule type="cellIs" dxfId="4531" priority="4426" operator="equal">
      <formula>"NO APLICA"</formula>
    </cfRule>
    <cfRule type="cellIs" dxfId="4530" priority="4427" operator="equal">
      <formula>"SI APLICA"</formula>
    </cfRule>
  </conditionalFormatting>
  <conditionalFormatting sqref="AB1092:AB1097 Y1092:Z1097">
    <cfRule type="cellIs" dxfId="4529" priority="4425" operator="equal">
      <formula>""</formula>
    </cfRule>
  </conditionalFormatting>
  <conditionalFormatting sqref="H1098">
    <cfRule type="containsText" dxfId="4528" priority="4423" stopIfTrue="1" operator="containsText" text="NO CUMPLE">
      <formula>NOT(ISERROR(SEARCH("NO CUMPLE",H1098)))</formula>
    </cfRule>
    <cfRule type="containsText" dxfId="4527" priority="4424" stopIfTrue="1" operator="containsText" text="CUMPLE">
      <formula>NOT(ISERROR(SEARCH("CUMPLE",H1098)))</formula>
    </cfRule>
  </conditionalFormatting>
  <conditionalFormatting sqref="J1098">
    <cfRule type="containsText" dxfId="4526" priority="4421" stopIfTrue="1" operator="containsText" text="NO CUMPLE">
      <formula>NOT(ISERROR(SEARCH("NO CUMPLE",J1098)))</formula>
    </cfRule>
    <cfRule type="containsText" dxfId="4525" priority="4422" stopIfTrue="1" operator="containsText" text="CUMPLE">
      <formula>NOT(ISERROR(SEARCH("CUMPLE",J1098)))</formula>
    </cfRule>
  </conditionalFormatting>
  <conditionalFormatting sqref="K1098">
    <cfRule type="containsText" dxfId="4524" priority="4419" stopIfTrue="1" operator="containsText" text="NO CUMPLE">
      <formula>NOT(ISERROR(SEARCH("NO CUMPLE",K1098)))</formula>
    </cfRule>
    <cfRule type="containsText" dxfId="4523" priority="4420" stopIfTrue="1" operator="containsText" text="CUMPLE">
      <formula>NOT(ISERROR(SEARCH("CUMPLE",K1098)))</formula>
    </cfRule>
  </conditionalFormatting>
  <conditionalFormatting sqref="L1092:L1097">
    <cfRule type="containsText" dxfId="4522" priority="4417" stopIfTrue="1" operator="containsText" text="NO CUMPLE">
      <formula>NOT(ISERROR(SEARCH("NO CUMPLE",L1092)))</formula>
    </cfRule>
    <cfRule type="containsText" dxfId="4521" priority="4418" stopIfTrue="1" operator="containsText" text="CUMPLE">
      <formula>NOT(ISERROR(SEARCH("CUMPLE",L1092)))</formula>
    </cfRule>
  </conditionalFormatting>
  <conditionalFormatting sqref="O1097">
    <cfRule type="containsText" dxfId="4520" priority="4415" stopIfTrue="1" operator="containsText" text="NO CUMPLE">
      <formula>NOT(ISERROR(SEARCH("NO CUMPLE",O1097)))</formula>
    </cfRule>
    <cfRule type="containsText" dxfId="4519" priority="4416" stopIfTrue="1" operator="containsText" text="CUMPLE">
      <formula>NOT(ISERROR(SEARCH("CUMPLE",O1097)))</formula>
    </cfRule>
  </conditionalFormatting>
  <conditionalFormatting sqref="O1098:S1098">
    <cfRule type="cellIs" dxfId="4518" priority="4414" operator="equal">
      <formula>"EL PROPONENTE SE DEBE REQUERIR POR EXPERIENCIA MINIMA EXIGIDA"</formula>
    </cfRule>
  </conditionalFormatting>
  <conditionalFormatting sqref="X1086">
    <cfRule type="cellIs" dxfId="4517" priority="4411" stopIfTrue="1" operator="equal">
      <formula>"VERIFICAR"</formula>
    </cfRule>
    <cfRule type="cellIs" dxfId="4516" priority="4412" stopIfTrue="1" operator="equal">
      <formula>"NO CUMPLE"</formula>
    </cfRule>
    <cfRule type="cellIs" dxfId="4515" priority="4413" stopIfTrue="1" operator="equal">
      <formula>"CUMPLE"</formula>
    </cfRule>
  </conditionalFormatting>
  <conditionalFormatting sqref="X1075:Y1084 J1075:J1084">
    <cfRule type="cellIs" dxfId="4514" priority="4410" stopIfTrue="1" operator="greaterThan">
      <formula>0</formula>
    </cfRule>
  </conditionalFormatting>
  <conditionalFormatting sqref="X1075:Y1084">
    <cfRule type="cellIs" dxfId="4513" priority="4408" operator="equal">
      <formula>"NO CUMPLE"</formula>
    </cfRule>
    <cfRule type="cellIs" dxfId="4512" priority="4409" operator="equal">
      <formula>"CUMPLE"</formula>
    </cfRule>
  </conditionalFormatting>
  <conditionalFormatting sqref="N1092:N1097">
    <cfRule type="cellIs" dxfId="4511" priority="4406" operator="equal">
      <formula>"NO"</formula>
    </cfRule>
    <cfRule type="cellIs" dxfId="4510" priority="4407" operator="equal">
      <formula>"SI"</formula>
    </cfRule>
  </conditionalFormatting>
  <conditionalFormatting sqref="I1084">
    <cfRule type="cellIs" dxfId="4509" priority="4405" stopIfTrue="1" operator="greaterThan">
      <formula>0</formula>
    </cfRule>
  </conditionalFormatting>
  <conditionalFormatting sqref="K1078:L1084">
    <cfRule type="cellIs" dxfId="4508" priority="4403" operator="equal">
      <formula>0</formula>
    </cfRule>
    <cfRule type="cellIs" dxfId="4507" priority="4404" operator="notBetween">
      <formula>$Q$17</formula>
      <formula>$R$17</formula>
    </cfRule>
  </conditionalFormatting>
  <conditionalFormatting sqref="B1075:B1084">
    <cfRule type="cellIs" dxfId="4506" priority="4402" stopIfTrue="1" operator="greaterThan">
      <formula>0</formula>
    </cfRule>
  </conditionalFormatting>
  <conditionalFormatting sqref="C1075:D1075 D1076:D1077 C1076:C1084">
    <cfRule type="cellIs" dxfId="4505" priority="4401" stopIfTrue="1" operator="greaterThan">
      <formula>0</formula>
    </cfRule>
  </conditionalFormatting>
  <conditionalFormatting sqref="C1075:D1075 F1075:H1077 D1076:D1077 C1076:C1084">
    <cfRule type="cellIs" dxfId="4504" priority="4400" stopIfTrue="1" operator="greaterThan">
      <formula>0</formula>
    </cfRule>
  </conditionalFormatting>
  <conditionalFormatting sqref="T1075:V1077">
    <cfRule type="cellIs" dxfId="4503" priority="4398" stopIfTrue="1" operator="equal">
      <formula>"NO"</formula>
    </cfRule>
    <cfRule type="cellIs" dxfId="4502" priority="4399" stopIfTrue="1" operator="equal">
      <formula>"SI"</formula>
    </cfRule>
  </conditionalFormatting>
  <conditionalFormatting sqref="T1075:V1076">
    <cfRule type="cellIs" dxfId="4501" priority="4397" stopIfTrue="1" operator="equal">
      <formula>"NO APLICA"</formula>
    </cfRule>
  </conditionalFormatting>
  <conditionalFormatting sqref="T1077:V1077">
    <cfRule type="cellIs" dxfId="4500" priority="4396" stopIfTrue="1" operator="equal">
      <formula>"NO APLICA"</formula>
    </cfRule>
  </conditionalFormatting>
  <conditionalFormatting sqref="T1077:V1077">
    <cfRule type="cellIs" dxfId="4499" priority="4395" stopIfTrue="1" operator="equal">
      <formula>"NO APLICA"</formula>
    </cfRule>
  </conditionalFormatting>
  <conditionalFormatting sqref="V1077">
    <cfRule type="cellIs" dxfId="4498" priority="4394" stopIfTrue="1" operator="equal">
      <formula>"NO APLICA"</formula>
    </cfRule>
  </conditionalFormatting>
  <conditionalFormatting sqref="K1075:L1077">
    <cfRule type="cellIs" dxfId="4497" priority="4392" operator="equal">
      <formula>0</formula>
    </cfRule>
    <cfRule type="cellIs" dxfId="4496" priority="4393" operator="notBetween">
      <formula>$Q$17</formula>
      <formula>$R$17</formula>
    </cfRule>
  </conditionalFormatting>
  <conditionalFormatting sqref="F1108:H1113 D1114:H1114 I1108:I1114 C1105:D1105 K1105:O1114 F1105:I1107 D1106:D1113 C1106:C1114">
    <cfRule type="cellIs" dxfId="4495" priority="4391" stopIfTrue="1" operator="greaterThan">
      <formula>0</formula>
    </cfRule>
  </conditionalFormatting>
  <conditionalFormatting sqref="D1108:D1113">
    <cfRule type="cellIs" dxfId="4494" priority="4390" stopIfTrue="1" operator="greaterThan">
      <formula>0</formula>
    </cfRule>
  </conditionalFormatting>
  <conditionalFormatting sqref="D1108:D1113 F1108:H1113">
    <cfRule type="cellIs" dxfId="4493" priority="4389" stopIfTrue="1" operator="greaterThan">
      <formula>0</formula>
    </cfRule>
  </conditionalFormatting>
  <conditionalFormatting sqref="H1105:H1113">
    <cfRule type="cellIs" dxfId="4492" priority="4388" stopIfTrue="1" operator="greaterThan">
      <formula>0</formula>
    </cfRule>
  </conditionalFormatting>
  <conditionalFormatting sqref="E1105:E1113">
    <cfRule type="cellIs" dxfId="4491" priority="4387" stopIfTrue="1" operator="greaterThan">
      <formula>0</formula>
    </cfRule>
  </conditionalFormatting>
  <conditionalFormatting sqref="M1122:M1127 K1122:K1127">
    <cfRule type="containsText" dxfId="4490" priority="4385" stopIfTrue="1" operator="containsText" text="NO CUMPLE">
      <formula>NOT(ISERROR(SEARCH("NO CUMPLE",K1122)))</formula>
    </cfRule>
    <cfRule type="containsText" dxfId="4489" priority="4386" stopIfTrue="1" operator="containsText" text="CUMPLE">
      <formula>NOT(ISERROR(SEARCH("CUMPLE",K1122)))</formula>
    </cfRule>
  </conditionalFormatting>
  <conditionalFormatting sqref="S1121">
    <cfRule type="cellIs" dxfId="4488" priority="4383" operator="greaterThanOrEqual">
      <formula>NUMMINCONT</formula>
    </cfRule>
    <cfRule type="cellIs" dxfId="4487" priority="4384" operator="lessThan">
      <formula>NUMMINCONT</formula>
    </cfRule>
  </conditionalFormatting>
  <conditionalFormatting sqref="T1108:V1113">
    <cfRule type="cellIs" dxfId="4486" priority="4381" stopIfTrue="1" operator="equal">
      <formula>"NO"</formula>
    </cfRule>
    <cfRule type="cellIs" dxfId="4485" priority="4382" stopIfTrue="1" operator="equal">
      <formula>"SI"</formula>
    </cfRule>
  </conditionalFormatting>
  <conditionalFormatting sqref="T1108:V1109">
    <cfRule type="cellIs" dxfId="4484" priority="4380" stopIfTrue="1" operator="equal">
      <formula>"NO APLICA"</formula>
    </cfRule>
  </conditionalFormatting>
  <conditionalFormatting sqref="T1110:U1113">
    <cfRule type="cellIs" dxfId="4483" priority="4379" stopIfTrue="1" operator="equal">
      <formula>"NO APLICA"</formula>
    </cfRule>
  </conditionalFormatting>
  <conditionalFormatting sqref="T1110:U1110">
    <cfRule type="cellIs" dxfId="4482" priority="4378" stopIfTrue="1" operator="equal">
      <formula>"NO APLICA"</formula>
    </cfRule>
  </conditionalFormatting>
  <conditionalFormatting sqref="V1110:V1113">
    <cfRule type="cellIs" dxfId="4481" priority="4377" stopIfTrue="1" operator="equal">
      <formula>"NO APLICA"</formula>
    </cfRule>
  </conditionalFormatting>
  <conditionalFormatting sqref="V1119:W1119">
    <cfRule type="cellIs" dxfId="4480" priority="4375" operator="equal">
      <formula>"CUMPLE"</formula>
    </cfRule>
    <cfRule type="cellIs" dxfId="4479" priority="4376" operator="equal">
      <formula>"NO CUMPLE"</formula>
    </cfRule>
  </conditionalFormatting>
  <conditionalFormatting sqref="V1119:W1121">
    <cfRule type="cellIs" dxfId="4478" priority="4374" operator="equal">
      <formula>"VERIFICAR"</formula>
    </cfRule>
  </conditionalFormatting>
  <conditionalFormatting sqref="T1114:V1114">
    <cfRule type="cellIs" dxfId="4477" priority="4372" stopIfTrue="1" operator="equal">
      <formula>"NO"</formula>
    </cfRule>
    <cfRule type="cellIs" dxfId="4476" priority="4373" stopIfTrue="1" operator="equal">
      <formula>"SI"</formula>
    </cfRule>
  </conditionalFormatting>
  <conditionalFormatting sqref="T1114:U1114">
    <cfRule type="cellIs" dxfId="4475" priority="4371" stopIfTrue="1" operator="equal">
      <formula>"NO APLICA"</formula>
    </cfRule>
  </conditionalFormatting>
  <conditionalFormatting sqref="V1114">
    <cfRule type="cellIs" dxfId="4474" priority="4370" stopIfTrue="1" operator="equal">
      <formula>"NO APLICA"</formula>
    </cfRule>
  </conditionalFormatting>
  <conditionalFormatting sqref="T1124">
    <cfRule type="cellIs" dxfId="4473" priority="4368" operator="equal">
      <formula>"CUMPLE"</formula>
    </cfRule>
    <cfRule type="cellIs" dxfId="4472" priority="4369" operator="equal">
      <formula>"NO CUMPLE"</formula>
    </cfRule>
  </conditionalFormatting>
  <conditionalFormatting sqref="T1124">
    <cfRule type="cellIs" dxfId="4471" priority="4367" operator="equal">
      <formula>"VERIFICAR"</formula>
    </cfRule>
  </conditionalFormatting>
  <conditionalFormatting sqref="Y1122:Y1127">
    <cfRule type="cellIs" dxfId="4470" priority="4366" stopIfTrue="1" operator="equal">
      <formula>"NO APLICA"</formula>
    </cfRule>
  </conditionalFormatting>
  <conditionalFormatting sqref="Y1127">
    <cfRule type="cellIs" dxfId="4469" priority="4365" stopIfTrue="1" operator="equal">
      <formula>"NO APLICA"</formula>
    </cfRule>
  </conditionalFormatting>
  <conditionalFormatting sqref="X1122:Y1127">
    <cfRule type="cellIs" dxfId="4468" priority="4363" stopIfTrue="1" operator="equal">
      <formula>"NO"</formula>
    </cfRule>
    <cfRule type="cellIs" dxfId="4467" priority="4364" stopIfTrue="1" operator="equal">
      <formula>"SI"</formula>
    </cfRule>
  </conditionalFormatting>
  <conditionalFormatting sqref="X1122:X1127">
    <cfRule type="cellIs" dxfId="4466" priority="4362" stopIfTrue="1" operator="equal">
      <formula>"NO APLICA"</formula>
    </cfRule>
  </conditionalFormatting>
  <conditionalFormatting sqref="X1123:X1126">
    <cfRule type="cellIs" dxfId="4465" priority="4361" stopIfTrue="1" operator="equal">
      <formula>"NO APLICA"</formula>
    </cfRule>
  </conditionalFormatting>
  <conditionalFormatting sqref="X1123">
    <cfRule type="cellIs" dxfId="4464" priority="4360" stopIfTrue="1" operator="equal">
      <formula>"NO APLICA"</formula>
    </cfRule>
  </conditionalFormatting>
  <conditionalFormatting sqref="X1127">
    <cfRule type="cellIs" dxfId="4463" priority="4359" stopIfTrue="1" operator="equal">
      <formula>"NO APLICA"</formula>
    </cfRule>
  </conditionalFormatting>
  <conditionalFormatting sqref="X1127">
    <cfRule type="cellIs" dxfId="4462" priority="4358" stopIfTrue="1" operator="equal">
      <formula>"NO APLICA"</formula>
    </cfRule>
  </conditionalFormatting>
  <conditionalFormatting sqref="AA1122:AA1127">
    <cfRule type="cellIs" dxfId="4461" priority="4357" stopIfTrue="1" operator="equal">
      <formula>"NO APLICA"</formula>
    </cfRule>
  </conditionalFormatting>
  <conditionalFormatting sqref="AA1127">
    <cfRule type="cellIs" dxfId="4460" priority="4356" stopIfTrue="1" operator="equal">
      <formula>"NO APLICA"</formula>
    </cfRule>
  </conditionalFormatting>
  <conditionalFormatting sqref="AA1122:AA1127">
    <cfRule type="cellIs" dxfId="4459" priority="4354" stopIfTrue="1" operator="equal">
      <formula>"NO"</formula>
    </cfRule>
    <cfRule type="cellIs" dxfId="4458" priority="4355" stopIfTrue="1" operator="equal">
      <formula>"SI"</formula>
    </cfRule>
  </conditionalFormatting>
  <conditionalFormatting sqref="Y1122:Z1127">
    <cfRule type="cellIs" dxfId="4457" priority="4352" operator="equal">
      <formula>"NO APLICA"</formula>
    </cfRule>
    <cfRule type="cellIs" dxfId="4456" priority="4353" operator="equal">
      <formula>"SI APLICA"</formula>
    </cfRule>
  </conditionalFormatting>
  <conditionalFormatting sqref="AB1122:AB1128">
    <cfRule type="cellIs" dxfId="4455" priority="4350" operator="equal">
      <formula>"NO APLICA"</formula>
    </cfRule>
    <cfRule type="cellIs" dxfId="4454" priority="4351" operator="equal">
      <formula>"SI APLICA"</formula>
    </cfRule>
  </conditionalFormatting>
  <conditionalFormatting sqref="X1128">
    <cfRule type="cellIs" dxfId="4453" priority="4348" operator="equal">
      <formula>"PROPONENTE PLURAL"</formula>
    </cfRule>
    <cfRule type="cellIs" dxfId="4452" priority="4349" operator="equal">
      <formula>"PROPONENTE INDIVIDUAL"</formula>
    </cfRule>
  </conditionalFormatting>
  <conditionalFormatting sqref="Z1128:AA1128 AA1122:AA1127">
    <cfRule type="cellIs" dxfId="4451" priority="4346" operator="equal">
      <formula>"NO APLICA"</formula>
    </cfRule>
    <cfRule type="cellIs" dxfId="4450" priority="4347" operator="equal">
      <formula>"SI APLICA"</formula>
    </cfRule>
  </conditionalFormatting>
  <conditionalFormatting sqref="AB1122:AB1127 Y1122:Z1127">
    <cfRule type="cellIs" dxfId="4449" priority="4345" operator="equal">
      <formula>""</formula>
    </cfRule>
  </conditionalFormatting>
  <conditionalFormatting sqref="H1128">
    <cfRule type="containsText" dxfId="4448" priority="4343" stopIfTrue="1" operator="containsText" text="NO CUMPLE">
      <formula>NOT(ISERROR(SEARCH("NO CUMPLE",H1128)))</formula>
    </cfRule>
    <cfRule type="containsText" dxfId="4447" priority="4344" stopIfTrue="1" operator="containsText" text="CUMPLE">
      <formula>NOT(ISERROR(SEARCH("CUMPLE",H1128)))</formula>
    </cfRule>
  </conditionalFormatting>
  <conditionalFormatting sqref="J1128">
    <cfRule type="containsText" dxfId="4446" priority="4341" stopIfTrue="1" operator="containsText" text="NO CUMPLE">
      <formula>NOT(ISERROR(SEARCH("NO CUMPLE",J1128)))</formula>
    </cfRule>
    <cfRule type="containsText" dxfId="4445" priority="4342" stopIfTrue="1" operator="containsText" text="CUMPLE">
      <formula>NOT(ISERROR(SEARCH("CUMPLE",J1128)))</formula>
    </cfRule>
  </conditionalFormatting>
  <conditionalFormatting sqref="K1128">
    <cfRule type="containsText" dxfId="4444" priority="4339" stopIfTrue="1" operator="containsText" text="NO CUMPLE">
      <formula>NOT(ISERROR(SEARCH("NO CUMPLE",K1128)))</formula>
    </cfRule>
    <cfRule type="containsText" dxfId="4443" priority="4340" stopIfTrue="1" operator="containsText" text="CUMPLE">
      <formula>NOT(ISERROR(SEARCH("CUMPLE",K1128)))</formula>
    </cfRule>
  </conditionalFormatting>
  <conditionalFormatting sqref="L1122:L1127">
    <cfRule type="containsText" dxfId="4442" priority="4337" stopIfTrue="1" operator="containsText" text="NO CUMPLE">
      <formula>NOT(ISERROR(SEARCH("NO CUMPLE",L1122)))</formula>
    </cfRule>
    <cfRule type="containsText" dxfId="4441" priority="4338" stopIfTrue="1" operator="containsText" text="CUMPLE">
      <formula>NOT(ISERROR(SEARCH("CUMPLE",L1122)))</formula>
    </cfRule>
  </conditionalFormatting>
  <conditionalFormatting sqref="O1127">
    <cfRule type="containsText" dxfId="4440" priority="4335" stopIfTrue="1" operator="containsText" text="NO CUMPLE">
      <formula>NOT(ISERROR(SEARCH("NO CUMPLE",O1127)))</formula>
    </cfRule>
    <cfRule type="containsText" dxfId="4439" priority="4336" stopIfTrue="1" operator="containsText" text="CUMPLE">
      <formula>NOT(ISERROR(SEARCH("CUMPLE",O1127)))</formula>
    </cfRule>
  </conditionalFormatting>
  <conditionalFormatting sqref="O1128:S1128">
    <cfRule type="cellIs" dxfId="4438" priority="4334" operator="equal">
      <formula>"EL PROPONENTE SE DEBE REQUERIR POR EXPERIENCIA MINIMA EXIGIDA"</formula>
    </cfRule>
  </conditionalFormatting>
  <conditionalFormatting sqref="X1116">
    <cfRule type="cellIs" dxfId="4437" priority="4331" stopIfTrue="1" operator="equal">
      <formula>"VERIFICAR"</formula>
    </cfRule>
    <cfRule type="cellIs" dxfId="4436" priority="4332" stopIfTrue="1" operator="equal">
      <formula>"NO CUMPLE"</formula>
    </cfRule>
    <cfRule type="cellIs" dxfId="4435" priority="4333" stopIfTrue="1" operator="equal">
      <formula>"CUMPLE"</formula>
    </cfRule>
  </conditionalFormatting>
  <conditionalFormatting sqref="X1105:Y1114 J1105:J1114">
    <cfRule type="cellIs" dxfId="4434" priority="4330" stopIfTrue="1" operator="greaterThan">
      <formula>0</formula>
    </cfRule>
  </conditionalFormatting>
  <conditionalFormatting sqref="X1105:Y1114">
    <cfRule type="cellIs" dxfId="4433" priority="4328" operator="equal">
      <formula>"NO CUMPLE"</formula>
    </cfRule>
    <cfRule type="cellIs" dxfId="4432" priority="4329" operator="equal">
      <formula>"CUMPLE"</formula>
    </cfRule>
  </conditionalFormatting>
  <conditionalFormatting sqref="N1122:N1127">
    <cfRule type="cellIs" dxfId="4431" priority="4326" operator="equal">
      <formula>"NO"</formula>
    </cfRule>
    <cfRule type="cellIs" dxfId="4430" priority="4327" operator="equal">
      <formula>"SI"</formula>
    </cfRule>
  </conditionalFormatting>
  <conditionalFormatting sqref="I1114">
    <cfRule type="cellIs" dxfId="4429" priority="4325" stopIfTrue="1" operator="greaterThan">
      <formula>0</formula>
    </cfRule>
  </conditionalFormatting>
  <conditionalFormatting sqref="K1108:L1114">
    <cfRule type="cellIs" dxfId="4428" priority="4323" operator="equal">
      <formula>0</formula>
    </cfRule>
    <cfRule type="cellIs" dxfId="4427" priority="4324" operator="notBetween">
      <formula>$Q$17</formula>
      <formula>$R$17</formula>
    </cfRule>
  </conditionalFormatting>
  <conditionalFormatting sqref="B1105:B1114">
    <cfRule type="cellIs" dxfId="4426" priority="4322" stopIfTrue="1" operator="greaterThan">
      <formula>0</formula>
    </cfRule>
  </conditionalFormatting>
  <conditionalFormatting sqref="C1105:D1105 D1106:D1107 C1106:C1114">
    <cfRule type="cellIs" dxfId="4425" priority="4321" stopIfTrue="1" operator="greaterThan">
      <formula>0</formula>
    </cfRule>
  </conditionalFormatting>
  <conditionalFormatting sqref="C1105:D1105 F1105:H1107 D1106:D1107 C1106:C1114">
    <cfRule type="cellIs" dxfId="4424" priority="4320" stopIfTrue="1" operator="greaterThan">
      <formula>0</formula>
    </cfRule>
  </conditionalFormatting>
  <conditionalFormatting sqref="T1105:V1107">
    <cfRule type="cellIs" dxfId="4423" priority="4318" stopIfTrue="1" operator="equal">
      <formula>"NO"</formula>
    </cfRule>
    <cfRule type="cellIs" dxfId="4422" priority="4319" stopIfTrue="1" operator="equal">
      <formula>"SI"</formula>
    </cfRule>
  </conditionalFormatting>
  <conditionalFormatting sqref="T1105:V1106">
    <cfRule type="cellIs" dxfId="4421" priority="4317" stopIfTrue="1" operator="equal">
      <formula>"NO APLICA"</formula>
    </cfRule>
  </conditionalFormatting>
  <conditionalFormatting sqref="T1107:U1107">
    <cfRule type="cellIs" dxfId="4420" priority="4316" stopIfTrue="1" operator="equal">
      <formula>"NO APLICA"</formula>
    </cfRule>
  </conditionalFormatting>
  <conditionalFormatting sqref="T1107:U1107">
    <cfRule type="cellIs" dxfId="4419" priority="4315" stopIfTrue="1" operator="equal">
      <formula>"NO APLICA"</formula>
    </cfRule>
  </conditionalFormatting>
  <conditionalFormatting sqref="V1107">
    <cfRule type="cellIs" dxfId="4418" priority="4314" stopIfTrue="1" operator="equal">
      <formula>"NO APLICA"</formula>
    </cfRule>
  </conditionalFormatting>
  <conditionalFormatting sqref="K1105:L1107">
    <cfRule type="cellIs" dxfId="4417" priority="4312" operator="equal">
      <formula>0</formula>
    </cfRule>
    <cfRule type="cellIs" dxfId="4416" priority="4313" operator="notBetween">
      <formula>$Q$17</formula>
      <formula>$R$17</formula>
    </cfRule>
  </conditionalFormatting>
  <conditionalFormatting sqref="F1138:H1143 D1144:H1144 I1138:I1144 C1135:D1135 F1135:I1137 D1136:D1143 C1136:C1144 K1135:O1144">
    <cfRule type="cellIs" dxfId="4415" priority="4311" stopIfTrue="1" operator="greaterThan">
      <formula>0</formula>
    </cfRule>
  </conditionalFormatting>
  <conditionalFormatting sqref="D1138:D1143">
    <cfRule type="cellIs" dxfId="4414" priority="4310" stopIfTrue="1" operator="greaterThan">
      <formula>0</formula>
    </cfRule>
  </conditionalFormatting>
  <conditionalFormatting sqref="D1138:D1143 F1138:H1143">
    <cfRule type="cellIs" dxfId="4413" priority="4309" stopIfTrue="1" operator="greaterThan">
      <formula>0</formula>
    </cfRule>
  </conditionalFormatting>
  <conditionalFormatting sqref="H1135:H1143">
    <cfRule type="cellIs" dxfId="4412" priority="4308" stopIfTrue="1" operator="greaterThan">
      <formula>0</formula>
    </cfRule>
  </conditionalFormatting>
  <conditionalFormatting sqref="E1135:E1143">
    <cfRule type="cellIs" dxfId="4411" priority="4307" stopIfTrue="1" operator="greaterThan">
      <formula>0</formula>
    </cfRule>
  </conditionalFormatting>
  <conditionalFormatting sqref="M1152:M1157 K1152:K1157">
    <cfRule type="containsText" dxfId="4410" priority="4305" stopIfTrue="1" operator="containsText" text="NO CUMPLE">
      <formula>NOT(ISERROR(SEARCH("NO CUMPLE",K1152)))</formula>
    </cfRule>
    <cfRule type="containsText" dxfId="4409" priority="4306" stopIfTrue="1" operator="containsText" text="CUMPLE">
      <formula>NOT(ISERROR(SEARCH("CUMPLE",K1152)))</formula>
    </cfRule>
  </conditionalFormatting>
  <conditionalFormatting sqref="S1151">
    <cfRule type="cellIs" dxfId="4408" priority="4303" operator="greaterThanOrEqual">
      <formula>NUMMINCONT</formula>
    </cfRule>
    <cfRule type="cellIs" dxfId="4407" priority="4304" operator="lessThan">
      <formula>NUMMINCONT</formula>
    </cfRule>
  </conditionalFormatting>
  <conditionalFormatting sqref="T1138:V1143">
    <cfRule type="cellIs" dxfId="4406" priority="4301" stopIfTrue="1" operator="equal">
      <formula>"NO"</formula>
    </cfRule>
    <cfRule type="cellIs" dxfId="4405" priority="4302" stopIfTrue="1" operator="equal">
      <formula>"SI"</formula>
    </cfRule>
  </conditionalFormatting>
  <conditionalFormatting sqref="T1138:V1139">
    <cfRule type="cellIs" dxfId="4404" priority="4300" stopIfTrue="1" operator="equal">
      <formula>"NO APLICA"</formula>
    </cfRule>
  </conditionalFormatting>
  <conditionalFormatting sqref="T1140:U1143">
    <cfRule type="cellIs" dxfId="4403" priority="4299" stopIfTrue="1" operator="equal">
      <formula>"NO APLICA"</formula>
    </cfRule>
  </conditionalFormatting>
  <conditionalFormatting sqref="T1140:U1140">
    <cfRule type="cellIs" dxfId="4402" priority="4298" stopIfTrue="1" operator="equal">
      <formula>"NO APLICA"</formula>
    </cfRule>
  </conditionalFormatting>
  <conditionalFormatting sqref="V1140:V1143">
    <cfRule type="cellIs" dxfId="4401" priority="4297" stopIfTrue="1" operator="equal">
      <formula>"NO APLICA"</formula>
    </cfRule>
  </conditionalFormatting>
  <conditionalFormatting sqref="V1149:W1149">
    <cfRule type="cellIs" dxfId="4400" priority="4295" operator="equal">
      <formula>"CUMPLE"</formula>
    </cfRule>
    <cfRule type="cellIs" dxfId="4399" priority="4296" operator="equal">
      <formula>"NO CUMPLE"</formula>
    </cfRule>
  </conditionalFormatting>
  <conditionalFormatting sqref="V1149:W1151">
    <cfRule type="cellIs" dxfId="4398" priority="4294" operator="equal">
      <formula>"VERIFICAR"</formula>
    </cfRule>
  </conditionalFormatting>
  <conditionalFormatting sqref="T1144:V1144">
    <cfRule type="cellIs" dxfId="4397" priority="4292" stopIfTrue="1" operator="equal">
      <formula>"NO"</formula>
    </cfRule>
    <cfRule type="cellIs" dxfId="4396" priority="4293" stopIfTrue="1" operator="equal">
      <formula>"SI"</formula>
    </cfRule>
  </conditionalFormatting>
  <conditionalFormatting sqref="T1144:U1144">
    <cfRule type="cellIs" dxfId="4395" priority="4291" stopIfTrue="1" operator="equal">
      <formula>"NO APLICA"</formula>
    </cfRule>
  </conditionalFormatting>
  <conditionalFormatting sqref="V1144">
    <cfRule type="cellIs" dxfId="4394" priority="4290" stopIfTrue="1" operator="equal">
      <formula>"NO APLICA"</formula>
    </cfRule>
  </conditionalFormatting>
  <conditionalFormatting sqref="T1154">
    <cfRule type="cellIs" dxfId="4393" priority="4288" operator="equal">
      <formula>"CUMPLE"</formula>
    </cfRule>
    <cfRule type="cellIs" dxfId="4392" priority="4289" operator="equal">
      <formula>"NO CUMPLE"</formula>
    </cfRule>
  </conditionalFormatting>
  <conditionalFormatting sqref="T1154">
    <cfRule type="cellIs" dxfId="4391" priority="4287" operator="equal">
      <formula>"VERIFICAR"</formula>
    </cfRule>
  </conditionalFormatting>
  <conditionalFormatting sqref="Y1152:Y1157">
    <cfRule type="cellIs" dxfId="4390" priority="4286" stopIfTrue="1" operator="equal">
      <formula>"NO APLICA"</formula>
    </cfRule>
  </conditionalFormatting>
  <conditionalFormatting sqref="Y1157">
    <cfRule type="cellIs" dxfId="4389" priority="4285" stopIfTrue="1" operator="equal">
      <formula>"NO APLICA"</formula>
    </cfRule>
  </conditionalFormatting>
  <conditionalFormatting sqref="X1152:Y1157">
    <cfRule type="cellIs" dxfId="4388" priority="4283" stopIfTrue="1" operator="equal">
      <formula>"NO"</formula>
    </cfRule>
    <cfRule type="cellIs" dxfId="4387" priority="4284" stopIfTrue="1" operator="equal">
      <formula>"SI"</formula>
    </cfRule>
  </conditionalFormatting>
  <conditionalFormatting sqref="X1152:X1157">
    <cfRule type="cellIs" dxfId="4386" priority="4282" stopIfTrue="1" operator="equal">
      <formula>"NO APLICA"</formula>
    </cfRule>
  </conditionalFormatting>
  <conditionalFormatting sqref="X1153:X1156">
    <cfRule type="cellIs" dxfId="4385" priority="4281" stopIfTrue="1" operator="equal">
      <formula>"NO APLICA"</formula>
    </cfRule>
  </conditionalFormatting>
  <conditionalFormatting sqref="X1153">
    <cfRule type="cellIs" dxfId="4384" priority="4280" stopIfTrue="1" operator="equal">
      <formula>"NO APLICA"</formula>
    </cfRule>
  </conditionalFormatting>
  <conditionalFormatting sqref="X1157">
    <cfRule type="cellIs" dxfId="4383" priority="4279" stopIfTrue="1" operator="equal">
      <formula>"NO APLICA"</formula>
    </cfRule>
  </conditionalFormatting>
  <conditionalFormatting sqref="X1157">
    <cfRule type="cellIs" dxfId="4382" priority="4278" stopIfTrue="1" operator="equal">
      <formula>"NO APLICA"</formula>
    </cfRule>
  </conditionalFormatting>
  <conditionalFormatting sqref="AA1152:AA1157">
    <cfRule type="cellIs" dxfId="4381" priority="4277" stopIfTrue="1" operator="equal">
      <formula>"NO APLICA"</formula>
    </cfRule>
  </conditionalFormatting>
  <conditionalFormatting sqref="AA1157">
    <cfRule type="cellIs" dxfId="4380" priority="4276" stopIfTrue="1" operator="equal">
      <formula>"NO APLICA"</formula>
    </cfRule>
  </conditionalFormatting>
  <conditionalFormatting sqref="AA1152:AA1157">
    <cfRule type="cellIs" dxfId="4379" priority="4274" stopIfTrue="1" operator="equal">
      <formula>"NO"</formula>
    </cfRule>
    <cfRule type="cellIs" dxfId="4378" priority="4275" stopIfTrue="1" operator="equal">
      <formula>"SI"</formula>
    </cfRule>
  </conditionalFormatting>
  <conditionalFormatting sqref="Y1152:Z1157">
    <cfRule type="cellIs" dxfId="4377" priority="4272" operator="equal">
      <formula>"NO APLICA"</formula>
    </cfRule>
    <cfRule type="cellIs" dxfId="4376" priority="4273" operator="equal">
      <formula>"SI APLICA"</formula>
    </cfRule>
  </conditionalFormatting>
  <conditionalFormatting sqref="AB1152:AB1158">
    <cfRule type="cellIs" dxfId="4375" priority="4270" operator="equal">
      <formula>"NO APLICA"</formula>
    </cfRule>
    <cfRule type="cellIs" dxfId="4374" priority="4271" operator="equal">
      <formula>"SI APLICA"</formula>
    </cfRule>
  </conditionalFormatting>
  <conditionalFormatting sqref="X1158">
    <cfRule type="cellIs" dxfId="4373" priority="4268" operator="equal">
      <formula>"PROPONENTE PLURAL"</formula>
    </cfRule>
    <cfRule type="cellIs" dxfId="4372" priority="4269" operator="equal">
      <formula>"PROPONENTE INDIVIDUAL"</formula>
    </cfRule>
  </conditionalFormatting>
  <conditionalFormatting sqref="Z1158:AA1158 AA1152:AA1157">
    <cfRule type="cellIs" dxfId="4371" priority="4266" operator="equal">
      <formula>"NO APLICA"</formula>
    </cfRule>
    <cfRule type="cellIs" dxfId="4370" priority="4267" operator="equal">
      <formula>"SI APLICA"</formula>
    </cfRule>
  </conditionalFormatting>
  <conditionalFormatting sqref="AB1152:AB1157 Y1152:Z1157">
    <cfRule type="cellIs" dxfId="4369" priority="4265" operator="equal">
      <formula>""</formula>
    </cfRule>
  </conditionalFormatting>
  <conditionalFormatting sqref="H1158">
    <cfRule type="containsText" dxfId="4368" priority="4263" stopIfTrue="1" operator="containsText" text="NO CUMPLE">
      <formula>NOT(ISERROR(SEARCH("NO CUMPLE",H1158)))</formula>
    </cfRule>
    <cfRule type="containsText" dxfId="4367" priority="4264" stopIfTrue="1" operator="containsText" text="CUMPLE">
      <formula>NOT(ISERROR(SEARCH("CUMPLE",H1158)))</formula>
    </cfRule>
  </conditionalFormatting>
  <conditionalFormatting sqref="J1158">
    <cfRule type="containsText" dxfId="4366" priority="4261" stopIfTrue="1" operator="containsText" text="NO CUMPLE">
      <formula>NOT(ISERROR(SEARCH("NO CUMPLE",J1158)))</formula>
    </cfRule>
    <cfRule type="containsText" dxfId="4365" priority="4262" stopIfTrue="1" operator="containsText" text="CUMPLE">
      <formula>NOT(ISERROR(SEARCH("CUMPLE",J1158)))</formula>
    </cfRule>
  </conditionalFormatting>
  <conditionalFormatting sqref="K1158">
    <cfRule type="containsText" dxfId="4364" priority="4259" stopIfTrue="1" operator="containsText" text="NO CUMPLE">
      <formula>NOT(ISERROR(SEARCH("NO CUMPLE",K1158)))</formula>
    </cfRule>
    <cfRule type="containsText" dxfId="4363" priority="4260" stopIfTrue="1" operator="containsText" text="CUMPLE">
      <formula>NOT(ISERROR(SEARCH("CUMPLE",K1158)))</formula>
    </cfRule>
  </conditionalFormatting>
  <conditionalFormatting sqref="L1152:L1157">
    <cfRule type="containsText" dxfId="4362" priority="4257" stopIfTrue="1" operator="containsText" text="NO CUMPLE">
      <formula>NOT(ISERROR(SEARCH("NO CUMPLE",L1152)))</formula>
    </cfRule>
    <cfRule type="containsText" dxfId="4361" priority="4258" stopIfTrue="1" operator="containsText" text="CUMPLE">
      <formula>NOT(ISERROR(SEARCH("CUMPLE",L1152)))</formula>
    </cfRule>
  </conditionalFormatting>
  <conditionalFormatting sqref="O1157">
    <cfRule type="containsText" dxfId="4360" priority="4255" stopIfTrue="1" operator="containsText" text="NO CUMPLE">
      <formula>NOT(ISERROR(SEARCH("NO CUMPLE",O1157)))</formula>
    </cfRule>
    <cfRule type="containsText" dxfId="4359" priority="4256" stopIfTrue="1" operator="containsText" text="CUMPLE">
      <formula>NOT(ISERROR(SEARCH("CUMPLE",O1157)))</formula>
    </cfRule>
  </conditionalFormatting>
  <conditionalFormatting sqref="O1158:S1158">
    <cfRule type="cellIs" dxfId="4358" priority="4254" operator="equal">
      <formula>"EL PROPONENTE SE DEBE REQUERIR POR EXPERIENCIA MINIMA EXIGIDA"</formula>
    </cfRule>
  </conditionalFormatting>
  <conditionalFormatting sqref="X1146">
    <cfRule type="cellIs" dxfId="4357" priority="4251" stopIfTrue="1" operator="equal">
      <formula>"VERIFICAR"</formula>
    </cfRule>
    <cfRule type="cellIs" dxfId="4356" priority="4252" stopIfTrue="1" operator="equal">
      <formula>"NO CUMPLE"</formula>
    </cfRule>
    <cfRule type="cellIs" dxfId="4355" priority="4253" stopIfTrue="1" operator="equal">
      <formula>"CUMPLE"</formula>
    </cfRule>
  </conditionalFormatting>
  <conditionalFormatting sqref="X1135:Y1144 J1135:J1144">
    <cfRule type="cellIs" dxfId="4354" priority="4250" stopIfTrue="1" operator="greaterThan">
      <formula>0</formula>
    </cfRule>
  </conditionalFormatting>
  <conditionalFormatting sqref="X1135:Y1144">
    <cfRule type="cellIs" dxfId="4353" priority="4248" operator="equal">
      <formula>"NO CUMPLE"</formula>
    </cfRule>
    <cfRule type="cellIs" dxfId="4352" priority="4249" operator="equal">
      <formula>"CUMPLE"</formula>
    </cfRule>
  </conditionalFormatting>
  <conditionalFormatting sqref="N1152:N1157">
    <cfRule type="cellIs" dxfId="4351" priority="4246" operator="equal">
      <formula>"NO"</formula>
    </cfRule>
    <cfRule type="cellIs" dxfId="4350" priority="4247" operator="equal">
      <formula>"SI"</formula>
    </cfRule>
  </conditionalFormatting>
  <conditionalFormatting sqref="I1144">
    <cfRule type="cellIs" dxfId="4349" priority="4245" stopIfTrue="1" operator="greaterThan">
      <formula>0</formula>
    </cfRule>
  </conditionalFormatting>
  <conditionalFormatting sqref="K1138:L1144">
    <cfRule type="cellIs" dxfId="4348" priority="4243" operator="equal">
      <formula>0</formula>
    </cfRule>
    <cfRule type="cellIs" dxfId="4347" priority="4244" operator="notBetween">
      <formula>$Q$17</formula>
      <formula>$R$17</formula>
    </cfRule>
  </conditionalFormatting>
  <conditionalFormatting sqref="B1135:B1144">
    <cfRule type="cellIs" dxfId="4346" priority="4242" stopIfTrue="1" operator="greaterThan">
      <formula>0</formula>
    </cfRule>
  </conditionalFormatting>
  <conditionalFormatting sqref="C1135:D1135 D1136:D1137 C1136:C1144">
    <cfRule type="cellIs" dxfId="4345" priority="4241" stopIfTrue="1" operator="greaterThan">
      <formula>0</formula>
    </cfRule>
  </conditionalFormatting>
  <conditionalFormatting sqref="C1135:D1135 F1135:H1137 D1136:D1137 C1136:C1144">
    <cfRule type="cellIs" dxfId="4344" priority="4240" stopIfTrue="1" operator="greaterThan">
      <formula>0</formula>
    </cfRule>
  </conditionalFormatting>
  <conditionalFormatting sqref="T1135:V1137">
    <cfRule type="cellIs" dxfId="4343" priority="4238" stopIfTrue="1" operator="equal">
      <formula>"NO"</formula>
    </cfRule>
    <cfRule type="cellIs" dxfId="4342" priority="4239" stopIfTrue="1" operator="equal">
      <formula>"SI"</formula>
    </cfRule>
  </conditionalFormatting>
  <conditionalFormatting sqref="T1135:V1136">
    <cfRule type="cellIs" dxfId="4341" priority="4237" stopIfTrue="1" operator="equal">
      <formula>"NO APLICA"</formula>
    </cfRule>
  </conditionalFormatting>
  <conditionalFormatting sqref="T1137:U1137">
    <cfRule type="cellIs" dxfId="4340" priority="4236" stopIfTrue="1" operator="equal">
      <formula>"NO APLICA"</formula>
    </cfRule>
  </conditionalFormatting>
  <conditionalFormatting sqref="T1137:U1137">
    <cfRule type="cellIs" dxfId="4339" priority="4235" stopIfTrue="1" operator="equal">
      <formula>"NO APLICA"</formula>
    </cfRule>
  </conditionalFormatting>
  <conditionalFormatting sqref="V1137">
    <cfRule type="cellIs" dxfId="4338" priority="4234" stopIfTrue="1" operator="equal">
      <formula>"NO APLICA"</formula>
    </cfRule>
  </conditionalFormatting>
  <conditionalFormatting sqref="K1135:L1137">
    <cfRule type="cellIs" dxfId="4337" priority="4232" operator="equal">
      <formula>0</formula>
    </cfRule>
    <cfRule type="cellIs" dxfId="4336" priority="4233" operator="notBetween">
      <formula>$Q$17</formula>
      <formula>$R$17</formula>
    </cfRule>
  </conditionalFormatting>
  <conditionalFormatting sqref="F1168:H1173 D1174:H1174 I1168:I1174 C1165:D1165 K1165:O1174 F1165:I1167 D1166:D1173 C1166:C1174">
    <cfRule type="cellIs" dxfId="4335" priority="4231" stopIfTrue="1" operator="greaterThan">
      <formula>0</formula>
    </cfRule>
  </conditionalFormatting>
  <conditionalFormatting sqref="D1168:D1173">
    <cfRule type="cellIs" dxfId="4334" priority="4230" stopIfTrue="1" operator="greaterThan">
      <formula>0</formula>
    </cfRule>
  </conditionalFormatting>
  <conditionalFormatting sqref="D1168:D1173 F1168:H1173">
    <cfRule type="cellIs" dxfId="4333" priority="4229" stopIfTrue="1" operator="greaterThan">
      <formula>0</formula>
    </cfRule>
  </conditionalFormatting>
  <conditionalFormatting sqref="H1165:H1173">
    <cfRule type="cellIs" dxfId="4332" priority="4228" stopIfTrue="1" operator="greaterThan">
      <formula>0</formula>
    </cfRule>
  </conditionalFormatting>
  <conditionalFormatting sqref="E1165:E1173">
    <cfRule type="cellIs" dxfId="4331" priority="4227" stopIfTrue="1" operator="greaterThan">
      <formula>0</formula>
    </cfRule>
  </conditionalFormatting>
  <conditionalFormatting sqref="M1182:M1187 K1182:K1187">
    <cfRule type="containsText" dxfId="4330" priority="4225" stopIfTrue="1" operator="containsText" text="NO CUMPLE">
      <formula>NOT(ISERROR(SEARCH("NO CUMPLE",K1182)))</formula>
    </cfRule>
    <cfRule type="containsText" dxfId="4329" priority="4226" stopIfTrue="1" operator="containsText" text="CUMPLE">
      <formula>NOT(ISERROR(SEARCH("CUMPLE",K1182)))</formula>
    </cfRule>
  </conditionalFormatting>
  <conditionalFormatting sqref="S1181">
    <cfRule type="cellIs" dxfId="4328" priority="4223" operator="greaterThanOrEqual">
      <formula>NUMMINCONT</formula>
    </cfRule>
    <cfRule type="cellIs" dxfId="4327" priority="4224" operator="lessThan">
      <formula>NUMMINCONT</formula>
    </cfRule>
  </conditionalFormatting>
  <conditionalFormatting sqref="T1168:V1173">
    <cfRule type="cellIs" dxfId="4326" priority="4221" stopIfTrue="1" operator="equal">
      <formula>"NO"</formula>
    </cfRule>
    <cfRule type="cellIs" dxfId="4325" priority="4222" stopIfTrue="1" operator="equal">
      <formula>"SI"</formula>
    </cfRule>
  </conditionalFormatting>
  <conditionalFormatting sqref="T1168:V1169">
    <cfRule type="cellIs" dxfId="4324" priority="4220" stopIfTrue="1" operator="equal">
      <formula>"NO APLICA"</formula>
    </cfRule>
  </conditionalFormatting>
  <conditionalFormatting sqref="T1170:U1173">
    <cfRule type="cellIs" dxfId="4323" priority="4219" stopIfTrue="1" operator="equal">
      <formula>"NO APLICA"</formula>
    </cfRule>
  </conditionalFormatting>
  <conditionalFormatting sqref="T1170:U1170">
    <cfRule type="cellIs" dxfId="4322" priority="4218" stopIfTrue="1" operator="equal">
      <formula>"NO APLICA"</formula>
    </cfRule>
  </conditionalFormatting>
  <conditionalFormatting sqref="V1170:V1173">
    <cfRule type="cellIs" dxfId="4321" priority="4217" stopIfTrue="1" operator="equal">
      <formula>"NO APLICA"</formula>
    </cfRule>
  </conditionalFormatting>
  <conditionalFormatting sqref="V1179:W1179">
    <cfRule type="cellIs" dxfId="4320" priority="4215" operator="equal">
      <formula>"CUMPLE"</formula>
    </cfRule>
    <cfRule type="cellIs" dxfId="4319" priority="4216" operator="equal">
      <formula>"NO CUMPLE"</formula>
    </cfRule>
  </conditionalFormatting>
  <conditionalFormatting sqref="V1179:W1181">
    <cfRule type="cellIs" dxfId="4318" priority="4214" operator="equal">
      <formula>"VERIFICAR"</formula>
    </cfRule>
  </conditionalFormatting>
  <conditionalFormatting sqref="T1174:V1174">
    <cfRule type="cellIs" dxfId="4317" priority="4212" stopIfTrue="1" operator="equal">
      <formula>"NO"</formula>
    </cfRule>
    <cfRule type="cellIs" dxfId="4316" priority="4213" stopIfTrue="1" operator="equal">
      <formula>"SI"</formula>
    </cfRule>
  </conditionalFormatting>
  <conditionalFormatting sqref="T1174:U1174">
    <cfRule type="cellIs" dxfId="4315" priority="4211" stopIfTrue="1" operator="equal">
      <formula>"NO APLICA"</formula>
    </cfRule>
  </conditionalFormatting>
  <conditionalFormatting sqref="V1174">
    <cfRule type="cellIs" dxfId="4314" priority="4210" stopIfTrue="1" operator="equal">
      <formula>"NO APLICA"</formula>
    </cfRule>
  </conditionalFormatting>
  <conditionalFormatting sqref="T1184">
    <cfRule type="cellIs" dxfId="4313" priority="4208" operator="equal">
      <formula>"CUMPLE"</formula>
    </cfRule>
    <cfRule type="cellIs" dxfId="4312" priority="4209" operator="equal">
      <formula>"NO CUMPLE"</formula>
    </cfRule>
  </conditionalFormatting>
  <conditionalFormatting sqref="T1184">
    <cfRule type="cellIs" dxfId="4311" priority="4207" operator="equal">
      <formula>"VERIFICAR"</formula>
    </cfRule>
  </conditionalFormatting>
  <conditionalFormatting sqref="Y1182:Y1187">
    <cfRule type="cellIs" dxfId="4310" priority="4206" stopIfTrue="1" operator="equal">
      <formula>"NO APLICA"</formula>
    </cfRule>
  </conditionalFormatting>
  <conditionalFormatting sqref="Y1187">
    <cfRule type="cellIs" dxfId="4309" priority="4205" stopIfTrue="1" operator="equal">
      <formula>"NO APLICA"</formula>
    </cfRule>
  </conditionalFormatting>
  <conditionalFormatting sqref="X1182:Y1187">
    <cfRule type="cellIs" dxfId="4308" priority="4203" stopIfTrue="1" operator="equal">
      <formula>"NO"</formula>
    </cfRule>
    <cfRule type="cellIs" dxfId="4307" priority="4204" stopIfTrue="1" operator="equal">
      <formula>"SI"</formula>
    </cfRule>
  </conditionalFormatting>
  <conditionalFormatting sqref="X1182:X1187">
    <cfRule type="cellIs" dxfId="4306" priority="4202" stopIfTrue="1" operator="equal">
      <formula>"NO APLICA"</formula>
    </cfRule>
  </conditionalFormatting>
  <conditionalFormatting sqref="X1183:X1186">
    <cfRule type="cellIs" dxfId="4305" priority="4201" stopIfTrue="1" operator="equal">
      <formula>"NO APLICA"</formula>
    </cfRule>
  </conditionalFormatting>
  <conditionalFormatting sqref="X1183">
    <cfRule type="cellIs" dxfId="4304" priority="4200" stopIfTrue="1" operator="equal">
      <formula>"NO APLICA"</formula>
    </cfRule>
  </conditionalFormatting>
  <conditionalFormatting sqref="X1187">
    <cfRule type="cellIs" dxfId="4303" priority="4199" stopIfTrue="1" operator="equal">
      <formula>"NO APLICA"</formula>
    </cfRule>
  </conditionalFormatting>
  <conditionalFormatting sqref="X1187">
    <cfRule type="cellIs" dxfId="4302" priority="4198" stopIfTrue="1" operator="equal">
      <formula>"NO APLICA"</formula>
    </cfRule>
  </conditionalFormatting>
  <conditionalFormatting sqref="AA1182:AA1187">
    <cfRule type="cellIs" dxfId="4301" priority="4197" stopIfTrue="1" operator="equal">
      <formula>"NO APLICA"</formula>
    </cfRule>
  </conditionalFormatting>
  <conditionalFormatting sqref="AA1187">
    <cfRule type="cellIs" dxfId="4300" priority="4196" stopIfTrue="1" operator="equal">
      <formula>"NO APLICA"</formula>
    </cfRule>
  </conditionalFormatting>
  <conditionalFormatting sqref="AA1182:AA1187">
    <cfRule type="cellIs" dxfId="4299" priority="4194" stopIfTrue="1" operator="equal">
      <formula>"NO"</formula>
    </cfRule>
    <cfRule type="cellIs" dxfId="4298" priority="4195" stopIfTrue="1" operator="equal">
      <formula>"SI"</formula>
    </cfRule>
  </conditionalFormatting>
  <conditionalFormatting sqref="Y1182:Z1187">
    <cfRule type="cellIs" dxfId="4297" priority="4192" operator="equal">
      <formula>"NO APLICA"</formula>
    </cfRule>
    <cfRule type="cellIs" dxfId="4296" priority="4193" operator="equal">
      <formula>"SI APLICA"</formula>
    </cfRule>
  </conditionalFormatting>
  <conditionalFormatting sqref="AB1182:AB1188">
    <cfRule type="cellIs" dxfId="4295" priority="4190" operator="equal">
      <formula>"NO APLICA"</formula>
    </cfRule>
    <cfRule type="cellIs" dxfId="4294" priority="4191" operator="equal">
      <formula>"SI APLICA"</formula>
    </cfRule>
  </conditionalFormatting>
  <conditionalFormatting sqref="X1188">
    <cfRule type="cellIs" dxfId="4293" priority="4188" operator="equal">
      <formula>"PROPONENTE PLURAL"</formula>
    </cfRule>
    <cfRule type="cellIs" dxfId="4292" priority="4189" operator="equal">
      <formula>"PROPONENTE INDIVIDUAL"</formula>
    </cfRule>
  </conditionalFormatting>
  <conditionalFormatting sqref="Z1188:AA1188 AA1182:AA1187">
    <cfRule type="cellIs" dxfId="4291" priority="4186" operator="equal">
      <formula>"NO APLICA"</formula>
    </cfRule>
    <cfRule type="cellIs" dxfId="4290" priority="4187" operator="equal">
      <formula>"SI APLICA"</formula>
    </cfRule>
  </conditionalFormatting>
  <conditionalFormatting sqref="AB1182:AB1187 Y1182:Z1187">
    <cfRule type="cellIs" dxfId="4289" priority="4185" operator="equal">
      <formula>""</formula>
    </cfRule>
  </conditionalFormatting>
  <conditionalFormatting sqref="H1188">
    <cfRule type="containsText" dxfId="4288" priority="4183" stopIfTrue="1" operator="containsText" text="NO CUMPLE">
      <formula>NOT(ISERROR(SEARCH("NO CUMPLE",H1188)))</formula>
    </cfRule>
    <cfRule type="containsText" dxfId="4287" priority="4184" stopIfTrue="1" operator="containsText" text="CUMPLE">
      <formula>NOT(ISERROR(SEARCH("CUMPLE",H1188)))</formula>
    </cfRule>
  </conditionalFormatting>
  <conditionalFormatting sqref="J1188">
    <cfRule type="containsText" dxfId="4286" priority="4181" stopIfTrue="1" operator="containsText" text="NO CUMPLE">
      <formula>NOT(ISERROR(SEARCH("NO CUMPLE",J1188)))</formula>
    </cfRule>
    <cfRule type="containsText" dxfId="4285" priority="4182" stopIfTrue="1" operator="containsText" text="CUMPLE">
      <formula>NOT(ISERROR(SEARCH("CUMPLE",J1188)))</formula>
    </cfRule>
  </conditionalFormatting>
  <conditionalFormatting sqref="K1188">
    <cfRule type="containsText" dxfId="4284" priority="4179" stopIfTrue="1" operator="containsText" text="NO CUMPLE">
      <formula>NOT(ISERROR(SEARCH("NO CUMPLE",K1188)))</formula>
    </cfRule>
    <cfRule type="containsText" dxfId="4283" priority="4180" stopIfTrue="1" operator="containsText" text="CUMPLE">
      <formula>NOT(ISERROR(SEARCH("CUMPLE",K1188)))</formula>
    </cfRule>
  </conditionalFormatting>
  <conditionalFormatting sqref="L1182:L1187">
    <cfRule type="containsText" dxfId="4282" priority="4177" stopIfTrue="1" operator="containsText" text="NO CUMPLE">
      <formula>NOT(ISERROR(SEARCH("NO CUMPLE",L1182)))</formula>
    </cfRule>
    <cfRule type="containsText" dxfId="4281" priority="4178" stopIfTrue="1" operator="containsText" text="CUMPLE">
      <formula>NOT(ISERROR(SEARCH("CUMPLE",L1182)))</formula>
    </cfRule>
  </conditionalFormatting>
  <conditionalFormatting sqref="O1187">
    <cfRule type="containsText" dxfId="4280" priority="4175" stopIfTrue="1" operator="containsText" text="NO CUMPLE">
      <formula>NOT(ISERROR(SEARCH("NO CUMPLE",O1187)))</formula>
    </cfRule>
    <cfRule type="containsText" dxfId="4279" priority="4176" stopIfTrue="1" operator="containsText" text="CUMPLE">
      <formula>NOT(ISERROR(SEARCH("CUMPLE",O1187)))</formula>
    </cfRule>
  </conditionalFormatting>
  <conditionalFormatting sqref="O1188:S1188">
    <cfRule type="cellIs" dxfId="4278" priority="4174" operator="equal">
      <formula>"EL PROPONENTE SE DEBE REQUERIR POR EXPERIENCIA MINIMA EXIGIDA"</formula>
    </cfRule>
  </conditionalFormatting>
  <conditionalFormatting sqref="X1176">
    <cfRule type="cellIs" dxfId="4277" priority="4171" stopIfTrue="1" operator="equal">
      <formula>"VERIFICAR"</formula>
    </cfRule>
    <cfRule type="cellIs" dxfId="4276" priority="4172" stopIfTrue="1" operator="equal">
      <formula>"NO CUMPLE"</formula>
    </cfRule>
    <cfRule type="cellIs" dxfId="4275" priority="4173" stopIfTrue="1" operator="equal">
      <formula>"CUMPLE"</formula>
    </cfRule>
  </conditionalFormatting>
  <conditionalFormatting sqref="X1165:Y1174 J1165:J1174">
    <cfRule type="cellIs" dxfId="4274" priority="4170" stopIfTrue="1" operator="greaterThan">
      <formula>0</formula>
    </cfRule>
  </conditionalFormatting>
  <conditionalFormatting sqref="X1165:Y1174">
    <cfRule type="cellIs" dxfId="4273" priority="4168" operator="equal">
      <formula>"NO CUMPLE"</formula>
    </cfRule>
    <cfRule type="cellIs" dxfId="4272" priority="4169" operator="equal">
      <formula>"CUMPLE"</formula>
    </cfRule>
  </conditionalFormatting>
  <conditionalFormatting sqref="N1182:N1187">
    <cfRule type="cellIs" dxfId="4271" priority="4166" operator="equal">
      <formula>"NO"</formula>
    </cfRule>
    <cfRule type="cellIs" dxfId="4270" priority="4167" operator="equal">
      <formula>"SI"</formula>
    </cfRule>
  </conditionalFormatting>
  <conditionalFormatting sqref="I1174">
    <cfRule type="cellIs" dxfId="4269" priority="4165" stopIfTrue="1" operator="greaterThan">
      <formula>0</formula>
    </cfRule>
  </conditionalFormatting>
  <conditionalFormatting sqref="K1168:L1174">
    <cfRule type="cellIs" dxfId="4268" priority="4163" operator="equal">
      <formula>0</formula>
    </cfRule>
    <cfRule type="cellIs" dxfId="4267" priority="4164" operator="notBetween">
      <formula>$Q$17</formula>
      <formula>$R$17</formula>
    </cfRule>
  </conditionalFormatting>
  <conditionalFormatting sqref="B1165:B1174">
    <cfRule type="cellIs" dxfId="4266" priority="4162" stopIfTrue="1" operator="greaterThan">
      <formula>0</formula>
    </cfRule>
  </conditionalFormatting>
  <conditionalFormatting sqref="C1165:D1165 D1166:D1167 C1166:C1174">
    <cfRule type="cellIs" dxfId="4265" priority="4161" stopIfTrue="1" operator="greaterThan">
      <formula>0</formula>
    </cfRule>
  </conditionalFormatting>
  <conditionalFormatting sqref="C1165:D1165 F1165:H1167 D1166:D1167 C1166:C1174">
    <cfRule type="cellIs" dxfId="4264" priority="4160" stopIfTrue="1" operator="greaterThan">
      <formula>0</formula>
    </cfRule>
  </conditionalFormatting>
  <conditionalFormatting sqref="T1165:V1167">
    <cfRule type="cellIs" dxfId="4263" priority="4158" stopIfTrue="1" operator="equal">
      <formula>"NO"</formula>
    </cfRule>
    <cfRule type="cellIs" dxfId="4262" priority="4159" stopIfTrue="1" operator="equal">
      <formula>"SI"</formula>
    </cfRule>
  </conditionalFormatting>
  <conditionalFormatting sqref="T1165:V1166">
    <cfRule type="cellIs" dxfId="4261" priority="4157" stopIfTrue="1" operator="equal">
      <formula>"NO APLICA"</formula>
    </cfRule>
  </conditionalFormatting>
  <conditionalFormatting sqref="T1167:U1167">
    <cfRule type="cellIs" dxfId="4260" priority="4156" stopIfTrue="1" operator="equal">
      <formula>"NO APLICA"</formula>
    </cfRule>
  </conditionalFormatting>
  <conditionalFormatting sqref="T1167:U1167">
    <cfRule type="cellIs" dxfId="4259" priority="4155" stopIfTrue="1" operator="equal">
      <formula>"NO APLICA"</formula>
    </cfRule>
  </conditionalFormatting>
  <conditionalFormatting sqref="V1167">
    <cfRule type="cellIs" dxfId="4258" priority="4154" stopIfTrue="1" operator="equal">
      <formula>"NO APLICA"</formula>
    </cfRule>
  </conditionalFormatting>
  <conditionalFormatting sqref="K1165:L1167">
    <cfRule type="cellIs" dxfId="4257" priority="4152" operator="equal">
      <formula>0</formula>
    </cfRule>
    <cfRule type="cellIs" dxfId="4256" priority="4153" operator="notBetween">
      <formula>$Q$17</formula>
      <formula>$R$17</formula>
    </cfRule>
  </conditionalFormatting>
  <conditionalFormatting sqref="F1198:H1203 D1204:H1204 I1198:I1204 C1195:D1195 K1195:O1204 F1195:I1197 D1196:D1203 C1196:C1204">
    <cfRule type="cellIs" dxfId="4255" priority="4151" stopIfTrue="1" operator="greaterThan">
      <formula>0</formula>
    </cfRule>
  </conditionalFormatting>
  <conditionalFormatting sqref="D1198:D1203">
    <cfRule type="cellIs" dxfId="4254" priority="4150" stopIfTrue="1" operator="greaterThan">
      <formula>0</formula>
    </cfRule>
  </conditionalFormatting>
  <conditionalFormatting sqref="D1198:D1203 F1198:H1203">
    <cfRule type="cellIs" dxfId="4253" priority="4149" stopIfTrue="1" operator="greaterThan">
      <formula>0</formula>
    </cfRule>
  </conditionalFormatting>
  <conditionalFormatting sqref="H1195:H1203">
    <cfRule type="cellIs" dxfId="4252" priority="4148" stopIfTrue="1" operator="greaterThan">
      <formula>0</formula>
    </cfRule>
  </conditionalFormatting>
  <conditionalFormatting sqref="E1195:E1203">
    <cfRule type="cellIs" dxfId="4251" priority="4147" stopIfTrue="1" operator="greaterThan">
      <formula>0</formula>
    </cfRule>
  </conditionalFormatting>
  <conditionalFormatting sqref="M1212:M1217 K1212:K1217">
    <cfRule type="containsText" dxfId="4250" priority="4145" stopIfTrue="1" operator="containsText" text="NO CUMPLE">
      <formula>NOT(ISERROR(SEARCH("NO CUMPLE",K1212)))</formula>
    </cfRule>
    <cfRule type="containsText" dxfId="4249" priority="4146" stopIfTrue="1" operator="containsText" text="CUMPLE">
      <formula>NOT(ISERROR(SEARCH("CUMPLE",K1212)))</formula>
    </cfRule>
  </conditionalFormatting>
  <conditionalFormatting sqref="S1211">
    <cfRule type="cellIs" dxfId="4248" priority="4143" operator="greaterThanOrEqual">
      <formula>NUMMINCONT</formula>
    </cfRule>
    <cfRule type="cellIs" dxfId="4247" priority="4144" operator="lessThan">
      <formula>NUMMINCONT</formula>
    </cfRule>
  </conditionalFormatting>
  <conditionalFormatting sqref="T1198:V1203">
    <cfRule type="cellIs" dxfId="4246" priority="4141" stopIfTrue="1" operator="equal">
      <formula>"NO"</formula>
    </cfRule>
    <cfRule type="cellIs" dxfId="4245" priority="4142" stopIfTrue="1" operator="equal">
      <formula>"SI"</formula>
    </cfRule>
  </conditionalFormatting>
  <conditionalFormatting sqref="T1198:V1199">
    <cfRule type="cellIs" dxfId="4244" priority="4140" stopIfTrue="1" operator="equal">
      <formula>"NO APLICA"</formula>
    </cfRule>
  </conditionalFormatting>
  <conditionalFormatting sqref="T1200:U1203">
    <cfRule type="cellIs" dxfId="4243" priority="4139" stopIfTrue="1" operator="equal">
      <formula>"NO APLICA"</formula>
    </cfRule>
  </conditionalFormatting>
  <conditionalFormatting sqref="T1200:U1200">
    <cfRule type="cellIs" dxfId="4242" priority="4138" stopIfTrue="1" operator="equal">
      <formula>"NO APLICA"</formula>
    </cfRule>
  </conditionalFormatting>
  <conditionalFormatting sqref="V1200:V1203">
    <cfRule type="cellIs" dxfId="4241" priority="4137" stopIfTrue="1" operator="equal">
      <formula>"NO APLICA"</formula>
    </cfRule>
  </conditionalFormatting>
  <conditionalFormatting sqref="V1209:W1209">
    <cfRule type="cellIs" dxfId="4240" priority="4135" operator="equal">
      <formula>"CUMPLE"</formula>
    </cfRule>
    <cfRule type="cellIs" dxfId="4239" priority="4136" operator="equal">
      <formula>"NO CUMPLE"</formula>
    </cfRule>
  </conditionalFormatting>
  <conditionalFormatting sqref="V1209:W1211">
    <cfRule type="cellIs" dxfId="4238" priority="4134" operator="equal">
      <formula>"VERIFICAR"</formula>
    </cfRule>
  </conditionalFormatting>
  <conditionalFormatting sqref="T1204:V1204">
    <cfRule type="cellIs" dxfId="4237" priority="4132" stopIfTrue="1" operator="equal">
      <formula>"NO"</formula>
    </cfRule>
    <cfRule type="cellIs" dxfId="4236" priority="4133" stopIfTrue="1" operator="equal">
      <formula>"SI"</formula>
    </cfRule>
  </conditionalFormatting>
  <conditionalFormatting sqref="T1204:U1204">
    <cfRule type="cellIs" dxfId="4235" priority="4131" stopIfTrue="1" operator="equal">
      <formula>"NO APLICA"</formula>
    </cfRule>
  </conditionalFormatting>
  <conditionalFormatting sqref="V1204">
    <cfRule type="cellIs" dxfId="4234" priority="4130" stopIfTrue="1" operator="equal">
      <formula>"NO APLICA"</formula>
    </cfRule>
  </conditionalFormatting>
  <conditionalFormatting sqref="T1214">
    <cfRule type="cellIs" dxfId="4233" priority="4128" operator="equal">
      <formula>"CUMPLE"</formula>
    </cfRule>
    <cfRule type="cellIs" dxfId="4232" priority="4129" operator="equal">
      <formula>"NO CUMPLE"</formula>
    </cfRule>
  </conditionalFormatting>
  <conditionalFormatting sqref="T1214">
    <cfRule type="cellIs" dxfId="4231" priority="4127" operator="equal">
      <formula>"VERIFICAR"</formula>
    </cfRule>
  </conditionalFormatting>
  <conditionalFormatting sqref="Y1212:Y1217">
    <cfRule type="cellIs" dxfId="4230" priority="4126" stopIfTrue="1" operator="equal">
      <formula>"NO APLICA"</formula>
    </cfRule>
  </conditionalFormatting>
  <conditionalFormatting sqref="Y1217">
    <cfRule type="cellIs" dxfId="4229" priority="4125" stopIfTrue="1" operator="equal">
      <formula>"NO APLICA"</formula>
    </cfRule>
  </conditionalFormatting>
  <conditionalFormatting sqref="X1212:Y1217">
    <cfRule type="cellIs" dxfId="4228" priority="4123" stopIfTrue="1" operator="equal">
      <formula>"NO"</formula>
    </cfRule>
    <cfRule type="cellIs" dxfId="4227" priority="4124" stopIfTrue="1" operator="equal">
      <formula>"SI"</formula>
    </cfRule>
  </conditionalFormatting>
  <conditionalFormatting sqref="X1212:X1217">
    <cfRule type="cellIs" dxfId="4226" priority="4122" stopIfTrue="1" operator="equal">
      <formula>"NO APLICA"</formula>
    </cfRule>
  </conditionalFormatting>
  <conditionalFormatting sqref="X1213:X1216">
    <cfRule type="cellIs" dxfId="4225" priority="4121" stopIfTrue="1" operator="equal">
      <formula>"NO APLICA"</formula>
    </cfRule>
  </conditionalFormatting>
  <conditionalFormatting sqref="X1213">
    <cfRule type="cellIs" dxfId="4224" priority="4120" stopIfTrue="1" operator="equal">
      <formula>"NO APLICA"</formula>
    </cfRule>
  </conditionalFormatting>
  <conditionalFormatting sqref="X1217">
    <cfRule type="cellIs" dxfId="4223" priority="4119" stopIfTrue="1" operator="equal">
      <formula>"NO APLICA"</formula>
    </cfRule>
  </conditionalFormatting>
  <conditionalFormatting sqref="X1217">
    <cfRule type="cellIs" dxfId="4222" priority="4118" stopIfTrue="1" operator="equal">
      <formula>"NO APLICA"</formula>
    </cfRule>
  </conditionalFormatting>
  <conditionalFormatting sqref="AA1212:AA1217">
    <cfRule type="cellIs" dxfId="4221" priority="4117" stopIfTrue="1" operator="equal">
      <formula>"NO APLICA"</formula>
    </cfRule>
  </conditionalFormatting>
  <conditionalFormatting sqref="AA1217">
    <cfRule type="cellIs" dxfId="4220" priority="4116" stopIfTrue="1" operator="equal">
      <formula>"NO APLICA"</formula>
    </cfRule>
  </conditionalFormatting>
  <conditionalFormatting sqref="AA1212:AA1217">
    <cfRule type="cellIs" dxfId="4219" priority="4114" stopIfTrue="1" operator="equal">
      <formula>"NO"</formula>
    </cfRule>
    <cfRule type="cellIs" dxfId="4218" priority="4115" stopIfTrue="1" operator="equal">
      <formula>"SI"</formula>
    </cfRule>
  </conditionalFormatting>
  <conditionalFormatting sqref="Y1212:Z1217">
    <cfRule type="cellIs" dxfId="4217" priority="4112" operator="equal">
      <formula>"NO APLICA"</formula>
    </cfRule>
    <cfRule type="cellIs" dxfId="4216" priority="4113" operator="equal">
      <formula>"SI APLICA"</formula>
    </cfRule>
  </conditionalFormatting>
  <conditionalFormatting sqref="AB1212:AB1218">
    <cfRule type="cellIs" dxfId="4215" priority="4110" operator="equal">
      <formula>"NO APLICA"</formula>
    </cfRule>
    <cfRule type="cellIs" dxfId="4214" priority="4111" operator="equal">
      <formula>"SI APLICA"</formula>
    </cfRule>
  </conditionalFormatting>
  <conditionalFormatting sqref="X1218">
    <cfRule type="cellIs" dxfId="4213" priority="4108" operator="equal">
      <formula>"PROPONENTE PLURAL"</formula>
    </cfRule>
    <cfRule type="cellIs" dxfId="4212" priority="4109" operator="equal">
      <formula>"PROPONENTE INDIVIDUAL"</formula>
    </cfRule>
  </conditionalFormatting>
  <conditionalFormatting sqref="Z1218:AA1218 AA1212:AA1217">
    <cfRule type="cellIs" dxfId="4211" priority="4106" operator="equal">
      <formula>"NO APLICA"</formula>
    </cfRule>
    <cfRule type="cellIs" dxfId="4210" priority="4107" operator="equal">
      <formula>"SI APLICA"</formula>
    </cfRule>
  </conditionalFormatting>
  <conditionalFormatting sqref="AB1212:AB1217 Y1212:Z1217">
    <cfRule type="cellIs" dxfId="4209" priority="4105" operator="equal">
      <formula>""</formula>
    </cfRule>
  </conditionalFormatting>
  <conditionalFormatting sqref="H1218">
    <cfRule type="containsText" dxfId="4208" priority="4103" stopIfTrue="1" operator="containsText" text="NO CUMPLE">
      <formula>NOT(ISERROR(SEARCH("NO CUMPLE",H1218)))</formula>
    </cfRule>
    <cfRule type="containsText" dxfId="4207" priority="4104" stopIfTrue="1" operator="containsText" text="CUMPLE">
      <formula>NOT(ISERROR(SEARCH("CUMPLE",H1218)))</formula>
    </cfRule>
  </conditionalFormatting>
  <conditionalFormatting sqref="J1218">
    <cfRule type="containsText" dxfId="4206" priority="4101" stopIfTrue="1" operator="containsText" text="NO CUMPLE">
      <formula>NOT(ISERROR(SEARCH("NO CUMPLE",J1218)))</formula>
    </cfRule>
    <cfRule type="containsText" dxfId="4205" priority="4102" stopIfTrue="1" operator="containsText" text="CUMPLE">
      <formula>NOT(ISERROR(SEARCH("CUMPLE",J1218)))</formula>
    </cfRule>
  </conditionalFormatting>
  <conditionalFormatting sqref="K1218">
    <cfRule type="containsText" dxfId="4204" priority="4099" stopIfTrue="1" operator="containsText" text="NO CUMPLE">
      <formula>NOT(ISERROR(SEARCH("NO CUMPLE",K1218)))</formula>
    </cfRule>
    <cfRule type="containsText" dxfId="4203" priority="4100" stopIfTrue="1" operator="containsText" text="CUMPLE">
      <formula>NOT(ISERROR(SEARCH("CUMPLE",K1218)))</formula>
    </cfRule>
  </conditionalFormatting>
  <conditionalFormatting sqref="L1212:L1217">
    <cfRule type="containsText" dxfId="4202" priority="4097" stopIfTrue="1" operator="containsText" text="NO CUMPLE">
      <formula>NOT(ISERROR(SEARCH("NO CUMPLE",L1212)))</formula>
    </cfRule>
    <cfRule type="containsText" dxfId="4201" priority="4098" stopIfTrue="1" operator="containsText" text="CUMPLE">
      <formula>NOT(ISERROR(SEARCH("CUMPLE",L1212)))</formula>
    </cfRule>
  </conditionalFormatting>
  <conditionalFormatting sqref="O1217">
    <cfRule type="containsText" dxfId="4200" priority="4095" stopIfTrue="1" operator="containsText" text="NO CUMPLE">
      <formula>NOT(ISERROR(SEARCH("NO CUMPLE",O1217)))</formula>
    </cfRule>
    <cfRule type="containsText" dxfId="4199" priority="4096" stopIfTrue="1" operator="containsText" text="CUMPLE">
      <formula>NOT(ISERROR(SEARCH("CUMPLE",O1217)))</formula>
    </cfRule>
  </conditionalFormatting>
  <conditionalFormatting sqref="O1218:S1218">
    <cfRule type="cellIs" dxfId="4198" priority="4094" operator="equal">
      <formula>"EL PROPONENTE SE DEBE REQUERIR POR EXPERIENCIA MINIMA EXIGIDA"</formula>
    </cfRule>
  </conditionalFormatting>
  <conditionalFormatting sqref="X1206">
    <cfRule type="cellIs" dxfId="4197" priority="4091" stopIfTrue="1" operator="equal">
      <formula>"VERIFICAR"</formula>
    </cfRule>
    <cfRule type="cellIs" dxfId="4196" priority="4092" stopIfTrue="1" operator="equal">
      <formula>"NO CUMPLE"</formula>
    </cfRule>
    <cfRule type="cellIs" dxfId="4195" priority="4093" stopIfTrue="1" operator="equal">
      <formula>"CUMPLE"</formula>
    </cfRule>
  </conditionalFormatting>
  <conditionalFormatting sqref="X1195:Y1204 J1195:J1204">
    <cfRule type="cellIs" dxfId="4194" priority="4090" stopIfTrue="1" operator="greaterThan">
      <formula>0</formula>
    </cfRule>
  </conditionalFormatting>
  <conditionalFormatting sqref="X1195:Y1204">
    <cfRule type="cellIs" dxfId="4193" priority="4088" operator="equal">
      <formula>"NO CUMPLE"</formula>
    </cfRule>
    <cfRule type="cellIs" dxfId="4192" priority="4089" operator="equal">
      <formula>"CUMPLE"</formula>
    </cfRule>
  </conditionalFormatting>
  <conditionalFormatting sqref="N1212:N1217">
    <cfRule type="cellIs" dxfId="4191" priority="4086" operator="equal">
      <formula>"NO"</formula>
    </cfRule>
    <cfRule type="cellIs" dxfId="4190" priority="4087" operator="equal">
      <formula>"SI"</formula>
    </cfRule>
  </conditionalFormatting>
  <conditionalFormatting sqref="I1204">
    <cfRule type="cellIs" dxfId="4189" priority="4085" stopIfTrue="1" operator="greaterThan">
      <formula>0</formula>
    </cfRule>
  </conditionalFormatting>
  <conditionalFormatting sqref="K1198:L1204">
    <cfRule type="cellIs" dxfId="4188" priority="4083" operator="equal">
      <formula>0</formula>
    </cfRule>
    <cfRule type="cellIs" dxfId="4187" priority="4084" operator="notBetween">
      <formula>$Q$17</formula>
      <formula>$R$17</formula>
    </cfRule>
  </conditionalFormatting>
  <conditionalFormatting sqref="B1195:B1204">
    <cfRule type="cellIs" dxfId="4186" priority="4082" stopIfTrue="1" operator="greaterThan">
      <formula>0</formula>
    </cfRule>
  </conditionalFormatting>
  <conditionalFormatting sqref="C1195:D1195 D1196:D1197 C1196:C1204">
    <cfRule type="cellIs" dxfId="4185" priority="4081" stopIfTrue="1" operator="greaterThan">
      <formula>0</formula>
    </cfRule>
  </conditionalFormatting>
  <conditionalFormatting sqref="C1195:D1195 F1195:H1197 D1196:D1197 C1196:C1204">
    <cfRule type="cellIs" dxfId="4184" priority="4080" stopIfTrue="1" operator="greaterThan">
      <formula>0</formula>
    </cfRule>
  </conditionalFormatting>
  <conditionalFormatting sqref="T1195:V1197">
    <cfRule type="cellIs" dxfId="4183" priority="4078" stopIfTrue="1" operator="equal">
      <formula>"NO"</formula>
    </cfRule>
    <cfRule type="cellIs" dxfId="4182" priority="4079" stopIfTrue="1" operator="equal">
      <formula>"SI"</formula>
    </cfRule>
  </conditionalFormatting>
  <conditionalFormatting sqref="T1195:V1196">
    <cfRule type="cellIs" dxfId="4181" priority="4077" stopIfTrue="1" operator="equal">
      <formula>"NO APLICA"</formula>
    </cfRule>
  </conditionalFormatting>
  <conditionalFormatting sqref="T1197:U1197">
    <cfRule type="cellIs" dxfId="4180" priority="4076" stopIfTrue="1" operator="equal">
      <formula>"NO APLICA"</formula>
    </cfRule>
  </conditionalFormatting>
  <conditionalFormatting sqref="T1197:U1197">
    <cfRule type="cellIs" dxfId="4179" priority="4075" stopIfTrue="1" operator="equal">
      <formula>"NO APLICA"</formula>
    </cfRule>
  </conditionalFormatting>
  <conditionalFormatting sqref="V1197">
    <cfRule type="cellIs" dxfId="4178" priority="4074" stopIfTrue="1" operator="equal">
      <formula>"NO APLICA"</formula>
    </cfRule>
  </conditionalFormatting>
  <conditionalFormatting sqref="K1195:L1197">
    <cfRule type="cellIs" dxfId="4177" priority="4072" operator="equal">
      <formula>0</formula>
    </cfRule>
    <cfRule type="cellIs" dxfId="4176" priority="4073" operator="notBetween">
      <formula>$Q$17</formula>
      <formula>$R$17</formula>
    </cfRule>
  </conditionalFormatting>
  <conditionalFormatting sqref="F1228:H1233 D1234:H1234 I1228:I1234 C1225:D1225 K1225:O1234 F1225:I1227 D1226:D1233 C1226:C1234">
    <cfRule type="cellIs" dxfId="4175" priority="4071" stopIfTrue="1" operator="greaterThan">
      <formula>0</formula>
    </cfRule>
  </conditionalFormatting>
  <conditionalFormatting sqref="D1228:D1233">
    <cfRule type="cellIs" dxfId="4174" priority="4070" stopIfTrue="1" operator="greaterThan">
      <formula>0</formula>
    </cfRule>
  </conditionalFormatting>
  <conditionalFormatting sqref="D1228:D1233 F1228:H1233">
    <cfRule type="cellIs" dxfId="4173" priority="4069" stopIfTrue="1" operator="greaterThan">
      <formula>0</formula>
    </cfRule>
  </conditionalFormatting>
  <conditionalFormatting sqref="H1225:H1233">
    <cfRule type="cellIs" dxfId="4172" priority="4068" stopIfTrue="1" operator="greaterThan">
      <formula>0</formula>
    </cfRule>
  </conditionalFormatting>
  <conditionalFormatting sqref="E1225:E1233">
    <cfRule type="cellIs" dxfId="4171" priority="4067" stopIfTrue="1" operator="greaterThan">
      <formula>0</formula>
    </cfRule>
  </conditionalFormatting>
  <conditionalFormatting sqref="M1242:M1247 K1242:K1247">
    <cfRule type="containsText" dxfId="4170" priority="4065" stopIfTrue="1" operator="containsText" text="NO CUMPLE">
      <formula>NOT(ISERROR(SEARCH("NO CUMPLE",K1242)))</formula>
    </cfRule>
    <cfRule type="containsText" dxfId="4169" priority="4066" stopIfTrue="1" operator="containsText" text="CUMPLE">
      <formula>NOT(ISERROR(SEARCH("CUMPLE",K1242)))</formula>
    </cfRule>
  </conditionalFormatting>
  <conditionalFormatting sqref="S1241">
    <cfRule type="cellIs" dxfId="4168" priority="4063" operator="greaterThanOrEqual">
      <formula>NUMMINCONT</formula>
    </cfRule>
    <cfRule type="cellIs" dxfId="4167" priority="4064" operator="lessThan">
      <formula>NUMMINCONT</formula>
    </cfRule>
  </conditionalFormatting>
  <conditionalFormatting sqref="T1228:V1233">
    <cfRule type="cellIs" dxfId="4166" priority="4061" stopIfTrue="1" operator="equal">
      <formula>"NO"</formula>
    </cfRule>
    <cfRule type="cellIs" dxfId="4165" priority="4062" stopIfTrue="1" operator="equal">
      <formula>"SI"</formula>
    </cfRule>
  </conditionalFormatting>
  <conditionalFormatting sqref="T1228:V1229">
    <cfRule type="cellIs" dxfId="4164" priority="4060" stopIfTrue="1" operator="equal">
      <formula>"NO APLICA"</formula>
    </cfRule>
  </conditionalFormatting>
  <conditionalFormatting sqref="T1230:U1233">
    <cfRule type="cellIs" dxfId="4163" priority="4059" stopIfTrue="1" operator="equal">
      <formula>"NO APLICA"</formula>
    </cfRule>
  </conditionalFormatting>
  <conditionalFormatting sqref="T1230:U1230">
    <cfRule type="cellIs" dxfId="4162" priority="4058" stopIfTrue="1" operator="equal">
      <formula>"NO APLICA"</formula>
    </cfRule>
  </conditionalFormatting>
  <conditionalFormatting sqref="V1230:V1233">
    <cfRule type="cellIs" dxfId="4161" priority="4057" stopIfTrue="1" operator="equal">
      <formula>"NO APLICA"</formula>
    </cfRule>
  </conditionalFormatting>
  <conditionalFormatting sqref="V1239:W1239">
    <cfRule type="cellIs" dxfId="4160" priority="4055" operator="equal">
      <formula>"CUMPLE"</formula>
    </cfRule>
    <cfRule type="cellIs" dxfId="4159" priority="4056" operator="equal">
      <formula>"NO CUMPLE"</formula>
    </cfRule>
  </conditionalFormatting>
  <conditionalFormatting sqref="V1239:W1241">
    <cfRule type="cellIs" dxfId="4158" priority="4054" operator="equal">
      <formula>"VERIFICAR"</formula>
    </cfRule>
  </conditionalFormatting>
  <conditionalFormatting sqref="T1234:V1234">
    <cfRule type="cellIs" dxfId="4157" priority="4052" stopIfTrue="1" operator="equal">
      <formula>"NO"</formula>
    </cfRule>
    <cfRule type="cellIs" dxfId="4156" priority="4053" stopIfTrue="1" operator="equal">
      <formula>"SI"</formula>
    </cfRule>
  </conditionalFormatting>
  <conditionalFormatting sqref="T1234:U1234">
    <cfRule type="cellIs" dxfId="4155" priority="4051" stopIfTrue="1" operator="equal">
      <formula>"NO APLICA"</formula>
    </cfRule>
  </conditionalFormatting>
  <conditionalFormatting sqref="V1234">
    <cfRule type="cellIs" dxfId="4154" priority="4050" stopIfTrue="1" operator="equal">
      <formula>"NO APLICA"</formula>
    </cfRule>
  </conditionalFormatting>
  <conditionalFormatting sqref="T1244">
    <cfRule type="cellIs" dxfId="4153" priority="4048" operator="equal">
      <formula>"CUMPLE"</formula>
    </cfRule>
    <cfRule type="cellIs" dxfId="4152" priority="4049" operator="equal">
      <formula>"NO CUMPLE"</formula>
    </cfRule>
  </conditionalFormatting>
  <conditionalFormatting sqref="T1244">
    <cfRule type="cellIs" dxfId="4151" priority="4047" operator="equal">
      <formula>"VERIFICAR"</formula>
    </cfRule>
  </conditionalFormatting>
  <conditionalFormatting sqref="Y1242:Y1247">
    <cfRule type="cellIs" dxfId="4150" priority="4046" stopIfTrue="1" operator="equal">
      <formula>"NO APLICA"</formula>
    </cfRule>
  </conditionalFormatting>
  <conditionalFormatting sqref="Y1247">
    <cfRule type="cellIs" dxfId="4149" priority="4045" stopIfTrue="1" operator="equal">
      <formula>"NO APLICA"</formula>
    </cfRule>
  </conditionalFormatting>
  <conditionalFormatting sqref="X1242:Y1247">
    <cfRule type="cellIs" dxfId="4148" priority="4043" stopIfTrue="1" operator="equal">
      <formula>"NO"</formula>
    </cfRule>
    <cfRule type="cellIs" dxfId="4147" priority="4044" stopIfTrue="1" operator="equal">
      <formula>"SI"</formula>
    </cfRule>
  </conditionalFormatting>
  <conditionalFormatting sqref="X1242:X1247">
    <cfRule type="cellIs" dxfId="4146" priority="4042" stopIfTrue="1" operator="equal">
      <formula>"NO APLICA"</formula>
    </cfRule>
  </conditionalFormatting>
  <conditionalFormatting sqref="X1243:X1246">
    <cfRule type="cellIs" dxfId="4145" priority="4041" stopIfTrue="1" operator="equal">
      <formula>"NO APLICA"</formula>
    </cfRule>
  </conditionalFormatting>
  <conditionalFormatting sqref="X1243">
    <cfRule type="cellIs" dxfId="4144" priority="4040" stopIfTrue="1" operator="equal">
      <formula>"NO APLICA"</formula>
    </cfRule>
  </conditionalFormatting>
  <conditionalFormatting sqref="X1247">
    <cfRule type="cellIs" dxfId="4143" priority="4039" stopIfTrue="1" operator="equal">
      <formula>"NO APLICA"</formula>
    </cfRule>
  </conditionalFormatting>
  <conditionalFormatting sqref="X1247">
    <cfRule type="cellIs" dxfId="4142" priority="4038" stopIfTrue="1" operator="equal">
      <formula>"NO APLICA"</formula>
    </cfRule>
  </conditionalFormatting>
  <conditionalFormatting sqref="AA1242:AA1247">
    <cfRule type="cellIs" dxfId="4141" priority="4037" stopIfTrue="1" operator="equal">
      <formula>"NO APLICA"</formula>
    </cfRule>
  </conditionalFormatting>
  <conditionalFormatting sqref="AA1247">
    <cfRule type="cellIs" dxfId="4140" priority="4036" stopIfTrue="1" operator="equal">
      <formula>"NO APLICA"</formula>
    </cfRule>
  </conditionalFormatting>
  <conditionalFormatting sqref="AA1242:AA1247">
    <cfRule type="cellIs" dxfId="4139" priority="4034" stopIfTrue="1" operator="equal">
      <formula>"NO"</formula>
    </cfRule>
    <cfRule type="cellIs" dxfId="4138" priority="4035" stopIfTrue="1" operator="equal">
      <formula>"SI"</formula>
    </cfRule>
  </conditionalFormatting>
  <conditionalFormatting sqref="Y1242:Z1247">
    <cfRule type="cellIs" dxfId="4137" priority="4032" operator="equal">
      <formula>"NO APLICA"</formula>
    </cfRule>
    <cfRule type="cellIs" dxfId="4136" priority="4033" operator="equal">
      <formula>"SI APLICA"</formula>
    </cfRule>
  </conditionalFormatting>
  <conditionalFormatting sqref="AB1242:AB1248">
    <cfRule type="cellIs" dxfId="4135" priority="4030" operator="equal">
      <formula>"NO APLICA"</formula>
    </cfRule>
    <cfRule type="cellIs" dxfId="4134" priority="4031" operator="equal">
      <formula>"SI APLICA"</formula>
    </cfRule>
  </conditionalFormatting>
  <conditionalFormatting sqref="X1248">
    <cfRule type="cellIs" dxfId="4133" priority="4028" operator="equal">
      <formula>"PROPONENTE PLURAL"</formula>
    </cfRule>
    <cfRule type="cellIs" dxfId="4132" priority="4029" operator="equal">
      <formula>"PROPONENTE INDIVIDUAL"</formula>
    </cfRule>
  </conditionalFormatting>
  <conditionalFormatting sqref="Z1248:AA1248 AA1242:AA1247">
    <cfRule type="cellIs" dxfId="4131" priority="4026" operator="equal">
      <formula>"NO APLICA"</formula>
    </cfRule>
    <cfRule type="cellIs" dxfId="4130" priority="4027" operator="equal">
      <formula>"SI APLICA"</formula>
    </cfRule>
  </conditionalFormatting>
  <conditionalFormatting sqref="AB1242:AB1247 Y1242:Z1247">
    <cfRule type="cellIs" dxfId="4129" priority="4025" operator="equal">
      <formula>""</formula>
    </cfRule>
  </conditionalFormatting>
  <conditionalFormatting sqref="H1248">
    <cfRule type="containsText" dxfId="4128" priority="4023" stopIfTrue="1" operator="containsText" text="NO CUMPLE">
      <formula>NOT(ISERROR(SEARCH("NO CUMPLE",H1248)))</formula>
    </cfRule>
    <cfRule type="containsText" dxfId="4127" priority="4024" stopIfTrue="1" operator="containsText" text="CUMPLE">
      <formula>NOT(ISERROR(SEARCH("CUMPLE",H1248)))</formula>
    </cfRule>
  </conditionalFormatting>
  <conditionalFormatting sqref="J1248">
    <cfRule type="containsText" dxfId="4126" priority="4021" stopIfTrue="1" operator="containsText" text="NO CUMPLE">
      <formula>NOT(ISERROR(SEARCH("NO CUMPLE",J1248)))</formula>
    </cfRule>
    <cfRule type="containsText" dxfId="4125" priority="4022" stopIfTrue="1" operator="containsText" text="CUMPLE">
      <formula>NOT(ISERROR(SEARCH("CUMPLE",J1248)))</formula>
    </cfRule>
  </conditionalFormatting>
  <conditionalFormatting sqref="K1248">
    <cfRule type="containsText" dxfId="4124" priority="4019" stopIfTrue="1" operator="containsText" text="NO CUMPLE">
      <formula>NOT(ISERROR(SEARCH("NO CUMPLE",K1248)))</formula>
    </cfRule>
    <cfRule type="containsText" dxfId="4123" priority="4020" stopIfTrue="1" operator="containsText" text="CUMPLE">
      <formula>NOT(ISERROR(SEARCH("CUMPLE",K1248)))</formula>
    </cfRule>
  </conditionalFormatting>
  <conditionalFormatting sqref="L1242:L1247">
    <cfRule type="containsText" dxfId="4122" priority="4017" stopIfTrue="1" operator="containsText" text="NO CUMPLE">
      <formula>NOT(ISERROR(SEARCH("NO CUMPLE",L1242)))</formula>
    </cfRule>
    <cfRule type="containsText" dxfId="4121" priority="4018" stopIfTrue="1" operator="containsText" text="CUMPLE">
      <formula>NOT(ISERROR(SEARCH("CUMPLE",L1242)))</formula>
    </cfRule>
  </conditionalFormatting>
  <conditionalFormatting sqref="O1247">
    <cfRule type="containsText" dxfId="4120" priority="4015" stopIfTrue="1" operator="containsText" text="NO CUMPLE">
      <formula>NOT(ISERROR(SEARCH("NO CUMPLE",O1247)))</formula>
    </cfRule>
    <cfRule type="containsText" dxfId="4119" priority="4016" stopIfTrue="1" operator="containsText" text="CUMPLE">
      <formula>NOT(ISERROR(SEARCH("CUMPLE",O1247)))</formula>
    </cfRule>
  </conditionalFormatting>
  <conditionalFormatting sqref="O1248:S1248">
    <cfRule type="cellIs" dxfId="4118" priority="4014" operator="equal">
      <formula>"EL PROPONENTE SE DEBE REQUERIR POR EXPERIENCIA MINIMA EXIGIDA"</formula>
    </cfRule>
  </conditionalFormatting>
  <conditionalFormatting sqref="X1236">
    <cfRule type="cellIs" dxfId="4117" priority="4011" stopIfTrue="1" operator="equal">
      <formula>"VERIFICAR"</formula>
    </cfRule>
    <cfRule type="cellIs" dxfId="4116" priority="4012" stopIfTrue="1" operator="equal">
      <formula>"NO CUMPLE"</formula>
    </cfRule>
    <cfRule type="cellIs" dxfId="4115" priority="4013" stopIfTrue="1" operator="equal">
      <formula>"CUMPLE"</formula>
    </cfRule>
  </conditionalFormatting>
  <conditionalFormatting sqref="X1225:Y1234 J1225:J1234">
    <cfRule type="cellIs" dxfId="4114" priority="4010" stopIfTrue="1" operator="greaterThan">
      <formula>0</formula>
    </cfRule>
  </conditionalFormatting>
  <conditionalFormatting sqref="X1225:Y1234">
    <cfRule type="cellIs" dxfId="4113" priority="4008" operator="equal">
      <formula>"NO CUMPLE"</formula>
    </cfRule>
    <cfRule type="cellIs" dxfId="4112" priority="4009" operator="equal">
      <formula>"CUMPLE"</formula>
    </cfRule>
  </conditionalFormatting>
  <conditionalFormatting sqref="N1242:N1247">
    <cfRule type="cellIs" dxfId="4111" priority="4006" operator="equal">
      <formula>"NO"</formula>
    </cfRule>
    <cfRule type="cellIs" dxfId="4110" priority="4007" operator="equal">
      <formula>"SI"</formula>
    </cfRule>
  </conditionalFormatting>
  <conditionalFormatting sqref="I1234">
    <cfRule type="cellIs" dxfId="4109" priority="4005" stopIfTrue="1" operator="greaterThan">
      <formula>0</formula>
    </cfRule>
  </conditionalFormatting>
  <conditionalFormatting sqref="K1228:L1234">
    <cfRule type="cellIs" dxfId="4108" priority="4003" operator="equal">
      <formula>0</formula>
    </cfRule>
    <cfRule type="cellIs" dxfId="4107" priority="4004" operator="notBetween">
      <formula>$Q$17</formula>
      <formula>$R$17</formula>
    </cfRule>
  </conditionalFormatting>
  <conditionalFormatting sqref="B1225:B1234">
    <cfRule type="cellIs" dxfId="4106" priority="4002" stopIfTrue="1" operator="greaterThan">
      <formula>0</formula>
    </cfRule>
  </conditionalFormatting>
  <conditionalFormatting sqref="C1225:D1225 D1226:D1227 C1226:C1234">
    <cfRule type="cellIs" dxfId="4105" priority="4001" stopIfTrue="1" operator="greaterThan">
      <formula>0</formula>
    </cfRule>
  </conditionalFormatting>
  <conditionalFormatting sqref="C1225:D1225 F1225:H1227 D1226:D1227 C1226:C1234">
    <cfRule type="cellIs" dxfId="4104" priority="4000" stopIfTrue="1" operator="greaterThan">
      <formula>0</formula>
    </cfRule>
  </conditionalFormatting>
  <conditionalFormatting sqref="T1225:V1227">
    <cfRule type="cellIs" dxfId="4103" priority="3998" stopIfTrue="1" operator="equal">
      <formula>"NO"</formula>
    </cfRule>
    <cfRule type="cellIs" dxfId="4102" priority="3999" stopIfTrue="1" operator="equal">
      <formula>"SI"</formula>
    </cfRule>
  </conditionalFormatting>
  <conditionalFormatting sqref="T1225:V1226">
    <cfRule type="cellIs" dxfId="4101" priority="3997" stopIfTrue="1" operator="equal">
      <formula>"NO APLICA"</formula>
    </cfRule>
  </conditionalFormatting>
  <conditionalFormatting sqref="T1227:V1227">
    <cfRule type="cellIs" dxfId="4100" priority="3996" stopIfTrue="1" operator="equal">
      <formula>"NO APLICA"</formula>
    </cfRule>
  </conditionalFormatting>
  <conditionalFormatting sqref="T1227:V1227">
    <cfRule type="cellIs" dxfId="4099" priority="3995" stopIfTrue="1" operator="equal">
      <formula>"NO APLICA"</formula>
    </cfRule>
  </conditionalFormatting>
  <conditionalFormatting sqref="V1227">
    <cfRule type="cellIs" dxfId="4098" priority="3994" stopIfTrue="1" operator="equal">
      <formula>"NO APLICA"</formula>
    </cfRule>
  </conditionalFormatting>
  <conditionalFormatting sqref="K1225:L1227">
    <cfRule type="cellIs" dxfId="4097" priority="3992" operator="equal">
      <formula>0</formula>
    </cfRule>
    <cfRule type="cellIs" dxfId="4096" priority="3993" operator="notBetween">
      <formula>$Q$17</formula>
      <formula>$R$17</formula>
    </cfRule>
  </conditionalFormatting>
  <conditionalFormatting sqref="F1258:H1263 D1264:H1264 I1258:I1264 C1255:D1255 F1255:I1257 D1256:D1263 C1256:C1264 K1255:O1264">
    <cfRule type="cellIs" dxfId="4095" priority="3991" stopIfTrue="1" operator="greaterThan">
      <formula>0</formula>
    </cfRule>
  </conditionalFormatting>
  <conditionalFormatting sqref="D1258:D1263">
    <cfRule type="cellIs" dxfId="4094" priority="3990" stopIfTrue="1" operator="greaterThan">
      <formula>0</formula>
    </cfRule>
  </conditionalFormatting>
  <conditionalFormatting sqref="D1258:D1263 F1258:H1263">
    <cfRule type="cellIs" dxfId="4093" priority="3989" stopIfTrue="1" operator="greaterThan">
      <formula>0</formula>
    </cfRule>
  </conditionalFormatting>
  <conditionalFormatting sqref="H1255:H1263">
    <cfRule type="cellIs" dxfId="4092" priority="3988" stopIfTrue="1" operator="greaterThan">
      <formula>0</formula>
    </cfRule>
  </conditionalFormatting>
  <conditionalFormatting sqref="E1255:E1263">
    <cfRule type="cellIs" dxfId="4091" priority="3987" stopIfTrue="1" operator="greaterThan">
      <formula>0</formula>
    </cfRule>
  </conditionalFormatting>
  <conditionalFormatting sqref="M1272:M1277 K1272:K1277">
    <cfRule type="containsText" dxfId="4090" priority="3985" stopIfTrue="1" operator="containsText" text="NO CUMPLE">
      <formula>NOT(ISERROR(SEARCH("NO CUMPLE",K1272)))</formula>
    </cfRule>
    <cfRule type="containsText" dxfId="4089" priority="3986" stopIfTrue="1" operator="containsText" text="CUMPLE">
      <formula>NOT(ISERROR(SEARCH("CUMPLE",K1272)))</formula>
    </cfRule>
  </conditionalFormatting>
  <conditionalFormatting sqref="S1271">
    <cfRule type="cellIs" dxfId="4088" priority="3983" operator="greaterThanOrEqual">
      <formula>NUMMINCONT</formula>
    </cfRule>
    <cfRule type="cellIs" dxfId="4087" priority="3984" operator="lessThan">
      <formula>NUMMINCONT</formula>
    </cfRule>
  </conditionalFormatting>
  <conditionalFormatting sqref="T1258:V1263">
    <cfRule type="cellIs" dxfId="4086" priority="3981" stopIfTrue="1" operator="equal">
      <formula>"NO"</formula>
    </cfRule>
    <cfRule type="cellIs" dxfId="4085" priority="3982" stopIfTrue="1" operator="equal">
      <formula>"SI"</formula>
    </cfRule>
  </conditionalFormatting>
  <conditionalFormatting sqref="T1258:V1259">
    <cfRule type="cellIs" dxfId="4084" priority="3980" stopIfTrue="1" operator="equal">
      <formula>"NO APLICA"</formula>
    </cfRule>
  </conditionalFormatting>
  <conditionalFormatting sqref="T1260:U1263">
    <cfRule type="cellIs" dxfId="4083" priority="3979" stopIfTrue="1" operator="equal">
      <formula>"NO APLICA"</formula>
    </cfRule>
  </conditionalFormatting>
  <conditionalFormatting sqref="T1260:U1260">
    <cfRule type="cellIs" dxfId="4082" priority="3978" stopIfTrue="1" operator="equal">
      <formula>"NO APLICA"</formula>
    </cfRule>
  </conditionalFormatting>
  <conditionalFormatting sqref="V1260:V1263">
    <cfRule type="cellIs" dxfId="4081" priority="3977" stopIfTrue="1" operator="equal">
      <formula>"NO APLICA"</formula>
    </cfRule>
  </conditionalFormatting>
  <conditionalFormatting sqref="V1269:W1269">
    <cfRule type="cellIs" dxfId="4080" priority="3975" operator="equal">
      <formula>"CUMPLE"</formula>
    </cfRule>
    <cfRule type="cellIs" dxfId="4079" priority="3976" operator="equal">
      <formula>"NO CUMPLE"</formula>
    </cfRule>
  </conditionalFormatting>
  <conditionalFormatting sqref="V1269:W1271">
    <cfRule type="cellIs" dxfId="4078" priority="3974" operator="equal">
      <formula>"VERIFICAR"</formula>
    </cfRule>
  </conditionalFormatting>
  <conditionalFormatting sqref="T1264:V1264">
    <cfRule type="cellIs" dxfId="4077" priority="3972" stopIfTrue="1" operator="equal">
      <formula>"NO"</formula>
    </cfRule>
    <cfRule type="cellIs" dxfId="4076" priority="3973" stopIfTrue="1" operator="equal">
      <formula>"SI"</formula>
    </cfRule>
  </conditionalFormatting>
  <conditionalFormatting sqref="T1264:U1264">
    <cfRule type="cellIs" dxfId="4075" priority="3971" stopIfTrue="1" operator="equal">
      <formula>"NO APLICA"</formula>
    </cfRule>
  </conditionalFormatting>
  <conditionalFormatting sqref="V1264">
    <cfRule type="cellIs" dxfId="4074" priority="3970" stopIfTrue="1" operator="equal">
      <formula>"NO APLICA"</formula>
    </cfRule>
  </conditionalFormatting>
  <conditionalFormatting sqref="T1274">
    <cfRule type="cellIs" dxfId="4073" priority="3968" operator="equal">
      <formula>"CUMPLE"</formula>
    </cfRule>
    <cfRule type="cellIs" dxfId="4072" priority="3969" operator="equal">
      <formula>"NO CUMPLE"</formula>
    </cfRule>
  </conditionalFormatting>
  <conditionalFormatting sqref="T1274">
    <cfRule type="cellIs" dxfId="4071" priority="3967" operator="equal">
      <formula>"VERIFICAR"</formula>
    </cfRule>
  </conditionalFormatting>
  <conditionalFormatting sqref="Y1272:Y1277">
    <cfRule type="cellIs" dxfId="4070" priority="3966" stopIfTrue="1" operator="equal">
      <formula>"NO APLICA"</formula>
    </cfRule>
  </conditionalFormatting>
  <conditionalFormatting sqref="Y1277">
    <cfRule type="cellIs" dxfId="4069" priority="3965" stopIfTrue="1" operator="equal">
      <formula>"NO APLICA"</formula>
    </cfRule>
  </conditionalFormatting>
  <conditionalFormatting sqref="X1272:Y1277">
    <cfRule type="cellIs" dxfId="4068" priority="3963" stopIfTrue="1" operator="equal">
      <formula>"NO"</formula>
    </cfRule>
    <cfRule type="cellIs" dxfId="4067" priority="3964" stopIfTrue="1" operator="equal">
      <formula>"SI"</formula>
    </cfRule>
  </conditionalFormatting>
  <conditionalFormatting sqref="X1272:X1277">
    <cfRule type="cellIs" dxfId="4066" priority="3962" stopIfTrue="1" operator="equal">
      <formula>"NO APLICA"</formula>
    </cfRule>
  </conditionalFormatting>
  <conditionalFormatting sqref="X1273:X1276">
    <cfRule type="cellIs" dxfId="4065" priority="3961" stopIfTrue="1" operator="equal">
      <formula>"NO APLICA"</formula>
    </cfRule>
  </conditionalFormatting>
  <conditionalFormatting sqref="X1273">
    <cfRule type="cellIs" dxfId="4064" priority="3960" stopIfTrue="1" operator="equal">
      <formula>"NO APLICA"</formula>
    </cfRule>
  </conditionalFormatting>
  <conditionalFormatting sqref="X1277">
    <cfRule type="cellIs" dxfId="4063" priority="3959" stopIfTrue="1" operator="equal">
      <formula>"NO APLICA"</formula>
    </cfRule>
  </conditionalFormatting>
  <conditionalFormatting sqref="X1277">
    <cfRule type="cellIs" dxfId="4062" priority="3958" stopIfTrue="1" operator="equal">
      <formula>"NO APLICA"</formula>
    </cfRule>
  </conditionalFormatting>
  <conditionalFormatting sqref="AA1272:AA1277">
    <cfRule type="cellIs" dxfId="4061" priority="3957" stopIfTrue="1" operator="equal">
      <formula>"NO APLICA"</formula>
    </cfRule>
  </conditionalFormatting>
  <conditionalFormatting sqref="AA1277">
    <cfRule type="cellIs" dxfId="4060" priority="3956" stopIfTrue="1" operator="equal">
      <formula>"NO APLICA"</formula>
    </cfRule>
  </conditionalFormatting>
  <conditionalFormatting sqref="AA1272:AA1277">
    <cfRule type="cellIs" dxfId="4059" priority="3954" stopIfTrue="1" operator="equal">
      <formula>"NO"</formula>
    </cfRule>
    <cfRule type="cellIs" dxfId="4058" priority="3955" stopIfTrue="1" operator="equal">
      <formula>"SI"</formula>
    </cfRule>
  </conditionalFormatting>
  <conditionalFormatting sqref="Y1272:Z1277">
    <cfRule type="cellIs" dxfId="4057" priority="3952" operator="equal">
      <formula>"NO APLICA"</formula>
    </cfRule>
    <cfRule type="cellIs" dxfId="4056" priority="3953" operator="equal">
      <formula>"SI APLICA"</formula>
    </cfRule>
  </conditionalFormatting>
  <conditionalFormatting sqref="AB1272:AB1278">
    <cfRule type="cellIs" dxfId="4055" priority="3950" operator="equal">
      <formula>"NO APLICA"</formula>
    </cfRule>
    <cfRule type="cellIs" dxfId="4054" priority="3951" operator="equal">
      <formula>"SI APLICA"</formula>
    </cfRule>
  </conditionalFormatting>
  <conditionalFormatting sqref="X1278">
    <cfRule type="cellIs" dxfId="4053" priority="3948" operator="equal">
      <formula>"PROPONENTE PLURAL"</formula>
    </cfRule>
    <cfRule type="cellIs" dxfId="4052" priority="3949" operator="equal">
      <formula>"PROPONENTE INDIVIDUAL"</formula>
    </cfRule>
  </conditionalFormatting>
  <conditionalFormatting sqref="Z1278:AA1278 AA1272:AA1277">
    <cfRule type="cellIs" dxfId="4051" priority="3946" operator="equal">
      <formula>"NO APLICA"</formula>
    </cfRule>
    <cfRule type="cellIs" dxfId="4050" priority="3947" operator="equal">
      <formula>"SI APLICA"</formula>
    </cfRule>
  </conditionalFormatting>
  <conditionalFormatting sqref="AB1272:AB1277 Y1272:Z1277">
    <cfRule type="cellIs" dxfId="4049" priority="3945" operator="equal">
      <formula>""</formula>
    </cfRule>
  </conditionalFormatting>
  <conditionalFormatting sqref="H1278">
    <cfRule type="containsText" dxfId="4048" priority="3943" stopIfTrue="1" operator="containsText" text="NO CUMPLE">
      <formula>NOT(ISERROR(SEARCH("NO CUMPLE",H1278)))</formula>
    </cfRule>
    <cfRule type="containsText" dxfId="4047" priority="3944" stopIfTrue="1" operator="containsText" text="CUMPLE">
      <formula>NOT(ISERROR(SEARCH("CUMPLE",H1278)))</formula>
    </cfRule>
  </conditionalFormatting>
  <conditionalFormatting sqref="J1278">
    <cfRule type="containsText" dxfId="4046" priority="3941" stopIfTrue="1" operator="containsText" text="NO CUMPLE">
      <formula>NOT(ISERROR(SEARCH("NO CUMPLE",J1278)))</formula>
    </cfRule>
    <cfRule type="containsText" dxfId="4045" priority="3942" stopIfTrue="1" operator="containsText" text="CUMPLE">
      <formula>NOT(ISERROR(SEARCH("CUMPLE",J1278)))</formula>
    </cfRule>
  </conditionalFormatting>
  <conditionalFormatting sqref="K1278">
    <cfRule type="containsText" dxfId="4044" priority="3939" stopIfTrue="1" operator="containsText" text="NO CUMPLE">
      <formula>NOT(ISERROR(SEARCH("NO CUMPLE",K1278)))</formula>
    </cfRule>
    <cfRule type="containsText" dxfId="4043" priority="3940" stopIfTrue="1" operator="containsText" text="CUMPLE">
      <formula>NOT(ISERROR(SEARCH("CUMPLE",K1278)))</formula>
    </cfRule>
  </conditionalFormatting>
  <conditionalFormatting sqref="L1272:L1277">
    <cfRule type="containsText" dxfId="4042" priority="3937" stopIfTrue="1" operator="containsText" text="NO CUMPLE">
      <formula>NOT(ISERROR(SEARCH("NO CUMPLE",L1272)))</formula>
    </cfRule>
    <cfRule type="containsText" dxfId="4041" priority="3938" stopIfTrue="1" operator="containsText" text="CUMPLE">
      <formula>NOT(ISERROR(SEARCH("CUMPLE",L1272)))</formula>
    </cfRule>
  </conditionalFormatting>
  <conditionalFormatting sqref="O1277">
    <cfRule type="containsText" dxfId="4040" priority="3935" stopIfTrue="1" operator="containsText" text="NO CUMPLE">
      <formula>NOT(ISERROR(SEARCH("NO CUMPLE",O1277)))</formula>
    </cfRule>
    <cfRule type="containsText" dxfId="4039" priority="3936" stopIfTrue="1" operator="containsText" text="CUMPLE">
      <formula>NOT(ISERROR(SEARCH("CUMPLE",O1277)))</formula>
    </cfRule>
  </conditionalFormatting>
  <conditionalFormatting sqref="O1278:S1278">
    <cfRule type="cellIs" dxfId="4038" priority="3934" operator="equal">
      <formula>"EL PROPONENTE SE DEBE REQUERIR POR EXPERIENCIA MINIMA EXIGIDA"</formula>
    </cfRule>
  </conditionalFormatting>
  <conditionalFormatting sqref="X1266">
    <cfRule type="cellIs" dxfId="4037" priority="3931" stopIfTrue="1" operator="equal">
      <formula>"VERIFICAR"</formula>
    </cfRule>
    <cfRule type="cellIs" dxfId="4036" priority="3932" stopIfTrue="1" operator="equal">
      <formula>"NO CUMPLE"</formula>
    </cfRule>
    <cfRule type="cellIs" dxfId="4035" priority="3933" stopIfTrue="1" operator="equal">
      <formula>"CUMPLE"</formula>
    </cfRule>
  </conditionalFormatting>
  <conditionalFormatting sqref="X1255:Y1264 J1255:J1264">
    <cfRule type="cellIs" dxfId="4034" priority="3930" stopIfTrue="1" operator="greaterThan">
      <formula>0</formula>
    </cfRule>
  </conditionalFormatting>
  <conditionalFormatting sqref="X1255:Y1264">
    <cfRule type="cellIs" dxfId="4033" priority="3928" operator="equal">
      <formula>"NO CUMPLE"</formula>
    </cfRule>
    <cfRule type="cellIs" dxfId="4032" priority="3929" operator="equal">
      <formula>"CUMPLE"</formula>
    </cfRule>
  </conditionalFormatting>
  <conditionalFormatting sqref="N1272:N1277">
    <cfRule type="cellIs" dxfId="4031" priority="3926" operator="equal">
      <formula>"NO"</formula>
    </cfRule>
    <cfRule type="cellIs" dxfId="4030" priority="3927" operator="equal">
      <formula>"SI"</formula>
    </cfRule>
  </conditionalFormatting>
  <conditionalFormatting sqref="I1264">
    <cfRule type="cellIs" dxfId="4029" priority="3925" stopIfTrue="1" operator="greaterThan">
      <formula>0</formula>
    </cfRule>
  </conditionalFormatting>
  <conditionalFormatting sqref="K1258:L1264">
    <cfRule type="cellIs" dxfId="4028" priority="3923" operator="equal">
      <formula>0</formula>
    </cfRule>
    <cfRule type="cellIs" dxfId="4027" priority="3924" operator="notBetween">
      <formula>$Q$17</formula>
      <formula>$R$17</formula>
    </cfRule>
  </conditionalFormatting>
  <conditionalFormatting sqref="B1255:B1264">
    <cfRule type="cellIs" dxfId="4026" priority="3922" stopIfTrue="1" operator="greaterThan">
      <formula>0</formula>
    </cfRule>
  </conditionalFormatting>
  <conditionalFormatting sqref="C1255:D1255 D1256:D1257 C1256:C1264">
    <cfRule type="cellIs" dxfId="4025" priority="3921" stopIfTrue="1" operator="greaterThan">
      <formula>0</formula>
    </cfRule>
  </conditionalFormatting>
  <conditionalFormatting sqref="C1255:D1255 F1255:H1257 D1256:D1257 C1256:C1264">
    <cfRule type="cellIs" dxfId="4024" priority="3920" stopIfTrue="1" operator="greaterThan">
      <formula>0</formula>
    </cfRule>
  </conditionalFormatting>
  <conditionalFormatting sqref="T1255:V1257">
    <cfRule type="cellIs" dxfId="4023" priority="3918" stopIfTrue="1" operator="equal">
      <formula>"NO"</formula>
    </cfRule>
    <cfRule type="cellIs" dxfId="4022" priority="3919" stopIfTrue="1" operator="equal">
      <formula>"SI"</formula>
    </cfRule>
  </conditionalFormatting>
  <conditionalFormatting sqref="T1255:V1256">
    <cfRule type="cellIs" dxfId="4021" priority="3917" stopIfTrue="1" operator="equal">
      <formula>"NO APLICA"</formula>
    </cfRule>
  </conditionalFormatting>
  <conditionalFormatting sqref="T1257:U1257">
    <cfRule type="cellIs" dxfId="4020" priority="3916" stopIfTrue="1" operator="equal">
      <formula>"NO APLICA"</formula>
    </cfRule>
  </conditionalFormatting>
  <conditionalFormatting sqref="T1257:U1257">
    <cfRule type="cellIs" dxfId="4019" priority="3915" stopIfTrue="1" operator="equal">
      <formula>"NO APLICA"</formula>
    </cfRule>
  </conditionalFormatting>
  <conditionalFormatting sqref="V1257">
    <cfRule type="cellIs" dxfId="4018" priority="3914" stopIfTrue="1" operator="equal">
      <formula>"NO APLICA"</formula>
    </cfRule>
  </conditionalFormatting>
  <conditionalFormatting sqref="K1255:L1257">
    <cfRule type="cellIs" dxfId="4017" priority="3912" operator="equal">
      <formula>0</formula>
    </cfRule>
    <cfRule type="cellIs" dxfId="4016" priority="3913" operator="notBetween">
      <formula>$Q$17</formula>
      <formula>$R$17</formula>
    </cfRule>
  </conditionalFormatting>
  <conditionalFormatting sqref="F1288:H1293 D1294:H1294 I1288:I1294 C1285:D1285 K1285:O1294 F1285:I1287 D1286:D1293 C1286:C1294">
    <cfRule type="cellIs" dxfId="4015" priority="3911" stopIfTrue="1" operator="greaterThan">
      <formula>0</formula>
    </cfRule>
  </conditionalFormatting>
  <conditionalFormatting sqref="D1288:D1293">
    <cfRule type="cellIs" dxfId="4014" priority="3910" stopIfTrue="1" operator="greaterThan">
      <formula>0</formula>
    </cfRule>
  </conditionalFormatting>
  <conditionalFormatting sqref="D1288:D1293 F1288:H1293">
    <cfRule type="cellIs" dxfId="4013" priority="3909" stopIfTrue="1" operator="greaterThan">
      <formula>0</formula>
    </cfRule>
  </conditionalFormatting>
  <conditionalFormatting sqref="H1285:H1293">
    <cfRule type="cellIs" dxfId="4012" priority="3908" stopIfTrue="1" operator="greaterThan">
      <formula>0</formula>
    </cfRule>
  </conditionalFormatting>
  <conditionalFormatting sqref="E1285:E1293">
    <cfRule type="cellIs" dxfId="4011" priority="3907" stopIfTrue="1" operator="greaterThan">
      <formula>0</formula>
    </cfRule>
  </conditionalFormatting>
  <conditionalFormatting sqref="M1302:M1307 K1302:K1307">
    <cfRule type="containsText" dxfId="4010" priority="3905" stopIfTrue="1" operator="containsText" text="NO CUMPLE">
      <formula>NOT(ISERROR(SEARCH("NO CUMPLE",K1302)))</formula>
    </cfRule>
    <cfRule type="containsText" dxfId="4009" priority="3906" stopIfTrue="1" operator="containsText" text="CUMPLE">
      <formula>NOT(ISERROR(SEARCH("CUMPLE",K1302)))</formula>
    </cfRule>
  </conditionalFormatting>
  <conditionalFormatting sqref="S1301">
    <cfRule type="cellIs" dxfId="4008" priority="3903" operator="greaterThanOrEqual">
      <formula>NUMMINCONT</formula>
    </cfRule>
    <cfRule type="cellIs" dxfId="4007" priority="3904" operator="lessThan">
      <formula>NUMMINCONT</formula>
    </cfRule>
  </conditionalFormatting>
  <conditionalFormatting sqref="T1290:V1293 U1288:U1289">
    <cfRule type="cellIs" dxfId="4006" priority="3901" stopIfTrue="1" operator="equal">
      <formula>"NO"</formula>
    </cfRule>
    <cfRule type="cellIs" dxfId="4005" priority="3902" stopIfTrue="1" operator="equal">
      <formula>"SI"</formula>
    </cfRule>
  </conditionalFormatting>
  <conditionalFormatting sqref="U1288:U1289">
    <cfRule type="cellIs" dxfId="4004" priority="3900" stopIfTrue="1" operator="equal">
      <formula>"NO APLICA"</formula>
    </cfRule>
  </conditionalFormatting>
  <conditionalFormatting sqref="T1290:U1293">
    <cfRule type="cellIs" dxfId="4003" priority="3899" stopIfTrue="1" operator="equal">
      <formula>"NO APLICA"</formula>
    </cfRule>
  </conditionalFormatting>
  <conditionalFormatting sqref="T1290:U1290">
    <cfRule type="cellIs" dxfId="4002" priority="3898" stopIfTrue="1" operator="equal">
      <formula>"NO APLICA"</formula>
    </cfRule>
  </conditionalFormatting>
  <conditionalFormatting sqref="V1290:V1293">
    <cfRule type="cellIs" dxfId="4001" priority="3897" stopIfTrue="1" operator="equal">
      <formula>"NO APLICA"</formula>
    </cfRule>
  </conditionalFormatting>
  <conditionalFormatting sqref="V1299:W1299">
    <cfRule type="cellIs" dxfId="4000" priority="3895" operator="equal">
      <formula>"CUMPLE"</formula>
    </cfRule>
    <cfRule type="cellIs" dxfId="3999" priority="3896" operator="equal">
      <formula>"NO CUMPLE"</formula>
    </cfRule>
  </conditionalFormatting>
  <conditionalFormatting sqref="V1299:W1301">
    <cfRule type="cellIs" dxfId="3998" priority="3894" operator="equal">
      <formula>"VERIFICAR"</formula>
    </cfRule>
  </conditionalFormatting>
  <conditionalFormatting sqref="T1294:V1294">
    <cfRule type="cellIs" dxfId="3997" priority="3892" stopIfTrue="1" operator="equal">
      <formula>"NO"</formula>
    </cfRule>
    <cfRule type="cellIs" dxfId="3996" priority="3893" stopIfTrue="1" operator="equal">
      <formula>"SI"</formula>
    </cfRule>
  </conditionalFormatting>
  <conditionalFormatting sqref="T1294:U1294">
    <cfRule type="cellIs" dxfId="3995" priority="3891" stopIfTrue="1" operator="equal">
      <formula>"NO APLICA"</formula>
    </cfRule>
  </conditionalFormatting>
  <conditionalFormatting sqref="V1294">
    <cfRule type="cellIs" dxfId="3994" priority="3890" stopIfTrue="1" operator="equal">
      <formula>"NO APLICA"</formula>
    </cfRule>
  </conditionalFormatting>
  <conditionalFormatting sqref="T1304">
    <cfRule type="cellIs" dxfId="3993" priority="3888" operator="equal">
      <formula>"CUMPLE"</formula>
    </cfRule>
    <cfRule type="cellIs" dxfId="3992" priority="3889" operator="equal">
      <formula>"NO CUMPLE"</formula>
    </cfRule>
  </conditionalFormatting>
  <conditionalFormatting sqref="T1304">
    <cfRule type="cellIs" dxfId="3991" priority="3887" operator="equal">
      <formula>"VERIFICAR"</formula>
    </cfRule>
  </conditionalFormatting>
  <conditionalFormatting sqref="Y1302:Y1307">
    <cfRule type="cellIs" dxfId="3990" priority="3886" stopIfTrue="1" operator="equal">
      <formula>"NO APLICA"</formula>
    </cfRule>
  </conditionalFormatting>
  <conditionalFormatting sqref="Y1307">
    <cfRule type="cellIs" dxfId="3989" priority="3885" stopIfTrue="1" operator="equal">
      <formula>"NO APLICA"</formula>
    </cfRule>
  </conditionalFormatting>
  <conditionalFormatting sqref="X1302:Y1307">
    <cfRule type="cellIs" dxfId="3988" priority="3883" stopIfTrue="1" operator="equal">
      <formula>"NO"</formula>
    </cfRule>
    <cfRule type="cellIs" dxfId="3987" priority="3884" stopIfTrue="1" operator="equal">
      <formula>"SI"</formula>
    </cfRule>
  </conditionalFormatting>
  <conditionalFormatting sqref="X1302:X1307">
    <cfRule type="cellIs" dxfId="3986" priority="3882" stopIfTrue="1" operator="equal">
      <formula>"NO APLICA"</formula>
    </cfRule>
  </conditionalFormatting>
  <conditionalFormatting sqref="X1303:X1306">
    <cfRule type="cellIs" dxfId="3985" priority="3881" stopIfTrue="1" operator="equal">
      <formula>"NO APLICA"</formula>
    </cfRule>
  </conditionalFormatting>
  <conditionalFormatting sqref="X1303">
    <cfRule type="cellIs" dxfId="3984" priority="3880" stopIfTrue="1" operator="equal">
      <formula>"NO APLICA"</formula>
    </cfRule>
  </conditionalFormatting>
  <conditionalFormatting sqref="X1307">
    <cfRule type="cellIs" dxfId="3983" priority="3879" stopIfTrue="1" operator="equal">
      <formula>"NO APLICA"</formula>
    </cfRule>
  </conditionalFormatting>
  <conditionalFormatting sqref="X1307">
    <cfRule type="cellIs" dxfId="3982" priority="3878" stopIfTrue="1" operator="equal">
      <formula>"NO APLICA"</formula>
    </cfRule>
  </conditionalFormatting>
  <conditionalFormatting sqref="AA1302:AA1307">
    <cfRule type="cellIs" dxfId="3981" priority="3877" stopIfTrue="1" operator="equal">
      <formula>"NO APLICA"</formula>
    </cfRule>
  </conditionalFormatting>
  <conditionalFormatting sqref="AA1307">
    <cfRule type="cellIs" dxfId="3980" priority="3876" stopIfTrue="1" operator="equal">
      <formula>"NO APLICA"</formula>
    </cfRule>
  </conditionalFormatting>
  <conditionalFormatting sqref="AA1302:AA1307">
    <cfRule type="cellIs" dxfId="3979" priority="3874" stopIfTrue="1" operator="equal">
      <formula>"NO"</formula>
    </cfRule>
    <cfRule type="cellIs" dxfId="3978" priority="3875" stopIfTrue="1" operator="equal">
      <formula>"SI"</formula>
    </cfRule>
  </conditionalFormatting>
  <conditionalFormatting sqref="Y1302:Z1307">
    <cfRule type="cellIs" dxfId="3977" priority="3872" operator="equal">
      <formula>"NO APLICA"</formula>
    </cfRule>
    <cfRule type="cellIs" dxfId="3976" priority="3873" operator="equal">
      <formula>"SI APLICA"</formula>
    </cfRule>
  </conditionalFormatting>
  <conditionalFormatting sqref="AB1302:AB1308">
    <cfRule type="cellIs" dxfId="3975" priority="3870" operator="equal">
      <formula>"NO APLICA"</formula>
    </cfRule>
    <cfRule type="cellIs" dxfId="3974" priority="3871" operator="equal">
      <formula>"SI APLICA"</formula>
    </cfRule>
  </conditionalFormatting>
  <conditionalFormatting sqref="X1308">
    <cfRule type="cellIs" dxfId="3973" priority="3868" operator="equal">
      <formula>"PROPONENTE PLURAL"</formula>
    </cfRule>
    <cfRule type="cellIs" dxfId="3972" priority="3869" operator="equal">
      <formula>"PROPONENTE INDIVIDUAL"</formula>
    </cfRule>
  </conditionalFormatting>
  <conditionalFormatting sqref="Z1308:AA1308 AA1302:AA1307">
    <cfRule type="cellIs" dxfId="3971" priority="3866" operator="equal">
      <formula>"NO APLICA"</formula>
    </cfRule>
    <cfRule type="cellIs" dxfId="3970" priority="3867" operator="equal">
      <formula>"SI APLICA"</formula>
    </cfRule>
  </conditionalFormatting>
  <conditionalFormatting sqref="AB1302:AB1307 Y1302:Z1307">
    <cfRule type="cellIs" dxfId="3969" priority="3865" operator="equal">
      <formula>""</formula>
    </cfRule>
  </conditionalFormatting>
  <conditionalFormatting sqref="H1308">
    <cfRule type="containsText" dxfId="3968" priority="3863" stopIfTrue="1" operator="containsText" text="NO CUMPLE">
      <formula>NOT(ISERROR(SEARCH("NO CUMPLE",H1308)))</formula>
    </cfRule>
    <cfRule type="containsText" dxfId="3967" priority="3864" stopIfTrue="1" operator="containsText" text="CUMPLE">
      <formula>NOT(ISERROR(SEARCH("CUMPLE",H1308)))</formula>
    </cfRule>
  </conditionalFormatting>
  <conditionalFormatting sqref="J1308">
    <cfRule type="containsText" dxfId="3966" priority="3861" stopIfTrue="1" operator="containsText" text="NO CUMPLE">
      <formula>NOT(ISERROR(SEARCH("NO CUMPLE",J1308)))</formula>
    </cfRule>
    <cfRule type="containsText" dxfId="3965" priority="3862" stopIfTrue="1" operator="containsText" text="CUMPLE">
      <formula>NOT(ISERROR(SEARCH("CUMPLE",J1308)))</formula>
    </cfRule>
  </conditionalFormatting>
  <conditionalFormatting sqref="K1308">
    <cfRule type="containsText" dxfId="3964" priority="3859" stopIfTrue="1" operator="containsText" text="NO CUMPLE">
      <formula>NOT(ISERROR(SEARCH("NO CUMPLE",K1308)))</formula>
    </cfRule>
    <cfRule type="containsText" dxfId="3963" priority="3860" stopIfTrue="1" operator="containsText" text="CUMPLE">
      <formula>NOT(ISERROR(SEARCH("CUMPLE",K1308)))</formula>
    </cfRule>
  </conditionalFormatting>
  <conditionalFormatting sqref="L1302:L1307">
    <cfRule type="containsText" dxfId="3962" priority="3857" stopIfTrue="1" operator="containsText" text="NO CUMPLE">
      <formula>NOT(ISERROR(SEARCH("NO CUMPLE",L1302)))</formula>
    </cfRule>
    <cfRule type="containsText" dxfId="3961" priority="3858" stopIfTrue="1" operator="containsText" text="CUMPLE">
      <formula>NOT(ISERROR(SEARCH("CUMPLE",L1302)))</formula>
    </cfRule>
  </conditionalFormatting>
  <conditionalFormatting sqref="O1307">
    <cfRule type="containsText" dxfId="3960" priority="3855" stopIfTrue="1" operator="containsText" text="NO CUMPLE">
      <formula>NOT(ISERROR(SEARCH("NO CUMPLE",O1307)))</formula>
    </cfRule>
    <cfRule type="containsText" dxfId="3959" priority="3856" stopIfTrue="1" operator="containsText" text="CUMPLE">
      <formula>NOT(ISERROR(SEARCH("CUMPLE",O1307)))</formula>
    </cfRule>
  </conditionalFormatting>
  <conditionalFormatting sqref="O1308:S1308">
    <cfRule type="cellIs" dxfId="3958" priority="3854" operator="equal">
      <formula>"EL PROPONENTE SE DEBE REQUERIR POR EXPERIENCIA MINIMA EXIGIDA"</formula>
    </cfRule>
  </conditionalFormatting>
  <conditionalFormatting sqref="X1296">
    <cfRule type="cellIs" dxfId="3957" priority="3851" stopIfTrue="1" operator="equal">
      <formula>"VERIFICAR"</formula>
    </cfRule>
    <cfRule type="cellIs" dxfId="3956" priority="3852" stopIfTrue="1" operator="equal">
      <formula>"NO CUMPLE"</formula>
    </cfRule>
    <cfRule type="cellIs" dxfId="3955" priority="3853" stopIfTrue="1" operator="equal">
      <formula>"CUMPLE"</formula>
    </cfRule>
  </conditionalFormatting>
  <conditionalFormatting sqref="X1285:Y1294 J1285:J1294">
    <cfRule type="cellIs" dxfId="3954" priority="3850" stopIfTrue="1" operator="greaterThan">
      <formula>0</formula>
    </cfRule>
  </conditionalFormatting>
  <conditionalFormatting sqref="X1285:Y1294">
    <cfRule type="cellIs" dxfId="3953" priority="3848" operator="equal">
      <formula>"NO CUMPLE"</formula>
    </cfRule>
    <cfRule type="cellIs" dxfId="3952" priority="3849" operator="equal">
      <formula>"CUMPLE"</formula>
    </cfRule>
  </conditionalFormatting>
  <conditionalFormatting sqref="N1302:N1307">
    <cfRule type="cellIs" dxfId="3951" priority="3846" operator="equal">
      <formula>"NO"</formula>
    </cfRule>
    <cfRule type="cellIs" dxfId="3950" priority="3847" operator="equal">
      <formula>"SI"</formula>
    </cfRule>
  </conditionalFormatting>
  <conditionalFormatting sqref="I1294">
    <cfRule type="cellIs" dxfId="3949" priority="3845" stopIfTrue="1" operator="greaterThan">
      <formula>0</formula>
    </cfRule>
  </conditionalFormatting>
  <conditionalFormatting sqref="K1288:L1294">
    <cfRule type="cellIs" dxfId="3948" priority="3843" operator="equal">
      <formula>0</formula>
    </cfRule>
    <cfRule type="cellIs" dxfId="3947" priority="3844" operator="notBetween">
      <formula>$Q$17</formula>
      <formula>$R$17</formula>
    </cfRule>
  </conditionalFormatting>
  <conditionalFormatting sqref="B1285:B1294">
    <cfRule type="cellIs" dxfId="3946" priority="3842" stopIfTrue="1" operator="greaterThan">
      <formula>0</formula>
    </cfRule>
  </conditionalFormatting>
  <conditionalFormatting sqref="C1285:D1285 D1286:D1287 C1286:C1294">
    <cfRule type="cellIs" dxfId="3945" priority="3841" stopIfTrue="1" operator="greaterThan">
      <formula>0</formula>
    </cfRule>
  </conditionalFormatting>
  <conditionalFormatting sqref="C1285:D1285 F1285:H1287 D1286:D1287 C1286:C1294">
    <cfRule type="cellIs" dxfId="3944" priority="3840" stopIfTrue="1" operator="greaterThan">
      <formula>0</formula>
    </cfRule>
  </conditionalFormatting>
  <conditionalFormatting sqref="T1285:V1287">
    <cfRule type="cellIs" dxfId="3943" priority="3838" stopIfTrue="1" operator="equal">
      <formula>"NO"</formula>
    </cfRule>
    <cfRule type="cellIs" dxfId="3942" priority="3839" stopIfTrue="1" operator="equal">
      <formula>"SI"</formula>
    </cfRule>
  </conditionalFormatting>
  <conditionalFormatting sqref="T1285:V1286">
    <cfRule type="cellIs" dxfId="3941" priority="3837" stopIfTrue="1" operator="equal">
      <formula>"NO APLICA"</formula>
    </cfRule>
  </conditionalFormatting>
  <conditionalFormatting sqref="T1287:U1287">
    <cfRule type="cellIs" dxfId="3940" priority="3836" stopIfTrue="1" operator="equal">
      <formula>"NO APLICA"</formula>
    </cfRule>
  </conditionalFormatting>
  <conditionalFormatting sqref="T1287:U1287">
    <cfRule type="cellIs" dxfId="3939" priority="3835" stopIfTrue="1" operator="equal">
      <formula>"NO APLICA"</formula>
    </cfRule>
  </conditionalFormatting>
  <conditionalFormatting sqref="V1287">
    <cfRule type="cellIs" dxfId="3938" priority="3834" stopIfTrue="1" operator="equal">
      <formula>"NO APLICA"</formula>
    </cfRule>
  </conditionalFormatting>
  <conditionalFormatting sqref="K1285:L1287">
    <cfRule type="cellIs" dxfId="3937" priority="3832" operator="equal">
      <formula>0</formula>
    </cfRule>
    <cfRule type="cellIs" dxfId="3936" priority="3833" operator="notBetween">
      <formula>$Q$17</formula>
      <formula>$R$17</formula>
    </cfRule>
  </conditionalFormatting>
  <conditionalFormatting sqref="F1318:H1323 D1324:H1324 I1318:I1324 C1315:D1315 K1315:O1324 F1315:I1317 D1316:D1323 C1316:C1324">
    <cfRule type="cellIs" dxfId="3935" priority="3831" stopIfTrue="1" operator="greaterThan">
      <formula>0</formula>
    </cfRule>
  </conditionalFormatting>
  <conditionalFormatting sqref="D1318:D1323">
    <cfRule type="cellIs" dxfId="3934" priority="3830" stopIfTrue="1" operator="greaterThan">
      <formula>0</formula>
    </cfRule>
  </conditionalFormatting>
  <conditionalFormatting sqref="D1318:D1323 F1318:H1323">
    <cfRule type="cellIs" dxfId="3933" priority="3829" stopIfTrue="1" operator="greaterThan">
      <formula>0</formula>
    </cfRule>
  </conditionalFormatting>
  <conditionalFormatting sqref="H1315:H1323">
    <cfRule type="cellIs" dxfId="3932" priority="3828" stopIfTrue="1" operator="greaterThan">
      <formula>0</formula>
    </cfRule>
  </conditionalFormatting>
  <conditionalFormatting sqref="E1315:E1323">
    <cfRule type="cellIs" dxfId="3931" priority="3827" stopIfTrue="1" operator="greaterThan">
      <formula>0</formula>
    </cfRule>
  </conditionalFormatting>
  <conditionalFormatting sqref="M1332:M1337 K1332:K1337">
    <cfRule type="containsText" dxfId="3930" priority="3825" stopIfTrue="1" operator="containsText" text="NO CUMPLE">
      <formula>NOT(ISERROR(SEARCH("NO CUMPLE",K1332)))</formula>
    </cfRule>
    <cfRule type="containsText" dxfId="3929" priority="3826" stopIfTrue="1" operator="containsText" text="CUMPLE">
      <formula>NOT(ISERROR(SEARCH("CUMPLE",K1332)))</formula>
    </cfRule>
  </conditionalFormatting>
  <conditionalFormatting sqref="S1331">
    <cfRule type="cellIs" dxfId="3928" priority="3823" operator="greaterThanOrEqual">
      <formula>NUMMINCONT</formula>
    </cfRule>
    <cfRule type="cellIs" dxfId="3927" priority="3824" operator="lessThan">
      <formula>NUMMINCONT</formula>
    </cfRule>
  </conditionalFormatting>
  <conditionalFormatting sqref="T1318:V1323">
    <cfRule type="cellIs" dxfId="3926" priority="3821" stopIfTrue="1" operator="equal">
      <formula>"NO"</formula>
    </cfRule>
    <cfRule type="cellIs" dxfId="3925" priority="3822" stopIfTrue="1" operator="equal">
      <formula>"SI"</formula>
    </cfRule>
  </conditionalFormatting>
  <conditionalFormatting sqref="T1318:V1319">
    <cfRule type="cellIs" dxfId="3924" priority="3820" stopIfTrue="1" operator="equal">
      <formula>"NO APLICA"</formula>
    </cfRule>
  </conditionalFormatting>
  <conditionalFormatting sqref="T1320:U1323">
    <cfRule type="cellIs" dxfId="3923" priority="3819" stopIfTrue="1" operator="equal">
      <formula>"NO APLICA"</formula>
    </cfRule>
  </conditionalFormatting>
  <conditionalFormatting sqref="T1320:U1320">
    <cfRule type="cellIs" dxfId="3922" priority="3818" stopIfTrue="1" operator="equal">
      <formula>"NO APLICA"</formula>
    </cfRule>
  </conditionalFormatting>
  <conditionalFormatting sqref="V1320:V1323">
    <cfRule type="cellIs" dxfId="3921" priority="3817" stopIfTrue="1" operator="equal">
      <formula>"NO APLICA"</formula>
    </cfRule>
  </conditionalFormatting>
  <conditionalFormatting sqref="V1329:W1329">
    <cfRule type="cellIs" dxfId="3920" priority="3815" operator="equal">
      <formula>"CUMPLE"</formula>
    </cfRule>
    <cfRule type="cellIs" dxfId="3919" priority="3816" operator="equal">
      <formula>"NO CUMPLE"</formula>
    </cfRule>
  </conditionalFormatting>
  <conditionalFormatting sqref="V1329:W1331">
    <cfRule type="cellIs" dxfId="3918" priority="3814" operator="equal">
      <formula>"VERIFICAR"</formula>
    </cfRule>
  </conditionalFormatting>
  <conditionalFormatting sqref="T1324:V1324">
    <cfRule type="cellIs" dxfId="3917" priority="3812" stopIfTrue="1" operator="equal">
      <formula>"NO"</formula>
    </cfRule>
    <cfRule type="cellIs" dxfId="3916" priority="3813" stopIfTrue="1" operator="equal">
      <formula>"SI"</formula>
    </cfRule>
  </conditionalFormatting>
  <conditionalFormatting sqref="T1324:U1324">
    <cfRule type="cellIs" dxfId="3915" priority="3811" stopIfTrue="1" operator="equal">
      <formula>"NO APLICA"</formula>
    </cfRule>
  </conditionalFormatting>
  <conditionalFormatting sqref="V1324">
    <cfRule type="cellIs" dxfId="3914" priority="3810" stopIfTrue="1" operator="equal">
      <formula>"NO APLICA"</formula>
    </cfRule>
  </conditionalFormatting>
  <conditionalFormatting sqref="T1334">
    <cfRule type="cellIs" dxfId="3913" priority="3808" operator="equal">
      <formula>"CUMPLE"</formula>
    </cfRule>
    <cfRule type="cellIs" dxfId="3912" priority="3809" operator="equal">
      <formula>"NO CUMPLE"</formula>
    </cfRule>
  </conditionalFormatting>
  <conditionalFormatting sqref="T1334">
    <cfRule type="cellIs" dxfId="3911" priority="3807" operator="equal">
      <formula>"VERIFICAR"</formula>
    </cfRule>
  </conditionalFormatting>
  <conditionalFormatting sqref="Y1332:Y1337">
    <cfRule type="cellIs" dxfId="3910" priority="3806" stopIfTrue="1" operator="equal">
      <formula>"NO APLICA"</formula>
    </cfRule>
  </conditionalFormatting>
  <conditionalFormatting sqref="Y1337">
    <cfRule type="cellIs" dxfId="3909" priority="3805" stopIfTrue="1" operator="equal">
      <formula>"NO APLICA"</formula>
    </cfRule>
  </conditionalFormatting>
  <conditionalFormatting sqref="X1332:Y1337">
    <cfRule type="cellIs" dxfId="3908" priority="3803" stopIfTrue="1" operator="equal">
      <formula>"NO"</formula>
    </cfRule>
    <cfRule type="cellIs" dxfId="3907" priority="3804" stopIfTrue="1" operator="equal">
      <formula>"SI"</formula>
    </cfRule>
  </conditionalFormatting>
  <conditionalFormatting sqref="X1332:X1337">
    <cfRule type="cellIs" dxfId="3906" priority="3802" stopIfTrue="1" operator="equal">
      <formula>"NO APLICA"</formula>
    </cfRule>
  </conditionalFormatting>
  <conditionalFormatting sqref="X1333:X1336">
    <cfRule type="cellIs" dxfId="3905" priority="3801" stopIfTrue="1" operator="equal">
      <formula>"NO APLICA"</formula>
    </cfRule>
  </conditionalFormatting>
  <conditionalFormatting sqref="X1333">
    <cfRule type="cellIs" dxfId="3904" priority="3800" stopIfTrue="1" operator="equal">
      <formula>"NO APLICA"</formula>
    </cfRule>
  </conditionalFormatting>
  <conditionalFormatting sqref="X1337">
    <cfRule type="cellIs" dxfId="3903" priority="3799" stopIfTrue="1" operator="equal">
      <formula>"NO APLICA"</formula>
    </cfRule>
  </conditionalFormatting>
  <conditionalFormatting sqref="X1337">
    <cfRule type="cellIs" dxfId="3902" priority="3798" stopIfTrue="1" operator="equal">
      <formula>"NO APLICA"</formula>
    </cfRule>
  </conditionalFormatting>
  <conditionalFormatting sqref="AA1332:AA1337">
    <cfRule type="cellIs" dxfId="3901" priority="3797" stopIfTrue="1" operator="equal">
      <formula>"NO APLICA"</formula>
    </cfRule>
  </conditionalFormatting>
  <conditionalFormatting sqref="AA1337">
    <cfRule type="cellIs" dxfId="3900" priority="3796" stopIfTrue="1" operator="equal">
      <formula>"NO APLICA"</formula>
    </cfRule>
  </conditionalFormatting>
  <conditionalFormatting sqref="AA1332:AA1337">
    <cfRule type="cellIs" dxfId="3899" priority="3794" stopIfTrue="1" operator="equal">
      <formula>"NO"</formula>
    </cfRule>
    <cfRule type="cellIs" dxfId="3898" priority="3795" stopIfTrue="1" operator="equal">
      <formula>"SI"</formula>
    </cfRule>
  </conditionalFormatting>
  <conditionalFormatting sqref="Y1332:Z1337">
    <cfRule type="cellIs" dxfId="3897" priority="3792" operator="equal">
      <formula>"NO APLICA"</formula>
    </cfRule>
    <cfRule type="cellIs" dxfId="3896" priority="3793" operator="equal">
      <formula>"SI APLICA"</formula>
    </cfRule>
  </conditionalFormatting>
  <conditionalFormatting sqref="AB1332:AB1338">
    <cfRule type="cellIs" dxfId="3895" priority="3790" operator="equal">
      <formula>"NO APLICA"</formula>
    </cfRule>
    <cfRule type="cellIs" dxfId="3894" priority="3791" operator="equal">
      <formula>"SI APLICA"</formula>
    </cfRule>
  </conditionalFormatting>
  <conditionalFormatting sqref="X1338">
    <cfRule type="cellIs" dxfId="3893" priority="3788" operator="equal">
      <formula>"PROPONENTE PLURAL"</formula>
    </cfRule>
    <cfRule type="cellIs" dxfId="3892" priority="3789" operator="equal">
      <formula>"PROPONENTE INDIVIDUAL"</formula>
    </cfRule>
  </conditionalFormatting>
  <conditionalFormatting sqref="Z1338:AA1338 AA1332:AA1337">
    <cfRule type="cellIs" dxfId="3891" priority="3786" operator="equal">
      <formula>"NO APLICA"</formula>
    </cfRule>
    <cfRule type="cellIs" dxfId="3890" priority="3787" operator="equal">
      <formula>"SI APLICA"</formula>
    </cfRule>
  </conditionalFormatting>
  <conditionalFormatting sqref="AB1332:AB1337 Y1332:Z1337">
    <cfRule type="cellIs" dxfId="3889" priority="3785" operator="equal">
      <formula>""</formula>
    </cfRule>
  </conditionalFormatting>
  <conditionalFormatting sqref="H1338">
    <cfRule type="containsText" dxfId="3888" priority="3783" stopIfTrue="1" operator="containsText" text="NO CUMPLE">
      <formula>NOT(ISERROR(SEARCH("NO CUMPLE",H1338)))</formula>
    </cfRule>
    <cfRule type="containsText" dxfId="3887" priority="3784" stopIfTrue="1" operator="containsText" text="CUMPLE">
      <formula>NOT(ISERROR(SEARCH("CUMPLE",H1338)))</formula>
    </cfRule>
  </conditionalFormatting>
  <conditionalFormatting sqref="J1338">
    <cfRule type="containsText" dxfId="3886" priority="3781" stopIfTrue="1" operator="containsText" text="NO CUMPLE">
      <formula>NOT(ISERROR(SEARCH("NO CUMPLE",J1338)))</formula>
    </cfRule>
    <cfRule type="containsText" dxfId="3885" priority="3782" stopIfTrue="1" operator="containsText" text="CUMPLE">
      <formula>NOT(ISERROR(SEARCH("CUMPLE",J1338)))</formula>
    </cfRule>
  </conditionalFormatting>
  <conditionalFormatting sqref="K1338">
    <cfRule type="containsText" dxfId="3884" priority="3779" stopIfTrue="1" operator="containsText" text="NO CUMPLE">
      <formula>NOT(ISERROR(SEARCH("NO CUMPLE",K1338)))</formula>
    </cfRule>
    <cfRule type="containsText" dxfId="3883" priority="3780" stopIfTrue="1" operator="containsText" text="CUMPLE">
      <formula>NOT(ISERROR(SEARCH("CUMPLE",K1338)))</formula>
    </cfRule>
  </conditionalFormatting>
  <conditionalFormatting sqref="L1332:L1337">
    <cfRule type="containsText" dxfId="3882" priority="3777" stopIfTrue="1" operator="containsText" text="NO CUMPLE">
      <formula>NOT(ISERROR(SEARCH("NO CUMPLE",L1332)))</formula>
    </cfRule>
    <cfRule type="containsText" dxfId="3881" priority="3778" stopIfTrue="1" operator="containsText" text="CUMPLE">
      <formula>NOT(ISERROR(SEARCH("CUMPLE",L1332)))</formula>
    </cfRule>
  </conditionalFormatting>
  <conditionalFormatting sqref="O1337">
    <cfRule type="containsText" dxfId="3880" priority="3775" stopIfTrue="1" operator="containsText" text="NO CUMPLE">
      <formula>NOT(ISERROR(SEARCH("NO CUMPLE",O1337)))</formula>
    </cfRule>
    <cfRule type="containsText" dxfId="3879" priority="3776" stopIfTrue="1" operator="containsText" text="CUMPLE">
      <formula>NOT(ISERROR(SEARCH("CUMPLE",O1337)))</formula>
    </cfRule>
  </conditionalFormatting>
  <conditionalFormatting sqref="O1338:S1338">
    <cfRule type="cellIs" dxfId="3878" priority="3774" operator="equal">
      <formula>"EL PROPONENTE SE DEBE REQUERIR POR EXPERIENCIA MINIMA EXIGIDA"</formula>
    </cfRule>
  </conditionalFormatting>
  <conditionalFormatting sqref="X1326">
    <cfRule type="cellIs" dxfId="3877" priority="3771" stopIfTrue="1" operator="equal">
      <formula>"VERIFICAR"</formula>
    </cfRule>
    <cfRule type="cellIs" dxfId="3876" priority="3772" stopIfTrue="1" operator="equal">
      <formula>"NO CUMPLE"</formula>
    </cfRule>
    <cfRule type="cellIs" dxfId="3875" priority="3773" stopIfTrue="1" operator="equal">
      <formula>"CUMPLE"</formula>
    </cfRule>
  </conditionalFormatting>
  <conditionalFormatting sqref="X1315:Y1324 J1315:J1324">
    <cfRule type="cellIs" dxfId="3874" priority="3770" stopIfTrue="1" operator="greaterThan">
      <formula>0</formula>
    </cfRule>
  </conditionalFormatting>
  <conditionalFormatting sqref="X1315:Y1324">
    <cfRule type="cellIs" dxfId="3873" priority="3768" operator="equal">
      <formula>"NO CUMPLE"</formula>
    </cfRule>
    <cfRule type="cellIs" dxfId="3872" priority="3769" operator="equal">
      <formula>"CUMPLE"</formula>
    </cfRule>
  </conditionalFormatting>
  <conditionalFormatting sqref="N1332:N1337">
    <cfRule type="cellIs" dxfId="3871" priority="3766" operator="equal">
      <formula>"NO"</formula>
    </cfRule>
    <cfRule type="cellIs" dxfId="3870" priority="3767" operator="equal">
      <formula>"SI"</formula>
    </cfRule>
  </conditionalFormatting>
  <conditionalFormatting sqref="I1324">
    <cfRule type="cellIs" dxfId="3869" priority="3765" stopIfTrue="1" operator="greaterThan">
      <formula>0</formula>
    </cfRule>
  </conditionalFormatting>
  <conditionalFormatting sqref="K1318:L1324">
    <cfRule type="cellIs" dxfId="3868" priority="3763" operator="equal">
      <formula>0</formula>
    </cfRule>
    <cfRule type="cellIs" dxfId="3867" priority="3764" operator="notBetween">
      <formula>$Q$17</formula>
      <formula>$R$17</formula>
    </cfRule>
  </conditionalFormatting>
  <conditionalFormatting sqref="B1315:B1324">
    <cfRule type="cellIs" dxfId="3866" priority="3762" stopIfTrue="1" operator="greaterThan">
      <formula>0</formula>
    </cfRule>
  </conditionalFormatting>
  <conditionalFormatting sqref="C1315:D1315 D1316:D1317 C1316:C1324">
    <cfRule type="cellIs" dxfId="3865" priority="3761" stopIfTrue="1" operator="greaterThan">
      <formula>0</formula>
    </cfRule>
  </conditionalFormatting>
  <conditionalFormatting sqref="C1315:D1315 F1315:H1317 D1316:D1317 C1316:C1324">
    <cfRule type="cellIs" dxfId="3864" priority="3760" stopIfTrue="1" operator="greaterThan">
      <formula>0</formula>
    </cfRule>
  </conditionalFormatting>
  <conditionalFormatting sqref="T1315:V1317">
    <cfRule type="cellIs" dxfId="3863" priority="3758" stopIfTrue="1" operator="equal">
      <formula>"NO"</formula>
    </cfRule>
    <cfRule type="cellIs" dxfId="3862" priority="3759" stopIfTrue="1" operator="equal">
      <formula>"SI"</formula>
    </cfRule>
  </conditionalFormatting>
  <conditionalFormatting sqref="T1315:V1316">
    <cfRule type="cellIs" dxfId="3861" priority="3757" stopIfTrue="1" operator="equal">
      <formula>"NO APLICA"</formula>
    </cfRule>
  </conditionalFormatting>
  <conditionalFormatting sqref="T1317:V1317">
    <cfRule type="cellIs" dxfId="3860" priority="3756" stopIfTrue="1" operator="equal">
      <formula>"NO APLICA"</formula>
    </cfRule>
  </conditionalFormatting>
  <conditionalFormatting sqref="T1317:V1317">
    <cfRule type="cellIs" dxfId="3859" priority="3755" stopIfTrue="1" operator="equal">
      <formula>"NO APLICA"</formula>
    </cfRule>
  </conditionalFormatting>
  <conditionalFormatting sqref="V1317">
    <cfRule type="cellIs" dxfId="3858" priority="3754" stopIfTrue="1" operator="equal">
      <formula>"NO APLICA"</formula>
    </cfRule>
  </conditionalFormatting>
  <conditionalFormatting sqref="K1315:L1317">
    <cfRule type="cellIs" dxfId="3857" priority="3752" operator="equal">
      <formula>0</formula>
    </cfRule>
    <cfRule type="cellIs" dxfId="3856" priority="3753" operator="notBetween">
      <formula>$Q$17</formula>
      <formula>$R$17</formula>
    </cfRule>
  </conditionalFormatting>
  <conditionalFormatting sqref="F1348:H1353 D1354:H1354 I1348:I1354 C1345:D1345 K1345:O1354 F1345:I1347 D1346:D1353 C1346:C1354">
    <cfRule type="cellIs" dxfId="3855" priority="3751" stopIfTrue="1" operator="greaterThan">
      <formula>0</formula>
    </cfRule>
  </conditionalFormatting>
  <conditionalFormatting sqref="D1348:D1353">
    <cfRule type="cellIs" dxfId="3854" priority="3750" stopIfTrue="1" operator="greaterThan">
      <formula>0</formula>
    </cfRule>
  </conditionalFormatting>
  <conditionalFormatting sqref="D1348:D1353 F1348:H1353">
    <cfRule type="cellIs" dxfId="3853" priority="3749" stopIfTrue="1" operator="greaterThan">
      <formula>0</formula>
    </cfRule>
  </conditionalFormatting>
  <conditionalFormatting sqref="H1345:H1353">
    <cfRule type="cellIs" dxfId="3852" priority="3748" stopIfTrue="1" operator="greaterThan">
      <formula>0</formula>
    </cfRule>
  </conditionalFormatting>
  <conditionalFormatting sqref="E1345:E1353">
    <cfRule type="cellIs" dxfId="3851" priority="3747" stopIfTrue="1" operator="greaterThan">
      <formula>0</formula>
    </cfRule>
  </conditionalFormatting>
  <conditionalFormatting sqref="M1362:M1367 K1362:K1367">
    <cfRule type="containsText" dxfId="3850" priority="3745" stopIfTrue="1" operator="containsText" text="NO CUMPLE">
      <formula>NOT(ISERROR(SEARCH("NO CUMPLE",K1362)))</formula>
    </cfRule>
    <cfRule type="containsText" dxfId="3849" priority="3746" stopIfTrue="1" operator="containsText" text="CUMPLE">
      <formula>NOT(ISERROR(SEARCH("CUMPLE",K1362)))</formula>
    </cfRule>
  </conditionalFormatting>
  <conditionalFormatting sqref="S1361">
    <cfRule type="cellIs" dxfId="3848" priority="3743" operator="greaterThanOrEqual">
      <formula>NUMMINCONT</formula>
    </cfRule>
    <cfRule type="cellIs" dxfId="3847" priority="3744" operator="lessThan">
      <formula>NUMMINCONT</formula>
    </cfRule>
  </conditionalFormatting>
  <conditionalFormatting sqref="T1348:V1353">
    <cfRule type="cellIs" dxfId="3846" priority="3741" stopIfTrue="1" operator="equal">
      <formula>"NO"</formula>
    </cfRule>
    <cfRule type="cellIs" dxfId="3845" priority="3742" stopIfTrue="1" operator="equal">
      <formula>"SI"</formula>
    </cfRule>
  </conditionalFormatting>
  <conditionalFormatting sqref="T1348:V1349">
    <cfRule type="cellIs" dxfId="3844" priority="3740" stopIfTrue="1" operator="equal">
      <formula>"NO APLICA"</formula>
    </cfRule>
  </conditionalFormatting>
  <conditionalFormatting sqref="T1350:U1353">
    <cfRule type="cellIs" dxfId="3843" priority="3739" stopIfTrue="1" operator="equal">
      <formula>"NO APLICA"</formula>
    </cfRule>
  </conditionalFormatting>
  <conditionalFormatting sqref="T1350:U1350">
    <cfRule type="cellIs" dxfId="3842" priority="3738" stopIfTrue="1" operator="equal">
      <formula>"NO APLICA"</formula>
    </cfRule>
  </conditionalFormatting>
  <conditionalFormatting sqref="V1350:V1353">
    <cfRule type="cellIs" dxfId="3841" priority="3737" stopIfTrue="1" operator="equal">
      <formula>"NO APLICA"</formula>
    </cfRule>
  </conditionalFormatting>
  <conditionalFormatting sqref="V1359:W1359">
    <cfRule type="cellIs" dxfId="3840" priority="3735" operator="equal">
      <formula>"CUMPLE"</formula>
    </cfRule>
    <cfRule type="cellIs" dxfId="3839" priority="3736" operator="equal">
      <formula>"NO CUMPLE"</formula>
    </cfRule>
  </conditionalFormatting>
  <conditionalFormatting sqref="V1359:W1361">
    <cfRule type="cellIs" dxfId="3838" priority="3734" operator="equal">
      <formula>"VERIFICAR"</formula>
    </cfRule>
  </conditionalFormatting>
  <conditionalFormatting sqref="T1354:V1354">
    <cfRule type="cellIs" dxfId="3837" priority="3732" stopIfTrue="1" operator="equal">
      <formula>"NO"</formula>
    </cfRule>
    <cfRule type="cellIs" dxfId="3836" priority="3733" stopIfTrue="1" operator="equal">
      <formula>"SI"</formula>
    </cfRule>
  </conditionalFormatting>
  <conditionalFormatting sqref="T1354:U1354">
    <cfRule type="cellIs" dxfId="3835" priority="3731" stopIfTrue="1" operator="equal">
      <formula>"NO APLICA"</formula>
    </cfRule>
  </conditionalFormatting>
  <conditionalFormatting sqref="V1354">
    <cfRule type="cellIs" dxfId="3834" priority="3730" stopIfTrue="1" operator="equal">
      <formula>"NO APLICA"</formula>
    </cfRule>
  </conditionalFormatting>
  <conditionalFormatting sqref="T1364">
    <cfRule type="cellIs" dxfId="3833" priority="3728" operator="equal">
      <formula>"CUMPLE"</formula>
    </cfRule>
    <cfRule type="cellIs" dxfId="3832" priority="3729" operator="equal">
      <formula>"NO CUMPLE"</formula>
    </cfRule>
  </conditionalFormatting>
  <conditionalFormatting sqref="T1364">
    <cfRule type="cellIs" dxfId="3831" priority="3727" operator="equal">
      <formula>"VERIFICAR"</formula>
    </cfRule>
  </conditionalFormatting>
  <conditionalFormatting sqref="Y1362:Y1367">
    <cfRule type="cellIs" dxfId="3830" priority="3726" stopIfTrue="1" operator="equal">
      <formula>"NO APLICA"</formula>
    </cfRule>
  </conditionalFormatting>
  <conditionalFormatting sqref="Y1367">
    <cfRule type="cellIs" dxfId="3829" priority="3725" stopIfTrue="1" operator="equal">
      <formula>"NO APLICA"</formula>
    </cfRule>
  </conditionalFormatting>
  <conditionalFormatting sqref="X1362:Y1367">
    <cfRule type="cellIs" dxfId="3828" priority="3723" stopIfTrue="1" operator="equal">
      <formula>"NO"</formula>
    </cfRule>
    <cfRule type="cellIs" dxfId="3827" priority="3724" stopIfTrue="1" operator="equal">
      <formula>"SI"</formula>
    </cfRule>
  </conditionalFormatting>
  <conditionalFormatting sqref="X1362:X1367">
    <cfRule type="cellIs" dxfId="3826" priority="3722" stopIfTrue="1" operator="equal">
      <formula>"NO APLICA"</formula>
    </cfRule>
  </conditionalFormatting>
  <conditionalFormatting sqref="X1363:X1366">
    <cfRule type="cellIs" dxfId="3825" priority="3721" stopIfTrue="1" operator="equal">
      <formula>"NO APLICA"</formula>
    </cfRule>
  </conditionalFormatting>
  <conditionalFormatting sqref="X1363">
    <cfRule type="cellIs" dxfId="3824" priority="3720" stopIfTrue="1" operator="equal">
      <formula>"NO APLICA"</formula>
    </cfRule>
  </conditionalFormatting>
  <conditionalFormatting sqref="X1367">
    <cfRule type="cellIs" dxfId="3823" priority="3719" stopIfTrue="1" operator="equal">
      <formula>"NO APLICA"</formula>
    </cfRule>
  </conditionalFormatting>
  <conditionalFormatting sqref="X1367">
    <cfRule type="cellIs" dxfId="3822" priority="3718" stopIfTrue="1" operator="equal">
      <formula>"NO APLICA"</formula>
    </cfRule>
  </conditionalFormatting>
  <conditionalFormatting sqref="AA1362:AA1367">
    <cfRule type="cellIs" dxfId="3821" priority="3717" stopIfTrue="1" operator="equal">
      <formula>"NO APLICA"</formula>
    </cfRule>
  </conditionalFormatting>
  <conditionalFormatting sqref="AA1367">
    <cfRule type="cellIs" dxfId="3820" priority="3716" stopIfTrue="1" operator="equal">
      <formula>"NO APLICA"</formula>
    </cfRule>
  </conditionalFormatting>
  <conditionalFormatting sqref="AA1362:AA1367">
    <cfRule type="cellIs" dxfId="3819" priority="3714" stopIfTrue="1" operator="equal">
      <formula>"NO"</formula>
    </cfRule>
    <cfRule type="cellIs" dxfId="3818" priority="3715" stopIfTrue="1" operator="equal">
      <formula>"SI"</formula>
    </cfRule>
  </conditionalFormatting>
  <conditionalFormatting sqref="Y1362:Z1367">
    <cfRule type="cellIs" dxfId="3817" priority="3712" operator="equal">
      <formula>"NO APLICA"</formula>
    </cfRule>
    <cfRule type="cellIs" dxfId="3816" priority="3713" operator="equal">
      <formula>"SI APLICA"</formula>
    </cfRule>
  </conditionalFormatting>
  <conditionalFormatting sqref="AB1362:AB1368">
    <cfRule type="cellIs" dxfId="3815" priority="3710" operator="equal">
      <formula>"NO APLICA"</formula>
    </cfRule>
    <cfRule type="cellIs" dxfId="3814" priority="3711" operator="equal">
      <formula>"SI APLICA"</formula>
    </cfRule>
  </conditionalFormatting>
  <conditionalFormatting sqref="X1368">
    <cfRule type="cellIs" dxfId="3813" priority="3708" operator="equal">
      <formula>"PROPONENTE PLURAL"</formula>
    </cfRule>
    <cfRule type="cellIs" dxfId="3812" priority="3709" operator="equal">
      <formula>"PROPONENTE INDIVIDUAL"</formula>
    </cfRule>
  </conditionalFormatting>
  <conditionalFormatting sqref="Z1368:AA1368 AA1362:AA1367">
    <cfRule type="cellIs" dxfId="3811" priority="3706" operator="equal">
      <formula>"NO APLICA"</formula>
    </cfRule>
    <cfRule type="cellIs" dxfId="3810" priority="3707" operator="equal">
      <formula>"SI APLICA"</formula>
    </cfRule>
  </conditionalFormatting>
  <conditionalFormatting sqref="AB1362:AB1367 Y1362:Z1367">
    <cfRule type="cellIs" dxfId="3809" priority="3705" operator="equal">
      <formula>""</formula>
    </cfRule>
  </conditionalFormatting>
  <conditionalFormatting sqref="H1368">
    <cfRule type="containsText" dxfId="3808" priority="3703" stopIfTrue="1" operator="containsText" text="NO CUMPLE">
      <formula>NOT(ISERROR(SEARCH("NO CUMPLE",H1368)))</formula>
    </cfRule>
    <cfRule type="containsText" dxfId="3807" priority="3704" stopIfTrue="1" operator="containsText" text="CUMPLE">
      <formula>NOT(ISERROR(SEARCH("CUMPLE",H1368)))</formula>
    </cfRule>
  </conditionalFormatting>
  <conditionalFormatting sqref="J1368">
    <cfRule type="containsText" dxfId="3806" priority="3701" stopIfTrue="1" operator="containsText" text="NO CUMPLE">
      <formula>NOT(ISERROR(SEARCH("NO CUMPLE",J1368)))</formula>
    </cfRule>
    <cfRule type="containsText" dxfId="3805" priority="3702" stopIfTrue="1" operator="containsText" text="CUMPLE">
      <formula>NOT(ISERROR(SEARCH("CUMPLE",J1368)))</formula>
    </cfRule>
  </conditionalFormatting>
  <conditionalFormatting sqref="K1368">
    <cfRule type="containsText" dxfId="3804" priority="3699" stopIfTrue="1" operator="containsText" text="NO CUMPLE">
      <formula>NOT(ISERROR(SEARCH("NO CUMPLE",K1368)))</formula>
    </cfRule>
    <cfRule type="containsText" dxfId="3803" priority="3700" stopIfTrue="1" operator="containsText" text="CUMPLE">
      <formula>NOT(ISERROR(SEARCH("CUMPLE",K1368)))</formula>
    </cfRule>
  </conditionalFormatting>
  <conditionalFormatting sqref="L1362:L1367">
    <cfRule type="containsText" dxfId="3802" priority="3697" stopIfTrue="1" operator="containsText" text="NO CUMPLE">
      <formula>NOT(ISERROR(SEARCH("NO CUMPLE",L1362)))</formula>
    </cfRule>
    <cfRule type="containsText" dxfId="3801" priority="3698" stopIfTrue="1" operator="containsText" text="CUMPLE">
      <formula>NOT(ISERROR(SEARCH("CUMPLE",L1362)))</formula>
    </cfRule>
  </conditionalFormatting>
  <conditionalFormatting sqref="O1367">
    <cfRule type="containsText" dxfId="3800" priority="3695" stopIfTrue="1" operator="containsText" text="NO CUMPLE">
      <formula>NOT(ISERROR(SEARCH("NO CUMPLE",O1367)))</formula>
    </cfRule>
    <cfRule type="containsText" dxfId="3799" priority="3696" stopIfTrue="1" operator="containsText" text="CUMPLE">
      <formula>NOT(ISERROR(SEARCH("CUMPLE",O1367)))</formula>
    </cfRule>
  </conditionalFormatting>
  <conditionalFormatting sqref="O1368:S1368">
    <cfRule type="cellIs" dxfId="3798" priority="3694" operator="equal">
      <formula>"EL PROPONENTE SE DEBE REQUERIR POR EXPERIENCIA MINIMA EXIGIDA"</formula>
    </cfRule>
  </conditionalFormatting>
  <conditionalFormatting sqref="X1356">
    <cfRule type="cellIs" dxfId="3797" priority="3691" stopIfTrue="1" operator="equal">
      <formula>"VERIFICAR"</formula>
    </cfRule>
    <cfRule type="cellIs" dxfId="3796" priority="3692" stopIfTrue="1" operator="equal">
      <formula>"NO CUMPLE"</formula>
    </cfRule>
    <cfRule type="cellIs" dxfId="3795" priority="3693" stopIfTrue="1" operator="equal">
      <formula>"CUMPLE"</formula>
    </cfRule>
  </conditionalFormatting>
  <conditionalFormatting sqref="X1345:Y1354 J1345:J1354">
    <cfRule type="cellIs" dxfId="3794" priority="3690" stopIfTrue="1" operator="greaterThan">
      <formula>0</formula>
    </cfRule>
  </conditionalFormatting>
  <conditionalFormatting sqref="X1345:Y1354">
    <cfRule type="cellIs" dxfId="3793" priority="3688" operator="equal">
      <formula>"NO CUMPLE"</formula>
    </cfRule>
    <cfRule type="cellIs" dxfId="3792" priority="3689" operator="equal">
      <formula>"CUMPLE"</formula>
    </cfRule>
  </conditionalFormatting>
  <conditionalFormatting sqref="N1362:N1367">
    <cfRule type="cellIs" dxfId="3791" priority="3686" operator="equal">
      <formula>"NO"</formula>
    </cfRule>
    <cfRule type="cellIs" dxfId="3790" priority="3687" operator="equal">
      <formula>"SI"</formula>
    </cfRule>
  </conditionalFormatting>
  <conditionalFormatting sqref="I1354">
    <cfRule type="cellIs" dxfId="3789" priority="3685" stopIfTrue="1" operator="greaterThan">
      <formula>0</formula>
    </cfRule>
  </conditionalFormatting>
  <conditionalFormatting sqref="K1348:L1354">
    <cfRule type="cellIs" dxfId="3788" priority="3683" operator="equal">
      <formula>0</formula>
    </cfRule>
    <cfRule type="cellIs" dxfId="3787" priority="3684" operator="notBetween">
      <formula>$Q$17</formula>
      <formula>$R$17</formula>
    </cfRule>
  </conditionalFormatting>
  <conditionalFormatting sqref="B1345:B1354">
    <cfRule type="cellIs" dxfId="3786" priority="3682" stopIfTrue="1" operator="greaterThan">
      <formula>0</formula>
    </cfRule>
  </conditionalFormatting>
  <conditionalFormatting sqref="C1345:D1345 D1346:D1347 C1346:C1354">
    <cfRule type="cellIs" dxfId="3785" priority="3681" stopIfTrue="1" operator="greaterThan">
      <formula>0</formula>
    </cfRule>
  </conditionalFormatting>
  <conditionalFormatting sqref="C1345:D1345 F1345:H1347 D1346:D1347 C1346:C1354">
    <cfRule type="cellIs" dxfId="3784" priority="3680" stopIfTrue="1" operator="greaterThan">
      <formula>0</formula>
    </cfRule>
  </conditionalFormatting>
  <conditionalFormatting sqref="T1345:V1347">
    <cfRule type="cellIs" dxfId="3783" priority="3678" stopIfTrue="1" operator="equal">
      <formula>"NO"</formula>
    </cfRule>
    <cfRule type="cellIs" dxfId="3782" priority="3679" stopIfTrue="1" operator="equal">
      <formula>"SI"</formula>
    </cfRule>
  </conditionalFormatting>
  <conditionalFormatting sqref="T1345:V1346">
    <cfRule type="cellIs" dxfId="3781" priority="3677" stopIfTrue="1" operator="equal">
      <formula>"NO APLICA"</formula>
    </cfRule>
  </conditionalFormatting>
  <conditionalFormatting sqref="T1347:V1347">
    <cfRule type="cellIs" dxfId="3780" priority="3676" stopIfTrue="1" operator="equal">
      <formula>"NO APLICA"</formula>
    </cfRule>
  </conditionalFormatting>
  <conditionalFormatting sqref="T1347:V1347">
    <cfRule type="cellIs" dxfId="3779" priority="3675" stopIfTrue="1" operator="equal">
      <formula>"NO APLICA"</formula>
    </cfRule>
  </conditionalFormatting>
  <conditionalFormatting sqref="V1347">
    <cfRule type="cellIs" dxfId="3778" priority="3674" stopIfTrue="1" operator="equal">
      <formula>"NO APLICA"</formula>
    </cfRule>
  </conditionalFormatting>
  <conditionalFormatting sqref="K1345:L1347">
    <cfRule type="cellIs" dxfId="3777" priority="3672" operator="equal">
      <formula>0</formula>
    </cfRule>
    <cfRule type="cellIs" dxfId="3776" priority="3673" operator="notBetween">
      <formula>$Q$17</formula>
      <formula>$R$17</formula>
    </cfRule>
  </conditionalFormatting>
  <conditionalFormatting sqref="F1378:H1383 D1384:H1384 I1378:I1384 C1375:D1375 K1375:O1384 F1375:I1377 D1376:D1383 C1376:C1384">
    <cfRule type="cellIs" dxfId="3775" priority="3671" stopIfTrue="1" operator="greaterThan">
      <formula>0</formula>
    </cfRule>
  </conditionalFormatting>
  <conditionalFormatting sqref="D1378:D1383">
    <cfRule type="cellIs" dxfId="3774" priority="3670" stopIfTrue="1" operator="greaterThan">
      <formula>0</formula>
    </cfRule>
  </conditionalFormatting>
  <conditionalFormatting sqref="D1378:D1383 F1378:H1383">
    <cfRule type="cellIs" dxfId="3773" priority="3669" stopIfTrue="1" operator="greaterThan">
      <formula>0</formula>
    </cfRule>
  </conditionalFormatting>
  <conditionalFormatting sqref="H1375:H1383">
    <cfRule type="cellIs" dxfId="3772" priority="3668" stopIfTrue="1" operator="greaterThan">
      <formula>0</formula>
    </cfRule>
  </conditionalFormatting>
  <conditionalFormatting sqref="E1375:E1383">
    <cfRule type="cellIs" dxfId="3771" priority="3667" stopIfTrue="1" operator="greaterThan">
      <formula>0</formula>
    </cfRule>
  </conditionalFormatting>
  <conditionalFormatting sqref="M1392:M1397 K1392:K1397">
    <cfRule type="containsText" dxfId="3770" priority="3665" stopIfTrue="1" operator="containsText" text="NO CUMPLE">
      <formula>NOT(ISERROR(SEARCH("NO CUMPLE",K1392)))</formula>
    </cfRule>
    <cfRule type="containsText" dxfId="3769" priority="3666" stopIfTrue="1" operator="containsText" text="CUMPLE">
      <formula>NOT(ISERROR(SEARCH("CUMPLE",K1392)))</formula>
    </cfRule>
  </conditionalFormatting>
  <conditionalFormatting sqref="S1391">
    <cfRule type="cellIs" dxfId="3768" priority="3663" operator="greaterThanOrEqual">
      <formula>NUMMINCONT</formula>
    </cfRule>
    <cfRule type="cellIs" dxfId="3767" priority="3664" operator="lessThan">
      <formula>NUMMINCONT</formula>
    </cfRule>
  </conditionalFormatting>
  <conditionalFormatting sqref="T1378:V1383">
    <cfRule type="cellIs" dxfId="3766" priority="3661" stopIfTrue="1" operator="equal">
      <formula>"NO"</formula>
    </cfRule>
    <cfRule type="cellIs" dxfId="3765" priority="3662" stopIfTrue="1" operator="equal">
      <formula>"SI"</formula>
    </cfRule>
  </conditionalFormatting>
  <conditionalFormatting sqref="T1378:V1379">
    <cfRule type="cellIs" dxfId="3764" priority="3660" stopIfTrue="1" operator="equal">
      <formula>"NO APLICA"</formula>
    </cfRule>
  </conditionalFormatting>
  <conditionalFormatting sqref="T1380:U1383">
    <cfRule type="cellIs" dxfId="3763" priority="3659" stopIfTrue="1" operator="equal">
      <formula>"NO APLICA"</formula>
    </cfRule>
  </conditionalFormatting>
  <conditionalFormatting sqref="T1380:U1380">
    <cfRule type="cellIs" dxfId="3762" priority="3658" stopIfTrue="1" operator="equal">
      <formula>"NO APLICA"</formula>
    </cfRule>
  </conditionalFormatting>
  <conditionalFormatting sqref="V1380:V1383">
    <cfRule type="cellIs" dxfId="3761" priority="3657" stopIfTrue="1" operator="equal">
      <formula>"NO APLICA"</formula>
    </cfRule>
  </conditionalFormatting>
  <conditionalFormatting sqref="V1389:W1389">
    <cfRule type="cellIs" dxfId="3760" priority="3655" operator="equal">
      <formula>"CUMPLE"</formula>
    </cfRule>
    <cfRule type="cellIs" dxfId="3759" priority="3656" operator="equal">
      <formula>"NO CUMPLE"</formula>
    </cfRule>
  </conditionalFormatting>
  <conditionalFormatting sqref="V1389:W1391">
    <cfRule type="cellIs" dxfId="3758" priority="3654" operator="equal">
      <formula>"VERIFICAR"</formula>
    </cfRule>
  </conditionalFormatting>
  <conditionalFormatting sqref="T1384:V1384">
    <cfRule type="cellIs" dxfId="3757" priority="3652" stopIfTrue="1" operator="equal">
      <formula>"NO"</formula>
    </cfRule>
    <cfRule type="cellIs" dxfId="3756" priority="3653" stopIfTrue="1" operator="equal">
      <formula>"SI"</formula>
    </cfRule>
  </conditionalFormatting>
  <conditionalFormatting sqref="T1384:U1384">
    <cfRule type="cellIs" dxfId="3755" priority="3651" stopIfTrue="1" operator="equal">
      <formula>"NO APLICA"</formula>
    </cfRule>
  </conditionalFormatting>
  <conditionalFormatting sqref="V1384">
    <cfRule type="cellIs" dxfId="3754" priority="3650" stopIfTrue="1" operator="equal">
      <formula>"NO APLICA"</formula>
    </cfRule>
  </conditionalFormatting>
  <conditionalFormatting sqref="T1394">
    <cfRule type="cellIs" dxfId="3753" priority="3648" operator="equal">
      <formula>"CUMPLE"</formula>
    </cfRule>
    <cfRule type="cellIs" dxfId="3752" priority="3649" operator="equal">
      <formula>"NO CUMPLE"</formula>
    </cfRule>
  </conditionalFormatting>
  <conditionalFormatting sqref="T1394">
    <cfRule type="cellIs" dxfId="3751" priority="3647" operator="equal">
      <formula>"VERIFICAR"</formula>
    </cfRule>
  </conditionalFormatting>
  <conditionalFormatting sqref="Y1392:Y1397">
    <cfRule type="cellIs" dxfId="3750" priority="3646" stopIfTrue="1" operator="equal">
      <formula>"NO APLICA"</formula>
    </cfRule>
  </conditionalFormatting>
  <conditionalFormatting sqref="Y1397">
    <cfRule type="cellIs" dxfId="3749" priority="3645" stopIfTrue="1" operator="equal">
      <formula>"NO APLICA"</formula>
    </cfRule>
  </conditionalFormatting>
  <conditionalFormatting sqref="X1392:Y1397">
    <cfRule type="cellIs" dxfId="3748" priority="3643" stopIfTrue="1" operator="equal">
      <formula>"NO"</formula>
    </cfRule>
    <cfRule type="cellIs" dxfId="3747" priority="3644" stopIfTrue="1" operator="equal">
      <formula>"SI"</formula>
    </cfRule>
  </conditionalFormatting>
  <conditionalFormatting sqref="X1392:X1397">
    <cfRule type="cellIs" dxfId="3746" priority="3642" stopIfTrue="1" operator="equal">
      <formula>"NO APLICA"</formula>
    </cfRule>
  </conditionalFormatting>
  <conditionalFormatting sqref="X1393:X1396">
    <cfRule type="cellIs" dxfId="3745" priority="3641" stopIfTrue="1" operator="equal">
      <formula>"NO APLICA"</formula>
    </cfRule>
  </conditionalFormatting>
  <conditionalFormatting sqref="X1393">
    <cfRule type="cellIs" dxfId="3744" priority="3640" stopIfTrue="1" operator="equal">
      <formula>"NO APLICA"</formula>
    </cfRule>
  </conditionalFormatting>
  <conditionalFormatting sqref="X1397">
    <cfRule type="cellIs" dxfId="3743" priority="3639" stopIfTrue="1" operator="equal">
      <formula>"NO APLICA"</formula>
    </cfRule>
  </conditionalFormatting>
  <conditionalFormatting sqref="X1397">
    <cfRule type="cellIs" dxfId="3742" priority="3638" stopIfTrue="1" operator="equal">
      <formula>"NO APLICA"</formula>
    </cfRule>
  </conditionalFormatting>
  <conditionalFormatting sqref="AA1392:AA1397">
    <cfRule type="cellIs" dxfId="3741" priority="3637" stopIfTrue="1" operator="equal">
      <formula>"NO APLICA"</formula>
    </cfRule>
  </conditionalFormatting>
  <conditionalFormatting sqref="AA1397">
    <cfRule type="cellIs" dxfId="3740" priority="3636" stopIfTrue="1" operator="equal">
      <formula>"NO APLICA"</formula>
    </cfRule>
  </conditionalFormatting>
  <conditionalFormatting sqref="AA1392:AA1397">
    <cfRule type="cellIs" dxfId="3739" priority="3634" stopIfTrue="1" operator="equal">
      <formula>"NO"</formula>
    </cfRule>
    <cfRule type="cellIs" dxfId="3738" priority="3635" stopIfTrue="1" operator="equal">
      <formula>"SI"</formula>
    </cfRule>
  </conditionalFormatting>
  <conditionalFormatting sqref="Y1392:Z1397">
    <cfRule type="cellIs" dxfId="3737" priority="3632" operator="equal">
      <formula>"NO APLICA"</formula>
    </cfRule>
    <cfRule type="cellIs" dxfId="3736" priority="3633" operator="equal">
      <formula>"SI APLICA"</formula>
    </cfRule>
  </conditionalFormatting>
  <conditionalFormatting sqref="AB1392:AB1398">
    <cfRule type="cellIs" dxfId="3735" priority="3630" operator="equal">
      <formula>"NO APLICA"</formula>
    </cfRule>
    <cfRule type="cellIs" dxfId="3734" priority="3631" operator="equal">
      <formula>"SI APLICA"</formula>
    </cfRule>
  </conditionalFormatting>
  <conditionalFormatting sqref="X1398">
    <cfRule type="cellIs" dxfId="3733" priority="3628" operator="equal">
      <formula>"PROPONENTE PLURAL"</formula>
    </cfRule>
    <cfRule type="cellIs" dxfId="3732" priority="3629" operator="equal">
      <formula>"PROPONENTE INDIVIDUAL"</formula>
    </cfRule>
  </conditionalFormatting>
  <conditionalFormatting sqref="Z1398:AA1398 AA1392:AA1397">
    <cfRule type="cellIs" dxfId="3731" priority="3626" operator="equal">
      <formula>"NO APLICA"</formula>
    </cfRule>
    <cfRule type="cellIs" dxfId="3730" priority="3627" operator="equal">
      <formula>"SI APLICA"</formula>
    </cfRule>
  </conditionalFormatting>
  <conditionalFormatting sqref="AB1392:AB1397 Y1392:Z1397">
    <cfRule type="cellIs" dxfId="3729" priority="3625" operator="equal">
      <formula>""</formula>
    </cfRule>
  </conditionalFormatting>
  <conditionalFormatting sqref="H1398">
    <cfRule type="containsText" dxfId="3728" priority="3623" stopIfTrue="1" operator="containsText" text="NO CUMPLE">
      <formula>NOT(ISERROR(SEARCH("NO CUMPLE",H1398)))</formula>
    </cfRule>
    <cfRule type="containsText" dxfId="3727" priority="3624" stopIfTrue="1" operator="containsText" text="CUMPLE">
      <formula>NOT(ISERROR(SEARCH("CUMPLE",H1398)))</formula>
    </cfRule>
  </conditionalFormatting>
  <conditionalFormatting sqref="J1398">
    <cfRule type="containsText" dxfId="3726" priority="3621" stopIfTrue="1" operator="containsText" text="NO CUMPLE">
      <formula>NOT(ISERROR(SEARCH("NO CUMPLE",J1398)))</formula>
    </cfRule>
    <cfRule type="containsText" dxfId="3725" priority="3622" stopIfTrue="1" operator="containsText" text="CUMPLE">
      <formula>NOT(ISERROR(SEARCH("CUMPLE",J1398)))</formula>
    </cfRule>
  </conditionalFormatting>
  <conditionalFormatting sqref="K1398">
    <cfRule type="containsText" dxfId="3724" priority="3619" stopIfTrue="1" operator="containsText" text="NO CUMPLE">
      <formula>NOT(ISERROR(SEARCH("NO CUMPLE",K1398)))</formula>
    </cfRule>
    <cfRule type="containsText" dxfId="3723" priority="3620" stopIfTrue="1" operator="containsText" text="CUMPLE">
      <formula>NOT(ISERROR(SEARCH("CUMPLE",K1398)))</formula>
    </cfRule>
  </conditionalFormatting>
  <conditionalFormatting sqref="L1392:L1397">
    <cfRule type="containsText" dxfId="3722" priority="3617" stopIfTrue="1" operator="containsText" text="NO CUMPLE">
      <formula>NOT(ISERROR(SEARCH("NO CUMPLE",L1392)))</formula>
    </cfRule>
    <cfRule type="containsText" dxfId="3721" priority="3618" stopIfTrue="1" operator="containsText" text="CUMPLE">
      <formula>NOT(ISERROR(SEARCH("CUMPLE",L1392)))</formula>
    </cfRule>
  </conditionalFormatting>
  <conditionalFormatting sqref="O1397">
    <cfRule type="containsText" dxfId="3720" priority="3615" stopIfTrue="1" operator="containsText" text="NO CUMPLE">
      <formula>NOT(ISERROR(SEARCH("NO CUMPLE",O1397)))</formula>
    </cfRule>
    <cfRule type="containsText" dxfId="3719" priority="3616" stopIfTrue="1" operator="containsText" text="CUMPLE">
      <formula>NOT(ISERROR(SEARCH("CUMPLE",O1397)))</formula>
    </cfRule>
  </conditionalFormatting>
  <conditionalFormatting sqref="O1398:S1398">
    <cfRule type="cellIs" dxfId="3718" priority="3614" operator="equal">
      <formula>"EL PROPONENTE SE DEBE REQUERIR POR EXPERIENCIA MINIMA EXIGIDA"</formula>
    </cfRule>
  </conditionalFormatting>
  <conditionalFormatting sqref="X1386">
    <cfRule type="cellIs" dxfId="3717" priority="3611" stopIfTrue="1" operator="equal">
      <formula>"VERIFICAR"</formula>
    </cfRule>
    <cfRule type="cellIs" dxfId="3716" priority="3612" stopIfTrue="1" operator="equal">
      <formula>"NO CUMPLE"</formula>
    </cfRule>
    <cfRule type="cellIs" dxfId="3715" priority="3613" stopIfTrue="1" operator="equal">
      <formula>"CUMPLE"</formula>
    </cfRule>
  </conditionalFormatting>
  <conditionalFormatting sqref="X1375:Y1384 J1375:J1384">
    <cfRule type="cellIs" dxfId="3714" priority="3610" stopIfTrue="1" operator="greaterThan">
      <formula>0</formula>
    </cfRule>
  </conditionalFormatting>
  <conditionalFormatting sqref="X1375:Y1384">
    <cfRule type="cellIs" dxfId="3713" priority="3608" operator="equal">
      <formula>"NO CUMPLE"</formula>
    </cfRule>
    <cfRule type="cellIs" dxfId="3712" priority="3609" operator="equal">
      <formula>"CUMPLE"</formula>
    </cfRule>
  </conditionalFormatting>
  <conditionalFormatting sqref="N1392:N1397">
    <cfRule type="cellIs" dxfId="3711" priority="3606" operator="equal">
      <formula>"NO"</formula>
    </cfRule>
    <cfRule type="cellIs" dxfId="3710" priority="3607" operator="equal">
      <formula>"SI"</formula>
    </cfRule>
  </conditionalFormatting>
  <conditionalFormatting sqref="I1384">
    <cfRule type="cellIs" dxfId="3709" priority="3605" stopIfTrue="1" operator="greaterThan">
      <formula>0</formula>
    </cfRule>
  </conditionalFormatting>
  <conditionalFormatting sqref="K1378:L1384">
    <cfRule type="cellIs" dxfId="3708" priority="3603" operator="equal">
      <formula>0</formula>
    </cfRule>
    <cfRule type="cellIs" dxfId="3707" priority="3604" operator="notBetween">
      <formula>$Q$17</formula>
      <formula>$R$17</formula>
    </cfRule>
  </conditionalFormatting>
  <conditionalFormatting sqref="B1375:B1384">
    <cfRule type="cellIs" dxfId="3706" priority="3602" stopIfTrue="1" operator="greaterThan">
      <formula>0</formula>
    </cfRule>
  </conditionalFormatting>
  <conditionalFormatting sqref="C1375:D1375 D1376:D1377 C1376:C1384">
    <cfRule type="cellIs" dxfId="3705" priority="3601" stopIfTrue="1" operator="greaterThan">
      <formula>0</formula>
    </cfRule>
  </conditionalFormatting>
  <conditionalFormatting sqref="C1375:D1375 F1375:H1377 D1376:D1377 C1376:C1384">
    <cfRule type="cellIs" dxfId="3704" priority="3600" stopIfTrue="1" operator="greaterThan">
      <formula>0</formula>
    </cfRule>
  </conditionalFormatting>
  <conditionalFormatting sqref="T1375:V1377">
    <cfRule type="cellIs" dxfId="3703" priority="3598" stopIfTrue="1" operator="equal">
      <formula>"NO"</formula>
    </cfRule>
    <cfRule type="cellIs" dxfId="3702" priority="3599" stopIfTrue="1" operator="equal">
      <formula>"SI"</formula>
    </cfRule>
  </conditionalFormatting>
  <conditionalFormatting sqref="T1375:V1376 T1376:T1377 V1375:V1377">
    <cfRule type="cellIs" dxfId="3701" priority="3597" stopIfTrue="1" operator="equal">
      <formula>"NO APLICA"</formula>
    </cfRule>
  </conditionalFormatting>
  <conditionalFormatting sqref="T1377:V1377">
    <cfRule type="cellIs" dxfId="3700" priority="3596" stopIfTrue="1" operator="equal">
      <formula>"NO APLICA"</formula>
    </cfRule>
  </conditionalFormatting>
  <conditionalFormatting sqref="T1377:V1377">
    <cfRule type="cellIs" dxfId="3699" priority="3595" stopIfTrue="1" operator="equal">
      <formula>"NO APLICA"</formula>
    </cfRule>
  </conditionalFormatting>
  <conditionalFormatting sqref="V1377">
    <cfRule type="cellIs" dxfId="3698" priority="3594" stopIfTrue="1" operator="equal">
      <formula>"NO APLICA"</formula>
    </cfRule>
  </conditionalFormatting>
  <conditionalFormatting sqref="K1375:L1377">
    <cfRule type="cellIs" dxfId="3697" priority="3592" operator="equal">
      <formula>0</formula>
    </cfRule>
    <cfRule type="cellIs" dxfId="3696" priority="3593" operator="notBetween">
      <formula>$Q$17</formula>
      <formula>$R$17</formula>
    </cfRule>
  </conditionalFormatting>
  <conditionalFormatting sqref="F1408:H1413 D1414:H1414 I1408:I1414 C1405:D1405 K1405:O1414 F1405:I1407 D1406:D1413 C1406:C1414">
    <cfRule type="cellIs" dxfId="3695" priority="3591" stopIfTrue="1" operator="greaterThan">
      <formula>0</formula>
    </cfRule>
  </conditionalFormatting>
  <conditionalFormatting sqref="D1408:D1413">
    <cfRule type="cellIs" dxfId="3694" priority="3590" stopIfTrue="1" operator="greaterThan">
      <formula>0</formula>
    </cfRule>
  </conditionalFormatting>
  <conditionalFormatting sqref="D1408:D1413 F1408:H1413">
    <cfRule type="cellIs" dxfId="3693" priority="3589" stopIfTrue="1" operator="greaterThan">
      <formula>0</formula>
    </cfRule>
  </conditionalFormatting>
  <conditionalFormatting sqref="H1405:H1413">
    <cfRule type="cellIs" dxfId="3692" priority="3588" stopIfTrue="1" operator="greaterThan">
      <formula>0</formula>
    </cfRule>
  </conditionalFormatting>
  <conditionalFormatting sqref="E1405:E1413">
    <cfRule type="cellIs" dxfId="3691" priority="3587" stopIfTrue="1" operator="greaterThan">
      <formula>0</formula>
    </cfRule>
  </conditionalFormatting>
  <conditionalFormatting sqref="M1422:M1427 K1422:K1427">
    <cfRule type="containsText" dxfId="3690" priority="3585" stopIfTrue="1" operator="containsText" text="NO CUMPLE">
      <formula>NOT(ISERROR(SEARCH("NO CUMPLE",K1422)))</formula>
    </cfRule>
    <cfRule type="containsText" dxfId="3689" priority="3586" stopIfTrue="1" operator="containsText" text="CUMPLE">
      <formula>NOT(ISERROR(SEARCH("CUMPLE",K1422)))</formula>
    </cfRule>
  </conditionalFormatting>
  <conditionalFormatting sqref="S1421">
    <cfRule type="cellIs" dxfId="3688" priority="3583" operator="greaterThanOrEqual">
      <formula>NUMMINCONT</formula>
    </cfRule>
    <cfRule type="cellIs" dxfId="3687" priority="3584" operator="lessThan">
      <formula>NUMMINCONT</formula>
    </cfRule>
  </conditionalFormatting>
  <conditionalFormatting sqref="T1408:V1413">
    <cfRule type="cellIs" dxfId="3686" priority="3581" stopIfTrue="1" operator="equal">
      <formula>"NO"</formula>
    </cfRule>
    <cfRule type="cellIs" dxfId="3685" priority="3582" stopIfTrue="1" operator="equal">
      <formula>"SI"</formula>
    </cfRule>
  </conditionalFormatting>
  <conditionalFormatting sqref="T1408:V1409">
    <cfRule type="cellIs" dxfId="3684" priority="3580" stopIfTrue="1" operator="equal">
      <formula>"NO APLICA"</formula>
    </cfRule>
  </conditionalFormatting>
  <conditionalFormatting sqref="T1410:U1413">
    <cfRule type="cellIs" dxfId="3683" priority="3579" stopIfTrue="1" operator="equal">
      <formula>"NO APLICA"</formula>
    </cfRule>
  </conditionalFormatting>
  <conditionalFormatting sqref="T1410:U1410">
    <cfRule type="cellIs" dxfId="3682" priority="3578" stopIfTrue="1" operator="equal">
      <formula>"NO APLICA"</formula>
    </cfRule>
  </conditionalFormatting>
  <conditionalFormatting sqref="V1410:V1413">
    <cfRule type="cellIs" dxfId="3681" priority="3577" stopIfTrue="1" operator="equal">
      <formula>"NO APLICA"</formula>
    </cfRule>
  </conditionalFormatting>
  <conditionalFormatting sqref="V1419:W1419">
    <cfRule type="cellIs" dxfId="3680" priority="3575" operator="equal">
      <formula>"CUMPLE"</formula>
    </cfRule>
    <cfRule type="cellIs" dxfId="3679" priority="3576" operator="equal">
      <formula>"NO CUMPLE"</formula>
    </cfRule>
  </conditionalFormatting>
  <conditionalFormatting sqref="V1419:W1421">
    <cfRule type="cellIs" dxfId="3678" priority="3574" operator="equal">
      <formula>"VERIFICAR"</formula>
    </cfRule>
  </conditionalFormatting>
  <conditionalFormatting sqref="T1414:V1414">
    <cfRule type="cellIs" dxfId="3677" priority="3572" stopIfTrue="1" operator="equal">
      <formula>"NO"</formula>
    </cfRule>
    <cfRule type="cellIs" dxfId="3676" priority="3573" stopIfTrue="1" operator="equal">
      <formula>"SI"</formula>
    </cfRule>
  </conditionalFormatting>
  <conditionalFormatting sqref="T1414:U1414">
    <cfRule type="cellIs" dxfId="3675" priority="3571" stopIfTrue="1" operator="equal">
      <formula>"NO APLICA"</formula>
    </cfRule>
  </conditionalFormatting>
  <conditionalFormatting sqref="V1414">
    <cfRule type="cellIs" dxfId="3674" priority="3570" stopIfTrue="1" operator="equal">
      <formula>"NO APLICA"</formula>
    </cfRule>
  </conditionalFormatting>
  <conditionalFormatting sqref="T1424">
    <cfRule type="cellIs" dxfId="3673" priority="3568" operator="equal">
      <formula>"CUMPLE"</formula>
    </cfRule>
    <cfRule type="cellIs" dxfId="3672" priority="3569" operator="equal">
      <formula>"NO CUMPLE"</formula>
    </cfRule>
  </conditionalFormatting>
  <conditionalFormatting sqref="T1424">
    <cfRule type="cellIs" dxfId="3671" priority="3567" operator="equal">
      <formula>"VERIFICAR"</formula>
    </cfRule>
  </conditionalFormatting>
  <conditionalFormatting sqref="Y1422:Y1427">
    <cfRule type="cellIs" dxfId="3670" priority="3566" stopIfTrue="1" operator="equal">
      <formula>"NO APLICA"</formula>
    </cfRule>
  </conditionalFormatting>
  <conditionalFormatting sqref="Y1427">
    <cfRule type="cellIs" dxfId="3669" priority="3565" stopIfTrue="1" operator="equal">
      <formula>"NO APLICA"</formula>
    </cfRule>
  </conditionalFormatting>
  <conditionalFormatting sqref="X1422:Y1427">
    <cfRule type="cellIs" dxfId="3668" priority="3563" stopIfTrue="1" operator="equal">
      <formula>"NO"</formula>
    </cfRule>
    <cfRule type="cellIs" dxfId="3667" priority="3564" stopIfTrue="1" operator="equal">
      <formula>"SI"</formula>
    </cfRule>
  </conditionalFormatting>
  <conditionalFormatting sqref="X1422:X1427">
    <cfRule type="cellIs" dxfId="3666" priority="3562" stopIfTrue="1" operator="equal">
      <formula>"NO APLICA"</formula>
    </cfRule>
  </conditionalFormatting>
  <conditionalFormatting sqref="X1423:X1426">
    <cfRule type="cellIs" dxfId="3665" priority="3561" stopIfTrue="1" operator="equal">
      <formula>"NO APLICA"</formula>
    </cfRule>
  </conditionalFormatting>
  <conditionalFormatting sqref="X1423">
    <cfRule type="cellIs" dxfId="3664" priority="3560" stopIfTrue="1" operator="equal">
      <formula>"NO APLICA"</formula>
    </cfRule>
  </conditionalFormatting>
  <conditionalFormatting sqref="X1427">
    <cfRule type="cellIs" dxfId="3663" priority="3559" stopIfTrue="1" operator="equal">
      <formula>"NO APLICA"</formula>
    </cfRule>
  </conditionalFormatting>
  <conditionalFormatting sqref="X1427">
    <cfRule type="cellIs" dxfId="3662" priority="3558" stopIfTrue="1" operator="equal">
      <formula>"NO APLICA"</formula>
    </cfRule>
  </conditionalFormatting>
  <conditionalFormatting sqref="AA1422:AA1427">
    <cfRule type="cellIs" dxfId="3661" priority="3557" stopIfTrue="1" operator="equal">
      <formula>"NO APLICA"</formula>
    </cfRule>
  </conditionalFormatting>
  <conditionalFormatting sqref="AA1427">
    <cfRule type="cellIs" dxfId="3660" priority="3556" stopIfTrue="1" operator="equal">
      <formula>"NO APLICA"</formula>
    </cfRule>
  </conditionalFormatting>
  <conditionalFormatting sqref="AA1422:AA1427">
    <cfRule type="cellIs" dxfId="3659" priority="3554" stopIfTrue="1" operator="equal">
      <formula>"NO"</formula>
    </cfRule>
    <cfRule type="cellIs" dxfId="3658" priority="3555" stopIfTrue="1" operator="equal">
      <formula>"SI"</formula>
    </cfRule>
  </conditionalFormatting>
  <conditionalFormatting sqref="Y1422:Z1427">
    <cfRule type="cellIs" dxfId="3657" priority="3552" operator="equal">
      <formula>"NO APLICA"</formula>
    </cfRule>
    <cfRule type="cellIs" dxfId="3656" priority="3553" operator="equal">
      <formula>"SI APLICA"</formula>
    </cfRule>
  </conditionalFormatting>
  <conditionalFormatting sqref="AB1422:AB1428">
    <cfRule type="cellIs" dxfId="3655" priority="3550" operator="equal">
      <formula>"NO APLICA"</formula>
    </cfRule>
    <cfRule type="cellIs" dxfId="3654" priority="3551" operator="equal">
      <formula>"SI APLICA"</formula>
    </cfRule>
  </conditionalFormatting>
  <conditionalFormatting sqref="X1428">
    <cfRule type="cellIs" dxfId="3653" priority="3548" operator="equal">
      <formula>"PROPONENTE PLURAL"</formula>
    </cfRule>
    <cfRule type="cellIs" dxfId="3652" priority="3549" operator="equal">
      <formula>"PROPONENTE INDIVIDUAL"</formula>
    </cfRule>
  </conditionalFormatting>
  <conditionalFormatting sqref="Z1428:AA1428 AA1422:AA1427">
    <cfRule type="cellIs" dxfId="3651" priority="3546" operator="equal">
      <formula>"NO APLICA"</formula>
    </cfRule>
    <cfRule type="cellIs" dxfId="3650" priority="3547" operator="equal">
      <formula>"SI APLICA"</formula>
    </cfRule>
  </conditionalFormatting>
  <conditionalFormatting sqref="Y1422:Z1427 AB1422:AB1427">
    <cfRule type="cellIs" dxfId="3649" priority="3545" operator="equal">
      <formula>""</formula>
    </cfRule>
  </conditionalFormatting>
  <conditionalFormatting sqref="H1428">
    <cfRule type="containsText" dxfId="3648" priority="3543" stopIfTrue="1" operator="containsText" text="NO CUMPLE">
      <formula>NOT(ISERROR(SEARCH("NO CUMPLE",H1428)))</formula>
    </cfRule>
    <cfRule type="containsText" dxfId="3647" priority="3544" stopIfTrue="1" operator="containsText" text="CUMPLE">
      <formula>NOT(ISERROR(SEARCH("CUMPLE",H1428)))</formula>
    </cfRule>
  </conditionalFormatting>
  <conditionalFormatting sqref="J1428">
    <cfRule type="containsText" dxfId="3646" priority="3541" stopIfTrue="1" operator="containsText" text="NO CUMPLE">
      <formula>NOT(ISERROR(SEARCH("NO CUMPLE",J1428)))</formula>
    </cfRule>
    <cfRule type="containsText" dxfId="3645" priority="3542" stopIfTrue="1" operator="containsText" text="CUMPLE">
      <formula>NOT(ISERROR(SEARCH("CUMPLE",J1428)))</formula>
    </cfRule>
  </conditionalFormatting>
  <conditionalFormatting sqref="K1428">
    <cfRule type="containsText" dxfId="3644" priority="3539" stopIfTrue="1" operator="containsText" text="NO CUMPLE">
      <formula>NOT(ISERROR(SEARCH("NO CUMPLE",K1428)))</formula>
    </cfRule>
    <cfRule type="containsText" dxfId="3643" priority="3540" stopIfTrue="1" operator="containsText" text="CUMPLE">
      <formula>NOT(ISERROR(SEARCH("CUMPLE",K1428)))</formula>
    </cfRule>
  </conditionalFormatting>
  <conditionalFormatting sqref="L1422:L1427">
    <cfRule type="containsText" dxfId="3642" priority="3537" stopIfTrue="1" operator="containsText" text="NO CUMPLE">
      <formula>NOT(ISERROR(SEARCH("NO CUMPLE",L1422)))</formula>
    </cfRule>
    <cfRule type="containsText" dxfId="3641" priority="3538" stopIfTrue="1" operator="containsText" text="CUMPLE">
      <formula>NOT(ISERROR(SEARCH("CUMPLE",L1422)))</formula>
    </cfRule>
  </conditionalFormatting>
  <conditionalFormatting sqref="O1427">
    <cfRule type="containsText" dxfId="3640" priority="3535" stopIfTrue="1" operator="containsText" text="NO CUMPLE">
      <formula>NOT(ISERROR(SEARCH("NO CUMPLE",O1427)))</formula>
    </cfRule>
    <cfRule type="containsText" dxfId="3639" priority="3536" stopIfTrue="1" operator="containsText" text="CUMPLE">
      <formula>NOT(ISERROR(SEARCH("CUMPLE",O1427)))</formula>
    </cfRule>
  </conditionalFormatting>
  <conditionalFormatting sqref="O1428:S1428">
    <cfRule type="cellIs" dxfId="3638" priority="3534" operator="equal">
      <formula>"EL PROPONENTE SE DEBE REQUERIR POR EXPERIENCIA MINIMA EXIGIDA"</formula>
    </cfRule>
  </conditionalFormatting>
  <conditionalFormatting sqref="X1416">
    <cfRule type="cellIs" dxfId="3637" priority="3531" stopIfTrue="1" operator="equal">
      <formula>"VERIFICAR"</formula>
    </cfRule>
    <cfRule type="cellIs" dxfId="3636" priority="3532" stopIfTrue="1" operator="equal">
      <formula>"NO CUMPLE"</formula>
    </cfRule>
    <cfRule type="cellIs" dxfId="3635" priority="3533" stopIfTrue="1" operator="equal">
      <formula>"CUMPLE"</formula>
    </cfRule>
  </conditionalFormatting>
  <conditionalFormatting sqref="J1405:J1407 X1405:Y1414">
    <cfRule type="cellIs" dxfId="3634" priority="3530" stopIfTrue="1" operator="greaterThan">
      <formula>0</formula>
    </cfRule>
  </conditionalFormatting>
  <conditionalFormatting sqref="X1405:Y1414">
    <cfRule type="cellIs" dxfId="3633" priority="3528" operator="equal">
      <formula>"NO CUMPLE"</formula>
    </cfRule>
    <cfRule type="cellIs" dxfId="3632" priority="3529" operator="equal">
      <formula>"CUMPLE"</formula>
    </cfRule>
  </conditionalFormatting>
  <conditionalFormatting sqref="N1422:N1427">
    <cfRule type="cellIs" dxfId="3631" priority="3526" operator="equal">
      <formula>"NO"</formula>
    </cfRule>
    <cfRule type="cellIs" dxfId="3630" priority="3527" operator="equal">
      <formula>"SI"</formula>
    </cfRule>
  </conditionalFormatting>
  <conditionalFormatting sqref="I1414:J1414">
    <cfRule type="cellIs" dxfId="3629" priority="3525" stopIfTrue="1" operator="greaterThan">
      <formula>0</formula>
    </cfRule>
  </conditionalFormatting>
  <conditionalFormatting sqref="K1408:L1414">
    <cfRule type="cellIs" dxfId="3628" priority="3523" operator="equal">
      <formula>0</formula>
    </cfRule>
    <cfRule type="cellIs" dxfId="3627" priority="3524" operator="notBetween">
      <formula>$Q$17</formula>
      <formula>$R$17</formula>
    </cfRule>
  </conditionalFormatting>
  <conditionalFormatting sqref="B1405:B1414">
    <cfRule type="cellIs" dxfId="3626" priority="3522" stopIfTrue="1" operator="greaterThan">
      <formula>0</formula>
    </cfRule>
  </conditionalFormatting>
  <conditionalFormatting sqref="C1405:D1405 D1406:D1407 C1406:C1414">
    <cfRule type="cellIs" dxfId="3625" priority="3521" stopIfTrue="1" operator="greaterThan">
      <formula>0</formula>
    </cfRule>
  </conditionalFormatting>
  <conditionalFormatting sqref="C1405:D1405 F1405:H1407 D1406:D1407 C1406:C1414">
    <cfRule type="cellIs" dxfId="3624" priority="3520" stopIfTrue="1" operator="greaterThan">
      <formula>0</formula>
    </cfRule>
  </conditionalFormatting>
  <conditionalFormatting sqref="T1405:V1407">
    <cfRule type="cellIs" dxfId="3623" priority="3518" stopIfTrue="1" operator="equal">
      <formula>"NO"</formula>
    </cfRule>
    <cfRule type="cellIs" dxfId="3622" priority="3519" stopIfTrue="1" operator="equal">
      <formula>"SI"</formula>
    </cfRule>
  </conditionalFormatting>
  <conditionalFormatting sqref="T1405:V1406">
    <cfRule type="cellIs" dxfId="3621" priority="3517" stopIfTrue="1" operator="equal">
      <formula>"NO APLICA"</formula>
    </cfRule>
  </conditionalFormatting>
  <conditionalFormatting sqref="T1407:U1407">
    <cfRule type="cellIs" dxfId="3620" priority="3516" stopIfTrue="1" operator="equal">
      <formula>"NO APLICA"</formula>
    </cfRule>
  </conditionalFormatting>
  <conditionalFormatting sqref="T1407:U1407">
    <cfRule type="cellIs" dxfId="3619" priority="3515" stopIfTrue="1" operator="equal">
      <formula>"NO APLICA"</formula>
    </cfRule>
  </conditionalFormatting>
  <conditionalFormatting sqref="V1407">
    <cfRule type="cellIs" dxfId="3618" priority="3514" stopIfTrue="1" operator="equal">
      <formula>"NO APLICA"</formula>
    </cfRule>
  </conditionalFormatting>
  <conditionalFormatting sqref="K1405:L1407">
    <cfRule type="cellIs" dxfId="3617" priority="3512" operator="equal">
      <formula>0</formula>
    </cfRule>
    <cfRule type="cellIs" dxfId="3616" priority="3513" operator="notBetween">
      <formula>$Q$17</formula>
      <formula>$R$17</formula>
    </cfRule>
  </conditionalFormatting>
  <conditionalFormatting sqref="F1438:H1443 D1444:H1444 I1438:I1444 C1435:D1435 K1435:O1444 F1435:I1437 D1436:D1443 C1436:C1444">
    <cfRule type="cellIs" dxfId="3615" priority="3511" stopIfTrue="1" operator="greaterThan">
      <formula>0</formula>
    </cfRule>
  </conditionalFormatting>
  <conditionalFormatting sqref="D1438:D1443">
    <cfRule type="cellIs" dxfId="3614" priority="3510" stopIfTrue="1" operator="greaterThan">
      <formula>0</formula>
    </cfRule>
  </conditionalFormatting>
  <conditionalFormatting sqref="D1438:D1443 F1438:H1443">
    <cfRule type="cellIs" dxfId="3613" priority="3509" stopIfTrue="1" operator="greaterThan">
      <formula>0</formula>
    </cfRule>
  </conditionalFormatting>
  <conditionalFormatting sqref="H1435:H1443">
    <cfRule type="cellIs" dxfId="3612" priority="3508" stopIfTrue="1" operator="greaterThan">
      <formula>0</formula>
    </cfRule>
  </conditionalFormatting>
  <conditionalFormatting sqref="E1435:E1443">
    <cfRule type="cellIs" dxfId="3611" priority="3507" stopIfTrue="1" operator="greaterThan">
      <formula>0</formula>
    </cfRule>
  </conditionalFormatting>
  <conditionalFormatting sqref="M1452:M1457 K1452:K1457">
    <cfRule type="containsText" dxfId="3610" priority="3505" stopIfTrue="1" operator="containsText" text="NO CUMPLE">
      <formula>NOT(ISERROR(SEARCH("NO CUMPLE",K1452)))</formula>
    </cfRule>
    <cfRule type="containsText" dxfId="3609" priority="3506" stopIfTrue="1" operator="containsText" text="CUMPLE">
      <formula>NOT(ISERROR(SEARCH("CUMPLE",K1452)))</formula>
    </cfRule>
  </conditionalFormatting>
  <conditionalFormatting sqref="S1451">
    <cfRule type="cellIs" dxfId="3608" priority="3503" operator="greaterThanOrEqual">
      <formula>NUMMINCONT</formula>
    </cfRule>
    <cfRule type="cellIs" dxfId="3607" priority="3504" operator="lessThan">
      <formula>NUMMINCONT</formula>
    </cfRule>
  </conditionalFormatting>
  <conditionalFormatting sqref="T1438:V1443">
    <cfRule type="cellIs" dxfId="3606" priority="3501" stopIfTrue="1" operator="equal">
      <formula>"NO"</formula>
    </cfRule>
    <cfRule type="cellIs" dxfId="3605" priority="3502" stopIfTrue="1" operator="equal">
      <formula>"SI"</formula>
    </cfRule>
  </conditionalFormatting>
  <conditionalFormatting sqref="T1438:V1439">
    <cfRule type="cellIs" dxfId="3604" priority="3500" stopIfTrue="1" operator="equal">
      <formula>"NO APLICA"</formula>
    </cfRule>
  </conditionalFormatting>
  <conditionalFormatting sqref="T1440:U1443">
    <cfRule type="cellIs" dxfId="3603" priority="3499" stopIfTrue="1" operator="equal">
      <formula>"NO APLICA"</formula>
    </cfRule>
  </conditionalFormatting>
  <conditionalFormatting sqref="T1440:U1440">
    <cfRule type="cellIs" dxfId="3602" priority="3498" stopIfTrue="1" operator="equal">
      <formula>"NO APLICA"</formula>
    </cfRule>
  </conditionalFormatting>
  <conditionalFormatting sqref="V1440:V1443">
    <cfRule type="cellIs" dxfId="3601" priority="3497" stopIfTrue="1" operator="equal">
      <formula>"NO APLICA"</formula>
    </cfRule>
  </conditionalFormatting>
  <conditionalFormatting sqref="V1449:W1449">
    <cfRule type="cellIs" dxfId="3600" priority="3495" operator="equal">
      <formula>"CUMPLE"</formula>
    </cfRule>
    <cfRule type="cellIs" dxfId="3599" priority="3496" operator="equal">
      <formula>"NO CUMPLE"</formula>
    </cfRule>
  </conditionalFormatting>
  <conditionalFormatting sqref="V1449:W1451">
    <cfRule type="cellIs" dxfId="3598" priority="3494" operator="equal">
      <formula>"VERIFICAR"</formula>
    </cfRule>
  </conditionalFormatting>
  <conditionalFormatting sqref="T1444:V1444">
    <cfRule type="cellIs" dxfId="3597" priority="3492" stopIfTrue="1" operator="equal">
      <formula>"NO"</formula>
    </cfRule>
    <cfRule type="cellIs" dxfId="3596" priority="3493" stopIfTrue="1" operator="equal">
      <formula>"SI"</formula>
    </cfRule>
  </conditionalFormatting>
  <conditionalFormatting sqref="T1444:U1444">
    <cfRule type="cellIs" dxfId="3595" priority="3491" stopIfTrue="1" operator="equal">
      <formula>"NO APLICA"</formula>
    </cfRule>
  </conditionalFormatting>
  <conditionalFormatting sqref="V1444">
    <cfRule type="cellIs" dxfId="3594" priority="3490" stopIfTrue="1" operator="equal">
      <formula>"NO APLICA"</formula>
    </cfRule>
  </conditionalFormatting>
  <conditionalFormatting sqref="T1454">
    <cfRule type="cellIs" dxfId="3593" priority="3488" operator="equal">
      <formula>"CUMPLE"</formula>
    </cfRule>
    <cfRule type="cellIs" dxfId="3592" priority="3489" operator="equal">
      <formula>"NO CUMPLE"</formula>
    </cfRule>
  </conditionalFormatting>
  <conditionalFormatting sqref="T1454">
    <cfRule type="cellIs" dxfId="3591" priority="3487" operator="equal">
      <formula>"VERIFICAR"</formula>
    </cfRule>
  </conditionalFormatting>
  <conditionalFormatting sqref="Y1452:Y1457">
    <cfRule type="cellIs" dxfId="3590" priority="3486" stopIfTrue="1" operator="equal">
      <formula>"NO APLICA"</formula>
    </cfRule>
  </conditionalFormatting>
  <conditionalFormatting sqref="Y1457">
    <cfRule type="cellIs" dxfId="3589" priority="3485" stopIfTrue="1" operator="equal">
      <formula>"NO APLICA"</formula>
    </cfRule>
  </conditionalFormatting>
  <conditionalFormatting sqref="X1452:Y1457">
    <cfRule type="cellIs" dxfId="3588" priority="3483" stopIfTrue="1" operator="equal">
      <formula>"NO"</formula>
    </cfRule>
    <cfRule type="cellIs" dxfId="3587" priority="3484" stopIfTrue="1" operator="equal">
      <formula>"SI"</formula>
    </cfRule>
  </conditionalFormatting>
  <conditionalFormatting sqref="X1452:X1457">
    <cfRule type="cellIs" dxfId="3586" priority="3482" stopIfTrue="1" operator="equal">
      <formula>"NO APLICA"</formula>
    </cfRule>
  </conditionalFormatting>
  <conditionalFormatting sqref="X1453:X1456">
    <cfRule type="cellIs" dxfId="3585" priority="3481" stopIfTrue="1" operator="equal">
      <formula>"NO APLICA"</formula>
    </cfRule>
  </conditionalFormatting>
  <conditionalFormatting sqref="X1453">
    <cfRule type="cellIs" dxfId="3584" priority="3480" stopIfTrue="1" operator="equal">
      <formula>"NO APLICA"</formula>
    </cfRule>
  </conditionalFormatting>
  <conditionalFormatting sqref="X1457">
    <cfRule type="cellIs" dxfId="3583" priority="3479" stopIfTrue="1" operator="equal">
      <formula>"NO APLICA"</formula>
    </cfRule>
  </conditionalFormatting>
  <conditionalFormatting sqref="X1457">
    <cfRule type="cellIs" dxfId="3582" priority="3478" stopIfTrue="1" operator="equal">
      <formula>"NO APLICA"</formula>
    </cfRule>
  </conditionalFormatting>
  <conditionalFormatting sqref="AA1452:AA1457">
    <cfRule type="cellIs" dxfId="3581" priority="3477" stopIfTrue="1" operator="equal">
      <formula>"NO APLICA"</formula>
    </cfRule>
  </conditionalFormatting>
  <conditionalFormatting sqref="AA1457">
    <cfRule type="cellIs" dxfId="3580" priority="3476" stopIfTrue="1" operator="equal">
      <formula>"NO APLICA"</formula>
    </cfRule>
  </conditionalFormatting>
  <conditionalFormatting sqref="AA1452:AA1457">
    <cfRule type="cellIs" dxfId="3579" priority="3474" stopIfTrue="1" operator="equal">
      <formula>"NO"</formula>
    </cfRule>
    <cfRule type="cellIs" dxfId="3578" priority="3475" stopIfTrue="1" operator="equal">
      <formula>"SI"</formula>
    </cfRule>
  </conditionalFormatting>
  <conditionalFormatting sqref="Y1452:Z1457">
    <cfRule type="cellIs" dxfId="3577" priority="3472" operator="equal">
      <formula>"NO APLICA"</formula>
    </cfRule>
    <cfRule type="cellIs" dxfId="3576" priority="3473" operator="equal">
      <formula>"SI APLICA"</formula>
    </cfRule>
  </conditionalFormatting>
  <conditionalFormatting sqref="AB1452:AB1458">
    <cfRule type="cellIs" dxfId="3575" priority="3470" operator="equal">
      <formula>"NO APLICA"</formula>
    </cfRule>
    <cfRule type="cellIs" dxfId="3574" priority="3471" operator="equal">
      <formula>"SI APLICA"</formula>
    </cfRule>
  </conditionalFormatting>
  <conditionalFormatting sqref="X1458">
    <cfRule type="cellIs" dxfId="3573" priority="3468" operator="equal">
      <formula>"PROPONENTE PLURAL"</formula>
    </cfRule>
    <cfRule type="cellIs" dxfId="3572" priority="3469" operator="equal">
      <formula>"PROPONENTE INDIVIDUAL"</formula>
    </cfRule>
  </conditionalFormatting>
  <conditionalFormatting sqref="Z1458:AA1458 AA1452:AA1457">
    <cfRule type="cellIs" dxfId="3571" priority="3466" operator="equal">
      <formula>"NO APLICA"</formula>
    </cfRule>
    <cfRule type="cellIs" dxfId="3570" priority="3467" operator="equal">
      <formula>"SI APLICA"</formula>
    </cfRule>
  </conditionalFormatting>
  <conditionalFormatting sqref="AB1452:AB1457 Y1452:Z1457">
    <cfRule type="cellIs" dxfId="3569" priority="3465" operator="equal">
      <formula>""</formula>
    </cfRule>
  </conditionalFormatting>
  <conditionalFormatting sqref="H1458">
    <cfRule type="containsText" dxfId="3568" priority="3463" stopIfTrue="1" operator="containsText" text="NO CUMPLE">
      <formula>NOT(ISERROR(SEARCH("NO CUMPLE",H1458)))</formula>
    </cfRule>
    <cfRule type="containsText" dxfId="3567" priority="3464" stopIfTrue="1" operator="containsText" text="CUMPLE">
      <formula>NOT(ISERROR(SEARCH("CUMPLE",H1458)))</formula>
    </cfRule>
  </conditionalFormatting>
  <conditionalFormatting sqref="J1458">
    <cfRule type="containsText" dxfId="3566" priority="3461" stopIfTrue="1" operator="containsText" text="NO CUMPLE">
      <formula>NOT(ISERROR(SEARCH("NO CUMPLE",J1458)))</formula>
    </cfRule>
    <cfRule type="containsText" dxfId="3565" priority="3462" stopIfTrue="1" operator="containsText" text="CUMPLE">
      <formula>NOT(ISERROR(SEARCH("CUMPLE",J1458)))</formula>
    </cfRule>
  </conditionalFormatting>
  <conditionalFormatting sqref="K1458">
    <cfRule type="containsText" dxfId="3564" priority="3459" stopIfTrue="1" operator="containsText" text="NO CUMPLE">
      <formula>NOT(ISERROR(SEARCH("NO CUMPLE",K1458)))</formula>
    </cfRule>
    <cfRule type="containsText" dxfId="3563" priority="3460" stopIfTrue="1" operator="containsText" text="CUMPLE">
      <formula>NOT(ISERROR(SEARCH("CUMPLE",K1458)))</formula>
    </cfRule>
  </conditionalFormatting>
  <conditionalFormatting sqref="L1452:L1457">
    <cfRule type="containsText" dxfId="3562" priority="3457" stopIfTrue="1" operator="containsText" text="NO CUMPLE">
      <formula>NOT(ISERROR(SEARCH("NO CUMPLE",L1452)))</formula>
    </cfRule>
    <cfRule type="containsText" dxfId="3561" priority="3458" stopIfTrue="1" operator="containsText" text="CUMPLE">
      <formula>NOT(ISERROR(SEARCH("CUMPLE",L1452)))</formula>
    </cfRule>
  </conditionalFormatting>
  <conditionalFormatting sqref="O1457">
    <cfRule type="containsText" dxfId="3560" priority="3455" stopIfTrue="1" operator="containsText" text="NO CUMPLE">
      <formula>NOT(ISERROR(SEARCH("NO CUMPLE",O1457)))</formula>
    </cfRule>
    <cfRule type="containsText" dxfId="3559" priority="3456" stopIfTrue="1" operator="containsText" text="CUMPLE">
      <formula>NOT(ISERROR(SEARCH("CUMPLE",O1457)))</formula>
    </cfRule>
  </conditionalFormatting>
  <conditionalFormatting sqref="O1458:S1458">
    <cfRule type="cellIs" dxfId="3558" priority="3454" operator="equal">
      <formula>"EL PROPONENTE SE DEBE REQUERIR POR EXPERIENCIA MINIMA EXIGIDA"</formula>
    </cfRule>
  </conditionalFormatting>
  <conditionalFormatting sqref="X1446">
    <cfRule type="cellIs" dxfId="3557" priority="3451" stopIfTrue="1" operator="equal">
      <formula>"VERIFICAR"</formula>
    </cfRule>
    <cfRule type="cellIs" dxfId="3556" priority="3452" stopIfTrue="1" operator="equal">
      <formula>"NO CUMPLE"</formula>
    </cfRule>
    <cfRule type="cellIs" dxfId="3555" priority="3453" stopIfTrue="1" operator="equal">
      <formula>"CUMPLE"</formula>
    </cfRule>
  </conditionalFormatting>
  <conditionalFormatting sqref="X1435:Y1444 J1435:J1444">
    <cfRule type="cellIs" dxfId="3554" priority="3450" stopIfTrue="1" operator="greaterThan">
      <formula>0</formula>
    </cfRule>
  </conditionalFormatting>
  <conditionalFormatting sqref="X1435:Y1444">
    <cfRule type="cellIs" dxfId="3553" priority="3448" operator="equal">
      <formula>"NO CUMPLE"</formula>
    </cfRule>
    <cfRule type="cellIs" dxfId="3552" priority="3449" operator="equal">
      <formula>"CUMPLE"</formula>
    </cfRule>
  </conditionalFormatting>
  <conditionalFormatting sqref="N1452:N1457">
    <cfRule type="cellIs" dxfId="3551" priority="3446" operator="equal">
      <formula>"NO"</formula>
    </cfRule>
    <cfRule type="cellIs" dxfId="3550" priority="3447" operator="equal">
      <formula>"SI"</formula>
    </cfRule>
  </conditionalFormatting>
  <conditionalFormatting sqref="I1444">
    <cfRule type="cellIs" dxfId="3549" priority="3445" stopIfTrue="1" operator="greaterThan">
      <formula>0</formula>
    </cfRule>
  </conditionalFormatting>
  <conditionalFormatting sqref="K1438:L1444">
    <cfRule type="cellIs" dxfId="3548" priority="3443" operator="equal">
      <formula>0</formula>
    </cfRule>
    <cfRule type="cellIs" dxfId="3547" priority="3444" operator="notBetween">
      <formula>$Q$17</formula>
      <formula>$R$17</formula>
    </cfRule>
  </conditionalFormatting>
  <conditionalFormatting sqref="B1435:B1444">
    <cfRule type="cellIs" dxfId="3546" priority="3442" stopIfTrue="1" operator="greaterThan">
      <formula>0</formula>
    </cfRule>
  </conditionalFormatting>
  <conditionalFormatting sqref="C1435:D1435 D1436:D1437 C1436:C1444">
    <cfRule type="cellIs" dxfId="3545" priority="3441" stopIfTrue="1" operator="greaterThan">
      <formula>0</formula>
    </cfRule>
  </conditionalFormatting>
  <conditionalFormatting sqref="C1435:D1435 F1435:H1437 D1436:D1437 C1436:C1444">
    <cfRule type="cellIs" dxfId="3544" priority="3440" stopIfTrue="1" operator="greaterThan">
      <formula>0</formula>
    </cfRule>
  </conditionalFormatting>
  <conditionalFormatting sqref="T1435:V1437">
    <cfRule type="cellIs" dxfId="3543" priority="3438" stopIfTrue="1" operator="equal">
      <formula>"NO"</formula>
    </cfRule>
    <cfRule type="cellIs" dxfId="3542" priority="3439" stopIfTrue="1" operator="equal">
      <formula>"SI"</formula>
    </cfRule>
  </conditionalFormatting>
  <conditionalFormatting sqref="T1435:V1436">
    <cfRule type="cellIs" dxfId="3541" priority="3437" stopIfTrue="1" operator="equal">
      <formula>"NO APLICA"</formula>
    </cfRule>
  </conditionalFormatting>
  <conditionalFormatting sqref="T1437:U1437">
    <cfRule type="cellIs" dxfId="3540" priority="3436" stopIfTrue="1" operator="equal">
      <formula>"NO APLICA"</formula>
    </cfRule>
  </conditionalFormatting>
  <conditionalFormatting sqref="T1437:U1437">
    <cfRule type="cellIs" dxfId="3539" priority="3435" stopIfTrue="1" operator="equal">
      <formula>"NO APLICA"</formula>
    </cfRule>
  </conditionalFormatting>
  <conditionalFormatting sqref="V1437">
    <cfRule type="cellIs" dxfId="3538" priority="3434" stopIfTrue="1" operator="equal">
      <formula>"NO APLICA"</formula>
    </cfRule>
  </conditionalFormatting>
  <conditionalFormatting sqref="K1435:L1437">
    <cfRule type="cellIs" dxfId="3537" priority="3432" operator="equal">
      <formula>0</formula>
    </cfRule>
    <cfRule type="cellIs" dxfId="3536" priority="3433" operator="notBetween">
      <formula>$Q$17</formula>
      <formula>$R$17</formula>
    </cfRule>
  </conditionalFormatting>
  <conditionalFormatting sqref="F1468:H1473 D1474:H1474 I1468:I1474 C1465:D1465 K1465:O1474 F1465:I1467 D1466:D1473 C1466:C1474">
    <cfRule type="cellIs" dxfId="3535" priority="3431" stopIfTrue="1" operator="greaterThan">
      <formula>0</formula>
    </cfRule>
  </conditionalFormatting>
  <conditionalFormatting sqref="D1468:D1473">
    <cfRule type="cellIs" dxfId="3534" priority="3430" stopIfTrue="1" operator="greaterThan">
      <formula>0</formula>
    </cfRule>
  </conditionalFormatting>
  <conditionalFormatting sqref="D1468:D1473 F1468:H1473">
    <cfRule type="cellIs" dxfId="3533" priority="3429" stopIfTrue="1" operator="greaterThan">
      <formula>0</formula>
    </cfRule>
  </conditionalFormatting>
  <conditionalFormatting sqref="H1465:H1473">
    <cfRule type="cellIs" dxfId="3532" priority="3428" stopIfTrue="1" operator="greaterThan">
      <formula>0</formula>
    </cfRule>
  </conditionalFormatting>
  <conditionalFormatting sqref="E1465:E1473">
    <cfRule type="cellIs" dxfId="3531" priority="3427" stopIfTrue="1" operator="greaterThan">
      <formula>0</formula>
    </cfRule>
  </conditionalFormatting>
  <conditionalFormatting sqref="M1482:M1487 K1482:K1487">
    <cfRule type="containsText" dxfId="3530" priority="3425" stopIfTrue="1" operator="containsText" text="NO CUMPLE">
      <formula>NOT(ISERROR(SEARCH("NO CUMPLE",K1482)))</formula>
    </cfRule>
    <cfRule type="containsText" dxfId="3529" priority="3426" stopIfTrue="1" operator="containsText" text="CUMPLE">
      <formula>NOT(ISERROR(SEARCH("CUMPLE",K1482)))</formula>
    </cfRule>
  </conditionalFormatting>
  <conditionalFormatting sqref="S1481">
    <cfRule type="cellIs" dxfId="3528" priority="3423" operator="greaterThanOrEqual">
      <formula>NUMMINCONT</formula>
    </cfRule>
    <cfRule type="cellIs" dxfId="3527" priority="3424" operator="lessThan">
      <formula>NUMMINCONT</formula>
    </cfRule>
  </conditionalFormatting>
  <conditionalFormatting sqref="T1468:V1473">
    <cfRule type="cellIs" dxfId="3526" priority="3421" stopIfTrue="1" operator="equal">
      <formula>"NO"</formula>
    </cfRule>
    <cfRule type="cellIs" dxfId="3525" priority="3422" stopIfTrue="1" operator="equal">
      <formula>"SI"</formula>
    </cfRule>
  </conditionalFormatting>
  <conditionalFormatting sqref="T1468:V1469">
    <cfRule type="cellIs" dxfId="3524" priority="3420" stopIfTrue="1" operator="equal">
      <formula>"NO APLICA"</formula>
    </cfRule>
  </conditionalFormatting>
  <conditionalFormatting sqref="T1470:U1473">
    <cfRule type="cellIs" dxfId="3523" priority="3419" stopIfTrue="1" operator="equal">
      <formula>"NO APLICA"</formula>
    </cfRule>
  </conditionalFormatting>
  <conditionalFormatting sqref="T1470:U1470">
    <cfRule type="cellIs" dxfId="3522" priority="3418" stopIfTrue="1" operator="equal">
      <formula>"NO APLICA"</formula>
    </cfRule>
  </conditionalFormatting>
  <conditionalFormatting sqref="V1470:V1473">
    <cfRule type="cellIs" dxfId="3521" priority="3417" stopIfTrue="1" operator="equal">
      <formula>"NO APLICA"</formula>
    </cfRule>
  </conditionalFormatting>
  <conditionalFormatting sqref="V1479:W1479">
    <cfRule type="cellIs" dxfId="3520" priority="3415" operator="equal">
      <formula>"CUMPLE"</formula>
    </cfRule>
    <cfRule type="cellIs" dxfId="3519" priority="3416" operator="equal">
      <formula>"NO CUMPLE"</formula>
    </cfRule>
  </conditionalFormatting>
  <conditionalFormatting sqref="V1479:W1481">
    <cfRule type="cellIs" dxfId="3518" priority="3414" operator="equal">
      <formula>"VERIFICAR"</formula>
    </cfRule>
  </conditionalFormatting>
  <conditionalFormatting sqref="T1474:V1474">
    <cfRule type="cellIs" dxfId="3517" priority="3412" stopIfTrue="1" operator="equal">
      <formula>"NO"</formula>
    </cfRule>
    <cfRule type="cellIs" dxfId="3516" priority="3413" stopIfTrue="1" operator="equal">
      <formula>"SI"</formula>
    </cfRule>
  </conditionalFormatting>
  <conditionalFormatting sqref="T1474:U1474">
    <cfRule type="cellIs" dxfId="3515" priority="3411" stopIfTrue="1" operator="equal">
      <formula>"NO APLICA"</formula>
    </cfRule>
  </conditionalFormatting>
  <conditionalFormatting sqref="V1474">
    <cfRule type="cellIs" dxfId="3514" priority="3410" stopIfTrue="1" operator="equal">
      <formula>"NO APLICA"</formula>
    </cfRule>
  </conditionalFormatting>
  <conditionalFormatting sqref="T1484">
    <cfRule type="cellIs" dxfId="3513" priority="3408" operator="equal">
      <formula>"CUMPLE"</formula>
    </cfRule>
    <cfRule type="cellIs" dxfId="3512" priority="3409" operator="equal">
      <formula>"NO CUMPLE"</formula>
    </cfRule>
  </conditionalFormatting>
  <conditionalFormatting sqref="T1484">
    <cfRule type="cellIs" dxfId="3511" priority="3407" operator="equal">
      <formula>"VERIFICAR"</formula>
    </cfRule>
  </conditionalFormatting>
  <conditionalFormatting sqref="Y1482:Y1487">
    <cfRule type="cellIs" dxfId="3510" priority="3406" stopIfTrue="1" operator="equal">
      <formula>"NO APLICA"</formula>
    </cfRule>
  </conditionalFormatting>
  <conditionalFormatting sqref="Y1487">
    <cfRule type="cellIs" dxfId="3509" priority="3405" stopIfTrue="1" operator="equal">
      <formula>"NO APLICA"</formula>
    </cfRule>
  </conditionalFormatting>
  <conditionalFormatting sqref="X1482:Y1487">
    <cfRule type="cellIs" dxfId="3508" priority="3403" stopIfTrue="1" operator="equal">
      <formula>"NO"</formula>
    </cfRule>
    <cfRule type="cellIs" dxfId="3507" priority="3404" stopIfTrue="1" operator="equal">
      <formula>"SI"</formula>
    </cfRule>
  </conditionalFormatting>
  <conditionalFormatting sqref="X1482:X1487">
    <cfRule type="cellIs" dxfId="3506" priority="3402" stopIfTrue="1" operator="equal">
      <formula>"NO APLICA"</formula>
    </cfRule>
  </conditionalFormatting>
  <conditionalFormatting sqref="X1483:X1486">
    <cfRule type="cellIs" dxfId="3505" priority="3401" stopIfTrue="1" operator="equal">
      <formula>"NO APLICA"</formula>
    </cfRule>
  </conditionalFormatting>
  <conditionalFormatting sqref="X1483">
    <cfRule type="cellIs" dxfId="3504" priority="3400" stopIfTrue="1" operator="equal">
      <formula>"NO APLICA"</formula>
    </cfRule>
  </conditionalFormatting>
  <conditionalFormatting sqref="X1487">
    <cfRule type="cellIs" dxfId="3503" priority="3399" stopIfTrue="1" operator="equal">
      <formula>"NO APLICA"</formula>
    </cfRule>
  </conditionalFormatting>
  <conditionalFormatting sqref="X1487">
    <cfRule type="cellIs" dxfId="3502" priority="3398" stopIfTrue="1" operator="equal">
      <formula>"NO APLICA"</formula>
    </cfRule>
  </conditionalFormatting>
  <conditionalFormatting sqref="AA1482:AA1487">
    <cfRule type="cellIs" dxfId="3501" priority="3397" stopIfTrue="1" operator="equal">
      <formula>"NO APLICA"</formula>
    </cfRule>
  </conditionalFormatting>
  <conditionalFormatting sqref="AA1487">
    <cfRule type="cellIs" dxfId="3500" priority="3396" stopIfTrue="1" operator="equal">
      <formula>"NO APLICA"</formula>
    </cfRule>
  </conditionalFormatting>
  <conditionalFormatting sqref="AA1482:AA1487">
    <cfRule type="cellIs" dxfId="3499" priority="3394" stopIfTrue="1" operator="equal">
      <formula>"NO"</formula>
    </cfRule>
    <cfRule type="cellIs" dxfId="3498" priority="3395" stopIfTrue="1" operator="equal">
      <formula>"SI"</formula>
    </cfRule>
  </conditionalFormatting>
  <conditionalFormatting sqref="Y1482:Z1487">
    <cfRule type="cellIs" dxfId="3497" priority="3392" operator="equal">
      <formula>"NO APLICA"</formula>
    </cfRule>
    <cfRule type="cellIs" dxfId="3496" priority="3393" operator="equal">
      <formula>"SI APLICA"</formula>
    </cfRule>
  </conditionalFormatting>
  <conditionalFormatting sqref="AB1482:AB1488">
    <cfRule type="cellIs" dxfId="3495" priority="3390" operator="equal">
      <formula>"NO APLICA"</formula>
    </cfRule>
    <cfRule type="cellIs" dxfId="3494" priority="3391" operator="equal">
      <formula>"SI APLICA"</formula>
    </cfRule>
  </conditionalFormatting>
  <conditionalFormatting sqref="X1488">
    <cfRule type="cellIs" dxfId="3493" priority="3388" operator="equal">
      <formula>"PROPONENTE PLURAL"</formula>
    </cfRule>
    <cfRule type="cellIs" dxfId="3492" priority="3389" operator="equal">
      <formula>"PROPONENTE INDIVIDUAL"</formula>
    </cfRule>
  </conditionalFormatting>
  <conditionalFormatting sqref="Z1488:AA1488 AA1482:AA1487">
    <cfRule type="cellIs" dxfId="3491" priority="3386" operator="equal">
      <formula>"NO APLICA"</formula>
    </cfRule>
    <cfRule type="cellIs" dxfId="3490" priority="3387" operator="equal">
      <formula>"SI APLICA"</formula>
    </cfRule>
  </conditionalFormatting>
  <conditionalFormatting sqref="AB1482:AB1487 Y1482:Z1487">
    <cfRule type="cellIs" dxfId="3489" priority="3385" operator="equal">
      <formula>""</formula>
    </cfRule>
  </conditionalFormatting>
  <conditionalFormatting sqref="H1488">
    <cfRule type="containsText" dxfId="3488" priority="3383" stopIfTrue="1" operator="containsText" text="NO CUMPLE">
      <formula>NOT(ISERROR(SEARCH("NO CUMPLE",H1488)))</formula>
    </cfRule>
    <cfRule type="containsText" dxfId="3487" priority="3384" stopIfTrue="1" operator="containsText" text="CUMPLE">
      <formula>NOT(ISERROR(SEARCH("CUMPLE",H1488)))</formula>
    </cfRule>
  </conditionalFormatting>
  <conditionalFormatting sqref="J1488">
    <cfRule type="containsText" dxfId="3486" priority="3381" stopIfTrue="1" operator="containsText" text="NO CUMPLE">
      <formula>NOT(ISERROR(SEARCH("NO CUMPLE",J1488)))</formula>
    </cfRule>
    <cfRule type="containsText" dxfId="3485" priority="3382" stopIfTrue="1" operator="containsText" text="CUMPLE">
      <formula>NOT(ISERROR(SEARCH("CUMPLE",J1488)))</formula>
    </cfRule>
  </conditionalFormatting>
  <conditionalFormatting sqref="K1488">
    <cfRule type="containsText" dxfId="3484" priority="3379" stopIfTrue="1" operator="containsText" text="NO CUMPLE">
      <formula>NOT(ISERROR(SEARCH("NO CUMPLE",K1488)))</formula>
    </cfRule>
    <cfRule type="containsText" dxfId="3483" priority="3380" stopIfTrue="1" operator="containsText" text="CUMPLE">
      <formula>NOT(ISERROR(SEARCH("CUMPLE",K1488)))</formula>
    </cfRule>
  </conditionalFormatting>
  <conditionalFormatting sqref="L1482:L1487">
    <cfRule type="containsText" dxfId="3482" priority="3377" stopIfTrue="1" operator="containsText" text="NO CUMPLE">
      <formula>NOT(ISERROR(SEARCH("NO CUMPLE",L1482)))</formula>
    </cfRule>
    <cfRule type="containsText" dxfId="3481" priority="3378" stopIfTrue="1" operator="containsText" text="CUMPLE">
      <formula>NOT(ISERROR(SEARCH("CUMPLE",L1482)))</formula>
    </cfRule>
  </conditionalFormatting>
  <conditionalFormatting sqref="O1487">
    <cfRule type="containsText" dxfId="3480" priority="3375" stopIfTrue="1" operator="containsText" text="NO CUMPLE">
      <formula>NOT(ISERROR(SEARCH("NO CUMPLE",O1487)))</formula>
    </cfRule>
    <cfRule type="containsText" dxfId="3479" priority="3376" stopIfTrue="1" operator="containsText" text="CUMPLE">
      <formula>NOT(ISERROR(SEARCH("CUMPLE",O1487)))</formula>
    </cfRule>
  </conditionalFormatting>
  <conditionalFormatting sqref="O1488:S1488">
    <cfRule type="cellIs" dxfId="3478" priority="3374" operator="equal">
      <formula>"EL PROPONENTE SE DEBE REQUERIR POR EXPERIENCIA MINIMA EXIGIDA"</formula>
    </cfRule>
  </conditionalFormatting>
  <conditionalFormatting sqref="X1476">
    <cfRule type="cellIs" dxfId="3477" priority="3371" stopIfTrue="1" operator="equal">
      <formula>"VERIFICAR"</formula>
    </cfRule>
    <cfRule type="cellIs" dxfId="3476" priority="3372" stopIfTrue="1" operator="equal">
      <formula>"NO CUMPLE"</formula>
    </cfRule>
    <cfRule type="cellIs" dxfId="3475" priority="3373" stopIfTrue="1" operator="equal">
      <formula>"CUMPLE"</formula>
    </cfRule>
  </conditionalFormatting>
  <conditionalFormatting sqref="X1465:Y1474 J1465:J1474">
    <cfRule type="cellIs" dxfId="3474" priority="3370" stopIfTrue="1" operator="greaterThan">
      <formula>0</formula>
    </cfRule>
  </conditionalFormatting>
  <conditionalFormatting sqref="X1465:Y1474">
    <cfRule type="cellIs" dxfId="3473" priority="3368" operator="equal">
      <formula>"NO CUMPLE"</formula>
    </cfRule>
    <cfRule type="cellIs" dxfId="3472" priority="3369" operator="equal">
      <formula>"CUMPLE"</formula>
    </cfRule>
  </conditionalFormatting>
  <conditionalFormatting sqref="N1482:N1487">
    <cfRule type="cellIs" dxfId="3471" priority="3366" operator="equal">
      <formula>"NO"</formula>
    </cfRule>
    <cfRule type="cellIs" dxfId="3470" priority="3367" operator="equal">
      <formula>"SI"</formula>
    </cfRule>
  </conditionalFormatting>
  <conditionalFormatting sqref="I1474">
    <cfRule type="cellIs" dxfId="3469" priority="3365" stopIfTrue="1" operator="greaterThan">
      <formula>0</formula>
    </cfRule>
  </conditionalFormatting>
  <conditionalFormatting sqref="K1468:L1474">
    <cfRule type="cellIs" dxfId="3468" priority="3363" operator="equal">
      <formula>0</formula>
    </cfRule>
    <cfRule type="cellIs" dxfId="3467" priority="3364" operator="notBetween">
      <formula>$Q$17</formula>
      <formula>$R$17</formula>
    </cfRule>
  </conditionalFormatting>
  <conditionalFormatting sqref="B1465:B1474">
    <cfRule type="cellIs" dxfId="3466" priority="3362" stopIfTrue="1" operator="greaterThan">
      <formula>0</formula>
    </cfRule>
  </conditionalFormatting>
  <conditionalFormatting sqref="C1465:D1465 D1466:D1467 C1466:C1474">
    <cfRule type="cellIs" dxfId="3465" priority="3361" stopIfTrue="1" operator="greaterThan">
      <formula>0</formula>
    </cfRule>
  </conditionalFormatting>
  <conditionalFormatting sqref="C1465:D1465 F1465:H1467 D1466:D1467 C1466:C1474">
    <cfRule type="cellIs" dxfId="3464" priority="3360" stopIfTrue="1" operator="greaterThan">
      <formula>0</formula>
    </cfRule>
  </conditionalFormatting>
  <conditionalFormatting sqref="T1465:V1467">
    <cfRule type="cellIs" dxfId="3463" priority="3358" stopIfTrue="1" operator="equal">
      <formula>"NO"</formula>
    </cfRule>
    <cfRule type="cellIs" dxfId="3462" priority="3359" stopIfTrue="1" operator="equal">
      <formula>"SI"</formula>
    </cfRule>
  </conditionalFormatting>
  <conditionalFormatting sqref="T1465:V1466">
    <cfRule type="cellIs" dxfId="3461" priority="3357" stopIfTrue="1" operator="equal">
      <formula>"NO APLICA"</formula>
    </cfRule>
  </conditionalFormatting>
  <conditionalFormatting sqref="T1467:U1467">
    <cfRule type="cellIs" dxfId="3460" priority="3356" stopIfTrue="1" operator="equal">
      <formula>"NO APLICA"</formula>
    </cfRule>
  </conditionalFormatting>
  <conditionalFormatting sqref="T1467:U1467">
    <cfRule type="cellIs" dxfId="3459" priority="3355" stopIfTrue="1" operator="equal">
      <formula>"NO APLICA"</formula>
    </cfRule>
  </conditionalFormatting>
  <conditionalFormatting sqref="V1467">
    <cfRule type="cellIs" dxfId="3458" priority="3354" stopIfTrue="1" operator="equal">
      <formula>"NO APLICA"</formula>
    </cfRule>
  </conditionalFormatting>
  <conditionalFormatting sqref="K1465:L1467">
    <cfRule type="cellIs" dxfId="3457" priority="3352" operator="equal">
      <formula>0</formula>
    </cfRule>
    <cfRule type="cellIs" dxfId="3456" priority="3353" operator="notBetween">
      <formula>$Q$17</formula>
      <formula>$R$17</formula>
    </cfRule>
  </conditionalFormatting>
  <conditionalFormatting sqref="F1498:H1503 D1504:H1504 I1498:I1504 C1495:D1495 K1495:O1504 F1495:I1497 D1496:D1503 C1496:C1504">
    <cfRule type="cellIs" dxfId="3455" priority="3351" stopIfTrue="1" operator="greaterThan">
      <formula>0</formula>
    </cfRule>
  </conditionalFormatting>
  <conditionalFormatting sqref="D1498:D1503">
    <cfRule type="cellIs" dxfId="3454" priority="3350" stopIfTrue="1" operator="greaterThan">
      <formula>0</formula>
    </cfRule>
  </conditionalFormatting>
  <conditionalFormatting sqref="D1498:D1503 F1498:H1503">
    <cfRule type="cellIs" dxfId="3453" priority="3349" stopIfTrue="1" operator="greaterThan">
      <formula>0</formula>
    </cfRule>
  </conditionalFormatting>
  <conditionalFormatting sqref="H1495:H1503">
    <cfRule type="cellIs" dxfId="3452" priority="3348" stopIfTrue="1" operator="greaterThan">
      <formula>0</formula>
    </cfRule>
  </conditionalFormatting>
  <conditionalFormatting sqref="E1495:E1503">
    <cfRule type="cellIs" dxfId="3451" priority="3347" stopIfTrue="1" operator="greaterThan">
      <formula>0</formula>
    </cfRule>
  </conditionalFormatting>
  <conditionalFormatting sqref="M1512:M1517 K1512:K1517">
    <cfRule type="containsText" dxfId="3450" priority="3345" stopIfTrue="1" operator="containsText" text="NO CUMPLE">
      <formula>NOT(ISERROR(SEARCH("NO CUMPLE",K1512)))</formula>
    </cfRule>
    <cfRule type="containsText" dxfId="3449" priority="3346" stopIfTrue="1" operator="containsText" text="CUMPLE">
      <formula>NOT(ISERROR(SEARCH("CUMPLE",K1512)))</formula>
    </cfRule>
  </conditionalFormatting>
  <conditionalFormatting sqref="S1511">
    <cfRule type="cellIs" dxfId="3448" priority="3343" operator="greaterThanOrEqual">
      <formula>NUMMINCONT</formula>
    </cfRule>
    <cfRule type="cellIs" dxfId="3447" priority="3344" operator="lessThan">
      <formula>NUMMINCONT</formula>
    </cfRule>
  </conditionalFormatting>
  <conditionalFormatting sqref="T1498:V1503">
    <cfRule type="cellIs" dxfId="3446" priority="3341" stopIfTrue="1" operator="equal">
      <formula>"NO"</formula>
    </cfRule>
    <cfRule type="cellIs" dxfId="3445" priority="3342" stopIfTrue="1" operator="equal">
      <formula>"SI"</formula>
    </cfRule>
  </conditionalFormatting>
  <conditionalFormatting sqref="T1498:V1499">
    <cfRule type="cellIs" dxfId="3444" priority="3340" stopIfTrue="1" operator="equal">
      <formula>"NO APLICA"</formula>
    </cfRule>
  </conditionalFormatting>
  <conditionalFormatting sqref="T1500:U1503">
    <cfRule type="cellIs" dxfId="3443" priority="3339" stopIfTrue="1" operator="equal">
      <formula>"NO APLICA"</formula>
    </cfRule>
  </conditionalFormatting>
  <conditionalFormatting sqref="T1500:U1500">
    <cfRule type="cellIs" dxfId="3442" priority="3338" stopIfTrue="1" operator="equal">
      <formula>"NO APLICA"</formula>
    </cfRule>
  </conditionalFormatting>
  <conditionalFormatting sqref="V1500:V1503">
    <cfRule type="cellIs" dxfId="3441" priority="3337" stopIfTrue="1" operator="equal">
      <formula>"NO APLICA"</formula>
    </cfRule>
  </conditionalFormatting>
  <conditionalFormatting sqref="V1509:W1509">
    <cfRule type="cellIs" dxfId="3440" priority="3335" operator="equal">
      <formula>"CUMPLE"</formula>
    </cfRule>
    <cfRule type="cellIs" dxfId="3439" priority="3336" operator="equal">
      <formula>"NO CUMPLE"</formula>
    </cfRule>
  </conditionalFormatting>
  <conditionalFormatting sqref="V1509:W1511">
    <cfRule type="cellIs" dxfId="3438" priority="3334" operator="equal">
      <formula>"VERIFICAR"</formula>
    </cfRule>
  </conditionalFormatting>
  <conditionalFormatting sqref="T1504:V1504">
    <cfRule type="cellIs" dxfId="3437" priority="3332" stopIfTrue="1" operator="equal">
      <formula>"NO"</formula>
    </cfRule>
    <cfRule type="cellIs" dxfId="3436" priority="3333" stopIfTrue="1" operator="equal">
      <formula>"SI"</formula>
    </cfRule>
  </conditionalFormatting>
  <conditionalFormatting sqref="T1504:U1504">
    <cfRule type="cellIs" dxfId="3435" priority="3331" stopIfTrue="1" operator="equal">
      <formula>"NO APLICA"</formula>
    </cfRule>
  </conditionalFormatting>
  <conditionalFormatting sqref="V1504">
    <cfRule type="cellIs" dxfId="3434" priority="3330" stopIfTrue="1" operator="equal">
      <formula>"NO APLICA"</formula>
    </cfRule>
  </conditionalFormatting>
  <conditionalFormatting sqref="T1514">
    <cfRule type="cellIs" dxfId="3433" priority="3328" operator="equal">
      <formula>"CUMPLE"</formula>
    </cfRule>
    <cfRule type="cellIs" dxfId="3432" priority="3329" operator="equal">
      <formula>"NO CUMPLE"</formula>
    </cfRule>
  </conditionalFormatting>
  <conditionalFormatting sqref="T1514">
    <cfRule type="cellIs" dxfId="3431" priority="3327" operator="equal">
      <formula>"VERIFICAR"</formula>
    </cfRule>
  </conditionalFormatting>
  <conditionalFormatting sqref="Y1512:Y1517">
    <cfRule type="cellIs" dxfId="3430" priority="3326" stopIfTrue="1" operator="equal">
      <formula>"NO APLICA"</formula>
    </cfRule>
  </conditionalFormatting>
  <conditionalFormatting sqref="Y1517">
    <cfRule type="cellIs" dxfId="3429" priority="3325" stopIfTrue="1" operator="equal">
      <formula>"NO APLICA"</formula>
    </cfRule>
  </conditionalFormatting>
  <conditionalFormatting sqref="X1512:Y1517">
    <cfRule type="cellIs" dxfId="3428" priority="3323" stopIfTrue="1" operator="equal">
      <formula>"NO"</formula>
    </cfRule>
    <cfRule type="cellIs" dxfId="3427" priority="3324" stopIfTrue="1" operator="equal">
      <formula>"SI"</formula>
    </cfRule>
  </conditionalFormatting>
  <conditionalFormatting sqref="X1512:X1517">
    <cfRule type="cellIs" dxfId="3426" priority="3322" stopIfTrue="1" operator="equal">
      <formula>"NO APLICA"</formula>
    </cfRule>
  </conditionalFormatting>
  <conditionalFormatting sqref="X1513:X1516">
    <cfRule type="cellIs" dxfId="3425" priority="3321" stopIfTrue="1" operator="equal">
      <formula>"NO APLICA"</formula>
    </cfRule>
  </conditionalFormatting>
  <conditionalFormatting sqref="X1513">
    <cfRule type="cellIs" dxfId="3424" priority="3320" stopIfTrue="1" operator="equal">
      <formula>"NO APLICA"</formula>
    </cfRule>
  </conditionalFormatting>
  <conditionalFormatting sqref="X1517">
    <cfRule type="cellIs" dxfId="3423" priority="3319" stopIfTrue="1" operator="equal">
      <formula>"NO APLICA"</formula>
    </cfRule>
  </conditionalFormatting>
  <conditionalFormatting sqref="X1517">
    <cfRule type="cellIs" dxfId="3422" priority="3318" stopIfTrue="1" operator="equal">
      <formula>"NO APLICA"</formula>
    </cfRule>
  </conditionalFormatting>
  <conditionalFormatting sqref="AA1512:AA1517">
    <cfRule type="cellIs" dxfId="3421" priority="3317" stopIfTrue="1" operator="equal">
      <formula>"NO APLICA"</formula>
    </cfRule>
  </conditionalFormatting>
  <conditionalFormatting sqref="AA1517">
    <cfRule type="cellIs" dxfId="3420" priority="3316" stopIfTrue="1" operator="equal">
      <formula>"NO APLICA"</formula>
    </cfRule>
  </conditionalFormatting>
  <conditionalFormatting sqref="AA1512:AA1517">
    <cfRule type="cellIs" dxfId="3419" priority="3314" stopIfTrue="1" operator="equal">
      <formula>"NO"</formula>
    </cfRule>
    <cfRule type="cellIs" dxfId="3418" priority="3315" stopIfTrue="1" operator="equal">
      <formula>"SI"</formula>
    </cfRule>
  </conditionalFormatting>
  <conditionalFormatting sqref="Y1512:Z1517">
    <cfRule type="cellIs" dxfId="3417" priority="3312" operator="equal">
      <formula>"NO APLICA"</formula>
    </cfRule>
    <cfRule type="cellIs" dxfId="3416" priority="3313" operator="equal">
      <formula>"SI APLICA"</formula>
    </cfRule>
  </conditionalFormatting>
  <conditionalFormatting sqref="AB1512:AB1518">
    <cfRule type="cellIs" dxfId="3415" priority="3310" operator="equal">
      <formula>"NO APLICA"</formula>
    </cfRule>
    <cfRule type="cellIs" dxfId="3414" priority="3311" operator="equal">
      <formula>"SI APLICA"</formula>
    </cfRule>
  </conditionalFormatting>
  <conditionalFormatting sqref="X1518">
    <cfRule type="cellIs" dxfId="3413" priority="3308" operator="equal">
      <formula>"PROPONENTE PLURAL"</formula>
    </cfRule>
    <cfRule type="cellIs" dxfId="3412" priority="3309" operator="equal">
      <formula>"PROPONENTE INDIVIDUAL"</formula>
    </cfRule>
  </conditionalFormatting>
  <conditionalFormatting sqref="Z1518:AA1518 AA1512:AA1517">
    <cfRule type="cellIs" dxfId="3411" priority="3306" operator="equal">
      <formula>"NO APLICA"</formula>
    </cfRule>
    <cfRule type="cellIs" dxfId="3410" priority="3307" operator="equal">
      <formula>"SI APLICA"</formula>
    </cfRule>
  </conditionalFormatting>
  <conditionalFormatting sqref="AB1512:AB1517 Y1512:Z1517">
    <cfRule type="cellIs" dxfId="3409" priority="3305" operator="equal">
      <formula>""</formula>
    </cfRule>
  </conditionalFormatting>
  <conditionalFormatting sqref="H1518">
    <cfRule type="containsText" dxfId="3408" priority="3303" stopIfTrue="1" operator="containsText" text="NO CUMPLE">
      <formula>NOT(ISERROR(SEARCH("NO CUMPLE",H1518)))</formula>
    </cfRule>
    <cfRule type="containsText" dxfId="3407" priority="3304" stopIfTrue="1" operator="containsText" text="CUMPLE">
      <formula>NOT(ISERROR(SEARCH("CUMPLE",H1518)))</formula>
    </cfRule>
  </conditionalFormatting>
  <conditionalFormatting sqref="J1518">
    <cfRule type="containsText" dxfId="3406" priority="3301" stopIfTrue="1" operator="containsText" text="NO CUMPLE">
      <formula>NOT(ISERROR(SEARCH("NO CUMPLE",J1518)))</formula>
    </cfRule>
    <cfRule type="containsText" dxfId="3405" priority="3302" stopIfTrue="1" operator="containsText" text="CUMPLE">
      <formula>NOT(ISERROR(SEARCH("CUMPLE",J1518)))</formula>
    </cfRule>
  </conditionalFormatting>
  <conditionalFormatting sqref="K1518">
    <cfRule type="containsText" dxfId="3404" priority="3299" stopIfTrue="1" operator="containsText" text="NO CUMPLE">
      <formula>NOT(ISERROR(SEARCH("NO CUMPLE",K1518)))</formula>
    </cfRule>
    <cfRule type="containsText" dxfId="3403" priority="3300" stopIfTrue="1" operator="containsText" text="CUMPLE">
      <formula>NOT(ISERROR(SEARCH("CUMPLE",K1518)))</formula>
    </cfRule>
  </conditionalFormatting>
  <conditionalFormatting sqref="L1512:L1517">
    <cfRule type="containsText" dxfId="3402" priority="3297" stopIfTrue="1" operator="containsText" text="NO CUMPLE">
      <formula>NOT(ISERROR(SEARCH("NO CUMPLE",L1512)))</formula>
    </cfRule>
    <cfRule type="containsText" dxfId="3401" priority="3298" stopIfTrue="1" operator="containsText" text="CUMPLE">
      <formula>NOT(ISERROR(SEARCH("CUMPLE",L1512)))</formula>
    </cfRule>
  </conditionalFormatting>
  <conditionalFormatting sqref="O1517">
    <cfRule type="containsText" dxfId="3400" priority="3295" stopIfTrue="1" operator="containsText" text="NO CUMPLE">
      <formula>NOT(ISERROR(SEARCH("NO CUMPLE",O1517)))</formula>
    </cfRule>
    <cfRule type="containsText" dxfId="3399" priority="3296" stopIfTrue="1" operator="containsText" text="CUMPLE">
      <formula>NOT(ISERROR(SEARCH("CUMPLE",O1517)))</formula>
    </cfRule>
  </conditionalFormatting>
  <conditionalFormatting sqref="O1518:S1518">
    <cfRule type="cellIs" dxfId="3398" priority="3294" operator="equal">
      <formula>"EL PROPONENTE SE DEBE REQUERIR POR EXPERIENCIA MINIMA EXIGIDA"</formula>
    </cfRule>
  </conditionalFormatting>
  <conditionalFormatting sqref="X1506">
    <cfRule type="cellIs" dxfId="3397" priority="3291" stopIfTrue="1" operator="equal">
      <formula>"VERIFICAR"</formula>
    </cfRule>
    <cfRule type="cellIs" dxfId="3396" priority="3292" stopIfTrue="1" operator="equal">
      <formula>"NO CUMPLE"</formula>
    </cfRule>
    <cfRule type="cellIs" dxfId="3395" priority="3293" stopIfTrue="1" operator="equal">
      <formula>"CUMPLE"</formula>
    </cfRule>
  </conditionalFormatting>
  <conditionalFormatting sqref="X1495:Y1504 J1495:J1504">
    <cfRule type="cellIs" dxfId="3394" priority="3290" stopIfTrue="1" operator="greaterThan">
      <formula>0</formula>
    </cfRule>
  </conditionalFormatting>
  <conditionalFormatting sqref="X1495:Y1504">
    <cfRule type="cellIs" dxfId="3393" priority="3288" operator="equal">
      <formula>"NO CUMPLE"</formula>
    </cfRule>
    <cfRule type="cellIs" dxfId="3392" priority="3289" operator="equal">
      <formula>"CUMPLE"</formula>
    </cfRule>
  </conditionalFormatting>
  <conditionalFormatting sqref="N1512:N1517">
    <cfRule type="cellIs" dxfId="3391" priority="3286" operator="equal">
      <formula>"NO"</formula>
    </cfRule>
    <cfRule type="cellIs" dxfId="3390" priority="3287" operator="equal">
      <formula>"SI"</formula>
    </cfRule>
  </conditionalFormatting>
  <conditionalFormatting sqref="I1504">
    <cfRule type="cellIs" dxfId="3389" priority="3285" stopIfTrue="1" operator="greaterThan">
      <formula>0</formula>
    </cfRule>
  </conditionalFormatting>
  <conditionalFormatting sqref="K1498:L1504">
    <cfRule type="cellIs" dxfId="3388" priority="3283" operator="equal">
      <formula>0</formula>
    </cfRule>
    <cfRule type="cellIs" dxfId="3387" priority="3284" operator="notBetween">
      <formula>$Q$17</formula>
      <formula>$R$17</formula>
    </cfRule>
  </conditionalFormatting>
  <conditionalFormatting sqref="B1495:B1504">
    <cfRule type="cellIs" dxfId="3386" priority="3282" stopIfTrue="1" operator="greaterThan">
      <formula>0</formula>
    </cfRule>
  </conditionalFormatting>
  <conditionalFormatting sqref="C1495:D1495 D1496:D1497 C1496:C1504">
    <cfRule type="cellIs" dxfId="3385" priority="3281" stopIfTrue="1" operator="greaterThan">
      <formula>0</formula>
    </cfRule>
  </conditionalFormatting>
  <conditionalFormatting sqref="C1495:D1495 F1495:H1497 D1496:D1497 C1496:C1504">
    <cfRule type="cellIs" dxfId="3384" priority="3280" stopIfTrue="1" operator="greaterThan">
      <formula>0</formula>
    </cfRule>
  </conditionalFormatting>
  <conditionalFormatting sqref="T1495:V1497">
    <cfRule type="cellIs" dxfId="3383" priority="3278" stopIfTrue="1" operator="equal">
      <formula>"NO"</formula>
    </cfRule>
    <cfRule type="cellIs" dxfId="3382" priority="3279" stopIfTrue="1" operator="equal">
      <formula>"SI"</formula>
    </cfRule>
  </conditionalFormatting>
  <conditionalFormatting sqref="T1495:V1496">
    <cfRule type="cellIs" dxfId="3381" priority="3277" stopIfTrue="1" operator="equal">
      <formula>"NO APLICA"</formula>
    </cfRule>
  </conditionalFormatting>
  <conditionalFormatting sqref="T1497:U1497">
    <cfRule type="cellIs" dxfId="3380" priority="3276" stopIfTrue="1" operator="equal">
      <formula>"NO APLICA"</formula>
    </cfRule>
  </conditionalFormatting>
  <conditionalFormatting sqref="T1497:U1497">
    <cfRule type="cellIs" dxfId="3379" priority="3275" stopIfTrue="1" operator="equal">
      <formula>"NO APLICA"</formula>
    </cfRule>
  </conditionalFormatting>
  <conditionalFormatting sqref="V1497">
    <cfRule type="cellIs" dxfId="3378" priority="3274" stopIfTrue="1" operator="equal">
      <formula>"NO APLICA"</formula>
    </cfRule>
  </conditionalFormatting>
  <conditionalFormatting sqref="K1495:L1497">
    <cfRule type="cellIs" dxfId="3377" priority="3272" operator="equal">
      <formula>0</formula>
    </cfRule>
    <cfRule type="cellIs" dxfId="3376" priority="3273" operator="notBetween">
      <formula>$Q$17</formula>
      <formula>$R$17</formula>
    </cfRule>
  </conditionalFormatting>
  <conditionalFormatting sqref="F1528:H1533 D1534:H1534 I1528:I1534 C1525:D1525 K1525:O1534 F1525:I1527 D1526:D1533 C1526:C1534">
    <cfRule type="cellIs" dxfId="3375" priority="3271" stopIfTrue="1" operator="greaterThan">
      <formula>0</formula>
    </cfRule>
  </conditionalFormatting>
  <conditionalFormatting sqref="D1528:D1533">
    <cfRule type="cellIs" dxfId="3374" priority="3270" stopIfTrue="1" operator="greaterThan">
      <formula>0</formula>
    </cfRule>
  </conditionalFormatting>
  <conditionalFormatting sqref="D1528:D1533 F1528:H1533">
    <cfRule type="cellIs" dxfId="3373" priority="3269" stopIfTrue="1" operator="greaterThan">
      <formula>0</formula>
    </cfRule>
  </conditionalFormatting>
  <conditionalFormatting sqref="H1525:H1533">
    <cfRule type="cellIs" dxfId="3372" priority="3268" stopIfTrue="1" operator="greaterThan">
      <formula>0</formula>
    </cfRule>
  </conditionalFormatting>
  <conditionalFormatting sqref="E1525:E1533">
    <cfRule type="cellIs" dxfId="3371" priority="3267" stopIfTrue="1" operator="greaterThan">
      <formula>0</formula>
    </cfRule>
  </conditionalFormatting>
  <conditionalFormatting sqref="M1542:M1547 K1542:K1547">
    <cfRule type="containsText" dxfId="3370" priority="3265" stopIfTrue="1" operator="containsText" text="NO CUMPLE">
      <formula>NOT(ISERROR(SEARCH("NO CUMPLE",K1542)))</formula>
    </cfRule>
    <cfRule type="containsText" dxfId="3369" priority="3266" stopIfTrue="1" operator="containsText" text="CUMPLE">
      <formula>NOT(ISERROR(SEARCH("CUMPLE",K1542)))</formula>
    </cfRule>
  </conditionalFormatting>
  <conditionalFormatting sqref="S1541">
    <cfRule type="cellIs" dxfId="3368" priority="3263" operator="greaterThanOrEqual">
      <formula>NUMMINCONT</formula>
    </cfRule>
    <cfRule type="cellIs" dxfId="3367" priority="3264" operator="lessThan">
      <formula>NUMMINCONT</formula>
    </cfRule>
  </conditionalFormatting>
  <conditionalFormatting sqref="T1528:V1533">
    <cfRule type="cellIs" dxfId="3366" priority="3261" stopIfTrue="1" operator="equal">
      <formula>"NO"</formula>
    </cfRule>
    <cfRule type="cellIs" dxfId="3365" priority="3262" stopIfTrue="1" operator="equal">
      <formula>"SI"</formula>
    </cfRule>
  </conditionalFormatting>
  <conditionalFormatting sqref="T1528:V1529">
    <cfRule type="cellIs" dxfId="3364" priority="3260" stopIfTrue="1" operator="equal">
      <formula>"NO APLICA"</formula>
    </cfRule>
  </conditionalFormatting>
  <conditionalFormatting sqref="T1530:U1533">
    <cfRule type="cellIs" dxfId="3363" priority="3259" stopIfTrue="1" operator="equal">
      <formula>"NO APLICA"</formula>
    </cfRule>
  </conditionalFormatting>
  <conditionalFormatting sqref="T1530:U1530">
    <cfRule type="cellIs" dxfId="3362" priority="3258" stopIfTrue="1" operator="equal">
      <formula>"NO APLICA"</formula>
    </cfRule>
  </conditionalFormatting>
  <conditionalFormatting sqref="V1530:V1533">
    <cfRule type="cellIs" dxfId="3361" priority="3257" stopIfTrue="1" operator="equal">
      <formula>"NO APLICA"</formula>
    </cfRule>
  </conditionalFormatting>
  <conditionalFormatting sqref="V1539:W1539">
    <cfRule type="cellIs" dxfId="3360" priority="3255" operator="equal">
      <formula>"CUMPLE"</formula>
    </cfRule>
    <cfRule type="cellIs" dxfId="3359" priority="3256" operator="equal">
      <formula>"NO CUMPLE"</formula>
    </cfRule>
  </conditionalFormatting>
  <conditionalFormatting sqref="V1539:W1541">
    <cfRule type="cellIs" dxfId="3358" priority="3254" operator="equal">
      <formula>"VERIFICAR"</formula>
    </cfRule>
  </conditionalFormatting>
  <conditionalFormatting sqref="T1534:V1534">
    <cfRule type="cellIs" dxfId="3357" priority="3252" stopIfTrue="1" operator="equal">
      <formula>"NO"</formula>
    </cfRule>
    <cfRule type="cellIs" dxfId="3356" priority="3253" stopIfTrue="1" operator="equal">
      <formula>"SI"</formula>
    </cfRule>
  </conditionalFormatting>
  <conditionalFormatting sqref="T1534:U1534">
    <cfRule type="cellIs" dxfId="3355" priority="3251" stopIfTrue="1" operator="equal">
      <formula>"NO APLICA"</formula>
    </cfRule>
  </conditionalFormatting>
  <conditionalFormatting sqref="V1534">
    <cfRule type="cellIs" dxfId="3354" priority="3250" stopIfTrue="1" operator="equal">
      <formula>"NO APLICA"</formula>
    </cfRule>
  </conditionalFormatting>
  <conditionalFormatting sqref="T1544">
    <cfRule type="cellIs" dxfId="3353" priority="3248" operator="equal">
      <formula>"CUMPLE"</formula>
    </cfRule>
    <cfRule type="cellIs" dxfId="3352" priority="3249" operator="equal">
      <formula>"NO CUMPLE"</formula>
    </cfRule>
  </conditionalFormatting>
  <conditionalFormatting sqref="T1544">
    <cfRule type="cellIs" dxfId="3351" priority="3247" operator="equal">
      <formula>"VERIFICAR"</formula>
    </cfRule>
  </conditionalFormatting>
  <conditionalFormatting sqref="Y1542:Y1547">
    <cfRule type="cellIs" dxfId="3350" priority="3246" stopIfTrue="1" operator="equal">
      <formula>"NO APLICA"</formula>
    </cfRule>
  </conditionalFormatting>
  <conditionalFormatting sqref="Y1547">
    <cfRule type="cellIs" dxfId="3349" priority="3245" stopIfTrue="1" operator="equal">
      <formula>"NO APLICA"</formula>
    </cfRule>
  </conditionalFormatting>
  <conditionalFormatting sqref="X1542:Y1547">
    <cfRule type="cellIs" dxfId="3348" priority="3243" stopIfTrue="1" operator="equal">
      <formula>"NO"</formula>
    </cfRule>
    <cfRule type="cellIs" dxfId="3347" priority="3244" stopIfTrue="1" operator="equal">
      <formula>"SI"</formula>
    </cfRule>
  </conditionalFormatting>
  <conditionalFormatting sqref="X1542:X1547">
    <cfRule type="cellIs" dxfId="3346" priority="3242" stopIfTrue="1" operator="equal">
      <formula>"NO APLICA"</formula>
    </cfRule>
  </conditionalFormatting>
  <conditionalFormatting sqref="X1543:X1546">
    <cfRule type="cellIs" dxfId="3345" priority="3241" stopIfTrue="1" operator="equal">
      <formula>"NO APLICA"</formula>
    </cfRule>
  </conditionalFormatting>
  <conditionalFormatting sqref="X1543">
    <cfRule type="cellIs" dxfId="3344" priority="3240" stopIfTrue="1" operator="equal">
      <formula>"NO APLICA"</formula>
    </cfRule>
  </conditionalFormatting>
  <conditionalFormatting sqref="X1547">
    <cfRule type="cellIs" dxfId="3343" priority="3239" stopIfTrue="1" operator="equal">
      <formula>"NO APLICA"</formula>
    </cfRule>
  </conditionalFormatting>
  <conditionalFormatting sqref="X1547">
    <cfRule type="cellIs" dxfId="3342" priority="3238" stopIfTrue="1" operator="equal">
      <formula>"NO APLICA"</formula>
    </cfRule>
  </conditionalFormatting>
  <conditionalFormatting sqref="AA1542:AA1547">
    <cfRule type="cellIs" dxfId="3341" priority="3237" stopIfTrue="1" operator="equal">
      <formula>"NO APLICA"</formula>
    </cfRule>
  </conditionalFormatting>
  <conditionalFormatting sqref="AA1547">
    <cfRule type="cellIs" dxfId="3340" priority="3236" stopIfTrue="1" operator="equal">
      <formula>"NO APLICA"</formula>
    </cfRule>
  </conditionalFormatting>
  <conditionalFormatting sqref="AA1542:AA1547">
    <cfRule type="cellIs" dxfId="3339" priority="3234" stopIfTrue="1" operator="equal">
      <formula>"NO"</formula>
    </cfRule>
    <cfRule type="cellIs" dxfId="3338" priority="3235" stopIfTrue="1" operator="equal">
      <formula>"SI"</formula>
    </cfRule>
  </conditionalFormatting>
  <conditionalFormatting sqref="Y1542:Z1547">
    <cfRule type="cellIs" dxfId="3337" priority="3232" operator="equal">
      <formula>"NO APLICA"</formula>
    </cfRule>
    <cfRule type="cellIs" dxfId="3336" priority="3233" operator="equal">
      <formula>"SI APLICA"</formula>
    </cfRule>
  </conditionalFormatting>
  <conditionalFormatting sqref="AB1542:AB1548">
    <cfRule type="cellIs" dxfId="3335" priority="3230" operator="equal">
      <formula>"NO APLICA"</formula>
    </cfRule>
    <cfRule type="cellIs" dxfId="3334" priority="3231" operator="equal">
      <formula>"SI APLICA"</formula>
    </cfRule>
  </conditionalFormatting>
  <conditionalFormatting sqref="X1548">
    <cfRule type="cellIs" dxfId="3333" priority="3228" operator="equal">
      <formula>"PROPONENTE PLURAL"</formula>
    </cfRule>
    <cfRule type="cellIs" dxfId="3332" priority="3229" operator="equal">
      <formula>"PROPONENTE INDIVIDUAL"</formula>
    </cfRule>
  </conditionalFormatting>
  <conditionalFormatting sqref="Z1548:AA1548 AA1542:AA1547">
    <cfRule type="cellIs" dxfId="3331" priority="3226" operator="equal">
      <formula>"NO APLICA"</formula>
    </cfRule>
    <cfRule type="cellIs" dxfId="3330" priority="3227" operator="equal">
      <formula>"SI APLICA"</formula>
    </cfRule>
  </conditionalFormatting>
  <conditionalFormatting sqref="AB1542:AB1547 Y1542:Z1547">
    <cfRule type="cellIs" dxfId="3329" priority="3225" operator="equal">
      <formula>""</formula>
    </cfRule>
  </conditionalFormatting>
  <conditionalFormatting sqref="H1548">
    <cfRule type="containsText" dxfId="3328" priority="3223" stopIfTrue="1" operator="containsText" text="NO CUMPLE">
      <formula>NOT(ISERROR(SEARCH("NO CUMPLE",H1548)))</formula>
    </cfRule>
    <cfRule type="containsText" dxfId="3327" priority="3224" stopIfTrue="1" operator="containsText" text="CUMPLE">
      <formula>NOT(ISERROR(SEARCH("CUMPLE",H1548)))</formula>
    </cfRule>
  </conditionalFormatting>
  <conditionalFormatting sqref="J1548">
    <cfRule type="containsText" dxfId="3326" priority="3221" stopIfTrue="1" operator="containsText" text="NO CUMPLE">
      <formula>NOT(ISERROR(SEARCH("NO CUMPLE",J1548)))</formula>
    </cfRule>
    <cfRule type="containsText" dxfId="3325" priority="3222" stopIfTrue="1" operator="containsText" text="CUMPLE">
      <formula>NOT(ISERROR(SEARCH("CUMPLE",J1548)))</formula>
    </cfRule>
  </conditionalFormatting>
  <conditionalFormatting sqref="K1548">
    <cfRule type="containsText" dxfId="3324" priority="3219" stopIfTrue="1" operator="containsText" text="NO CUMPLE">
      <formula>NOT(ISERROR(SEARCH("NO CUMPLE",K1548)))</formula>
    </cfRule>
    <cfRule type="containsText" dxfId="3323" priority="3220" stopIfTrue="1" operator="containsText" text="CUMPLE">
      <formula>NOT(ISERROR(SEARCH("CUMPLE",K1548)))</formula>
    </cfRule>
  </conditionalFormatting>
  <conditionalFormatting sqref="L1542:L1547">
    <cfRule type="containsText" dxfId="3322" priority="3217" stopIfTrue="1" operator="containsText" text="NO CUMPLE">
      <formula>NOT(ISERROR(SEARCH("NO CUMPLE",L1542)))</formula>
    </cfRule>
    <cfRule type="containsText" dxfId="3321" priority="3218" stopIfTrue="1" operator="containsText" text="CUMPLE">
      <formula>NOT(ISERROR(SEARCH("CUMPLE",L1542)))</formula>
    </cfRule>
  </conditionalFormatting>
  <conditionalFormatting sqref="O1547">
    <cfRule type="containsText" dxfId="3320" priority="3215" stopIfTrue="1" operator="containsText" text="NO CUMPLE">
      <formula>NOT(ISERROR(SEARCH("NO CUMPLE",O1547)))</formula>
    </cfRule>
    <cfRule type="containsText" dxfId="3319" priority="3216" stopIfTrue="1" operator="containsText" text="CUMPLE">
      <formula>NOT(ISERROR(SEARCH("CUMPLE",O1547)))</formula>
    </cfRule>
  </conditionalFormatting>
  <conditionalFormatting sqref="O1548:S1548">
    <cfRule type="cellIs" dxfId="3318" priority="3214" operator="equal">
      <formula>"EL PROPONENTE SE DEBE REQUERIR POR EXPERIENCIA MINIMA EXIGIDA"</formula>
    </cfRule>
  </conditionalFormatting>
  <conditionalFormatting sqref="X1536">
    <cfRule type="cellIs" dxfId="3317" priority="3211" stopIfTrue="1" operator="equal">
      <formula>"VERIFICAR"</formula>
    </cfRule>
    <cfRule type="cellIs" dxfId="3316" priority="3212" stopIfTrue="1" operator="equal">
      <formula>"NO CUMPLE"</formula>
    </cfRule>
    <cfRule type="cellIs" dxfId="3315" priority="3213" stopIfTrue="1" operator="equal">
      <formula>"CUMPLE"</formula>
    </cfRule>
  </conditionalFormatting>
  <conditionalFormatting sqref="X1525:Y1534 J1525:J1534">
    <cfRule type="cellIs" dxfId="3314" priority="3210" stopIfTrue="1" operator="greaterThan">
      <formula>0</formula>
    </cfRule>
  </conditionalFormatting>
  <conditionalFormatting sqref="X1525:Y1534">
    <cfRule type="cellIs" dxfId="3313" priority="3208" operator="equal">
      <formula>"NO CUMPLE"</formula>
    </cfRule>
    <cfRule type="cellIs" dxfId="3312" priority="3209" operator="equal">
      <formula>"CUMPLE"</formula>
    </cfRule>
  </conditionalFormatting>
  <conditionalFormatting sqref="N1542:N1547">
    <cfRule type="cellIs" dxfId="3311" priority="3206" operator="equal">
      <formula>"NO"</formula>
    </cfRule>
    <cfRule type="cellIs" dxfId="3310" priority="3207" operator="equal">
      <formula>"SI"</formula>
    </cfRule>
  </conditionalFormatting>
  <conditionalFormatting sqref="I1534">
    <cfRule type="cellIs" dxfId="3309" priority="3205" stopIfTrue="1" operator="greaterThan">
      <formula>0</formula>
    </cfRule>
  </conditionalFormatting>
  <conditionalFormatting sqref="K1528:L1534">
    <cfRule type="cellIs" dxfId="3308" priority="3203" operator="equal">
      <formula>0</formula>
    </cfRule>
    <cfRule type="cellIs" dxfId="3307" priority="3204" operator="notBetween">
      <formula>$Q$17</formula>
      <formula>$R$17</formula>
    </cfRule>
  </conditionalFormatting>
  <conditionalFormatting sqref="B1525:B1534">
    <cfRule type="cellIs" dxfId="3306" priority="3202" stopIfTrue="1" operator="greaterThan">
      <formula>0</formula>
    </cfRule>
  </conditionalFormatting>
  <conditionalFormatting sqref="C1525:D1525 D1526:D1527 C1526:C1534">
    <cfRule type="cellIs" dxfId="3305" priority="3201" stopIfTrue="1" operator="greaterThan">
      <formula>0</formula>
    </cfRule>
  </conditionalFormatting>
  <conditionalFormatting sqref="C1525:D1525 F1525:H1527 D1526:D1527 C1526:C1534">
    <cfRule type="cellIs" dxfId="3304" priority="3200" stopIfTrue="1" operator="greaterThan">
      <formula>0</formula>
    </cfRule>
  </conditionalFormatting>
  <conditionalFormatting sqref="T1525:V1527">
    <cfRule type="cellIs" dxfId="3303" priority="3198" stopIfTrue="1" operator="equal">
      <formula>"NO"</formula>
    </cfRule>
    <cfRule type="cellIs" dxfId="3302" priority="3199" stopIfTrue="1" operator="equal">
      <formula>"SI"</formula>
    </cfRule>
  </conditionalFormatting>
  <conditionalFormatting sqref="T1525:V1526">
    <cfRule type="cellIs" dxfId="3301" priority="3197" stopIfTrue="1" operator="equal">
      <formula>"NO APLICA"</formula>
    </cfRule>
  </conditionalFormatting>
  <conditionalFormatting sqref="T1527:U1527">
    <cfRule type="cellIs" dxfId="3300" priority="3196" stopIfTrue="1" operator="equal">
      <formula>"NO APLICA"</formula>
    </cfRule>
  </conditionalFormatting>
  <conditionalFormatting sqref="T1527:U1527">
    <cfRule type="cellIs" dxfId="3299" priority="3195" stopIfTrue="1" operator="equal">
      <formula>"NO APLICA"</formula>
    </cfRule>
  </conditionalFormatting>
  <conditionalFormatting sqref="V1527">
    <cfRule type="cellIs" dxfId="3298" priority="3194" stopIfTrue="1" operator="equal">
      <formula>"NO APLICA"</formula>
    </cfRule>
  </conditionalFormatting>
  <conditionalFormatting sqref="K1525:L1527">
    <cfRule type="cellIs" dxfId="3297" priority="3192" operator="equal">
      <formula>0</formula>
    </cfRule>
    <cfRule type="cellIs" dxfId="3296" priority="3193" operator="notBetween">
      <formula>$Q$17</formula>
      <formula>$R$17</formula>
    </cfRule>
  </conditionalFormatting>
  <conditionalFormatting sqref="F1558:H1563 D1564:H1564 I1558:I1564 C1555:D1555 K1555:O1564 F1555:I1557 D1556:D1563 C1556:C1564">
    <cfRule type="cellIs" dxfId="3295" priority="3191" stopIfTrue="1" operator="greaterThan">
      <formula>0</formula>
    </cfRule>
  </conditionalFormatting>
  <conditionalFormatting sqref="D1558:D1563">
    <cfRule type="cellIs" dxfId="3294" priority="3190" stopIfTrue="1" operator="greaterThan">
      <formula>0</formula>
    </cfRule>
  </conditionalFormatting>
  <conditionalFormatting sqref="D1558:D1563 F1558:H1563">
    <cfRule type="cellIs" dxfId="3293" priority="3189" stopIfTrue="1" operator="greaterThan">
      <formula>0</formula>
    </cfRule>
  </conditionalFormatting>
  <conditionalFormatting sqref="H1555:H1563">
    <cfRule type="cellIs" dxfId="3292" priority="3188" stopIfTrue="1" operator="greaterThan">
      <formula>0</formula>
    </cfRule>
  </conditionalFormatting>
  <conditionalFormatting sqref="E1555:E1563">
    <cfRule type="cellIs" dxfId="3291" priority="3187" stopIfTrue="1" operator="greaterThan">
      <formula>0</formula>
    </cfRule>
  </conditionalFormatting>
  <conditionalFormatting sqref="M1572:M1577 K1572:K1577">
    <cfRule type="containsText" dxfId="3290" priority="3185" stopIfTrue="1" operator="containsText" text="NO CUMPLE">
      <formula>NOT(ISERROR(SEARCH("NO CUMPLE",K1572)))</formula>
    </cfRule>
    <cfRule type="containsText" dxfId="3289" priority="3186" stopIfTrue="1" operator="containsText" text="CUMPLE">
      <formula>NOT(ISERROR(SEARCH("CUMPLE",K1572)))</formula>
    </cfRule>
  </conditionalFormatting>
  <conditionalFormatting sqref="S1571">
    <cfRule type="cellIs" dxfId="3288" priority="3183" operator="greaterThanOrEqual">
      <formula>NUMMINCONT</formula>
    </cfRule>
    <cfRule type="cellIs" dxfId="3287" priority="3184" operator="lessThan">
      <formula>NUMMINCONT</formula>
    </cfRule>
  </conditionalFormatting>
  <conditionalFormatting sqref="T1558:V1563">
    <cfRule type="cellIs" dxfId="3286" priority="3181" stopIfTrue="1" operator="equal">
      <formula>"NO"</formula>
    </cfRule>
    <cfRule type="cellIs" dxfId="3285" priority="3182" stopIfTrue="1" operator="equal">
      <formula>"SI"</formula>
    </cfRule>
  </conditionalFormatting>
  <conditionalFormatting sqref="T1558:V1559">
    <cfRule type="cellIs" dxfId="3284" priority="3180" stopIfTrue="1" operator="equal">
      <formula>"NO APLICA"</formula>
    </cfRule>
  </conditionalFormatting>
  <conditionalFormatting sqref="T1560:U1563">
    <cfRule type="cellIs" dxfId="3283" priority="3179" stopIfTrue="1" operator="equal">
      <formula>"NO APLICA"</formula>
    </cfRule>
  </conditionalFormatting>
  <conditionalFormatting sqref="T1560:U1560">
    <cfRule type="cellIs" dxfId="3282" priority="3178" stopIfTrue="1" operator="equal">
      <formula>"NO APLICA"</formula>
    </cfRule>
  </conditionalFormatting>
  <conditionalFormatting sqref="V1560:V1563">
    <cfRule type="cellIs" dxfId="3281" priority="3177" stopIfTrue="1" operator="equal">
      <formula>"NO APLICA"</formula>
    </cfRule>
  </conditionalFormatting>
  <conditionalFormatting sqref="V1569:W1569">
    <cfRule type="cellIs" dxfId="3280" priority="3175" operator="equal">
      <formula>"CUMPLE"</formula>
    </cfRule>
    <cfRule type="cellIs" dxfId="3279" priority="3176" operator="equal">
      <formula>"NO CUMPLE"</formula>
    </cfRule>
  </conditionalFormatting>
  <conditionalFormatting sqref="V1569:W1571">
    <cfRule type="cellIs" dxfId="3278" priority="3174" operator="equal">
      <formula>"VERIFICAR"</formula>
    </cfRule>
  </conditionalFormatting>
  <conditionalFormatting sqref="T1564:V1564">
    <cfRule type="cellIs" dxfId="3277" priority="3172" stopIfTrue="1" operator="equal">
      <formula>"NO"</formula>
    </cfRule>
    <cfRule type="cellIs" dxfId="3276" priority="3173" stopIfTrue="1" operator="equal">
      <formula>"SI"</formula>
    </cfRule>
  </conditionalFormatting>
  <conditionalFormatting sqref="T1564:U1564">
    <cfRule type="cellIs" dxfId="3275" priority="3171" stopIfTrue="1" operator="equal">
      <formula>"NO APLICA"</formula>
    </cfRule>
  </conditionalFormatting>
  <conditionalFormatting sqref="V1564">
    <cfRule type="cellIs" dxfId="3274" priority="3170" stopIfTrue="1" operator="equal">
      <formula>"NO APLICA"</formula>
    </cfRule>
  </conditionalFormatting>
  <conditionalFormatting sqref="T1574">
    <cfRule type="cellIs" dxfId="3273" priority="3168" operator="equal">
      <formula>"CUMPLE"</formula>
    </cfRule>
    <cfRule type="cellIs" dxfId="3272" priority="3169" operator="equal">
      <formula>"NO CUMPLE"</formula>
    </cfRule>
  </conditionalFormatting>
  <conditionalFormatting sqref="T1574">
    <cfRule type="cellIs" dxfId="3271" priority="3167" operator="equal">
      <formula>"VERIFICAR"</formula>
    </cfRule>
  </conditionalFormatting>
  <conditionalFormatting sqref="Y1572:Y1577">
    <cfRule type="cellIs" dxfId="3270" priority="3166" stopIfTrue="1" operator="equal">
      <formula>"NO APLICA"</formula>
    </cfRule>
  </conditionalFormatting>
  <conditionalFormatting sqref="Y1577">
    <cfRule type="cellIs" dxfId="3269" priority="3165" stopIfTrue="1" operator="equal">
      <formula>"NO APLICA"</formula>
    </cfRule>
  </conditionalFormatting>
  <conditionalFormatting sqref="X1572:Y1577">
    <cfRule type="cellIs" dxfId="3268" priority="3163" stopIfTrue="1" operator="equal">
      <formula>"NO"</formula>
    </cfRule>
    <cfRule type="cellIs" dxfId="3267" priority="3164" stopIfTrue="1" operator="equal">
      <formula>"SI"</formula>
    </cfRule>
  </conditionalFormatting>
  <conditionalFormatting sqref="X1572:X1577">
    <cfRule type="cellIs" dxfId="3266" priority="3162" stopIfTrue="1" operator="equal">
      <formula>"NO APLICA"</formula>
    </cfRule>
  </conditionalFormatting>
  <conditionalFormatting sqref="X1573:X1576">
    <cfRule type="cellIs" dxfId="3265" priority="3161" stopIfTrue="1" operator="equal">
      <formula>"NO APLICA"</formula>
    </cfRule>
  </conditionalFormatting>
  <conditionalFormatting sqref="X1573">
    <cfRule type="cellIs" dxfId="3264" priority="3160" stopIfTrue="1" operator="equal">
      <formula>"NO APLICA"</formula>
    </cfRule>
  </conditionalFormatting>
  <conditionalFormatting sqref="X1577">
    <cfRule type="cellIs" dxfId="3263" priority="3159" stopIfTrue="1" operator="equal">
      <formula>"NO APLICA"</formula>
    </cfRule>
  </conditionalFormatting>
  <conditionalFormatting sqref="X1577">
    <cfRule type="cellIs" dxfId="3262" priority="3158" stopIfTrue="1" operator="equal">
      <formula>"NO APLICA"</formula>
    </cfRule>
  </conditionalFormatting>
  <conditionalFormatting sqref="AA1572:AA1577">
    <cfRule type="cellIs" dxfId="3261" priority="3157" stopIfTrue="1" operator="equal">
      <formula>"NO APLICA"</formula>
    </cfRule>
  </conditionalFormatting>
  <conditionalFormatting sqref="AA1577">
    <cfRule type="cellIs" dxfId="3260" priority="3156" stopIfTrue="1" operator="equal">
      <formula>"NO APLICA"</formula>
    </cfRule>
  </conditionalFormatting>
  <conditionalFormatting sqref="AA1572:AA1577">
    <cfRule type="cellIs" dxfId="3259" priority="3154" stopIfTrue="1" operator="equal">
      <formula>"NO"</formula>
    </cfRule>
    <cfRule type="cellIs" dxfId="3258" priority="3155" stopIfTrue="1" operator="equal">
      <formula>"SI"</formula>
    </cfRule>
  </conditionalFormatting>
  <conditionalFormatting sqref="Y1572:Z1577">
    <cfRule type="cellIs" dxfId="3257" priority="3152" operator="equal">
      <formula>"NO APLICA"</formula>
    </cfRule>
    <cfRule type="cellIs" dxfId="3256" priority="3153" operator="equal">
      <formula>"SI APLICA"</formula>
    </cfRule>
  </conditionalFormatting>
  <conditionalFormatting sqref="AB1572:AB1578">
    <cfRule type="cellIs" dxfId="3255" priority="3150" operator="equal">
      <formula>"NO APLICA"</formula>
    </cfRule>
    <cfRule type="cellIs" dxfId="3254" priority="3151" operator="equal">
      <formula>"SI APLICA"</formula>
    </cfRule>
  </conditionalFormatting>
  <conditionalFormatting sqref="X1578">
    <cfRule type="cellIs" dxfId="3253" priority="3148" operator="equal">
      <formula>"PROPONENTE PLURAL"</formula>
    </cfRule>
    <cfRule type="cellIs" dxfId="3252" priority="3149" operator="equal">
      <formula>"PROPONENTE INDIVIDUAL"</formula>
    </cfRule>
  </conditionalFormatting>
  <conditionalFormatting sqref="Z1578:AA1578 AA1572:AA1577">
    <cfRule type="cellIs" dxfId="3251" priority="3146" operator="equal">
      <formula>"NO APLICA"</formula>
    </cfRule>
    <cfRule type="cellIs" dxfId="3250" priority="3147" operator="equal">
      <formula>"SI APLICA"</formula>
    </cfRule>
  </conditionalFormatting>
  <conditionalFormatting sqref="AB1572:AB1577 Y1572:Z1577">
    <cfRule type="cellIs" dxfId="3249" priority="3145" operator="equal">
      <formula>""</formula>
    </cfRule>
  </conditionalFormatting>
  <conditionalFormatting sqref="H1578">
    <cfRule type="containsText" dxfId="3248" priority="3143" stopIfTrue="1" operator="containsText" text="NO CUMPLE">
      <formula>NOT(ISERROR(SEARCH("NO CUMPLE",H1578)))</formula>
    </cfRule>
    <cfRule type="containsText" dxfId="3247" priority="3144" stopIfTrue="1" operator="containsText" text="CUMPLE">
      <formula>NOT(ISERROR(SEARCH("CUMPLE",H1578)))</formula>
    </cfRule>
  </conditionalFormatting>
  <conditionalFormatting sqref="J1578">
    <cfRule type="containsText" dxfId="3246" priority="3141" stopIfTrue="1" operator="containsText" text="NO CUMPLE">
      <formula>NOT(ISERROR(SEARCH("NO CUMPLE",J1578)))</formula>
    </cfRule>
    <cfRule type="containsText" dxfId="3245" priority="3142" stopIfTrue="1" operator="containsText" text="CUMPLE">
      <formula>NOT(ISERROR(SEARCH("CUMPLE",J1578)))</formula>
    </cfRule>
  </conditionalFormatting>
  <conditionalFormatting sqref="K1578">
    <cfRule type="containsText" dxfId="3244" priority="3139" stopIfTrue="1" operator="containsText" text="NO CUMPLE">
      <formula>NOT(ISERROR(SEARCH("NO CUMPLE",K1578)))</formula>
    </cfRule>
    <cfRule type="containsText" dxfId="3243" priority="3140" stopIfTrue="1" operator="containsText" text="CUMPLE">
      <formula>NOT(ISERROR(SEARCH("CUMPLE",K1578)))</formula>
    </cfRule>
  </conditionalFormatting>
  <conditionalFormatting sqref="L1572:L1577">
    <cfRule type="containsText" dxfId="3242" priority="3137" stopIfTrue="1" operator="containsText" text="NO CUMPLE">
      <formula>NOT(ISERROR(SEARCH("NO CUMPLE",L1572)))</formula>
    </cfRule>
    <cfRule type="containsText" dxfId="3241" priority="3138" stopIfTrue="1" operator="containsText" text="CUMPLE">
      <formula>NOT(ISERROR(SEARCH("CUMPLE",L1572)))</formula>
    </cfRule>
  </conditionalFormatting>
  <conditionalFormatting sqref="O1577">
    <cfRule type="containsText" dxfId="3240" priority="3135" stopIfTrue="1" operator="containsText" text="NO CUMPLE">
      <formula>NOT(ISERROR(SEARCH("NO CUMPLE",O1577)))</formula>
    </cfRule>
    <cfRule type="containsText" dxfId="3239" priority="3136" stopIfTrue="1" operator="containsText" text="CUMPLE">
      <formula>NOT(ISERROR(SEARCH("CUMPLE",O1577)))</formula>
    </cfRule>
  </conditionalFormatting>
  <conditionalFormatting sqref="O1578:S1578">
    <cfRule type="cellIs" dxfId="3238" priority="3134" operator="equal">
      <formula>"EL PROPONENTE SE DEBE REQUERIR POR EXPERIENCIA MINIMA EXIGIDA"</formula>
    </cfRule>
  </conditionalFormatting>
  <conditionalFormatting sqref="X1566">
    <cfRule type="cellIs" dxfId="3237" priority="3131" stopIfTrue="1" operator="equal">
      <formula>"VERIFICAR"</formula>
    </cfRule>
    <cfRule type="cellIs" dxfId="3236" priority="3132" stopIfTrue="1" operator="equal">
      <formula>"NO CUMPLE"</formula>
    </cfRule>
    <cfRule type="cellIs" dxfId="3235" priority="3133" stopIfTrue="1" operator="equal">
      <formula>"CUMPLE"</formula>
    </cfRule>
  </conditionalFormatting>
  <conditionalFormatting sqref="X1555:Y1564 J1555:J1564">
    <cfRule type="cellIs" dxfId="3234" priority="3130" stopIfTrue="1" operator="greaterThan">
      <formula>0</formula>
    </cfRule>
  </conditionalFormatting>
  <conditionalFormatting sqref="X1555:Y1564">
    <cfRule type="cellIs" dxfId="3233" priority="3128" operator="equal">
      <formula>"NO CUMPLE"</formula>
    </cfRule>
    <cfRule type="cellIs" dxfId="3232" priority="3129" operator="equal">
      <formula>"CUMPLE"</formula>
    </cfRule>
  </conditionalFormatting>
  <conditionalFormatting sqref="N1572:N1577">
    <cfRule type="cellIs" dxfId="3231" priority="3126" operator="equal">
      <formula>"NO"</formula>
    </cfRule>
    <cfRule type="cellIs" dxfId="3230" priority="3127" operator="equal">
      <formula>"SI"</formula>
    </cfRule>
  </conditionalFormatting>
  <conditionalFormatting sqref="I1564">
    <cfRule type="cellIs" dxfId="3229" priority="3125" stopIfTrue="1" operator="greaterThan">
      <formula>0</formula>
    </cfRule>
  </conditionalFormatting>
  <conditionalFormatting sqref="K1558:L1564">
    <cfRule type="cellIs" dxfId="3228" priority="3123" operator="equal">
      <formula>0</formula>
    </cfRule>
    <cfRule type="cellIs" dxfId="3227" priority="3124" operator="notBetween">
      <formula>$Q$17</formula>
      <formula>$R$17</formula>
    </cfRule>
  </conditionalFormatting>
  <conditionalFormatting sqref="B1555:B1564">
    <cfRule type="cellIs" dxfId="3226" priority="3122" stopIfTrue="1" operator="greaterThan">
      <formula>0</formula>
    </cfRule>
  </conditionalFormatting>
  <conditionalFormatting sqref="C1555:D1555 D1556:D1557 C1556:C1564">
    <cfRule type="cellIs" dxfId="3225" priority="3121" stopIfTrue="1" operator="greaterThan">
      <formula>0</formula>
    </cfRule>
  </conditionalFormatting>
  <conditionalFormatting sqref="C1555:D1555 F1555:H1557 D1556:D1557 C1556:C1564">
    <cfRule type="cellIs" dxfId="3224" priority="3120" stopIfTrue="1" operator="greaterThan">
      <formula>0</formula>
    </cfRule>
  </conditionalFormatting>
  <conditionalFormatting sqref="T1555:V1557">
    <cfRule type="cellIs" dxfId="3223" priority="3118" stopIfTrue="1" operator="equal">
      <formula>"NO"</formula>
    </cfRule>
    <cfRule type="cellIs" dxfId="3222" priority="3119" stopIfTrue="1" operator="equal">
      <formula>"SI"</formula>
    </cfRule>
  </conditionalFormatting>
  <conditionalFormatting sqref="T1555:V1556">
    <cfRule type="cellIs" dxfId="3221" priority="3117" stopIfTrue="1" operator="equal">
      <formula>"NO APLICA"</formula>
    </cfRule>
  </conditionalFormatting>
  <conditionalFormatting sqref="T1557:U1557">
    <cfRule type="cellIs" dxfId="3220" priority="3116" stopIfTrue="1" operator="equal">
      <formula>"NO APLICA"</formula>
    </cfRule>
  </conditionalFormatting>
  <conditionalFormatting sqref="T1557:U1557">
    <cfRule type="cellIs" dxfId="3219" priority="3115" stopIfTrue="1" operator="equal">
      <formula>"NO APLICA"</formula>
    </cfRule>
  </conditionalFormatting>
  <conditionalFormatting sqref="V1557">
    <cfRule type="cellIs" dxfId="3218" priority="3114" stopIfTrue="1" operator="equal">
      <formula>"NO APLICA"</formula>
    </cfRule>
  </conditionalFormatting>
  <conditionalFormatting sqref="K1555:L1557">
    <cfRule type="cellIs" dxfId="3217" priority="3112" operator="equal">
      <formula>0</formula>
    </cfRule>
    <cfRule type="cellIs" dxfId="3216" priority="3113" operator="notBetween">
      <formula>$Q$17</formula>
      <formula>$R$17</formula>
    </cfRule>
  </conditionalFormatting>
  <conditionalFormatting sqref="F1588:H1593 D1594:H1594 I1588:I1594 C1585:D1585 K1585:O1594 F1585:I1587 D1586:D1593 C1586:C1594">
    <cfRule type="cellIs" dxfId="3215" priority="3111" stopIfTrue="1" operator="greaterThan">
      <formula>0</formula>
    </cfRule>
  </conditionalFormatting>
  <conditionalFormatting sqref="D1588:D1593">
    <cfRule type="cellIs" dxfId="3214" priority="3110" stopIfTrue="1" operator="greaterThan">
      <formula>0</formula>
    </cfRule>
  </conditionalFormatting>
  <conditionalFormatting sqref="D1588:D1593 F1588:H1593">
    <cfRule type="cellIs" dxfId="3213" priority="3109" stopIfTrue="1" operator="greaterThan">
      <formula>0</formula>
    </cfRule>
  </conditionalFormatting>
  <conditionalFormatting sqref="H1585:H1593">
    <cfRule type="cellIs" dxfId="3212" priority="3108" stopIfTrue="1" operator="greaterThan">
      <formula>0</formula>
    </cfRule>
  </conditionalFormatting>
  <conditionalFormatting sqref="E1585:E1593">
    <cfRule type="cellIs" dxfId="3211" priority="3107" stopIfTrue="1" operator="greaterThan">
      <formula>0</formula>
    </cfRule>
  </conditionalFormatting>
  <conditionalFormatting sqref="M1602:M1607 K1602:K1607">
    <cfRule type="containsText" dxfId="3210" priority="3105" stopIfTrue="1" operator="containsText" text="NO CUMPLE">
      <formula>NOT(ISERROR(SEARCH("NO CUMPLE",K1602)))</formula>
    </cfRule>
    <cfRule type="containsText" dxfId="3209" priority="3106" stopIfTrue="1" operator="containsText" text="CUMPLE">
      <formula>NOT(ISERROR(SEARCH("CUMPLE",K1602)))</formula>
    </cfRule>
  </conditionalFormatting>
  <conditionalFormatting sqref="S1601">
    <cfRule type="cellIs" dxfId="3208" priority="3103" operator="greaterThanOrEqual">
      <formula>NUMMINCONT</formula>
    </cfRule>
    <cfRule type="cellIs" dxfId="3207" priority="3104" operator="lessThan">
      <formula>NUMMINCONT</formula>
    </cfRule>
  </conditionalFormatting>
  <conditionalFormatting sqref="T1588:V1593">
    <cfRule type="cellIs" dxfId="3206" priority="3101" stopIfTrue="1" operator="equal">
      <formula>"NO"</formula>
    </cfRule>
    <cfRule type="cellIs" dxfId="3205" priority="3102" stopIfTrue="1" operator="equal">
      <formula>"SI"</formula>
    </cfRule>
  </conditionalFormatting>
  <conditionalFormatting sqref="T1588:V1589">
    <cfRule type="cellIs" dxfId="3204" priority="3100" stopIfTrue="1" operator="equal">
      <formula>"NO APLICA"</formula>
    </cfRule>
  </conditionalFormatting>
  <conditionalFormatting sqref="T1590:U1593">
    <cfRule type="cellIs" dxfId="3203" priority="3099" stopIfTrue="1" operator="equal">
      <formula>"NO APLICA"</formula>
    </cfRule>
  </conditionalFormatting>
  <conditionalFormatting sqref="T1590:U1590">
    <cfRule type="cellIs" dxfId="3202" priority="3098" stopIfTrue="1" operator="equal">
      <formula>"NO APLICA"</formula>
    </cfRule>
  </conditionalFormatting>
  <conditionalFormatting sqref="V1590:V1593">
    <cfRule type="cellIs" dxfId="3201" priority="3097" stopIfTrue="1" operator="equal">
      <formula>"NO APLICA"</formula>
    </cfRule>
  </conditionalFormatting>
  <conditionalFormatting sqref="V1599:W1599">
    <cfRule type="cellIs" dxfId="3200" priority="3095" operator="equal">
      <formula>"CUMPLE"</formula>
    </cfRule>
    <cfRule type="cellIs" dxfId="3199" priority="3096" operator="equal">
      <formula>"NO CUMPLE"</formula>
    </cfRule>
  </conditionalFormatting>
  <conditionalFormatting sqref="V1599:W1601">
    <cfRule type="cellIs" dxfId="3198" priority="3094" operator="equal">
      <formula>"VERIFICAR"</formula>
    </cfRule>
  </conditionalFormatting>
  <conditionalFormatting sqref="T1594:V1594">
    <cfRule type="cellIs" dxfId="3197" priority="3092" stopIfTrue="1" operator="equal">
      <formula>"NO"</formula>
    </cfRule>
    <cfRule type="cellIs" dxfId="3196" priority="3093" stopIfTrue="1" operator="equal">
      <formula>"SI"</formula>
    </cfRule>
  </conditionalFormatting>
  <conditionalFormatting sqref="T1594:U1594">
    <cfRule type="cellIs" dxfId="3195" priority="3091" stopIfTrue="1" operator="equal">
      <formula>"NO APLICA"</formula>
    </cfRule>
  </conditionalFormatting>
  <conditionalFormatting sqref="V1594">
    <cfRule type="cellIs" dxfId="3194" priority="3090" stopIfTrue="1" operator="equal">
      <formula>"NO APLICA"</formula>
    </cfRule>
  </conditionalFormatting>
  <conditionalFormatting sqref="T1604">
    <cfRule type="cellIs" dxfId="3193" priority="3088" operator="equal">
      <formula>"CUMPLE"</formula>
    </cfRule>
    <cfRule type="cellIs" dxfId="3192" priority="3089" operator="equal">
      <formula>"NO CUMPLE"</formula>
    </cfRule>
  </conditionalFormatting>
  <conditionalFormatting sqref="T1604">
    <cfRule type="cellIs" dxfId="3191" priority="3087" operator="equal">
      <formula>"VERIFICAR"</formula>
    </cfRule>
  </conditionalFormatting>
  <conditionalFormatting sqref="Y1602:Y1607">
    <cfRule type="cellIs" dxfId="3190" priority="3086" stopIfTrue="1" operator="equal">
      <formula>"NO APLICA"</formula>
    </cfRule>
  </conditionalFormatting>
  <conditionalFormatting sqref="Y1607">
    <cfRule type="cellIs" dxfId="3189" priority="3085" stopIfTrue="1" operator="equal">
      <formula>"NO APLICA"</formula>
    </cfRule>
  </conditionalFormatting>
  <conditionalFormatting sqref="X1602:Y1607">
    <cfRule type="cellIs" dxfId="3188" priority="3083" stopIfTrue="1" operator="equal">
      <formula>"NO"</formula>
    </cfRule>
    <cfRule type="cellIs" dxfId="3187" priority="3084" stopIfTrue="1" operator="equal">
      <formula>"SI"</formula>
    </cfRule>
  </conditionalFormatting>
  <conditionalFormatting sqref="X1602:X1607">
    <cfRule type="cellIs" dxfId="3186" priority="3082" stopIfTrue="1" operator="equal">
      <formula>"NO APLICA"</formula>
    </cfRule>
  </conditionalFormatting>
  <conditionalFormatting sqref="X1603:X1606">
    <cfRule type="cellIs" dxfId="3185" priority="3081" stopIfTrue="1" operator="equal">
      <formula>"NO APLICA"</formula>
    </cfRule>
  </conditionalFormatting>
  <conditionalFormatting sqref="X1603">
    <cfRule type="cellIs" dxfId="3184" priority="3080" stopIfTrue="1" operator="equal">
      <formula>"NO APLICA"</formula>
    </cfRule>
  </conditionalFormatting>
  <conditionalFormatting sqref="X1607">
    <cfRule type="cellIs" dxfId="3183" priority="3079" stopIfTrue="1" operator="equal">
      <formula>"NO APLICA"</formula>
    </cfRule>
  </conditionalFormatting>
  <conditionalFormatting sqref="X1607">
    <cfRule type="cellIs" dxfId="3182" priority="3078" stopIfTrue="1" operator="equal">
      <formula>"NO APLICA"</formula>
    </cfRule>
  </conditionalFormatting>
  <conditionalFormatting sqref="AA1602:AA1607">
    <cfRule type="cellIs" dxfId="3181" priority="3077" stopIfTrue="1" operator="equal">
      <formula>"NO APLICA"</formula>
    </cfRule>
  </conditionalFormatting>
  <conditionalFormatting sqref="AA1607">
    <cfRule type="cellIs" dxfId="3180" priority="3076" stopIfTrue="1" operator="equal">
      <formula>"NO APLICA"</formula>
    </cfRule>
  </conditionalFormatting>
  <conditionalFormatting sqref="AA1602:AA1607">
    <cfRule type="cellIs" dxfId="3179" priority="3074" stopIfTrue="1" operator="equal">
      <formula>"NO"</formula>
    </cfRule>
    <cfRule type="cellIs" dxfId="3178" priority="3075" stopIfTrue="1" operator="equal">
      <formula>"SI"</formula>
    </cfRule>
  </conditionalFormatting>
  <conditionalFormatting sqref="Y1602:Z1607">
    <cfRule type="cellIs" dxfId="3177" priority="3072" operator="equal">
      <formula>"NO APLICA"</formula>
    </cfRule>
    <cfRule type="cellIs" dxfId="3176" priority="3073" operator="equal">
      <formula>"SI APLICA"</formula>
    </cfRule>
  </conditionalFormatting>
  <conditionalFormatting sqref="AB1602:AB1608">
    <cfRule type="cellIs" dxfId="3175" priority="3070" operator="equal">
      <formula>"NO APLICA"</formula>
    </cfRule>
    <cfRule type="cellIs" dxfId="3174" priority="3071" operator="equal">
      <formula>"SI APLICA"</formula>
    </cfRule>
  </conditionalFormatting>
  <conditionalFormatting sqref="X1608">
    <cfRule type="cellIs" dxfId="3173" priority="3068" operator="equal">
      <formula>"PROPONENTE PLURAL"</formula>
    </cfRule>
    <cfRule type="cellIs" dxfId="3172" priority="3069" operator="equal">
      <formula>"PROPONENTE INDIVIDUAL"</formula>
    </cfRule>
  </conditionalFormatting>
  <conditionalFormatting sqref="Z1608:AA1608 AA1602:AA1607">
    <cfRule type="cellIs" dxfId="3171" priority="3066" operator="equal">
      <formula>"NO APLICA"</formula>
    </cfRule>
    <cfRule type="cellIs" dxfId="3170" priority="3067" operator="equal">
      <formula>"SI APLICA"</formula>
    </cfRule>
  </conditionalFormatting>
  <conditionalFormatting sqref="AB1602:AB1607 Y1602:Z1607">
    <cfRule type="cellIs" dxfId="3169" priority="3065" operator="equal">
      <formula>""</formula>
    </cfRule>
  </conditionalFormatting>
  <conditionalFormatting sqref="H1608">
    <cfRule type="containsText" dxfId="3168" priority="3063" stopIfTrue="1" operator="containsText" text="NO CUMPLE">
      <formula>NOT(ISERROR(SEARCH("NO CUMPLE",H1608)))</formula>
    </cfRule>
    <cfRule type="containsText" dxfId="3167" priority="3064" stopIfTrue="1" operator="containsText" text="CUMPLE">
      <formula>NOT(ISERROR(SEARCH("CUMPLE",H1608)))</formula>
    </cfRule>
  </conditionalFormatting>
  <conditionalFormatting sqref="J1608">
    <cfRule type="containsText" dxfId="3166" priority="3061" stopIfTrue="1" operator="containsText" text="NO CUMPLE">
      <formula>NOT(ISERROR(SEARCH("NO CUMPLE",J1608)))</formula>
    </cfRule>
    <cfRule type="containsText" dxfId="3165" priority="3062" stopIfTrue="1" operator="containsText" text="CUMPLE">
      <formula>NOT(ISERROR(SEARCH("CUMPLE",J1608)))</formula>
    </cfRule>
  </conditionalFormatting>
  <conditionalFormatting sqref="K1608">
    <cfRule type="containsText" dxfId="3164" priority="3059" stopIfTrue="1" operator="containsText" text="NO CUMPLE">
      <formula>NOT(ISERROR(SEARCH("NO CUMPLE",K1608)))</formula>
    </cfRule>
    <cfRule type="containsText" dxfId="3163" priority="3060" stopIfTrue="1" operator="containsText" text="CUMPLE">
      <formula>NOT(ISERROR(SEARCH("CUMPLE",K1608)))</formula>
    </cfRule>
  </conditionalFormatting>
  <conditionalFormatting sqref="L1602:L1607">
    <cfRule type="containsText" dxfId="3162" priority="3057" stopIfTrue="1" operator="containsText" text="NO CUMPLE">
      <formula>NOT(ISERROR(SEARCH("NO CUMPLE",L1602)))</formula>
    </cfRule>
    <cfRule type="containsText" dxfId="3161" priority="3058" stopIfTrue="1" operator="containsText" text="CUMPLE">
      <formula>NOT(ISERROR(SEARCH("CUMPLE",L1602)))</formula>
    </cfRule>
  </conditionalFormatting>
  <conditionalFormatting sqref="O1607">
    <cfRule type="containsText" dxfId="3160" priority="3055" stopIfTrue="1" operator="containsText" text="NO CUMPLE">
      <formula>NOT(ISERROR(SEARCH("NO CUMPLE",O1607)))</formula>
    </cfRule>
    <cfRule type="containsText" dxfId="3159" priority="3056" stopIfTrue="1" operator="containsText" text="CUMPLE">
      <formula>NOT(ISERROR(SEARCH("CUMPLE",O1607)))</formula>
    </cfRule>
  </conditionalFormatting>
  <conditionalFormatting sqref="O1608:S1608">
    <cfRule type="cellIs" dxfId="3158" priority="3054" operator="equal">
      <formula>"EL PROPONENTE SE DEBE REQUERIR POR EXPERIENCIA MINIMA EXIGIDA"</formula>
    </cfRule>
  </conditionalFormatting>
  <conditionalFormatting sqref="X1596">
    <cfRule type="cellIs" dxfId="3157" priority="3051" stopIfTrue="1" operator="equal">
      <formula>"VERIFICAR"</formula>
    </cfRule>
    <cfRule type="cellIs" dxfId="3156" priority="3052" stopIfTrue="1" operator="equal">
      <formula>"NO CUMPLE"</formula>
    </cfRule>
    <cfRule type="cellIs" dxfId="3155" priority="3053" stopIfTrue="1" operator="equal">
      <formula>"CUMPLE"</formula>
    </cfRule>
  </conditionalFormatting>
  <conditionalFormatting sqref="X1585:Y1594 J1585:J1594">
    <cfRule type="cellIs" dxfId="3154" priority="3050" stopIfTrue="1" operator="greaterThan">
      <formula>0</formula>
    </cfRule>
  </conditionalFormatting>
  <conditionalFormatting sqref="X1585:Y1594">
    <cfRule type="cellIs" dxfId="3153" priority="3048" operator="equal">
      <formula>"NO CUMPLE"</formula>
    </cfRule>
    <cfRule type="cellIs" dxfId="3152" priority="3049" operator="equal">
      <formula>"CUMPLE"</formula>
    </cfRule>
  </conditionalFormatting>
  <conditionalFormatting sqref="N1602:N1607">
    <cfRule type="cellIs" dxfId="3151" priority="3046" operator="equal">
      <formula>"NO"</formula>
    </cfRule>
    <cfRule type="cellIs" dxfId="3150" priority="3047" operator="equal">
      <formula>"SI"</formula>
    </cfRule>
  </conditionalFormatting>
  <conditionalFormatting sqref="I1594">
    <cfRule type="cellIs" dxfId="3149" priority="3045" stopIfTrue="1" operator="greaterThan">
      <formula>0</formula>
    </cfRule>
  </conditionalFormatting>
  <conditionalFormatting sqref="K1588:L1594">
    <cfRule type="cellIs" dxfId="3148" priority="3043" operator="equal">
      <formula>0</formula>
    </cfRule>
    <cfRule type="cellIs" dxfId="3147" priority="3044" operator="notBetween">
      <formula>$Q$17</formula>
      <formula>$R$17</formula>
    </cfRule>
  </conditionalFormatting>
  <conditionalFormatting sqref="B1585:B1594">
    <cfRule type="cellIs" dxfId="3146" priority="3042" stopIfTrue="1" operator="greaterThan">
      <formula>0</formula>
    </cfRule>
  </conditionalFormatting>
  <conditionalFormatting sqref="C1585:D1585 D1586:D1587 C1586:C1594">
    <cfRule type="cellIs" dxfId="3145" priority="3041" stopIfTrue="1" operator="greaterThan">
      <formula>0</formula>
    </cfRule>
  </conditionalFormatting>
  <conditionalFormatting sqref="C1585:D1585 F1585:H1587 D1586:D1587 C1586:C1594">
    <cfRule type="cellIs" dxfId="3144" priority="3040" stopIfTrue="1" operator="greaterThan">
      <formula>0</formula>
    </cfRule>
  </conditionalFormatting>
  <conditionalFormatting sqref="T1585:V1587">
    <cfRule type="cellIs" dxfId="3143" priority="3038" stopIfTrue="1" operator="equal">
      <formula>"NO"</formula>
    </cfRule>
    <cfRule type="cellIs" dxfId="3142" priority="3039" stopIfTrue="1" operator="equal">
      <formula>"SI"</formula>
    </cfRule>
  </conditionalFormatting>
  <conditionalFormatting sqref="T1585:V1586">
    <cfRule type="cellIs" dxfId="3141" priority="3037" stopIfTrue="1" operator="equal">
      <formula>"NO APLICA"</formula>
    </cfRule>
  </conditionalFormatting>
  <conditionalFormatting sqref="T1587:U1587">
    <cfRule type="cellIs" dxfId="3140" priority="3036" stopIfTrue="1" operator="equal">
      <formula>"NO APLICA"</formula>
    </cfRule>
  </conditionalFormatting>
  <conditionalFormatting sqref="T1587:U1587">
    <cfRule type="cellIs" dxfId="3139" priority="3035" stopIfTrue="1" operator="equal">
      <formula>"NO APLICA"</formula>
    </cfRule>
  </conditionalFormatting>
  <conditionalFormatting sqref="V1587">
    <cfRule type="cellIs" dxfId="3138" priority="3034" stopIfTrue="1" operator="equal">
      <formula>"NO APLICA"</formula>
    </cfRule>
  </conditionalFormatting>
  <conditionalFormatting sqref="K1585:L1587">
    <cfRule type="cellIs" dxfId="3137" priority="3032" operator="equal">
      <formula>0</formula>
    </cfRule>
    <cfRule type="cellIs" dxfId="3136" priority="3033" operator="notBetween">
      <formula>$Q$17</formula>
      <formula>$R$17</formula>
    </cfRule>
  </conditionalFormatting>
  <conditionalFormatting sqref="F1618:H1623 D1624:H1624 I1618:I1624 C1615:D1615 K1615:O1624 F1615:I1617 D1616:D1623 C1616:C1624">
    <cfRule type="cellIs" dxfId="3135" priority="3031" stopIfTrue="1" operator="greaterThan">
      <formula>0</formula>
    </cfRule>
  </conditionalFormatting>
  <conditionalFormatting sqref="D1618:D1623">
    <cfRule type="cellIs" dxfId="3134" priority="3030" stopIfTrue="1" operator="greaterThan">
      <formula>0</formula>
    </cfRule>
  </conditionalFormatting>
  <conditionalFormatting sqref="D1618:D1623 F1618:H1623">
    <cfRule type="cellIs" dxfId="3133" priority="3029" stopIfTrue="1" operator="greaterThan">
      <formula>0</formula>
    </cfRule>
  </conditionalFormatting>
  <conditionalFormatting sqref="H1615:H1623">
    <cfRule type="cellIs" dxfId="3132" priority="3028" stopIfTrue="1" operator="greaterThan">
      <formula>0</formula>
    </cfRule>
  </conditionalFormatting>
  <conditionalFormatting sqref="E1615:E1623">
    <cfRule type="cellIs" dxfId="3131" priority="3027" stopIfTrue="1" operator="greaterThan">
      <formula>0</formula>
    </cfRule>
  </conditionalFormatting>
  <conditionalFormatting sqref="M1632:M1637 K1632:K1637">
    <cfRule type="containsText" dxfId="3130" priority="3025" stopIfTrue="1" operator="containsText" text="NO CUMPLE">
      <formula>NOT(ISERROR(SEARCH("NO CUMPLE",K1632)))</formula>
    </cfRule>
    <cfRule type="containsText" dxfId="3129" priority="3026" stopIfTrue="1" operator="containsText" text="CUMPLE">
      <formula>NOT(ISERROR(SEARCH("CUMPLE",K1632)))</formula>
    </cfRule>
  </conditionalFormatting>
  <conditionalFormatting sqref="S1631">
    <cfRule type="cellIs" dxfId="3128" priority="3023" operator="greaterThanOrEqual">
      <formula>NUMMINCONT</formula>
    </cfRule>
    <cfRule type="cellIs" dxfId="3127" priority="3024" operator="lessThan">
      <formula>NUMMINCONT</formula>
    </cfRule>
  </conditionalFormatting>
  <conditionalFormatting sqref="T1618:V1623">
    <cfRule type="cellIs" dxfId="3126" priority="3021" stopIfTrue="1" operator="equal">
      <formula>"NO"</formula>
    </cfRule>
    <cfRule type="cellIs" dxfId="3125" priority="3022" stopIfTrue="1" operator="equal">
      <formula>"SI"</formula>
    </cfRule>
  </conditionalFormatting>
  <conditionalFormatting sqref="T1618:V1619">
    <cfRule type="cellIs" dxfId="3124" priority="3020" stopIfTrue="1" operator="equal">
      <formula>"NO APLICA"</formula>
    </cfRule>
  </conditionalFormatting>
  <conditionalFormatting sqref="T1620:U1623">
    <cfRule type="cellIs" dxfId="3123" priority="3019" stopIfTrue="1" operator="equal">
      <formula>"NO APLICA"</formula>
    </cfRule>
  </conditionalFormatting>
  <conditionalFormatting sqref="T1620:U1620">
    <cfRule type="cellIs" dxfId="3122" priority="3018" stopIfTrue="1" operator="equal">
      <formula>"NO APLICA"</formula>
    </cfRule>
  </conditionalFormatting>
  <conditionalFormatting sqref="V1620:V1623">
    <cfRule type="cellIs" dxfId="3121" priority="3017" stopIfTrue="1" operator="equal">
      <formula>"NO APLICA"</formula>
    </cfRule>
  </conditionalFormatting>
  <conditionalFormatting sqref="V1629:W1629">
    <cfRule type="cellIs" dxfId="3120" priority="3015" operator="equal">
      <formula>"CUMPLE"</formula>
    </cfRule>
    <cfRule type="cellIs" dxfId="3119" priority="3016" operator="equal">
      <formula>"NO CUMPLE"</formula>
    </cfRule>
  </conditionalFormatting>
  <conditionalFormatting sqref="V1629:W1631">
    <cfRule type="cellIs" dxfId="3118" priority="3014" operator="equal">
      <formula>"VERIFICAR"</formula>
    </cfRule>
  </conditionalFormatting>
  <conditionalFormatting sqref="T1624:V1624">
    <cfRule type="cellIs" dxfId="3117" priority="3012" stopIfTrue="1" operator="equal">
      <formula>"NO"</formula>
    </cfRule>
    <cfRule type="cellIs" dxfId="3116" priority="3013" stopIfTrue="1" operator="equal">
      <formula>"SI"</formula>
    </cfRule>
  </conditionalFormatting>
  <conditionalFormatting sqref="T1624:U1624">
    <cfRule type="cellIs" dxfId="3115" priority="3011" stopIfTrue="1" operator="equal">
      <formula>"NO APLICA"</formula>
    </cfRule>
  </conditionalFormatting>
  <conditionalFormatting sqref="V1624">
    <cfRule type="cellIs" dxfId="3114" priority="3010" stopIfTrue="1" operator="equal">
      <formula>"NO APLICA"</formula>
    </cfRule>
  </conditionalFormatting>
  <conditionalFormatting sqref="T1634">
    <cfRule type="cellIs" dxfId="3113" priority="3008" operator="equal">
      <formula>"CUMPLE"</formula>
    </cfRule>
    <cfRule type="cellIs" dxfId="3112" priority="3009" operator="equal">
      <formula>"NO CUMPLE"</formula>
    </cfRule>
  </conditionalFormatting>
  <conditionalFormatting sqref="T1634">
    <cfRule type="cellIs" dxfId="3111" priority="3007" operator="equal">
      <formula>"VERIFICAR"</formula>
    </cfRule>
  </conditionalFormatting>
  <conditionalFormatting sqref="Y1632:Y1637">
    <cfRule type="cellIs" dxfId="3110" priority="3006" stopIfTrue="1" operator="equal">
      <formula>"NO APLICA"</formula>
    </cfRule>
  </conditionalFormatting>
  <conditionalFormatting sqref="Y1637">
    <cfRule type="cellIs" dxfId="3109" priority="3005" stopIfTrue="1" operator="equal">
      <formula>"NO APLICA"</formula>
    </cfRule>
  </conditionalFormatting>
  <conditionalFormatting sqref="X1632:Y1637">
    <cfRule type="cellIs" dxfId="3108" priority="3003" stopIfTrue="1" operator="equal">
      <formula>"NO"</formula>
    </cfRule>
    <cfRule type="cellIs" dxfId="3107" priority="3004" stopIfTrue="1" operator="equal">
      <formula>"SI"</formula>
    </cfRule>
  </conditionalFormatting>
  <conditionalFormatting sqref="X1632:X1637">
    <cfRule type="cellIs" dxfId="3106" priority="3002" stopIfTrue="1" operator="equal">
      <formula>"NO APLICA"</formula>
    </cfRule>
  </conditionalFormatting>
  <conditionalFormatting sqref="X1633:X1636">
    <cfRule type="cellIs" dxfId="3105" priority="3001" stopIfTrue="1" operator="equal">
      <formula>"NO APLICA"</formula>
    </cfRule>
  </conditionalFormatting>
  <conditionalFormatting sqref="X1633">
    <cfRule type="cellIs" dxfId="3104" priority="3000" stopIfTrue="1" operator="equal">
      <formula>"NO APLICA"</formula>
    </cfRule>
  </conditionalFormatting>
  <conditionalFormatting sqref="X1637">
    <cfRule type="cellIs" dxfId="3103" priority="2999" stopIfTrue="1" operator="equal">
      <formula>"NO APLICA"</formula>
    </cfRule>
  </conditionalFormatting>
  <conditionalFormatting sqref="X1637">
    <cfRule type="cellIs" dxfId="3102" priority="2998" stopIfTrue="1" operator="equal">
      <formula>"NO APLICA"</formula>
    </cfRule>
  </conditionalFormatting>
  <conditionalFormatting sqref="AA1632:AA1637">
    <cfRule type="cellIs" dxfId="3101" priority="2997" stopIfTrue="1" operator="equal">
      <formula>"NO APLICA"</formula>
    </cfRule>
  </conditionalFormatting>
  <conditionalFormatting sqref="AA1637">
    <cfRule type="cellIs" dxfId="3100" priority="2996" stopIfTrue="1" operator="equal">
      <formula>"NO APLICA"</formula>
    </cfRule>
  </conditionalFormatting>
  <conditionalFormatting sqref="AA1632:AA1637">
    <cfRule type="cellIs" dxfId="3099" priority="2994" stopIfTrue="1" operator="equal">
      <formula>"NO"</formula>
    </cfRule>
    <cfRule type="cellIs" dxfId="3098" priority="2995" stopIfTrue="1" operator="equal">
      <formula>"SI"</formula>
    </cfRule>
  </conditionalFormatting>
  <conditionalFormatting sqref="Y1632:Z1637">
    <cfRule type="cellIs" dxfId="3097" priority="2992" operator="equal">
      <formula>"NO APLICA"</formula>
    </cfRule>
    <cfRule type="cellIs" dxfId="3096" priority="2993" operator="equal">
      <formula>"SI APLICA"</formula>
    </cfRule>
  </conditionalFormatting>
  <conditionalFormatting sqref="AB1632:AB1638">
    <cfRule type="cellIs" dxfId="3095" priority="2990" operator="equal">
      <formula>"NO APLICA"</formula>
    </cfRule>
    <cfRule type="cellIs" dxfId="3094" priority="2991" operator="equal">
      <formula>"SI APLICA"</formula>
    </cfRule>
  </conditionalFormatting>
  <conditionalFormatting sqref="X1638">
    <cfRule type="cellIs" dxfId="3093" priority="2988" operator="equal">
      <formula>"PROPONENTE PLURAL"</formula>
    </cfRule>
    <cfRule type="cellIs" dxfId="3092" priority="2989" operator="equal">
      <formula>"PROPONENTE INDIVIDUAL"</formula>
    </cfRule>
  </conditionalFormatting>
  <conditionalFormatting sqref="Z1638:AA1638 AA1632:AA1637">
    <cfRule type="cellIs" dxfId="3091" priority="2986" operator="equal">
      <formula>"NO APLICA"</formula>
    </cfRule>
    <cfRule type="cellIs" dxfId="3090" priority="2987" operator="equal">
      <formula>"SI APLICA"</formula>
    </cfRule>
  </conditionalFormatting>
  <conditionalFormatting sqref="AB1632:AB1637 Y1632:Z1637">
    <cfRule type="cellIs" dxfId="3089" priority="2985" operator="equal">
      <formula>""</formula>
    </cfRule>
  </conditionalFormatting>
  <conditionalFormatting sqref="H1638">
    <cfRule type="containsText" dxfId="3088" priority="2983" stopIfTrue="1" operator="containsText" text="NO CUMPLE">
      <formula>NOT(ISERROR(SEARCH("NO CUMPLE",H1638)))</formula>
    </cfRule>
    <cfRule type="containsText" dxfId="3087" priority="2984" stopIfTrue="1" operator="containsText" text="CUMPLE">
      <formula>NOT(ISERROR(SEARCH("CUMPLE",H1638)))</formula>
    </cfRule>
  </conditionalFormatting>
  <conditionalFormatting sqref="J1638">
    <cfRule type="containsText" dxfId="3086" priority="2981" stopIfTrue="1" operator="containsText" text="NO CUMPLE">
      <formula>NOT(ISERROR(SEARCH("NO CUMPLE",J1638)))</formula>
    </cfRule>
    <cfRule type="containsText" dxfId="3085" priority="2982" stopIfTrue="1" operator="containsText" text="CUMPLE">
      <formula>NOT(ISERROR(SEARCH("CUMPLE",J1638)))</formula>
    </cfRule>
  </conditionalFormatting>
  <conditionalFormatting sqref="K1638">
    <cfRule type="containsText" dxfId="3084" priority="2979" stopIfTrue="1" operator="containsText" text="NO CUMPLE">
      <formula>NOT(ISERROR(SEARCH("NO CUMPLE",K1638)))</formula>
    </cfRule>
    <cfRule type="containsText" dxfId="3083" priority="2980" stopIfTrue="1" operator="containsText" text="CUMPLE">
      <formula>NOT(ISERROR(SEARCH("CUMPLE",K1638)))</formula>
    </cfRule>
  </conditionalFormatting>
  <conditionalFormatting sqref="L1632:L1637">
    <cfRule type="containsText" dxfId="3082" priority="2977" stopIfTrue="1" operator="containsText" text="NO CUMPLE">
      <formula>NOT(ISERROR(SEARCH("NO CUMPLE",L1632)))</formula>
    </cfRule>
    <cfRule type="containsText" dxfId="3081" priority="2978" stopIfTrue="1" operator="containsText" text="CUMPLE">
      <formula>NOT(ISERROR(SEARCH("CUMPLE",L1632)))</formula>
    </cfRule>
  </conditionalFormatting>
  <conditionalFormatting sqref="O1637">
    <cfRule type="containsText" dxfId="3080" priority="2975" stopIfTrue="1" operator="containsText" text="NO CUMPLE">
      <formula>NOT(ISERROR(SEARCH("NO CUMPLE",O1637)))</formula>
    </cfRule>
    <cfRule type="containsText" dxfId="3079" priority="2976" stopIfTrue="1" operator="containsText" text="CUMPLE">
      <formula>NOT(ISERROR(SEARCH("CUMPLE",O1637)))</formula>
    </cfRule>
  </conditionalFormatting>
  <conditionalFormatting sqref="O1638:S1638">
    <cfRule type="cellIs" dxfId="3078" priority="2974" operator="equal">
      <formula>"EL PROPONENTE SE DEBE REQUERIR POR EXPERIENCIA MINIMA EXIGIDA"</formula>
    </cfRule>
  </conditionalFormatting>
  <conditionalFormatting sqref="X1626">
    <cfRule type="cellIs" dxfId="3077" priority="2971" stopIfTrue="1" operator="equal">
      <formula>"VERIFICAR"</formula>
    </cfRule>
    <cfRule type="cellIs" dxfId="3076" priority="2972" stopIfTrue="1" operator="equal">
      <formula>"NO CUMPLE"</formula>
    </cfRule>
    <cfRule type="cellIs" dxfId="3075" priority="2973" stopIfTrue="1" operator="equal">
      <formula>"CUMPLE"</formula>
    </cfRule>
  </conditionalFormatting>
  <conditionalFormatting sqref="X1615:Y1624 J1615:J1624">
    <cfRule type="cellIs" dxfId="3074" priority="2970" stopIfTrue="1" operator="greaterThan">
      <formula>0</formula>
    </cfRule>
  </conditionalFormatting>
  <conditionalFormatting sqref="X1615:Y1624">
    <cfRule type="cellIs" dxfId="3073" priority="2968" operator="equal">
      <formula>"NO CUMPLE"</formula>
    </cfRule>
    <cfRule type="cellIs" dxfId="3072" priority="2969" operator="equal">
      <formula>"CUMPLE"</formula>
    </cfRule>
  </conditionalFormatting>
  <conditionalFormatting sqref="N1632:N1637">
    <cfRule type="cellIs" dxfId="3071" priority="2966" operator="equal">
      <formula>"NO"</formula>
    </cfRule>
    <cfRule type="cellIs" dxfId="3070" priority="2967" operator="equal">
      <formula>"SI"</formula>
    </cfRule>
  </conditionalFormatting>
  <conditionalFormatting sqref="I1624">
    <cfRule type="cellIs" dxfId="3069" priority="2965" stopIfTrue="1" operator="greaterThan">
      <formula>0</formula>
    </cfRule>
  </conditionalFormatting>
  <conditionalFormatting sqref="K1618:L1624">
    <cfRule type="cellIs" dxfId="3068" priority="2963" operator="equal">
      <formula>0</formula>
    </cfRule>
    <cfRule type="cellIs" dxfId="3067" priority="2964" operator="notBetween">
      <formula>$Q$17</formula>
      <formula>$R$17</formula>
    </cfRule>
  </conditionalFormatting>
  <conditionalFormatting sqref="B1615:B1624">
    <cfRule type="cellIs" dxfId="3066" priority="2962" stopIfTrue="1" operator="greaterThan">
      <formula>0</formula>
    </cfRule>
  </conditionalFormatting>
  <conditionalFormatting sqref="C1615:D1615 D1616:D1617 C1616:C1624">
    <cfRule type="cellIs" dxfId="3065" priority="2961" stopIfTrue="1" operator="greaterThan">
      <formula>0</formula>
    </cfRule>
  </conditionalFormatting>
  <conditionalFormatting sqref="C1615:D1615 F1615:H1617 D1616:D1617 C1616:C1624">
    <cfRule type="cellIs" dxfId="3064" priority="2960" stopIfTrue="1" operator="greaterThan">
      <formula>0</formula>
    </cfRule>
  </conditionalFormatting>
  <conditionalFormatting sqref="T1615:V1617">
    <cfRule type="cellIs" dxfId="3063" priority="2958" stopIfTrue="1" operator="equal">
      <formula>"NO"</formula>
    </cfRule>
    <cfRule type="cellIs" dxfId="3062" priority="2959" stopIfTrue="1" operator="equal">
      <formula>"SI"</formula>
    </cfRule>
  </conditionalFormatting>
  <conditionalFormatting sqref="T1615:V1616">
    <cfRule type="cellIs" dxfId="3061" priority="2957" stopIfTrue="1" operator="equal">
      <formula>"NO APLICA"</formula>
    </cfRule>
  </conditionalFormatting>
  <conditionalFormatting sqref="T1617:U1617">
    <cfRule type="cellIs" dxfId="3060" priority="2956" stopIfTrue="1" operator="equal">
      <formula>"NO APLICA"</formula>
    </cfRule>
  </conditionalFormatting>
  <conditionalFormatting sqref="T1617:U1617">
    <cfRule type="cellIs" dxfId="3059" priority="2955" stopIfTrue="1" operator="equal">
      <formula>"NO APLICA"</formula>
    </cfRule>
  </conditionalFormatting>
  <conditionalFormatting sqref="V1617">
    <cfRule type="cellIs" dxfId="3058" priority="2954" stopIfTrue="1" operator="equal">
      <formula>"NO APLICA"</formula>
    </cfRule>
  </conditionalFormatting>
  <conditionalFormatting sqref="K1615:L1617">
    <cfRule type="cellIs" dxfId="3057" priority="2952" operator="equal">
      <formula>0</formula>
    </cfRule>
    <cfRule type="cellIs" dxfId="3056" priority="2953" operator="notBetween">
      <formula>$Q$17</formula>
      <formula>$R$17</formula>
    </cfRule>
  </conditionalFormatting>
  <conditionalFormatting sqref="F1648:H1653 D1654:H1654 I1648:I1654 C1645:D1645 K1645:O1654 F1645:I1647 D1646:D1653 C1646:C1654">
    <cfRule type="cellIs" dxfId="3055" priority="2951" stopIfTrue="1" operator="greaterThan">
      <formula>0</formula>
    </cfRule>
  </conditionalFormatting>
  <conditionalFormatting sqref="D1648:D1653">
    <cfRule type="cellIs" dxfId="3054" priority="2950" stopIfTrue="1" operator="greaterThan">
      <formula>0</formula>
    </cfRule>
  </conditionalFormatting>
  <conditionalFormatting sqref="D1648:D1653 F1648:H1653">
    <cfRule type="cellIs" dxfId="3053" priority="2949" stopIfTrue="1" operator="greaterThan">
      <formula>0</formula>
    </cfRule>
  </conditionalFormatting>
  <conditionalFormatting sqref="H1645:H1653">
    <cfRule type="cellIs" dxfId="3052" priority="2948" stopIfTrue="1" operator="greaterThan">
      <formula>0</formula>
    </cfRule>
  </conditionalFormatting>
  <conditionalFormatting sqref="E1645:E1653">
    <cfRule type="cellIs" dxfId="3051" priority="2947" stopIfTrue="1" operator="greaterThan">
      <formula>0</formula>
    </cfRule>
  </conditionalFormatting>
  <conditionalFormatting sqref="M1662:M1667 K1662:K1667">
    <cfRule type="containsText" dxfId="3050" priority="2945" stopIfTrue="1" operator="containsText" text="NO CUMPLE">
      <formula>NOT(ISERROR(SEARCH("NO CUMPLE",K1662)))</formula>
    </cfRule>
    <cfRule type="containsText" dxfId="3049" priority="2946" stopIfTrue="1" operator="containsText" text="CUMPLE">
      <formula>NOT(ISERROR(SEARCH("CUMPLE",K1662)))</formula>
    </cfRule>
  </conditionalFormatting>
  <conditionalFormatting sqref="S1661">
    <cfRule type="cellIs" dxfId="3048" priority="2943" operator="greaterThanOrEqual">
      <formula>NUMMINCONT</formula>
    </cfRule>
    <cfRule type="cellIs" dxfId="3047" priority="2944" operator="lessThan">
      <formula>NUMMINCONT</formula>
    </cfRule>
  </conditionalFormatting>
  <conditionalFormatting sqref="T1648:V1653">
    <cfRule type="cellIs" dxfId="3046" priority="2941" stopIfTrue="1" operator="equal">
      <formula>"NO"</formula>
    </cfRule>
    <cfRule type="cellIs" dxfId="3045" priority="2942" stopIfTrue="1" operator="equal">
      <formula>"SI"</formula>
    </cfRule>
  </conditionalFormatting>
  <conditionalFormatting sqref="T1648:V1649">
    <cfRule type="cellIs" dxfId="3044" priority="2940" stopIfTrue="1" operator="equal">
      <formula>"NO APLICA"</formula>
    </cfRule>
  </conditionalFormatting>
  <conditionalFormatting sqref="T1650:U1653">
    <cfRule type="cellIs" dxfId="3043" priority="2939" stopIfTrue="1" operator="equal">
      <formula>"NO APLICA"</formula>
    </cfRule>
  </conditionalFormatting>
  <conditionalFormatting sqref="T1650:U1650">
    <cfRule type="cellIs" dxfId="3042" priority="2938" stopIfTrue="1" operator="equal">
      <formula>"NO APLICA"</formula>
    </cfRule>
  </conditionalFormatting>
  <conditionalFormatting sqref="V1650:V1653">
    <cfRule type="cellIs" dxfId="3041" priority="2937" stopIfTrue="1" operator="equal">
      <formula>"NO APLICA"</formula>
    </cfRule>
  </conditionalFormatting>
  <conditionalFormatting sqref="V1659:W1659">
    <cfRule type="cellIs" dxfId="3040" priority="2935" operator="equal">
      <formula>"CUMPLE"</formula>
    </cfRule>
    <cfRule type="cellIs" dxfId="3039" priority="2936" operator="equal">
      <formula>"NO CUMPLE"</formula>
    </cfRule>
  </conditionalFormatting>
  <conditionalFormatting sqref="V1659:W1661">
    <cfRule type="cellIs" dxfId="3038" priority="2934" operator="equal">
      <formula>"VERIFICAR"</formula>
    </cfRule>
  </conditionalFormatting>
  <conditionalFormatting sqref="T1654:V1654">
    <cfRule type="cellIs" dxfId="3037" priority="2932" stopIfTrue="1" operator="equal">
      <formula>"NO"</formula>
    </cfRule>
    <cfRule type="cellIs" dxfId="3036" priority="2933" stopIfTrue="1" operator="equal">
      <formula>"SI"</formula>
    </cfRule>
  </conditionalFormatting>
  <conditionalFormatting sqref="T1654:U1654">
    <cfRule type="cellIs" dxfId="3035" priority="2931" stopIfTrue="1" operator="equal">
      <formula>"NO APLICA"</formula>
    </cfRule>
  </conditionalFormatting>
  <conditionalFormatting sqref="V1654">
    <cfRule type="cellIs" dxfId="3034" priority="2930" stopIfTrue="1" operator="equal">
      <formula>"NO APLICA"</formula>
    </cfRule>
  </conditionalFormatting>
  <conditionalFormatting sqref="T1664">
    <cfRule type="cellIs" dxfId="3033" priority="2928" operator="equal">
      <formula>"CUMPLE"</formula>
    </cfRule>
    <cfRule type="cellIs" dxfId="3032" priority="2929" operator="equal">
      <formula>"NO CUMPLE"</formula>
    </cfRule>
  </conditionalFormatting>
  <conditionalFormatting sqref="T1664">
    <cfRule type="cellIs" dxfId="3031" priority="2927" operator="equal">
      <formula>"VERIFICAR"</formula>
    </cfRule>
  </conditionalFormatting>
  <conditionalFormatting sqref="Y1662:Y1667">
    <cfRule type="cellIs" dxfId="3030" priority="2926" stopIfTrue="1" operator="equal">
      <formula>"NO APLICA"</formula>
    </cfRule>
  </conditionalFormatting>
  <conditionalFormatting sqref="Y1667">
    <cfRule type="cellIs" dxfId="3029" priority="2925" stopIfTrue="1" operator="equal">
      <formula>"NO APLICA"</formula>
    </cfRule>
  </conditionalFormatting>
  <conditionalFormatting sqref="X1662:Y1667">
    <cfRule type="cellIs" dxfId="3028" priority="2923" stopIfTrue="1" operator="equal">
      <formula>"NO"</formula>
    </cfRule>
    <cfRule type="cellIs" dxfId="3027" priority="2924" stopIfTrue="1" operator="equal">
      <formula>"SI"</formula>
    </cfRule>
  </conditionalFormatting>
  <conditionalFormatting sqref="X1662:X1667">
    <cfRule type="cellIs" dxfId="3026" priority="2922" stopIfTrue="1" operator="equal">
      <formula>"NO APLICA"</formula>
    </cfRule>
  </conditionalFormatting>
  <conditionalFormatting sqref="X1663:X1666">
    <cfRule type="cellIs" dxfId="3025" priority="2921" stopIfTrue="1" operator="equal">
      <formula>"NO APLICA"</formula>
    </cfRule>
  </conditionalFormatting>
  <conditionalFormatting sqref="X1663">
    <cfRule type="cellIs" dxfId="3024" priority="2920" stopIfTrue="1" operator="equal">
      <formula>"NO APLICA"</formula>
    </cfRule>
  </conditionalFormatting>
  <conditionalFormatting sqref="X1667">
    <cfRule type="cellIs" dxfId="3023" priority="2919" stopIfTrue="1" operator="equal">
      <formula>"NO APLICA"</formula>
    </cfRule>
  </conditionalFormatting>
  <conditionalFormatting sqref="X1667">
    <cfRule type="cellIs" dxfId="3022" priority="2918" stopIfTrue="1" operator="equal">
      <formula>"NO APLICA"</formula>
    </cfRule>
  </conditionalFormatting>
  <conditionalFormatting sqref="AA1662:AA1667">
    <cfRule type="cellIs" dxfId="3021" priority="2917" stopIfTrue="1" operator="equal">
      <formula>"NO APLICA"</formula>
    </cfRule>
  </conditionalFormatting>
  <conditionalFormatting sqref="AA1667">
    <cfRule type="cellIs" dxfId="3020" priority="2916" stopIfTrue="1" operator="equal">
      <formula>"NO APLICA"</formula>
    </cfRule>
  </conditionalFormatting>
  <conditionalFormatting sqref="AA1662:AA1667">
    <cfRule type="cellIs" dxfId="3019" priority="2914" stopIfTrue="1" operator="equal">
      <formula>"NO"</formula>
    </cfRule>
    <cfRule type="cellIs" dxfId="3018" priority="2915" stopIfTrue="1" operator="equal">
      <formula>"SI"</formula>
    </cfRule>
  </conditionalFormatting>
  <conditionalFormatting sqref="Y1662:Z1667">
    <cfRule type="cellIs" dxfId="3017" priority="2912" operator="equal">
      <formula>"NO APLICA"</formula>
    </cfRule>
    <cfRule type="cellIs" dxfId="3016" priority="2913" operator="equal">
      <formula>"SI APLICA"</formula>
    </cfRule>
  </conditionalFormatting>
  <conditionalFormatting sqref="AB1662:AB1668">
    <cfRule type="cellIs" dxfId="3015" priority="2910" operator="equal">
      <formula>"NO APLICA"</formula>
    </cfRule>
    <cfRule type="cellIs" dxfId="3014" priority="2911" operator="equal">
      <formula>"SI APLICA"</formula>
    </cfRule>
  </conditionalFormatting>
  <conditionalFormatting sqref="X1668">
    <cfRule type="cellIs" dxfId="3013" priority="2908" operator="equal">
      <formula>"PROPONENTE PLURAL"</formula>
    </cfRule>
    <cfRule type="cellIs" dxfId="3012" priority="2909" operator="equal">
      <formula>"PROPONENTE INDIVIDUAL"</formula>
    </cfRule>
  </conditionalFormatting>
  <conditionalFormatting sqref="Z1668:AA1668 AA1662:AA1667">
    <cfRule type="cellIs" dxfId="3011" priority="2906" operator="equal">
      <formula>"NO APLICA"</formula>
    </cfRule>
    <cfRule type="cellIs" dxfId="3010" priority="2907" operator="equal">
      <formula>"SI APLICA"</formula>
    </cfRule>
  </conditionalFormatting>
  <conditionalFormatting sqref="AB1662:AB1667 Y1662:Z1667">
    <cfRule type="cellIs" dxfId="3009" priority="2905" operator="equal">
      <formula>""</formula>
    </cfRule>
  </conditionalFormatting>
  <conditionalFormatting sqref="H1668">
    <cfRule type="containsText" dxfId="3008" priority="2903" stopIfTrue="1" operator="containsText" text="NO CUMPLE">
      <formula>NOT(ISERROR(SEARCH("NO CUMPLE",H1668)))</formula>
    </cfRule>
    <cfRule type="containsText" dxfId="3007" priority="2904" stopIfTrue="1" operator="containsText" text="CUMPLE">
      <formula>NOT(ISERROR(SEARCH("CUMPLE",H1668)))</formula>
    </cfRule>
  </conditionalFormatting>
  <conditionalFormatting sqref="J1668">
    <cfRule type="containsText" dxfId="3006" priority="2901" stopIfTrue="1" operator="containsText" text="NO CUMPLE">
      <formula>NOT(ISERROR(SEARCH("NO CUMPLE",J1668)))</formula>
    </cfRule>
    <cfRule type="containsText" dxfId="3005" priority="2902" stopIfTrue="1" operator="containsText" text="CUMPLE">
      <formula>NOT(ISERROR(SEARCH("CUMPLE",J1668)))</formula>
    </cfRule>
  </conditionalFormatting>
  <conditionalFormatting sqref="K1668">
    <cfRule type="containsText" dxfId="3004" priority="2899" stopIfTrue="1" operator="containsText" text="NO CUMPLE">
      <formula>NOT(ISERROR(SEARCH("NO CUMPLE",K1668)))</formula>
    </cfRule>
    <cfRule type="containsText" dxfId="3003" priority="2900" stopIfTrue="1" operator="containsText" text="CUMPLE">
      <formula>NOT(ISERROR(SEARCH("CUMPLE",K1668)))</formula>
    </cfRule>
  </conditionalFormatting>
  <conditionalFormatting sqref="L1662:L1667">
    <cfRule type="containsText" dxfId="3002" priority="2897" stopIfTrue="1" operator="containsText" text="NO CUMPLE">
      <formula>NOT(ISERROR(SEARCH("NO CUMPLE",L1662)))</formula>
    </cfRule>
    <cfRule type="containsText" dxfId="3001" priority="2898" stopIfTrue="1" operator="containsText" text="CUMPLE">
      <formula>NOT(ISERROR(SEARCH("CUMPLE",L1662)))</formula>
    </cfRule>
  </conditionalFormatting>
  <conditionalFormatting sqref="O1667">
    <cfRule type="containsText" dxfId="3000" priority="2895" stopIfTrue="1" operator="containsText" text="NO CUMPLE">
      <formula>NOT(ISERROR(SEARCH("NO CUMPLE",O1667)))</formula>
    </cfRule>
    <cfRule type="containsText" dxfId="2999" priority="2896" stopIfTrue="1" operator="containsText" text="CUMPLE">
      <formula>NOT(ISERROR(SEARCH("CUMPLE",O1667)))</formula>
    </cfRule>
  </conditionalFormatting>
  <conditionalFormatting sqref="O1668:S1668">
    <cfRule type="cellIs" dxfId="2998" priority="2894" operator="equal">
      <formula>"EL PROPONENTE SE DEBE REQUERIR POR EXPERIENCIA MINIMA EXIGIDA"</formula>
    </cfRule>
  </conditionalFormatting>
  <conditionalFormatting sqref="X1656">
    <cfRule type="cellIs" dxfId="2997" priority="2891" stopIfTrue="1" operator="equal">
      <formula>"VERIFICAR"</formula>
    </cfRule>
    <cfRule type="cellIs" dxfId="2996" priority="2892" stopIfTrue="1" operator="equal">
      <formula>"NO CUMPLE"</formula>
    </cfRule>
    <cfRule type="cellIs" dxfId="2995" priority="2893" stopIfTrue="1" operator="equal">
      <formula>"CUMPLE"</formula>
    </cfRule>
  </conditionalFormatting>
  <conditionalFormatting sqref="X1645:Y1654 J1645:J1654">
    <cfRule type="cellIs" dxfId="2994" priority="2890" stopIfTrue="1" operator="greaterThan">
      <formula>0</formula>
    </cfRule>
  </conditionalFormatting>
  <conditionalFormatting sqref="X1645:Y1654">
    <cfRule type="cellIs" dxfId="2993" priority="2888" operator="equal">
      <formula>"NO CUMPLE"</formula>
    </cfRule>
    <cfRule type="cellIs" dxfId="2992" priority="2889" operator="equal">
      <formula>"CUMPLE"</formula>
    </cfRule>
  </conditionalFormatting>
  <conditionalFormatting sqref="N1662:N1667">
    <cfRule type="cellIs" dxfId="2991" priority="2886" operator="equal">
      <formula>"NO"</formula>
    </cfRule>
    <cfRule type="cellIs" dxfId="2990" priority="2887" operator="equal">
      <formula>"SI"</formula>
    </cfRule>
  </conditionalFormatting>
  <conditionalFormatting sqref="I1654">
    <cfRule type="cellIs" dxfId="2989" priority="2885" stopIfTrue="1" operator="greaterThan">
      <formula>0</formula>
    </cfRule>
  </conditionalFormatting>
  <conditionalFormatting sqref="K1648:L1654">
    <cfRule type="cellIs" dxfId="2988" priority="2883" operator="equal">
      <formula>0</formula>
    </cfRule>
    <cfRule type="cellIs" dxfId="2987" priority="2884" operator="notBetween">
      <formula>$Q$17</formula>
      <formula>$R$17</formula>
    </cfRule>
  </conditionalFormatting>
  <conditionalFormatting sqref="B1645:B1654">
    <cfRule type="cellIs" dxfId="2986" priority="2882" stopIfTrue="1" operator="greaterThan">
      <formula>0</formula>
    </cfRule>
  </conditionalFormatting>
  <conditionalFormatting sqref="C1645:D1645 D1646:D1647 C1646:C1654">
    <cfRule type="cellIs" dxfId="2985" priority="2881" stopIfTrue="1" operator="greaterThan">
      <formula>0</formula>
    </cfRule>
  </conditionalFormatting>
  <conditionalFormatting sqref="C1645:D1645 F1645:H1647 D1646:D1647 C1646:C1654">
    <cfRule type="cellIs" dxfId="2984" priority="2880" stopIfTrue="1" operator="greaterThan">
      <formula>0</formula>
    </cfRule>
  </conditionalFormatting>
  <conditionalFormatting sqref="T1645:V1647">
    <cfRule type="cellIs" dxfId="2983" priority="2878" stopIfTrue="1" operator="equal">
      <formula>"NO"</formula>
    </cfRule>
    <cfRule type="cellIs" dxfId="2982" priority="2879" stopIfTrue="1" operator="equal">
      <formula>"SI"</formula>
    </cfRule>
  </conditionalFormatting>
  <conditionalFormatting sqref="T1645:V1646">
    <cfRule type="cellIs" dxfId="2981" priority="2877" stopIfTrue="1" operator="equal">
      <formula>"NO APLICA"</formula>
    </cfRule>
  </conditionalFormatting>
  <conditionalFormatting sqref="T1647:U1647">
    <cfRule type="cellIs" dxfId="2980" priority="2876" stopIfTrue="1" operator="equal">
      <formula>"NO APLICA"</formula>
    </cfRule>
  </conditionalFormatting>
  <conditionalFormatting sqref="T1647:U1647">
    <cfRule type="cellIs" dxfId="2979" priority="2875" stopIfTrue="1" operator="equal">
      <formula>"NO APLICA"</formula>
    </cfRule>
  </conditionalFormatting>
  <conditionalFormatting sqref="V1647">
    <cfRule type="cellIs" dxfId="2978" priority="2874" stopIfTrue="1" operator="equal">
      <formula>"NO APLICA"</formula>
    </cfRule>
  </conditionalFormatting>
  <conditionalFormatting sqref="K1645:L1647">
    <cfRule type="cellIs" dxfId="2977" priority="2872" operator="equal">
      <formula>0</formula>
    </cfRule>
    <cfRule type="cellIs" dxfId="2976" priority="2873" operator="notBetween">
      <formula>$Q$17</formula>
      <formula>$R$17</formula>
    </cfRule>
  </conditionalFormatting>
  <conditionalFormatting sqref="F1678:H1683 D1684:H1684 I1678:I1684 C1675:D1675 K1675:O1684 F1675:I1677 D1676:D1683 C1676:C1684">
    <cfRule type="cellIs" dxfId="2975" priority="2871" stopIfTrue="1" operator="greaterThan">
      <formula>0</formula>
    </cfRule>
  </conditionalFormatting>
  <conditionalFormatting sqref="D1678:D1683">
    <cfRule type="cellIs" dxfId="2974" priority="2870" stopIfTrue="1" operator="greaterThan">
      <formula>0</formula>
    </cfRule>
  </conditionalFormatting>
  <conditionalFormatting sqref="D1678:D1683 F1678:H1683">
    <cfRule type="cellIs" dxfId="2973" priority="2869" stopIfTrue="1" operator="greaterThan">
      <formula>0</formula>
    </cfRule>
  </conditionalFormatting>
  <conditionalFormatting sqref="H1675:H1683">
    <cfRule type="cellIs" dxfId="2972" priority="2868" stopIfTrue="1" operator="greaterThan">
      <formula>0</formula>
    </cfRule>
  </conditionalFormatting>
  <conditionalFormatting sqref="E1675:E1683">
    <cfRule type="cellIs" dxfId="2971" priority="2867" stopIfTrue="1" operator="greaterThan">
      <formula>0</formula>
    </cfRule>
  </conditionalFormatting>
  <conditionalFormatting sqref="M1692:M1697 K1692:K1697">
    <cfRule type="containsText" dxfId="2970" priority="2865" stopIfTrue="1" operator="containsText" text="NO CUMPLE">
      <formula>NOT(ISERROR(SEARCH("NO CUMPLE",K1692)))</formula>
    </cfRule>
    <cfRule type="containsText" dxfId="2969" priority="2866" stopIfTrue="1" operator="containsText" text="CUMPLE">
      <formula>NOT(ISERROR(SEARCH("CUMPLE",K1692)))</formula>
    </cfRule>
  </conditionalFormatting>
  <conditionalFormatting sqref="S1691">
    <cfRule type="cellIs" dxfId="2968" priority="2863" operator="greaterThanOrEqual">
      <formula>NUMMINCONT</formula>
    </cfRule>
    <cfRule type="cellIs" dxfId="2967" priority="2864" operator="lessThan">
      <formula>NUMMINCONT</formula>
    </cfRule>
  </conditionalFormatting>
  <conditionalFormatting sqref="T1678:V1683">
    <cfRule type="cellIs" dxfId="2966" priority="2861" stopIfTrue="1" operator="equal">
      <formula>"NO"</formula>
    </cfRule>
    <cfRule type="cellIs" dxfId="2965" priority="2862" stopIfTrue="1" operator="equal">
      <formula>"SI"</formula>
    </cfRule>
  </conditionalFormatting>
  <conditionalFormatting sqref="T1678:V1679">
    <cfRule type="cellIs" dxfId="2964" priority="2860" stopIfTrue="1" operator="equal">
      <formula>"NO APLICA"</formula>
    </cfRule>
  </conditionalFormatting>
  <conditionalFormatting sqref="T1680:U1683">
    <cfRule type="cellIs" dxfId="2963" priority="2859" stopIfTrue="1" operator="equal">
      <formula>"NO APLICA"</formula>
    </cfRule>
  </conditionalFormatting>
  <conditionalFormatting sqref="T1680:U1680">
    <cfRule type="cellIs" dxfId="2962" priority="2858" stopIfTrue="1" operator="equal">
      <formula>"NO APLICA"</formula>
    </cfRule>
  </conditionalFormatting>
  <conditionalFormatting sqref="V1680:V1683">
    <cfRule type="cellIs" dxfId="2961" priority="2857" stopIfTrue="1" operator="equal">
      <formula>"NO APLICA"</formula>
    </cfRule>
  </conditionalFormatting>
  <conditionalFormatting sqref="V1689:W1689">
    <cfRule type="cellIs" dxfId="2960" priority="2855" operator="equal">
      <formula>"CUMPLE"</formula>
    </cfRule>
    <cfRule type="cellIs" dxfId="2959" priority="2856" operator="equal">
      <formula>"NO CUMPLE"</formula>
    </cfRule>
  </conditionalFormatting>
  <conditionalFormatting sqref="V1689:W1691">
    <cfRule type="cellIs" dxfId="2958" priority="2854" operator="equal">
      <formula>"VERIFICAR"</formula>
    </cfRule>
  </conditionalFormatting>
  <conditionalFormatting sqref="T1684:V1684">
    <cfRule type="cellIs" dxfId="2957" priority="2852" stopIfTrue="1" operator="equal">
      <formula>"NO"</formula>
    </cfRule>
    <cfRule type="cellIs" dxfId="2956" priority="2853" stopIfTrue="1" operator="equal">
      <formula>"SI"</formula>
    </cfRule>
  </conditionalFormatting>
  <conditionalFormatting sqref="T1684:U1684">
    <cfRule type="cellIs" dxfId="2955" priority="2851" stopIfTrue="1" operator="equal">
      <formula>"NO APLICA"</formula>
    </cfRule>
  </conditionalFormatting>
  <conditionalFormatting sqref="V1684">
    <cfRule type="cellIs" dxfId="2954" priority="2850" stopIfTrue="1" operator="equal">
      <formula>"NO APLICA"</formula>
    </cfRule>
  </conditionalFormatting>
  <conditionalFormatting sqref="T1694">
    <cfRule type="cellIs" dxfId="2953" priority="2848" operator="equal">
      <formula>"CUMPLE"</formula>
    </cfRule>
    <cfRule type="cellIs" dxfId="2952" priority="2849" operator="equal">
      <formula>"NO CUMPLE"</formula>
    </cfRule>
  </conditionalFormatting>
  <conditionalFormatting sqref="T1694">
    <cfRule type="cellIs" dxfId="2951" priority="2847" operator="equal">
      <formula>"VERIFICAR"</formula>
    </cfRule>
  </conditionalFormatting>
  <conditionalFormatting sqref="Y1692:Y1697">
    <cfRule type="cellIs" dxfId="2950" priority="2846" stopIfTrue="1" operator="equal">
      <formula>"NO APLICA"</formula>
    </cfRule>
  </conditionalFormatting>
  <conditionalFormatting sqref="Y1697">
    <cfRule type="cellIs" dxfId="2949" priority="2845" stopIfTrue="1" operator="equal">
      <formula>"NO APLICA"</formula>
    </cfRule>
  </conditionalFormatting>
  <conditionalFormatting sqref="X1692:Y1697">
    <cfRule type="cellIs" dxfId="2948" priority="2843" stopIfTrue="1" operator="equal">
      <formula>"NO"</formula>
    </cfRule>
    <cfRule type="cellIs" dxfId="2947" priority="2844" stopIfTrue="1" operator="equal">
      <formula>"SI"</formula>
    </cfRule>
  </conditionalFormatting>
  <conditionalFormatting sqref="X1692:X1697">
    <cfRule type="cellIs" dxfId="2946" priority="2842" stopIfTrue="1" operator="equal">
      <formula>"NO APLICA"</formula>
    </cfRule>
  </conditionalFormatting>
  <conditionalFormatting sqref="X1693:X1696">
    <cfRule type="cellIs" dxfId="2945" priority="2841" stopIfTrue="1" operator="equal">
      <formula>"NO APLICA"</formula>
    </cfRule>
  </conditionalFormatting>
  <conditionalFormatting sqref="X1693">
    <cfRule type="cellIs" dxfId="2944" priority="2840" stopIfTrue="1" operator="equal">
      <formula>"NO APLICA"</formula>
    </cfRule>
  </conditionalFormatting>
  <conditionalFormatting sqref="X1697">
    <cfRule type="cellIs" dxfId="2943" priority="2839" stopIfTrue="1" operator="equal">
      <formula>"NO APLICA"</formula>
    </cfRule>
  </conditionalFormatting>
  <conditionalFormatting sqref="X1697">
    <cfRule type="cellIs" dxfId="2942" priority="2838" stopIfTrue="1" operator="equal">
      <formula>"NO APLICA"</formula>
    </cfRule>
  </conditionalFormatting>
  <conditionalFormatting sqref="AA1692:AA1697">
    <cfRule type="cellIs" dxfId="2941" priority="2837" stopIfTrue="1" operator="equal">
      <formula>"NO APLICA"</formula>
    </cfRule>
  </conditionalFormatting>
  <conditionalFormatting sqref="AA1697">
    <cfRule type="cellIs" dxfId="2940" priority="2836" stopIfTrue="1" operator="equal">
      <formula>"NO APLICA"</formula>
    </cfRule>
  </conditionalFormatting>
  <conditionalFormatting sqref="AA1692:AA1697">
    <cfRule type="cellIs" dxfId="2939" priority="2834" stopIfTrue="1" operator="equal">
      <formula>"NO"</formula>
    </cfRule>
    <cfRule type="cellIs" dxfId="2938" priority="2835" stopIfTrue="1" operator="equal">
      <formula>"SI"</formula>
    </cfRule>
  </conditionalFormatting>
  <conditionalFormatting sqref="Y1692:Z1697">
    <cfRule type="cellIs" dxfId="2937" priority="2832" operator="equal">
      <formula>"NO APLICA"</formula>
    </cfRule>
    <cfRule type="cellIs" dxfId="2936" priority="2833" operator="equal">
      <formula>"SI APLICA"</formula>
    </cfRule>
  </conditionalFormatting>
  <conditionalFormatting sqref="AB1692:AB1698">
    <cfRule type="cellIs" dxfId="2935" priority="2830" operator="equal">
      <formula>"NO APLICA"</formula>
    </cfRule>
    <cfRule type="cellIs" dxfId="2934" priority="2831" operator="equal">
      <formula>"SI APLICA"</formula>
    </cfRule>
  </conditionalFormatting>
  <conditionalFormatting sqref="X1698">
    <cfRule type="cellIs" dxfId="2933" priority="2828" operator="equal">
      <formula>"PROPONENTE PLURAL"</formula>
    </cfRule>
    <cfRule type="cellIs" dxfId="2932" priority="2829" operator="equal">
      <formula>"PROPONENTE INDIVIDUAL"</formula>
    </cfRule>
  </conditionalFormatting>
  <conditionalFormatting sqref="Z1698:AA1698 AA1692:AA1697">
    <cfRule type="cellIs" dxfId="2931" priority="2826" operator="equal">
      <formula>"NO APLICA"</formula>
    </cfRule>
    <cfRule type="cellIs" dxfId="2930" priority="2827" operator="equal">
      <formula>"SI APLICA"</formula>
    </cfRule>
  </conditionalFormatting>
  <conditionalFormatting sqref="AB1692:AB1697 Y1692:Z1697">
    <cfRule type="cellIs" dxfId="2929" priority="2825" operator="equal">
      <formula>""</formula>
    </cfRule>
  </conditionalFormatting>
  <conditionalFormatting sqref="H1698">
    <cfRule type="containsText" dxfId="2928" priority="2823" stopIfTrue="1" operator="containsText" text="NO CUMPLE">
      <formula>NOT(ISERROR(SEARCH("NO CUMPLE",H1698)))</formula>
    </cfRule>
    <cfRule type="containsText" dxfId="2927" priority="2824" stopIfTrue="1" operator="containsText" text="CUMPLE">
      <formula>NOT(ISERROR(SEARCH("CUMPLE",H1698)))</formula>
    </cfRule>
  </conditionalFormatting>
  <conditionalFormatting sqref="J1698">
    <cfRule type="containsText" dxfId="2926" priority="2821" stopIfTrue="1" operator="containsText" text="NO CUMPLE">
      <formula>NOT(ISERROR(SEARCH("NO CUMPLE",J1698)))</formula>
    </cfRule>
    <cfRule type="containsText" dxfId="2925" priority="2822" stopIfTrue="1" operator="containsText" text="CUMPLE">
      <formula>NOT(ISERROR(SEARCH("CUMPLE",J1698)))</formula>
    </cfRule>
  </conditionalFormatting>
  <conditionalFormatting sqref="K1698">
    <cfRule type="containsText" dxfId="2924" priority="2819" stopIfTrue="1" operator="containsText" text="NO CUMPLE">
      <formula>NOT(ISERROR(SEARCH("NO CUMPLE",K1698)))</formula>
    </cfRule>
    <cfRule type="containsText" dxfId="2923" priority="2820" stopIfTrue="1" operator="containsText" text="CUMPLE">
      <formula>NOT(ISERROR(SEARCH("CUMPLE",K1698)))</formula>
    </cfRule>
  </conditionalFormatting>
  <conditionalFormatting sqref="L1692:L1697">
    <cfRule type="containsText" dxfId="2922" priority="2817" stopIfTrue="1" operator="containsText" text="NO CUMPLE">
      <formula>NOT(ISERROR(SEARCH("NO CUMPLE",L1692)))</formula>
    </cfRule>
    <cfRule type="containsText" dxfId="2921" priority="2818" stopIfTrue="1" operator="containsText" text="CUMPLE">
      <formula>NOT(ISERROR(SEARCH("CUMPLE",L1692)))</formula>
    </cfRule>
  </conditionalFormatting>
  <conditionalFormatting sqref="O1697">
    <cfRule type="containsText" dxfId="2920" priority="2815" stopIfTrue="1" operator="containsText" text="NO CUMPLE">
      <formula>NOT(ISERROR(SEARCH("NO CUMPLE",O1697)))</formula>
    </cfRule>
    <cfRule type="containsText" dxfId="2919" priority="2816" stopIfTrue="1" operator="containsText" text="CUMPLE">
      <formula>NOT(ISERROR(SEARCH("CUMPLE",O1697)))</formula>
    </cfRule>
  </conditionalFormatting>
  <conditionalFormatting sqref="O1698:S1698">
    <cfRule type="cellIs" dxfId="2918" priority="2814" operator="equal">
      <formula>"EL PROPONENTE SE DEBE REQUERIR POR EXPERIENCIA MINIMA EXIGIDA"</formula>
    </cfRule>
  </conditionalFormatting>
  <conditionalFormatting sqref="X1686">
    <cfRule type="cellIs" dxfId="2917" priority="2811" stopIfTrue="1" operator="equal">
      <formula>"VERIFICAR"</formula>
    </cfRule>
    <cfRule type="cellIs" dxfId="2916" priority="2812" stopIfTrue="1" operator="equal">
      <formula>"NO CUMPLE"</formula>
    </cfRule>
    <cfRule type="cellIs" dxfId="2915" priority="2813" stopIfTrue="1" operator="equal">
      <formula>"CUMPLE"</formula>
    </cfRule>
  </conditionalFormatting>
  <conditionalFormatting sqref="X1675:Y1684 J1675:J1684">
    <cfRule type="cellIs" dxfId="2914" priority="2810" stopIfTrue="1" operator="greaterThan">
      <formula>0</formula>
    </cfRule>
  </conditionalFormatting>
  <conditionalFormatting sqref="X1675:Y1684">
    <cfRule type="cellIs" dxfId="2913" priority="2808" operator="equal">
      <formula>"NO CUMPLE"</formula>
    </cfRule>
    <cfRule type="cellIs" dxfId="2912" priority="2809" operator="equal">
      <formula>"CUMPLE"</formula>
    </cfRule>
  </conditionalFormatting>
  <conditionalFormatting sqref="N1692:N1697">
    <cfRule type="cellIs" dxfId="2911" priority="2806" operator="equal">
      <formula>"NO"</formula>
    </cfRule>
    <cfRule type="cellIs" dxfId="2910" priority="2807" operator="equal">
      <formula>"SI"</formula>
    </cfRule>
  </conditionalFormatting>
  <conditionalFormatting sqref="I1684">
    <cfRule type="cellIs" dxfId="2909" priority="2805" stopIfTrue="1" operator="greaterThan">
      <formula>0</formula>
    </cfRule>
  </conditionalFormatting>
  <conditionalFormatting sqref="K1678:L1684">
    <cfRule type="cellIs" dxfId="2908" priority="2803" operator="equal">
      <formula>0</formula>
    </cfRule>
    <cfRule type="cellIs" dxfId="2907" priority="2804" operator="notBetween">
      <formula>$Q$17</formula>
      <formula>$R$17</formula>
    </cfRule>
  </conditionalFormatting>
  <conditionalFormatting sqref="B1675:B1684">
    <cfRule type="cellIs" dxfId="2906" priority="2802" stopIfTrue="1" operator="greaterThan">
      <formula>0</formula>
    </cfRule>
  </conditionalFormatting>
  <conditionalFormatting sqref="C1675:D1675 D1676:D1677 C1676:C1684">
    <cfRule type="cellIs" dxfId="2905" priority="2801" stopIfTrue="1" operator="greaterThan">
      <formula>0</formula>
    </cfRule>
  </conditionalFormatting>
  <conditionalFormatting sqref="C1675:D1675 F1675:H1677 D1676:D1677 C1676:C1684">
    <cfRule type="cellIs" dxfId="2904" priority="2800" stopIfTrue="1" operator="greaterThan">
      <formula>0</formula>
    </cfRule>
  </conditionalFormatting>
  <conditionalFormatting sqref="T1675:V1677">
    <cfRule type="cellIs" dxfId="2903" priority="2798" stopIfTrue="1" operator="equal">
      <formula>"NO"</formula>
    </cfRule>
    <cfRule type="cellIs" dxfId="2902" priority="2799" stopIfTrue="1" operator="equal">
      <formula>"SI"</formula>
    </cfRule>
  </conditionalFormatting>
  <conditionalFormatting sqref="T1675:V1676">
    <cfRule type="cellIs" dxfId="2901" priority="2797" stopIfTrue="1" operator="equal">
      <formula>"NO APLICA"</formula>
    </cfRule>
  </conditionalFormatting>
  <conditionalFormatting sqref="T1677:U1677">
    <cfRule type="cellIs" dxfId="2900" priority="2796" stopIfTrue="1" operator="equal">
      <formula>"NO APLICA"</formula>
    </cfRule>
  </conditionalFormatting>
  <conditionalFormatting sqref="T1677:U1677">
    <cfRule type="cellIs" dxfId="2899" priority="2795" stopIfTrue="1" operator="equal">
      <formula>"NO APLICA"</formula>
    </cfRule>
  </conditionalFormatting>
  <conditionalFormatting sqref="V1677">
    <cfRule type="cellIs" dxfId="2898" priority="2794" stopIfTrue="1" operator="equal">
      <formula>"NO APLICA"</formula>
    </cfRule>
  </conditionalFormatting>
  <conditionalFormatting sqref="K1675:L1677">
    <cfRule type="cellIs" dxfId="2897" priority="2792" operator="equal">
      <formula>0</formula>
    </cfRule>
    <cfRule type="cellIs" dxfId="2896" priority="2793" operator="notBetween">
      <formula>$Q$17</formula>
      <formula>$R$17</formula>
    </cfRule>
  </conditionalFormatting>
  <conditionalFormatting sqref="F1708:H1713 D1714:H1714 I1708:I1714 C1705:D1705 K1705:O1714 F1705:I1707 D1706:D1713 C1706:C1714">
    <cfRule type="cellIs" dxfId="2895" priority="2791" stopIfTrue="1" operator="greaterThan">
      <formula>0</formula>
    </cfRule>
  </conditionalFormatting>
  <conditionalFormatting sqref="D1708:D1713">
    <cfRule type="cellIs" dxfId="2894" priority="2790" stopIfTrue="1" operator="greaterThan">
      <formula>0</formula>
    </cfRule>
  </conditionalFormatting>
  <conditionalFormatting sqref="D1708:D1713 F1708:H1713">
    <cfRule type="cellIs" dxfId="2893" priority="2789" stopIfTrue="1" operator="greaterThan">
      <formula>0</formula>
    </cfRule>
  </conditionalFormatting>
  <conditionalFormatting sqref="H1705:H1713">
    <cfRule type="cellIs" dxfId="2892" priority="2788" stopIfTrue="1" operator="greaterThan">
      <formula>0</formula>
    </cfRule>
  </conditionalFormatting>
  <conditionalFormatting sqref="E1705:E1713">
    <cfRule type="cellIs" dxfId="2891" priority="2787" stopIfTrue="1" operator="greaterThan">
      <formula>0</formula>
    </cfRule>
  </conditionalFormatting>
  <conditionalFormatting sqref="M1722:M1727 K1722:K1727">
    <cfRule type="containsText" dxfId="2890" priority="2785" stopIfTrue="1" operator="containsText" text="NO CUMPLE">
      <formula>NOT(ISERROR(SEARCH("NO CUMPLE",K1722)))</formula>
    </cfRule>
    <cfRule type="containsText" dxfId="2889" priority="2786" stopIfTrue="1" operator="containsText" text="CUMPLE">
      <formula>NOT(ISERROR(SEARCH("CUMPLE",K1722)))</formula>
    </cfRule>
  </conditionalFormatting>
  <conditionalFormatting sqref="S1721">
    <cfRule type="cellIs" dxfId="2888" priority="2783" operator="greaterThanOrEqual">
      <formula>NUMMINCONT</formula>
    </cfRule>
    <cfRule type="cellIs" dxfId="2887" priority="2784" operator="lessThan">
      <formula>NUMMINCONT</formula>
    </cfRule>
  </conditionalFormatting>
  <conditionalFormatting sqref="T1708:V1713">
    <cfRule type="cellIs" dxfId="2886" priority="2781" stopIfTrue="1" operator="equal">
      <formula>"NO"</formula>
    </cfRule>
    <cfRule type="cellIs" dxfId="2885" priority="2782" stopIfTrue="1" operator="equal">
      <formula>"SI"</formula>
    </cfRule>
  </conditionalFormatting>
  <conditionalFormatting sqref="T1708:V1709">
    <cfRule type="cellIs" dxfId="2884" priority="2780" stopIfTrue="1" operator="equal">
      <formula>"NO APLICA"</formula>
    </cfRule>
  </conditionalFormatting>
  <conditionalFormatting sqref="T1710:U1713">
    <cfRule type="cellIs" dxfId="2883" priority="2779" stopIfTrue="1" operator="equal">
      <formula>"NO APLICA"</formula>
    </cfRule>
  </conditionalFormatting>
  <conditionalFormatting sqref="T1710:U1710">
    <cfRule type="cellIs" dxfId="2882" priority="2778" stopIfTrue="1" operator="equal">
      <formula>"NO APLICA"</formula>
    </cfRule>
  </conditionalFormatting>
  <conditionalFormatting sqref="V1710:V1713">
    <cfRule type="cellIs" dxfId="2881" priority="2777" stopIfTrue="1" operator="equal">
      <formula>"NO APLICA"</formula>
    </cfRule>
  </conditionalFormatting>
  <conditionalFormatting sqref="V1719:W1719">
    <cfRule type="cellIs" dxfId="2880" priority="2775" operator="equal">
      <formula>"CUMPLE"</formula>
    </cfRule>
    <cfRule type="cellIs" dxfId="2879" priority="2776" operator="equal">
      <formula>"NO CUMPLE"</formula>
    </cfRule>
  </conditionalFormatting>
  <conditionalFormatting sqref="V1719:W1721">
    <cfRule type="cellIs" dxfId="2878" priority="2774" operator="equal">
      <formula>"VERIFICAR"</formula>
    </cfRule>
  </conditionalFormatting>
  <conditionalFormatting sqref="T1714:V1714">
    <cfRule type="cellIs" dxfId="2877" priority="2772" stopIfTrue="1" operator="equal">
      <formula>"NO"</formula>
    </cfRule>
    <cfRule type="cellIs" dxfId="2876" priority="2773" stopIfTrue="1" operator="equal">
      <formula>"SI"</formula>
    </cfRule>
  </conditionalFormatting>
  <conditionalFormatting sqref="T1714:U1714">
    <cfRule type="cellIs" dxfId="2875" priority="2771" stopIfTrue="1" operator="equal">
      <formula>"NO APLICA"</formula>
    </cfRule>
  </conditionalFormatting>
  <conditionalFormatting sqref="V1714">
    <cfRule type="cellIs" dxfId="2874" priority="2770" stopIfTrue="1" operator="equal">
      <formula>"NO APLICA"</formula>
    </cfRule>
  </conditionalFormatting>
  <conditionalFormatting sqref="T1724">
    <cfRule type="cellIs" dxfId="2873" priority="2768" operator="equal">
      <formula>"CUMPLE"</formula>
    </cfRule>
    <cfRule type="cellIs" dxfId="2872" priority="2769" operator="equal">
      <formula>"NO CUMPLE"</formula>
    </cfRule>
  </conditionalFormatting>
  <conditionalFormatting sqref="T1724">
    <cfRule type="cellIs" dxfId="2871" priority="2767" operator="equal">
      <formula>"VERIFICAR"</formula>
    </cfRule>
  </conditionalFormatting>
  <conditionalFormatting sqref="Y1722:Y1727">
    <cfRule type="cellIs" dxfId="2870" priority="2766" stopIfTrue="1" operator="equal">
      <formula>"NO APLICA"</formula>
    </cfRule>
  </conditionalFormatting>
  <conditionalFormatting sqref="Y1727">
    <cfRule type="cellIs" dxfId="2869" priority="2765" stopIfTrue="1" operator="equal">
      <formula>"NO APLICA"</formula>
    </cfRule>
  </conditionalFormatting>
  <conditionalFormatting sqref="X1722:Y1727">
    <cfRule type="cellIs" dxfId="2868" priority="2763" stopIfTrue="1" operator="equal">
      <formula>"NO"</formula>
    </cfRule>
    <cfRule type="cellIs" dxfId="2867" priority="2764" stopIfTrue="1" operator="equal">
      <formula>"SI"</formula>
    </cfRule>
  </conditionalFormatting>
  <conditionalFormatting sqref="X1722:X1727">
    <cfRule type="cellIs" dxfId="2866" priority="2762" stopIfTrue="1" operator="equal">
      <formula>"NO APLICA"</formula>
    </cfRule>
  </conditionalFormatting>
  <conditionalFormatting sqref="X1723:X1726">
    <cfRule type="cellIs" dxfId="2865" priority="2761" stopIfTrue="1" operator="equal">
      <formula>"NO APLICA"</formula>
    </cfRule>
  </conditionalFormatting>
  <conditionalFormatting sqref="X1723">
    <cfRule type="cellIs" dxfId="2864" priority="2760" stopIfTrue="1" operator="equal">
      <formula>"NO APLICA"</formula>
    </cfRule>
  </conditionalFormatting>
  <conditionalFormatting sqref="X1727">
    <cfRule type="cellIs" dxfId="2863" priority="2759" stopIfTrue="1" operator="equal">
      <formula>"NO APLICA"</formula>
    </cfRule>
  </conditionalFormatting>
  <conditionalFormatting sqref="X1727">
    <cfRule type="cellIs" dxfId="2862" priority="2758" stopIfTrue="1" operator="equal">
      <formula>"NO APLICA"</formula>
    </cfRule>
  </conditionalFormatting>
  <conditionalFormatting sqref="AA1722:AA1727">
    <cfRule type="cellIs" dxfId="2861" priority="2757" stopIfTrue="1" operator="equal">
      <formula>"NO APLICA"</formula>
    </cfRule>
  </conditionalFormatting>
  <conditionalFormatting sqref="AA1727">
    <cfRule type="cellIs" dxfId="2860" priority="2756" stopIfTrue="1" operator="equal">
      <formula>"NO APLICA"</formula>
    </cfRule>
  </conditionalFormatting>
  <conditionalFormatting sqref="AA1722:AA1727">
    <cfRule type="cellIs" dxfId="2859" priority="2754" stopIfTrue="1" operator="equal">
      <formula>"NO"</formula>
    </cfRule>
    <cfRule type="cellIs" dxfId="2858" priority="2755" stopIfTrue="1" operator="equal">
      <formula>"SI"</formula>
    </cfRule>
  </conditionalFormatting>
  <conditionalFormatting sqref="Y1722:Z1727">
    <cfRule type="cellIs" dxfId="2857" priority="2752" operator="equal">
      <formula>"NO APLICA"</formula>
    </cfRule>
    <cfRule type="cellIs" dxfId="2856" priority="2753" operator="equal">
      <formula>"SI APLICA"</formula>
    </cfRule>
  </conditionalFormatting>
  <conditionalFormatting sqref="AB1722:AB1727">
    <cfRule type="cellIs" dxfId="2855" priority="2750" operator="equal">
      <formula>"NO APLICA"</formula>
    </cfRule>
    <cfRule type="cellIs" dxfId="2854" priority="2751" operator="equal">
      <formula>"SI APLICA"</formula>
    </cfRule>
  </conditionalFormatting>
  <conditionalFormatting sqref="X1728">
    <cfRule type="cellIs" dxfId="2853" priority="2748" operator="equal">
      <formula>"PROPONENTE PLURAL"</formula>
    </cfRule>
    <cfRule type="cellIs" dxfId="2852" priority="2749" operator="equal">
      <formula>"PROPONENTE INDIVIDUAL"</formula>
    </cfRule>
  </conditionalFormatting>
  <conditionalFormatting sqref="AA1722:AA1727">
    <cfRule type="cellIs" dxfId="2851" priority="2746" operator="equal">
      <formula>"NO APLICA"</formula>
    </cfRule>
    <cfRule type="cellIs" dxfId="2850" priority="2747" operator="equal">
      <formula>"SI APLICA"</formula>
    </cfRule>
  </conditionalFormatting>
  <conditionalFormatting sqref="AB1722:AB1727 Y1722:Z1727">
    <cfRule type="cellIs" dxfId="2849" priority="2745" operator="equal">
      <formula>""</formula>
    </cfRule>
  </conditionalFormatting>
  <conditionalFormatting sqref="H1728">
    <cfRule type="containsText" dxfId="2848" priority="2743" stopIfTrue="1" operator="containsText" text="NO CUMPLE">
      <formula>NOT(ISERROR(SEARCH("NO CUMPLE",H1728)))</formula>
    </cfRule>
    <cfRule type="containsText" dxfId="2847" priority="2744" stopIfTrue="1" operator="containsText" text="CUMPLE">
      <formula>NOT(ISERROR(SEARCH("CUMPLE",H1728)))</formula>
    </cfRule>
  </conditionalFormatting>
  <conditionalFormatting sqref="J1728">
    <cfRule type="containsText" dxfId="2846" priority="2741" stopIfTrue="1" operator="containsText" text="NO CUMPLE">
      <formula>NOT(ISERROR(SEARCH("NO CUMPLE",J1728)))</formula>
    </cfRule>
    <cfRule type="containsText" dxfId="2845" priority="2742" stopIfTrue="1" operator="containsText" text="CUMPLE">
      <formula>NOT(ISERROR(SEARCH("CUMPLE",J1728)))</formula>
    </cfRule>
  </conditionalFormatting>
  <conditionalFormatting sqref="K1728">
    <cfRule type="containsText" dxfId="2844" priority="2739" stopIfTrue="1" operator="containsText" text="NO CUMPLE">
      <formula>NOT(ISERROR(SEARCH("NO CUMPLE",K1728)))</formula>
    </cfRule>
    <cfRule type="containsText" dxfId="2843" priority="2740" stopIfTrue="1" operator="containsText" text="CUMPLE">
      <formula>NOT(ISERROR(SEARCH("CUMPLE",K1728)))</formula>
    </cfRule>
  </conditionalFormatting>
  <conditionalFormatting sqref="L1722:L1727">
    <cfRule type="containsText" dxfId="2842" priority="2737" stopIfTrue="1" operator="containsText" text="NO CUMPLE">
      <formula>NOT(ISERROR(SEARCH("NO CUMPLE",L1722)))</formula>
    </cfRule>
    <cfRule type="containsText" dxfId="2841" priority="2738" stopIfTrue="1" operator="containsText" text="CUMPLE">
      <formula>NOT(ISERROR(SEARCH("CUMPLE",L1722)))</formula>
    </cfRule>
  </conditionalFormatting>
  <conditionalFormatting sqref="O1727">
    <cfRule type="containsText" dxfId="2840" priority="2735" stopIfTrue="1" operator="containsText" text="NO CUMPLE">
      <formula>NOT(ISERROR(SEARCH("NO CUMPLE",O1727)))</formula>
    </cfRule>
    <cfRule type="containsText" dxfId="2839" priority="2736" stopIfTrue="1" operator="containsText" text="CUMPLE">
      <formula>NOT(ISERROR(SEARCH("CUMPLE",O1727)))</formula>
    </cfRule>
  </conditionalFormatting>
  <conditionalFormatting sqref="O1728:S1728">
    <cfRule type="cellIs" dxfId="2838" priority="2734" operator="equal">
      <formula>"EL PROPONENTE SE DEBE REQUERIR POR EXPERIENCIA MINIMA EXIGIDA"</formula>
    </cfRule>
  </conditionalFormatting>
  <conditionalFormatting sqref="X1716">
    <cfRule type="cellIs" dxfId="2837" priority="2731" stopIfTrue="1" operator="equal">
      <formula>"VERIFICAR"</formula>
    </cfRule>
    <cfRule type="cellIs" dxfId="2836" priority="2732" stopIfTrue="1" operator="equal">
      <formula>"NO CUMPLE"</formula>
    </cfRule>
    <cfRule type="cellIs" dxfId="2835" priority="2733" stopIfTrue="1" operator="equal">
      <formula>"CUMPLE"</formula>
    </cfRule>
  </conditionalFormatting>
  <conditionalFormatting sqref="X1705:Y1714 J1705:J1714">
    <cfRule type="cellIs" dxfId="2834" priority="2730" stopIfTrue="1" operator="greaterThan">
      <formula>0</formula>
    </cfRule>
  </conditionalFormatting>
  <conditionalFormatting sqref="X1705:Y1714">
    <cfRule type="cellIs" dxfId="2833" priority="2728" operator="equal">
      <formula>"NO CUMPLE"</formula>
    </cfRule>
    <cfRule type="cellIs" dxfId="2832" priority="2729" operator="equal">
      <formula>"CUMPLE"</formula>
    </cfRule>
  </conditionalFormatting>
  <conditionalFormatting sqref="N1722:N1727">
    <cfRule type="cellIs" dxfId="2831" priority="2726" operator="equal">
      <formula>"NO"</formula>
    </cfRule>
    <cfRule type="cellIs" dxfId="2830" priority="2727" operator="equal">
      <formula>"SI"</formula>
    </cfRule>
  </conditionalFormatting>
  <conditionalFormatting sqref="I1714">
    <cfRule type="cellIs" dxfId="2829" priority="2725" stopIfTrue="1" operator="greaterThan">
      <formula>0</formula>
    </cfRule>
  </conditionalFormatting>
  <conditionalFormatting sqref="K1708:L1714">
    <cfRule type="cellIs" dxfId="2828" priority="2723" operator="equal">
      <formula>0</formula>
    </cfRule>
    <cfRule type="cellIs" dxfId="2827" priority="2724" operator="notBetween">
      <formula>$Q$17</formula>
      <formula>$R$17</formula>
    </cfRule>
  </conditionalFormatting>
  <conditionalFormatting sqref="B1705:B1714">
    <cfRule type="cellIs" dxfId="2826" priority="2722" stopIfTrue="1" operator="greaterThan">
      <formula>0</formula>
    </cfRule>
  </conditionalFormatting>
  <conditionalFormatting sqref="C1705:D1705 D1706:D1707 C1706:C1714">
    <cfRule type="cellIs" dxfId="2825" priority="2721" stopIfTrue="1" operator="greaterThan">
      <formula>0</formula>
    </cfRule>
  </conditionalFormatting>
  <conditionalFormatting sqref="C1705:D1705 F1705:H1707 D1706:D1707 C1706:C1714">
    <cfRule type="cellIs" dxfId="2824" priority="2720" stopIfTrue="1" operator="greaterThan">
      <formula>0</formula>
    </cfRule>
  </conditionalFormatting>
  <conditionalFormatting sqref="T1705:V1707">
    <cfRule type="cellIs" dxfId="2823" priority="2718" stopIfTrue="1" operator="equal">
      <formula>"NO"</formula>
    </cfRule>
    <cfRule type="cellIs" dxfId="2822" priority="2719" stopIfTrue="1" operator="equal">
      <formula>"SI"</formula>
    </cfRule>
  </conditionalFormatting>
  <conditionalFormatting sqref="T1705:V1706">
    <cfRule type="cellIs" dxfId="2821" priority="2717" stopIfTrue="1" operator="equal">
      <formula>"NO APLICA"</formula>
    </cfRule>
  </conditionalFormatting>
  <conditionalFormatting sqref="T1707:U1707">
    <cfRule type="cellIs" dxfId="2820" priority="2716" stopIfTrue="1" operator="equal">
      <formula>"NO APLICA"</formula>
    </cfRule>
  </conditionalFormatting>
  <conditionalFormatting sqref="T1707:U1707">
    <cfRule type="cellIs" dxfId="2819" priority="2715" stopIfTrue="1" operator="equal">
      <formula>"NO APLICA"</formula>
    </cfRule>
  </conditionalFormatting>
  <conditionalFormatting sqref="V1707">
    <cfRule type="cellIs" dxfId="2818" priority="2714" stopIfTrue="1" operator="equal">
      <formula>"NO APLICA"</formula>
    </cfRule>
  </conditionalFormatting>
  <conditionalFormatting sqref="K1705:L1707">
    <cfRule type="cellIs" dxfId="2817" priority="2712" operator="equal">
      <formula>0</formula>
    </cfRule>
    <cfRule type="cellIs" dxfId="2816" priority="2713" operator="notBetween">
      <formula>$Q$17</formula>
      <formula>$R$17</formula>
    </cfRule>
  </conditionalFormatting>
  <conditionalFormatting sqref="F1738:H1743 D1744:H1744 I1738:I1744 C1735:D1735 K1735:O1744 F1735:I1737 D1736:D1743 C1736:C1744">
    <cfRule type="cellIs" dxfId="2815" priority="2711" stopIfTrue="1" operator="greaterThan">
      <formula>0</formula>
    </cfRule>
  </conditionalFormatting>
  <conditionalFormatting sqref="D1738:D1743">
    <cfRule type="cellIs" dxfId="2814" priority="2710" stopIfTrue="1" operator="greaterThan">
      <formula>0</formula>
    </cfRule>
  </conditionalFormatting>
  <conditionalFormatting sqref="D1738:D1743 F1738:H1743">
    <cfRule type="cellIs" dxfId="2813" priority="2709" stopIfTrue="1" operator="greaterThan">
      <formula>0</formula>
    </cfRule>
  </conditionalFormatting>
  <conditionalFormatting sqref="H1735:H1743">
    <cfRule type="cellIs" dxfId="2812" priority="2708" stopIfTrue="1" operator="greaterThan">
      <formula>0</formula>
    </cfRule>
  </conditionalFormatting>
  <conditionalFormatting sqref="E1735:E1743">
    <cfRule type="cellIs" dxfId="2811" priority="2707" stopIfTrue="1" operator="greaterThan">
      <formula>0</formula>
    </cfRule>
  </conditionalFormatting>
  <conditionalFormatting sqref="M1752:M1757 K1752:K1757">
    <cfRule type="containsText" dxfId="2810" priority="2705" stopIfTrue="1" operator="containsText" text="NO CUMPLE">
      <formula>NOT(ISERROR(SEARCH("NO CUMPLE",K1752)))</formula>
    </cfRule>
    <cfRule type="containsText" dxfId="2809" priority="2706" stopIfTrue="1" operator="containsText" text="CUMPLE">
      <formula>NOT(ISERROR(SEARCH("CUMPLE",K1752)))</formula>
    </cfRule>
  </conditionalFormatting>
  <conditionalFormatting sqref="S1751">
    <cfRule type="cellIs" dxfId="2808" priority="2703" operator="greaterThanOrEqual">
      <formula>NUMMINCONT</formula>
    </cfRule>
    <cfRule type="cellIs" dxfId="2807" priority="2704" operator="lessThan">
      <formula>NUMMINCONT</formula>
    </cfRule>
  </conditionalFormatting>
  <conditionalFormatting sqref="T1738:V1743">
    <cfRule type="cellIs" dxfId="2806" priority="2701" stopIfTrue="1" operator="equal">
      <formula>"NO"</formula>
    </cfRule>
    <cfRule type="cellIs" dxfId="2805" priority="2702" stopIfTrue="1" operator="equal">
      <formula>"SI"</formula>
    </cfRule>
  </conditionalFormatting>
  <conditionalFormatting sqref="T1738:V1739">
    <cfRule type="cellIs" dxfId="2804" priority="2700" stopIfTrue="1" operator="equal">
      <formula>"NO APLICA"</formula>
    </cfRule>
  </conditionalFormatting>
  <conditionalFormatting sqref="T1740:U1743">
    <cfRule type="cellIs" dxfId="2803" priority="2699" stopIfTrue="1" operator="equal">
      <formula>"NO APLICA"</formula>
    </cfRule>
  </conditionalFormatting>
  <conditionalFormatting sqref="T1740:U1740">
    <cfRule type="cellIs" dxfId="2802" priority="2698" stopIfTrue="1" operator="equal">
      <formula>"NO APLICA"</formula>
    </cfRule>
  </conditionalFormatting>
  <conditionalFormatting sqref="V1740:V1743">
    <cfRule type="cellIs" dxfId="2801" priority="2697" stopIfTrue="1" operator="equal">
      <formula>"NO APLICA"</formula>
    </cfRule>
  </conditionalFormatting>
  <conditionalFormatting sqref="V1749:W1749">
    <cfRule type="cellIs" dxfId="2800" priority="2695" operator="equal">
      <formula>"CUMPLE"</formula>
    </cfRule>
    <cfRule type="cellIs" dxfId="2799" priority="2696" operator="equal">
      <formula>"NO CUMPLE"</formula>
    </cfRule>
  </conditionalFormatting>
  <conditionalFormatting sqref="V1749:W1751">
    <cfRule type="cellIs" dxfId="2798" priority="2694" operator="equal">
      <formula>"VERIFICAR"</formula>
    </cfRule>
  </conditionalFormatting>
  <conditionalFormatting sqref="T1744:V1744">
    <cfRule type="cellIs" dxfId="2797" priority="2692" stopIfTrue="1" operator="equal">
      <formula>"NO"</formula>
    </cfRule>
    <cfRule type="cellIs" dxfId="2796" priority="2693" stopIfTrue="1" operator="equal">
      <formula>"SI"</formula>
    </cfRule>
  </conditionalFormatting>
  <conditionalFormatting sqref="T1744:U1744">
    <cfRule type="cellIs" dxfId="2795" priority="2691" stopIfTrue="1" operator="equal">
      <formula>"NO APLICA"</formula>
    </cfRule>
  </conditionalFormatting>
  <conditionalFormatting sqref="V1744">
    <cfRule type="cellIs" dxfId="2794" priority="2690" stopIfTrue="1" operator="equal">
      <formula>"NO APLICA"</formula>
    </cfRule>
  </conditionalFormatting>
  <conditionalFormatting sqref="T1754">
    <cfRule type="cellIs" dxfId="2793" priority="2688" operator="equal">
      <formula>"CUMPLE"</formula>
    </cfRule>
    <cfRule type="cellIs" dxfId="2792" priority="2689" operator="equal">
      <formula>"NO CUMPLE"</formula>
    </cfRule>
  </conditionalFormatting>
  <conditionalFormatting sqref="T1754">
    <cfRule type="cellIs" dxfId="2791" priority="2687" operator="equal">
      <formula>"VERIFICAR"</formula>
    </cfRule>
  </conditionalFormatting>
  <conditionalFormatting sqref="Y1752:Y1757">
    <cfRule type="cellIs" dxfId="2790" priority="2686" stopIfTrue="1" operator="equal">
      <formula>"NO APLICA"</formula>
    </cfRule>
  </conditionalFormatting>
  <conditionalFormatting sqref="Y1757">
    <cfRule type="cellIs" dxfId="2789" priority="2685" stopIfTrue="1" operator="equal">
      <formula>"NO APLICA"</formula>
    </cfRule>
  </conditionalFormatting>
  <conditionalFormatting sqref="X1752:Y1757">
    <cfRule type="cellIs" dxfId="2788" priority="2683" stopIfTrue="1" operator="equal">
      <formula>"NO"</formula>
    </cfRule>
    <cfRule type="cellIs" dxfId="2787" priority="2684" stopIfTrue="1" operator="equal">
      <formula>"SI"</formula>
    </cfRule>
  </conditionalFormatting>
  <conditionalFormatting sqref="X1752:X1757">
    <cfRule type="cellIs" dxfId="2786" priority="2682" stopIfTrue="1" operator="equal">
      <formula>"NO APLICA"</formula>
    </cfRule>
  </conditionalFormatting>
  <conditionalFormatting sqref="X1753:X1756">
    <cfRule type="cellIs" dxfId="2785" priority="2681" stopIfTrue="1" operator="equal">
      <formula>"NO APLICA"</formula>
    </cfRule>
  </conditionalFormatting>
  <conditionalFormatting sqref="X1753">
    <cfRule type="cellIs" dxfId="2784" priority="2680" stopIfTrue="1" operator="equal">
      <formula>"NO APLICA"</formula>
    </cfRule>
  </conditionalFormatting>
  <conditionalFormatting sqref="X1757">
    <cfRule type="cellIs" dxfId="2783" priority="2679" stopIfTrue="1" operator="equal">
      <formula>"NO APLICA"</formula>
    </cfRule>
  </conditionalFormatting>
  <conditionalFormatting sqref="X1757">
    <cfRule type="cellIs" dxfId="2782" priority="2678" stopIfTrue="1" operator="equal">
      <formula>"NO APLICA"</formula>
    </cfRule>
  </conditionalFormatting>
  <conditionalFormatting sqref="AA1752:AA1757">
    <cfRule type="cellIs" dxfId="2781" priority="2677" stopIfTrue="1" operator="equal">
      <formula>"NO APLICA"</formula>
    </cfRule>
  </conditionalFormatting>
  <conditionalFormatting sqref="AA1757">
    <cfRule type="cellIs" dxfId="2780" priority="2676" stopIfTrue="1" operator="equal">
      <formula>"NO APLICA"</formula>
    </cfRule>
  </conditionalFormatting>
  <conditionalFormatting sqref="AA1752:AA1757">
    <cfRule type="cellIs" dxfId="2779" priority="2674" stopIfTrue="1" operator="equal">
      <formula>"NO"</formula>
    </cfRule>
    <cfRule type="cellIs" dxfId="2778" priority="2675" stopIfTrue="1" operator="equal">
      <formula>"SI"</formula>
    </cfRule>
  </conditionalFormatting>
  <conditionalFormatting sqref="Y1752:Z1757">
    <cfRule type="cellIs" dxfId="2777" priority="2672" operator="equal">
      <formula>"NO APLICA"</formula>
    </cfRule>
    <cfRule type="cellIs" dxfId="2776" priority="2673" operator="equal">
      <formula>"SI APLICA"</formula>
    </cfRule>
  </conditionalFormatting>
  <conditionalFormatting sqref="AB1752:AB1758">
    <cfRule type="cellIs" dxfId="2775" priority="2670" operator="equal">
      <formula>"NO APLICA"</formula>
    </cfRule>
    <cfRule type="cellIs" dxfId="2774" priority="2671" operator="equal">
      <formula>"SI APLICA"</formula>
    </cfRule>
  </conditionalFormatting>
  <conditionalFormatting sqref="X1758">
    <cfRule type="cellIs" dxfId="2773" priority="2668" operator="equal">
      <formula>"PROPONENTE PLURAL"</formula>
    </cfRule>
    <cfRule type="cellIs" dxfId="2772" priority="2669" operator="equal">
      <formula>"PROPONENTE INDIVIDUAL"</formula>
    </cfRule>
  </conditionalFormatting>
  <conditionalFormatting sqref="Z1758:AA1758 AA1752:AA1757">
    <cfRule type="cellIs" dxfId="2771" priority="2666" operator="equal">
      <formula>"NO APLICA"</formula>
    </cfRule>
    <cfRule type="cellIs" dxfId="2770" priority="2667" operator="equal">
      <formula>"SI APLICA"</formula>
    </cfRule>
  </conditionalFormatting>
  <conditionalFormatting sqref="AB1752:AB1757 Y1752:Z1757">
    <cfRule type="cellIs" dxfId="2769" priority="2665" operator="equal">
      <formula>""</formula>
    </cfRule>
  </conditionalFormatting>
  <conditionalFormatting sqref="H1758">
    <cfRule type="containsText" dxfId="2768" priority="2663" stopIfTrue="1" operator="containsText" text="NO CUMPLE">
      <formula>NOT(ISERROR(SEARCH("NO CUMPLE",H1758)))</formula>
    </cfRule>
    <cfRule type="containsText" dxfId="2767" priority="2664" stopIfTrue="1" operator="containsText" text="CUMPLE">
      <formula>NOT(ISERROR(SEARCH("CUMPLE",H1758)))</formula>
    </cfRule>
  </conditionalFormatting>
  <conditionalFormatting sqref="J1758">
    <cfRule type="containsText" dxfId="2766" priority="2661" stopIfTrue="1" operator="containsText" text="NO CUMPLE">
      <formula>NOT(ISERROR(SEARCH("NO CUMPLE",J1758)))</formula>
    </cfRule>
    <cfRule type="containsText" dxfId="2765" priority="2662" stopIfTrue="1" operator="containsText" text="CUMPLE">
      <formula>NOT(ISERROR(SEARCH("CUMPLE",J1758)))</formula>
    </cfRule>
  </conditionalFormatting>
  <conditionalFormatting sqref="K1758">
    <cfRule type="containsText" dxfId="2764" priority="2659" stopIfTrue="1" operator="containsText" text="NO CUMPLE">
      <formula>NOT(ISERROR(SEARCH("NO CUMPLE",K1758)))</formula>
    </cfRule>
    <cfRule type="containsText" dxfId="2763" priority="2660" stopIfTrue="1" operator="containsText" text="CUMPLE">
      <formula>NOT(ISERROR(SEARCH("CUMPLE",K1758)))</formula>
    </cfRule>
  </conditionalFormatting>
  <conditionalFormatting sqref="L1752:L1757">
    <cfRule type="containsText" dxfId="2762" priority="2657" stopIfTrue="1" operator="containsText" text="NO CUMPLE">
      <formula>NOT(ISERROR(SEARCH("NO CUMPLE",L1752)))</formula>
    </cfRule>
    <cfRule type="containsText" dxfId="2761" priority="2658" stopIfTrue="1" operator="containsText" text="CUMPLE">
      <formula>NOT(ISERROR(SEARCH("CUMPLE",L1752)))</formula>
    </cfRule>
  </conditionalFormatting>
  <conditionalFormatting sqref="O1757">
    <cfRule type="containsText" dxfId="2760" priority="2655" stopIfTrue="1" operator="containsText" text="NO CUMPLE">
      <formula>NOT(ISERROR(SEARCH("NO CUMPLE",O1757)))</formula>
    </cfRule>
    <cfRule type="containsText" dxfId="2759" priority="2656" stopIfTrue="1" operator="containsText" text="CUMPLE">
      <formula>NOT(ISERROR(SEARCH("CUMPLE",O1757)))</formula>
    </cfRule>
  </conditionalFormatting>
  <conditionalFormatting sqref="O1758:S1758">
    <cfRule type="cellIs" dxfId="2758" priority="2654" operator="equal">
      <formula>"EL PROPONENTE SE DEBE REQUERIR POR EXPERIENCIA MINIMA EXIGIDA"</formula>
    </cfRule>
  </conditionalFormatting>
  <conditionalFormatting sqref="X1746">
    <cfRule type="cellIs" dxfId="2757" priority="2651" stopIfTrue="1" operator="equal">
      <formula>"VERIFICAR"</formula>
    </cfRule>
    <cfRule type="cellIs" dxfId="2756" priority="2652" stopIfTrue="1" operator="equal">
      <formula>"NO CUMPLE"</formula>
    </cfRule>
    <cfRule type="cellIs" dxfId="2755" priority="2653" stopIfTrue="1" operator="equal">
      <formula>"CUMPLE"</formula>
    </cfRule>
  </conditionalFormatting>
  <conditionalFormatting sqref="X1735:Y1744 J1735:J1744">
    <cfRule type="cellIs" dxfId="2754" priority="2650" stopIfTrue="1" operator="greaterThan">
      <formula>0</formula>
    </cfRule>
  </conditionalFormatting>
  <conditionalFormatting sqref="X1735:Y1744">
    <cfRule type="cellIs" dxfId="2753" priority="2648" operator="equal">
      <formula>"NO CUMPLE"</formula>
    </cfRule>
    <cfRule type="cellIs" dxfId="2752" priority="2649" operator="equal">
      <formula>"CUMPLE"</formula>
    </cfRule>
  </conditionalFormatting>
  <conditionalFormatting sqref="N1752:N1757">
    <cfRule type="cellIs" dxfId="2751" priority="2646" operator="equal">
      <formula>"NO"</formula>
    </cfRule>
    <cfRule type="cellIs" dxfId="2750" priority="2647" operator="equal">
      <formula>"SI"</formula>
    </cfRule>
  </conditionalFormatting>
  <conditionalFormatting sqref="I1744">
    <cfRule type="cellIs" dxfId="2749" priority="2645" stopIfTrue="1" operator="greaterThan">
      <formula>0</formula>
    </cfRule>
  </conditionalFormatting>
  <conditionalFormatting sqref="K1738:L1744">
    <cfRule type="cellIs" dxfId="2748" priority="2643" operator="equal">
      <formula>0</formula>
    </cfRule>
    <cfRule type="cellIs" dxfId="2747" priority="2644" operator="notBetween">
      <formula>$Q$17</formula>
      <formula>$R$17</formula>
    </cfRule>
  </conditionalFormatting>
  <conditionalFormatting sqref="B1735:B1744">
    <cfRule type="cellIs" dxfId="2746" priority="2642" stopIfTrue="1" operator="greaterThan">
      <formula>0</formula>
    </cfRule>
  </conditionalFormatting>
  <conditionalFormatting sqref="C1735:D1735 D1736:D1737 C1736:C1744">
    <cfRule type="cellIs" dxfId="2745" priority="2641" stopIfTrue="1" operator="greaterThan">
      <formula>0</formula>
    </cfRule>
  </conditionalFormatting>
  <conditionalFormatting sqref="C1735:D1735 F1735:H1737 D1736:D1737 C1736:C1744">
    <cfRule type="cellIs" dxfId="2744" priority="2640" stopIfTrue="1" operator="greaterThan">
      <formula>0</formula>
    </cfRule>
  </conditionalFormatting>
  <conditionalFormatting sqref="T1735:V1737">
    <cfRule type="cellIs" dxfId="2743" priority="2638" stopIfTrue="1" operator="equal">
      <formula>"NO"</formula>
    </cfRule>
    <cfRule type="cellIs" dxfId="2742" priority="2639" stopIfTrue="1" operator="equal">
      <formula>"SI"</formula>
    </cfRule>
  </conditionalFormatting>
  <conditionalFormatting sqref="T1735:V1736">
    <cfRule type="cellIs" dxfId="2741" priority="2637" stopIfTrue="1" operator="equal">
      <formula>"NO APLICA"</formula>
    </cfRule>
  </conditionalFormatting>
  <conditionalFormatting sqref="T1737:U1737">
    <cfRule type="cellIs" dxfId="2740" priority="2636" stopIfTrue="1" operator="equal">
      <formula>"NO APLICA"</formula>
    </cfRule>
  </conditionalFormatting>
  <conditionalFormatting sqref="T1737:U1737">
    <cfRule type="cellIs" dxfId="2739" priority="2635" stopIfTrue="1" operator="equal">
      <formula>"NO APLICA"</formula>
    </cfRule>
  </conditionalFormatting>
  <conditionalFormatting sqref="V1737">
    <cfRule type="cellIs" dxfId="2738" priority="2634" stopIfTrue="1" operator="equal">
      <formula>"NO APLICA"</formula>
    </cfRule>
  </conditionalFormatting>
  <conditionalFormatting sqref="K1735:L1737">
    <cfRule type="cellIs" dxfId="2737" priority="2632" operator="equal">
      <formula>0</formula>
    </cfRule>
    <cfRule type="cellIs" dxfId="2736" priority="2633" operator="notBetween">
      <formula>$Q$17</formula>
      <formula>$R$17</formula>
    </cfRule>
  </conditionalFormatting>
  <conditionalFormatting sqref="F1768:H1773 D1774:H1774 I1768:I1774 C1765:D1765 K1765:O1774 F1765:I1767 D1766:D1773 C1766:C1774">
    <cfRule type="cellIs" dxfId="2735" priority="2631" stopIfTrue="1" operator="greaterThan">
      <formula>0</formula>
    </cfRule>
  </conditionalFormatting>
  <conditionalFormatting sqref="D1768:D1773">
    <cfRule type="cellIs" dxfId="2734" priority="2630" stopIfTrue="1" operator="greaterThan">
      <formula>0</formula>
    </cfRule>
  </conditionalFormatting>
  <conditionalFormatting sqref="D1768:D1773 F1768:H1773">
    <cfRule type="cellIs" dxfId="2733" priority="2629" stopIfTrue="1" operator="greaterThan">
      <formula>0</formula>
    </cfRule>
  </conditionalFormatting>
  <conditionalFormatting sqref="H1765:H1773">
    <cfRule type="cellIs" dxfId="2732" priority="2628" stopIfTrue="1" operator="greaterThan">
      <formula>0</formula>
    </cfRule>
  </conditionalFormatting>
  <conditionalFormatting sqref="E1765:E1773">
    <cfRule type="cellIs" dxfId="2731" priority="2627" stopIfTrue="1" operator="greaterThan">
      <formula>0</formula>
    </cfRule>
  </conditionalFormatting>
  <conditionalFormatting sqref="M1782:M1787 K1782:K1787">
    <cfRule type="containsText" dxfId="2730" priority="2625" stopIfTrue="1" operator="containsText" text="NO CUMPLE">
      <formula>NOT(ISERROR(SEARCH("NO CUMPLE",K1782)))</formula>
    </cfRule>
    <cfRule type="containsText" dxfId="2729" priority="2626" stopIfTrue="1" operator="containsText" text="CUMPLE">
      <formula>NOT(ISERROR(SEARCH("CUMPLE",K1782)))</formula>
    </cfRule>
  </conditionalFormatting>
  <conditionalFormatting sqref="S1781">
    <cfRule type="cellIs" dxfId="2728" priority="2623" operator="greaterThanOrEqual">
      <formula>NUMMINCONT</formula>
    </cfRule>
    <cfRule type="cellIs" dxfId="2727" priority="2624" operator="lessThan">
      <formula>NUMMINCONT</formula>
    </cfRule>
  </conditionalFormatting>
  <conditionalFormatting sqref="T1768:V1773">
    <cfRule type="cellIs" dxfId="2726" priority="2621" stopIfTrue="1" operator="equal">
      <formula>"NO"</formula>
    </cfRule>
    <cfRule type="cellIs" dxfId="2725" priority="2622" stopIfTrue="1" operator="equal">
      <formula>"SI"</formula>
    </cfRule>
  </conditionalFormatting>
  <conditionalFormatting sqref="T1768:V1769">
    <cfRule type="cellIs" dxfId="2724" priority="2620" stopIfTrue="1" operator="equal">
      <formula>"NO APLICA"</formula>
    </cfRule>
  </conditionalFormatting>
  <conditionalFormatting sqref="T1770:U1773">
    <cfRule type="cellIs" dxfId="2723" priority="2619" stopIfTrue="1" operator="equal">
      <formula>"NO APLICA"</formula>
    </cfRule>
  </conditionalFormatting>
  <conditionalFormatting sqref="T1770:U1770">
    <cfRule type="cellIs" dxfId="2722" priority="2618" stopIfTrue="1" operator="equal">
      <formula>"NO APLICA"</formula>
    </cfRule>
  </conditionalFormatting>
  <conditionalFormatting sqref="V1770:V1773">
    <cfRule type="cellIs" dxfId="2721" priority="2617" stopIfTrue="1" operator="equal">
      <formula>"NO APLICA"</formula>
    </cfRule>
  </conditionalFormatting>
  <conditionalFormatting sqref="V1779:W1779">
    <cfRule type="cellIs" dxfId="2720" priority="2615" operator="equal">
      <formula>"CUMPLE"</formula>
    </cfRule>
    <cfRule type="cellIs" dxfId="2719" priority="2616" operator="equal">
      <formula>"NO CUMPLE"</formula>
    </cfRule>
  </conditionalFormatting>
  <conditionalFormatting sqref="V1779:W1781">
    <cfRule type="cellIs" dxfId="2718" priority="2614" operator="equal">
      <formula>"VERIFICAR"</formula>
    </cfRule>
  </conditionalFormatting>
  <conditionalFormatting sqref="T1774:V1774">
    <cfRule type="cellIs" dxfId="2717" priority="2612" stopIfTrue="1" operator="equal">
      <formula>"NO"</formula>
    </cfRule>
    <cfRule type="cellIs" dxfId="2716" priority="2613" stopIfTrue="1" operator="equal">
      <formula>"SI"</formula>
    </cfRule>
  </conditionalFormatting>
  <conditionalFormatting sqref="T1774:U1774">
    <cfRule type="cellIs" dxfId="2715" priority="2611" stopIfTrue="1" operator="equal">
      <formula>"NO APLICA"</formula>
    </cfRule>
  </conditionalFormatting>
  <conditionalFormatting sqref="V1774">
    <cfRule type="cellIs" dxfId="2714" priority="2610" stopIfTrue="1" operator="equal">
      <formula>"NO APLICA"</formula>
    </cfRule>
  </conditionalFormatting>
  <conditionalFormatting sqref="T1784">
    <cfRule type="cellIs" dxfId="2713" priority="2608" operator="equal">
      <formula>"CUMPLE"</formula>
    </cfRule>
    <cfRule type="cellIs" dxfId="2712" priority="2609" operator="equal">
      <formula>"NO CUMPLE"</formula>
    </cfRule>
  </conditionalFormatting>
  <conditionalFormatting sqref="T1784">
    <cfRule type="cellIs" dxfId="2711" priority="2607" operator="equal">
      <formula>"VERIFICAR"</formula>
    </cfRule>
  </conditionalFormatting>
  <conditionalFormatting sqref="Y1782:Y1787">
    <cfRule type="cellIs" dxfId="2710" priority="2606" stopIfTrue="1" operator="equal">
      <formula>"NO APLICA"</formula>
    </cfRule>
  </conditionalFormatting>
  <conditionalFormatting sqref="Y1787">
    <cfRule type="cellIs" dxfId="2709" priority="2605" stopIfTrue="1" operator="equal">
      <formula>"NO APLICA"</formula>
    </cfRule>
  </conditionalFormatting>
  <conditionalFormatting sqref="X1782:Y1787">
    <cfRule type="cellIs" dxfId="2708" priority="2603" stopIfTrue="1" operator="equal">
      <formula>"NO"</formula>
    </cfRule>
    <cfRule type="cellIs" dxfId="2707" priority="2604" stopIfTrue="1" operator="equal">
      <formula>"SI"</formula>
    </cfRule>
  </conditionalFormatting>
  <conditionalFormatting sqref="X1782:X1787">
    <cfRule type="cellIs" dxfId="2706" priority="2602" stopIfTrue="1" operator="equal">
      <formula>"NO APLICA"</formula>
    </cfRule>
  </conditionalFormatting>
  <conditionalFormatting sqref="X1783:X1786">
    <cfRule type="cellIs" dxfId="2705" priority="2601" stopIfTrue="1" operator="equal">
      <formula>"NO APLICA"</formula>
    </cfRule>
  </conditionalFormatting>
  <conditionalFormatting sqref="X1783">
    <cfRule type="cellIs" dxfId="2704" priority="2600" stopIfTrue="1" operator="equal">
      <formula>"NO APLICA"</formula>
    </cfRule>
  </conditionalFormatting>
  <conditionalFormatting sqref="X1787">
    <cfRule type="cellIs" dxfId="2703" priority="2599" stopIfTrue="1" operator="equal">
      <formula>"NO APLICA"</formula>
    </cfRule>
  </conditionalFormatting>
  <conditionalFormatting sqref="X1787">
    <cfRule type="cellIs" dxfId="2702" priority="2598" stopIfTrue="1" operator="equal">
      <formula>"NO APLICA"</formula>
    </cfRule>
  </conditionalFormatting>
  <conditionalFormatting sqref="AA1782:AA1787">
    <cfRule type="cellIs" dxfId="2701" priority="2597" stopIfTrue="1" operator="equal">
      <formula>"NO APLICA"</formula>
    </cfRule>
  </conditionalFormatting>
  <conditionalFormatting sqref="AA1787">
    <cfRule type="cellIs" dxfId="2700" priority="2596" stopIfTrue="1" operator="equal">
      <formula>"NO APLICA"</formula>
    </cfRule>
  </conditionalFormatting>
  <conditionalFormatting sqref="AA1782:AA1787">
    <cfRule type="cellIs" dxfId="2699" priority="2594" stopIfTrue="1" operator="equal">
      <formula>"NO"</formula>
    </cfRule>
    <cfRule type="cellIs" dxfId="2698" priority="2595" stopIfTrue="1" operator="equal">
      <formula>"SI"</formula>
    </cfRule>
  </conditionalFormatting>
  <conditionalFormatting sqref="Y1782:Z1787">
    <cfRule type="cellIs" dxfId="2697" priority="2592" operator="equal">
      <formula>"NO APLICA"</formula>
    </cfRule>
    <cfRule type="cellIs" dxfId="2696" priority="2593" operator="equal">
      <formula>"SI APLICA"</formula>
    </cfRule>
  </conditionalFormatting>
  <conditionalFormatting sqref="AB1782:AB1788">
    <cfRule type="cellIs" dxfId="2695" priority="2590" operator="equal">
      <formula>"NO APLICA"</formula>
    </cfRule>
    <cfRule type="cellIs" dxfId="2694" priority="2591" operator="equal">
      <formula>"SI APLICA"</formula>
    </cfRule>
  </conditionalFormatting>
  <conditionalFormatting sqref="X1788">
    <cfRule type="cellIs" dxfId="2693" priority="2588" operator="equal">
      <formula>"PROPONENTE PLURAL"</formula>
    </cfRule>
    <cfRule type="cellIs" dxfId="2692" priority="2589" operator="equal">
      <formula>"PROPONENTE INDIVIDUAL"</formula>
    </cfRule>
  </conditionalFormatting>
  <conditionalFormatting sqref="Z1788:AA1788 AA1782:AA1787">
    <cfRule type="cellIs" dxfId="2691" priority="2586" operator="equal">
      <formula>"NO APLICA"</formula>
    </cfRule>
    <cfRule type="cellIs" dxfId="2690" priority="2587" operator="equal">
      <formula>"SI APLICA"</formula>
    </cfRule>
  </conditionalFormatting>
  <conditionalFormatting sqref="AB1782:AB1787 Y1782:Z1787">
    <cfRule type="cellIs" dxfId="2689" priority="2585" operator="equal">
      <formula>""</formula>
    </cfRule>
  </conditionalFormatting>
  <conditionalFormatting sqref="H1788">
    <cfRule type="containsText" dxfId="2688" priority="2583" stopIfTrue="1" operator="containsText" text="NO CUMPLE">
      <formula>NOT(ISERROR(SEARCH("NO CUMPLE",H1788)))</formula>
    </cfRule>
    <cfRule type="containsText" dxfId="2687" priority="2584" stopIfTrue="1" operator="containsText" text="CUMPLE">
      <formula>NOT(ISERROR(SEARCH("CUMPLE",H1788)))</formula>
    </cfRule>
  </conditionalFormatting>
  <conditionalFormatting sqref="J1788">
    <cfRule type="containsText" dxfId="2686" priority="2581" stopIfTrue="1" operator="containsText" text="NO CUMPLE">
      <formula>NOT(ISERROR(SEARCH("NO CUMPLE",J1788)))</formula>
    </cfRule>
    <cfRule type="containsText" dxfId="2685" priority="2582" stopIfTrue="1" operator="containsText" text="CUMPLE">
      <formula>NOT(ISERROR(SEARCH("CUMPLE",J1788)))</formula>
    </cfRule>
  </conditionalFormatting>
  <conditionalFormatting sqref="K1788">
    <cfRule type="containsText" dxfId="2684" priority="2579" stopIfTrue="1" operator="containsText" text="NO CUMPLE">
      <formula>NOT(ISERROR(SEARCH("NO CUMPLE",K1788)))</formula>
    </cfRule>
    <cfRule type="containsText" dxfId="2683" priority="2580" stopIfTrue="1" operator="containsText" text="CUMPLE">
      <formula>NOT(ISERROR(SEARCH("CUMPLE",K1788)))</formula>
    </cfRule>
  </conditionalFormatting>
  <conditionalFormatting sqref="L1782:L1787">
    <cfRule type="containsText" dxfId="2682" priority="2577" stopIfTrue="1" operator="containsText" text="NO CUMPLE">
      <formula>NOT(ISERROR(SEARCH("NO CUMPLE",L1782)))</formula>
    </cfRule>
    <cfRule type="containsText" dxfId="2681" priority="2578" stopIfTrue="1" operator="containsText" text="CUMPLE">
      <formula>NOT(ISERROR(SEARCH("CUMPLE",L1782)))</formula>
    </cfRule>
  </conditionalFormatting>
  <conditionalFormatting sqref="O1787">
    <cfRule type="containsText" dxfId="2680" priority="2575" stopIfTrue="1" operator="containsText" text="NO CUMPLE">
      <formula>NOT(ISERROR(SEARCH("NO CUMPLE",O1787)))</formula>
    </cfRule>
    <cfRule type="containsText" dxfId="2679" priority="2576" stopIfTrue="1" operator="containsText" text="CUMPLE">
      <formula>NOT(ISERROR(SEARCH("CUMPLE",O1787)))</formula>
    </cfRule>
  </conditionalFormatting>
  <conditionalFormatting sqref="O1788:S1788">
    <cfRule type="cellIs" dxfId="2678" priority="2574" operator="equal">
      <formula>"EL PROPONENTE SE DEBE REQUERIR POR EXPERIENCIA MINIMA EXIGIDA"</formula>
    </cfRule>
  </conditionalFormatting>
  <conditionalFormatting sqref="X1776">
    <cfRule type="cellIs" dxfId="2677" priority="2571" stopIfTrue="1" operator="equal">
      <formula>"VERIFICAR"</formula>
    </cfRule>
    <cfRule type="cellIs" dxfId="2676" priority="2572" stopIfTrue="1" operator="equal">
      <formula>"NO CUMPLE"</formula>
    </cfRule>
    <cfRule type="cellIs" dxfId="2675" priority="2573" stopIfTrue="1" operator="equal">
      <formula>"CUMPLE"</formula>
    </cfRule>
  </conditionalFormatting>
  <conditionalFormatting sqref="X1765:Y1774 J1765:J1774">
    <cfRule type="cellIs" dxfId="2674" priority="2570" stopIfTrue="1" operator="greaterThan">
      <formula>0</formula>
    </cfRule>
  </conditionalFormatting>
  <conditionalFormatting sqref="X1765:Y1774">
    <cfRule type="cellIs" dxfId="2673" priority="2568" operator="equal">
      <formula>"NO CUMPLE"</formula>
    </cfRule>
    <cfRule type="cellIs" dxfId="2672" priority="2569" operator="equal">
      <formula>"CUMPLE"</formula>
    </cfRule>
  </conditionalFormatting>
  <conditionalFormatting sqref="N1782:N1787">
    <cfRule type="cellIs" dxfId="2671" priority="2566" operator="equal">
      <formula>"NO"</formula>
    </cfRule>
    <cfRule type="cellIs" dxfId="2670" priority="2567" operator="equal">
      <formula>"SI"</formula>
    </cfRule>
  </conditionalFormatting>
  <conditionalFormatting sqref="I1774">
    <cfRule type="cellIs" dxfId="2669" priority="2565" stopIfTrue="1" operator="greaterThan">
      <formula>0</formula>
    </cfRule>
  </conditionalFormatting>
  <conditionalFormatting sqref="K1768:L1774">
    <cfRule type="cellIs" dxfId="2668" priority="2563" operator="equal">
      <formula>0</formula>
    </cfRule>
    <cfRule type="cellIs" dxfId="2667" priority="2564" operator="notBetween">
      <formula>$Q$17</formula>
      <formula>$R$17</formula>
    </cfRule>
  </conditionalFormatting>
  <conditionalFormatting sqref="B1765:B1774">
    <cfRule type="cellIs" dxfId="2666" priority="2562" stopIfTrue="1" operator="greaterThan">
      <formula>0</formula>
    </cfRule>
  </conditionalFormatting>
  <conditionalFormatting sqref="C1765:D1765 D1766:D1767 C1766:C1774">
    <cfRule type="cellIs" dxfId="2665" priority="2561" stopIfTrue="1" operator="greaterThan">
      <formula>0</formula>
    </cfRule>
  </conditionalFormatting>
  <conditionalFormatting sqref="C1765:D1765 F1765:H1767 D1766:D1767 C1766:C1774">
    <cfRule type="cellIs" dxfId="2664" priority="2560" stopIfTrue="1" operator="greaterThan">
      <formula>0</formula>
    </cfRule>
  </conditionalFormatting>
  <conditionalFormatting sqref="T1765:V1767">
    <cfRule type="cellIs" dxfId="2663" priority="2558" stopIfTrue="1" operator="equal">
      <formula>"NO"</formula>
    </cfRule>
    <cfRule type="cellIs" dxfId="2662" priority="2559" stopIfTrue="1" operator="equal">
      <formula>"SI"</formula>
    </cfRule>
  </conditionalFormatting>
  <conditionalFormatting sqref="T1765:V1766">
    <cfRule type="cellIs" dxfId="2661" priority="2557" stopIfTrue="1" operator="equal">
      <formula>"NO APLICA"</formula>
    </cfRule>
  </conditionalFormatting>
  <conditionalFormatting sqref="T1767:U1767">
    <cfRule type="cellIs" dxfId="2660" priority="2556" stopIfTrue="1" operator="equal">
      <formula>"NO APLICA"</formula>
    </cfRule>
  </conditionalFormatting>
  <conditionalFormatting sqref="T1767:U1767">
    <cfRule type="cellIs" dxfId="2659" priority="2555" stopIfTrue="1" operator="equal">
      <formula>"NO APLICA"</formula>
    </cfRule>
  </conditionalFormatting>
  <conditionalFormatting sqref="V1767">
    <cfRule type="cellIs" dxfId="2658" priority="2554" stopIfTrue="1" operator="equal">
      <formula>"NO APLICA"</formula>
    </cfRule>
  </conditionalFormatting>
  <conditionalFormatting sqref="K1765:L1767">
    <cfRule type="cellIs" dxfId="2657" priority="2552" operator="equal">
      <formula>0</formula>
    </cfRule>
    <cfRule type="cellIs" dxfId="2656" priority="2553" operator="notBetween">
      <formula>$Q$17</formula>
      <formula>$R$17</formula>
    </cfRule>
  </conditionalFormatting>
  <conditionalFormatting sqref="F1798:H1803 D1804:H1804 I1798:I1804 C1795:D1795 K1795:O1804 F1795:I1797 D1796:D1803 C1796:C1804">
    <cfRule type="cellIs" dxfId="2655" priority="2551" stopIfTrue="1" operator="greaterThan">
      <formula>0</formula>
    </cfRule>
  </conditionalFormatting>
  <conditionalFormatting sqref="D1798:D1803">
    <cfRule type="cellIs" dxfId="2654" priority="2550" stopIfTrue="1" operator="greaterThan">
      <formula>0</formula>
    </cfRule>
  </conditionalFormatting>
  <conditionalFormatting sqref="D1798:D1803 F1798:H1803">
    <cfRule type="cellIs" dxfId="2653" priority="2549" stopIfTrue="1" operator="greaterThan">
      <formula>0</formula>
    </cfRule>
  </conditionalFormatting>
  <conditionalFormatting sqref="H1795:H1803">
    <cfRule type="cellIs" dxfId="2652" priority="2548" stopIfTrue="1" operator="greaterThan">
      <formula>0</formula>
    </cfRule>
  </conditionalFormatting>
  <conditionalFormatting sqref="E1795:E1803">
    <cfRule type="cellIs" dxfId="2651" priority="2547" stopIfTrue="1" operator="greaterThan">
      <formula>0</formula>
    </cfRule>
  </conditionalFormatting>
  <conditionalFormatting sqref="M1812:M1817 K1812:K1817">
    <cfRule type="containsText" dxfId="2650" priority="2545" stopIfTrue="1" operator="containsText" text="NO CUMPLE">
      <formula>NOT(ISERROR(SEARCH("NO CUMPLE",K1812)))</formula>
    </cfRule>
    <cfRule type="containsText" dxfId="2649" priority="2546" stopIfTrue="1" operator="containsText" text="CUMPLE">
      <formula>NOT(ISERROR(SEARCH("CUMPLE",K1812)))</formula>
    </cfRule>
  </conditionalFormatting>
  <conditionalFormatting sqref="S1811">
    <cfRule type="cellIs" dxfId="2648" priority="2543" operator="greaterThanOrEqual">
      <formula>NUMMINCONT</formula>
    </cfRule>
    <cfRule type="cellIs" dxfId="2647" priority="2544" operator="lessThan">
      <formula>NUMMINCONT</formula>
    </cfRule>
  </conditionalFormatting>
  <conditionalFormatting sqref="T1798:V1803">
    <cfRule type="cellIs" dxfId="2646" priority="2541" stopIfTrue="1" operator="equal">
      <formula>"NO"</formula>
    </cfRule>
    <cfRule type="cellIs" dxfId="2645" priority="2542" stopIfTrue="1" operator="equal">
      <formula>"SI"</formula>
    </cfRule>
  </conditionalFormatting>
  <conditionalFormatting sqref="T1798:V1799">
    <cfRule type="cellIs" dxfId="2644" priority="2540" stopIfTrue="1" operator="equal">
      <formula>"NO APLICA"</formula>
    </cfRule>
  </conditionalFormatting>
  <conditionalFormatting sqref="T1800:U1803">
    <cfRule type="cellIs" dxfId="2643" priority="2539" stopIfTrue="1" operator="equal">
      <formula>"NO APLICA"</formula>
    </cfRule>
  </conditionalFormatting>
  <conditionalFormatting sqref="T1800:U1800">
    <cfRule type="cellIs" dxfId="2642" priority="2538" stopIfTrue="1" operator="equal">
      <formula>"NO APLICA"</formula>
    </cfRule>
  </conditionalFormatting>
  <conditionalFormatting sqref="V1800:V1803">
    <cfRule type="cellIs" dxfId="2641" priority="2537" stopIfTrue="1" operator="equal">
      <formula>"NO APLICA"</formula>
    </cfRule>
  </conditionalFormatting>
  <conditionalFormatting sqref="V1809:W1809">
    <cfRule type="cellIs" dxfId="2640" priority="2535" operator="equal">
      <formula>"CUMPLE"</formula>
    </cfRule>
    <cfRule type="cellIs" dxfId="2639" priority="2536" operator="equal">
      <formula>"NO CUMPLE"</formula>
    </cfRule>
  </conditionalFormatting>
  <conditionalFormatting sqref="V1809:W1811">
    <cfRule type="cellIs" dxfId="2638" priority="2534" operator="equal">
      <formula>"VERIFICAR"</formula>
    </cfRule>
  </conditionalFormatting>
  <conditionalFormatting sqref="T1804:V1804">
    <cfRule type="cellIs" dxfId="2637" priority="2532" stopIfTrue="1" operator="equal">
      <formula>"NO"</formula>
    </cfRule>
    <cfRule type="cellIs" dxfId="2636" priority="2533" stopIfTrue="1" operator="equal">
      <formula>"SI"</formula>
    </cfRule>
  </conditionalFormatting>
  <conditionalFormatting sqref="T1804:U1804">
    <cfRule type="cellIs" dxfId="2635" priority="2531" stopIfTrue="1" operator="equal">
      <formula>"NO APLICA"</formula>
    </cfRule>
  </conditionalFormatting>
  <conditionalFormatting sqref="V1804">
    <cfRule type="cellIs" dxfId="2634" priority="2530" stopIfTrue="1" operator="equal">
      <formula>"NO APLICA"</formula>
    </cfRule>
  </conditionalFormatting>
  <conditionalFormatting sqref="T1814">
    <cfRule type="cellIs" dxfId="2633" priority="2528" operator="equal">
      <formula>"CUMPLE"</formula>
    </cfRule>
    <cfRule type="cellIs" dxfId="2632" priority="2529" operator="equal">
      <formula>"NO CUMPLE"</formula>
    </cfRule>
  </conditionalFormatting>
  <conditionalFormatting sqref="T1814">
    <cfRule type="cellIs" dxfId="2631" priority="2527" operator="equal">
      <formula>"VERIFICAR"</formula>
    </cfRule>
  </conditionalFormatting>
  <conditionalFormatting sqref="Y1812:Y1817">
    <cfRule type="cellIs" dxfId="2630" priority="2526" stopIfTrue="1" operator="equal">
      <formula>"NO APLICA"</formula>
    </cfRule>
  </conditionalFormatting>
  <conditionalFormatting sqref="Y1817">
    <cfRule type="cellIs" dxfId="2629" priority="2525" stopIfTrue="1" operator="equal">
      <formula>"NO APLICA"</formula>
    </cfRule>
  </conditionalFormatting>
  <conditionalFormatting sqref="X1812:Y1817">
    <cfRule type="cellIs" dxfId="2628" priority="2523" stopIfTrue="1" operator="equal">
      <formula>"NO"</formula>
    </cfRule>
    <cfRule type="cellIs" dxfId="2627" priority="2524" stopIfTrue="1" operator="equal">
      <formula>"SI"</formula>
    </cfRule>
  </conditionalFormatting>
  <conditionalFormatting sqref="X1812:X1817">
    <cfRule type="cellIs" dxfId="2626" priority="2522" stopIfTrue="1" operator="equal">
      <formula>"NO APLICA"</formula>
    </cfRule>
  </conditionalFormatting>
  <conditionalFormatting sqref="X1813:X1816">
    <cfRule type="cellIs" dxfId="2625" priority="2521" stopIfTrue="1" operator="equal">
      <formula>"NO APLICA"</formula>
    </cfRule>
  </conditionalFormatting>
  <conditionalFormatting sqref="X1813">
    <cfRule type="cellIs" dxfId="2624" priority="2520" stopIfTrue="1" operator="equal">
      <formula>"NO APLICA"</formula>
    </cfRule>
  </conditionalFormatting>
  <conditionalFormatting sqref="X1817">
    <cfRule type="cellIs" dxfId="2623" priority="2519" stopIfTrue="1" operator="equal">
      <formula>"NO APLICA"</formula>
    </cfRule>
  </conditionalFormatting>
  <conditionalFormatting sqref="X1817">
    <cfRule type="cellIs" dxfId="2622" priority="2518" stopIfTrue="1" operator="equal">
      <formula>"NO APLICA"</formula>
    </cfRule>
  </conditionalFormatting>
  <conditionalFormatting sqref="AA1812:AA1817">
    <cfRule type="cellIs" dxfId="2621" priority="2517" stopIfTrue="1" operator="equal">
      <formula>"NO APLICA"</formula>
    </cfRule>
  </conditionalFormatting>
  <conditionalFormatting sqref="AA1817">
    <cfRule type="cellIs" dxfId="2620" priority="2516" stopIfTrue="1" operator="equal">
      <formula>"NO APLICA"</formula>
    </cfRule>
  </conditionalFormatting>
  <conditionalFormatting sqref="AA1812:AA1817">
    <cfRule type="cellIs" dxfId="2619" priority="2514" stopIfTrue="1" operator="equal">
      <formula>"NO"</formula>
    </cfRule>
    <cfRule type="cellIs" dxfId="2618" priority="2515" stopIfTrue="1" operator="equal">
      <formula>"SI"</formula>
    </cfRule>
  </conditionalFormatting>
  <conditionalFormatting sqref="Y1812:Z1817">
    <cfRule type="cellIs" dxfId="2617" priority="2512" operator="equal">
      <formula>"NO APLICA"</formula>
    </cfRule>
    <cfRule type="cellIs" dxfId="2616" priority="2513" operator="equal">
      <formula>"SI APLICA"</formula>
    </cfRule>
  </conditionalFormatting>
  <conditionalFormatting sqref="AB1812:AB1818">
    <cfRule type="cellIs" dxfId="2615" priority="2510" operator="equal">
      <formula>"NO APLICA"</formula>
    </cfRule>
    <cfRule type="cellIs" dxfId="2614" priority="2511" operator="equal">
      <formula>"SI APLICA"</formula>
    </cfRule>
  </conditionalFormatting>
  <conditionalFormatting sqref="X1818">
    <cfRule type="cellIs" dxfId="2613" priority="2508" operator="equal">
      <formula>"PROPONENTE PLURAL"</formula>
    </cfRule>
    <cfRule type="cellIs" dxfId="2612" priority="2509" operator="equal">
      <formula>"PROPONENTE INDIVIDUAL"</formula>
    </cfRule>
  </conditionalFormatting>
  <conditionalFormatting sqref="Z1818:AA1818 AA1812:AA1817">
    <cfRule type="cellIs" dxfId="2611" priority="2506" operator="equal">
      <formula>"NO APLICA"</formula>
    </cfRule>
    <cfRule type="cellIs" dxfId="2610" priority="2507" operator="equal">
      <formula>"SI APLICA"</formula>
    </cfRule>
  </conditionalFormatting>
  <conditionalFormatting sqref="AB1812:AB1817 Y1812:Z1817">
    <cfRule type="cellIs" dxfId="2609" priority="2505" operator="equal">
      <formula>""</formula>
    </cfRule>
  </conditionalFormatting>
  <conditionalFormatting sqref="H1818">
    <cfRule type="containsText" dxfId="2608" priority="2503" stopIfTrue="1" operator="containsText" text="NO CUMPLE">
      <formula>NOT(ISERROR(SEARCH("NO CUMPLE",H1818)))</formula>
    </cfRule>
    <cfRule type="containsText" dxfId="2607" priority="2504" stopIfTrue="1" operator="containsText" text="CUMPLE">
      <formula>NOT(ISERROR(SEARCH("CUMPLE",H1818)))</formula>
    </cfRule>
  </conditionalFormatting>
  <conditionalFormatting sqref="J1818">
    <cfRule type="containsText" dxfId="2606" priority="2501" stopIfTrue="1" operator="containsText" text="NO CUMPLE">
      <formula>NOT(ISERROR(SEARCH("NO CUMPLE",J1818)))</formula>
    </cfRule>
    <cfRule type="containsText" dxfId="2605" priority="2502" stopIfTrue="1" operator="containsText" text="CUMPLE">
      <formula>NOT(ISERROR(SEARCH("CUMPLE",J1818)))</formula>
    </cfRule>
  </conditionalFormatting>
  <conditionalFormatting sqref="K1818">
    <cfRule type="containsText" dxfId="2604" priority="2499" stopIfTrue="1" operator="containsText" text="NO CUMPLE">
      <formula>NOT(ISERROR(SEARCH("NO CUMPLE",K1818)))</formula>
    </cfRule>
    <cfRule type="containsText" dxfId="2603" priority="2500" stopIfTrue="1" operator="containsText" text="CUMPLE">
      <formula>NOT(ISERROR(SEARCH("CUMPLE",K1818)))</formula>
    </cfRule>
  </conditionalFormatting>
  <conditionalFormatting sqref="L1812:L1817">
    <cfRule type="containsText" dxfId="2602" priority="2497" stopIfTrue="1" operator="containsText" text="NO CUMPLE">
      <formula>NOT(ISERROR(SEARCH("NO CUMPLE",L1812)))</formula>
    </cfRule>
    <cfRule type="containsText" dxfId="2601" priority="2498" stopIfTrue="1" operator="containsText" text="CUMPLE">
      <formula>NOT(ISERROR(SEARCH("CUMPLE",L1812)))</formula>
    </cfRule>
  </conditionalFormatting>
  <conditionalFormatting sqref="O1817">
    <cfRule type="containsText" dxfId="2600" priority="2495" stopIfTrue="1" operator="containsText" text="NO CUMPLE">
      <formula>NOT(ISERROR(SEARCH("NO CUMPLE",O1817)))</formula>
    </cfRule>
    <cfRule type="containsText" dxfId="2599" priority="2496" stopIfTrue="1" operator="containsText" text="CUMPLE">
      <formula>NOT(ISERROR(SEARCH("CUMPLE",O1817)))</formula>
    </cfRule>
  </conditionalFormatting>
  <conditionalFormatting sqref="O1818:S1818">
    <cfRule type="cellIs" dxfId="2598" priority="2494" operator="equal">
      <formula>"EL PROPONENTE SE DEBE REQUERIR POR EXPERIENCIA MINIMA EXIGIDA"</formula>
    </cfRule>
  </conditionalFormatting>
  <conditionalFormatting sqref="X1806">
    <cfRule type="cellIs" dxfId="2597" priority="2491" stopIfTrue="1" operator="equal">
      <formula>"VERIFICAR"</formula>
    </cfRule>
    <cfRule type="cellIs" dxfId="2596" priority="2492" stopIfTrue="1" operator="equal">
      <formula>"NO CUMPLE"</formula>
    </cfRule>
    <cfRule type="cellIs" dxfId="2595" priority="2493" stopIfTrue="1" operator="equal">
      <formula>"CUMPLE"</formula>
    </cfRule>
  </conditionalFormatting>
  <conditionalFormatting sqref="X1795:Y1804 J1795:J1804">
    <cfRule type="cellIs" dxfId="2594" priority="2490" stopIfTrue="1" operator="greaterThan">
      <formula>0</formula>
    </cfRule>
  </conditionalFormatting>
  <conditionalFormatting sqref="X1795:Y1804">
    <cfRule type="cellIs" dxfId="2593" priority="2488" operator="equal">
      <formula>"NO CUMPLE"</formula>
    </cfRule>
    <cfRule type="cellIs" dxfId="2592" priority="2489" operator="equal">
      <formula>"CUMPLE"</formula>
    </cfRule>
  </conditionalFormatting>
  <conditionalFormatting sqref="N1812:N1817">
    <cfRule type="cellIs" dxfId="2591" priority="2486" operator="equal">
      <formula>"NO"</formula>
    </cfRule>
    <cfRule type="cellIs" dxfId="2590" priority="2487" operator="equal">
      <formula>"SI"</formula>
    </cfRule>
  </conditionalFormatting>
  <conditionalFormatting sqref="I1804">
    <cfRule type="cellIs" dxfId="2589" priority="2485" stopIfTrue="1" operator="greaterThan">
      <formula>0</formula>
    </cfRule>
  </conditionalFormatting>
  <conditionalFormatting sqref="K1798:L1804">
    <cfRule type="cellIs" dxfId="2588" priority="2483" operator="equal">
      <formula>0</formula>
    </cfRule>
    <cfRule type="cellIs" dxfId="2587" priority="2484" operator="notBetween">
      <formula>$Q$17</formula>
      <formula>$R$17</formula>
    </cfRule>
  </conditionalFormatting>
  <conditionalFormatting sqref="B1795:B1804">
    <cfRule type="cellIs" dxfId="2586" priority="2482" stopIfTrue="1" operator="greaterThan">
      <formula>0</formula>
    </cfRule>
  </conditionalFormatting>
  <conditionalFormatting sqref="C1795:D1795 D1796:D1797 C1796:C1804">
    <cfRule type="cellIs" dxfId="2585" priority="2481" stopIfTrue="1" operator="greaterThan">
      <formula>0</formula>
    </cfRule>
  </conditionalFormatting>
  <conditionalFormatting sqref="C1795:D1795 F1795:H1797 D1796:D1797 C1796:C1804">
    <cfRule type="cellIs" dxfId="2584" priority="2480" stopIfTrue="1" operator="greaterThan">
      <formula>0</formula>
    </cfRule>
  </conditionalFormatting>
  <conditionalFormatting sqref="T1795:V1797">
    <cfRule type="cellIs" dxfId="2583" priority="2478" stopIfTrue="1" operator="equal">
      <formula>"NO"</formula>
    </cfRule>
    <cfRule type="cellIs" dxfId="2582" priority="2479" stopIfTrue="1" operator="equal">
      <formula>"SI"</formula>
    </cfRule>
  </conditionalFormatting>
  <conditionalFormatting sqref="T1795:V1796">
    <cfRule type="cellIs" dxfId="2581" priority="2477" stopIfTrue="1" operator="equal">
      <formula>"NO APLICA"</formula>
    </cfRule>
  </conditionalFormatting>
  <conditionalFormatting sqref="T1797:U1797">
    <cfRule type="cellIs" dxfId="2580" priority="2476" stopIfTrue="1" operator="equal">
      <formula>"NO APLICA"</formula>
    </cfRule>
  </conditionalFormatting>
  <conditionalFormatting sqref="T1797:U1797">
    <cfRule type="cellIs" dxfId="2579" priority="2475" stopIfTrue="1" operator="equal">
      <formula>"NO APLICA"</formula>
    </cfRule>
  </conditionalFormatting>
  <conditionalFormatting sqref="V1797">
    <cfRule type="cellIs" dxfId="2578" priority="2474" stopIfTrue="1" operator="equal">
      <formula>"NO APLICA"</formula>
    </cfRule>
  </conditionalFormatting>
  <conditionalFormatting sqref="K1795:L1797">
    <cfRule type="cellIs" dxfId="2577" priority="2472" operator="equal">
      <formula>0</formula>
    </cfRule>
    <cfRule type="cellIs" dxfId="2576" priority="2473" operator="notBetween">
      <formula>$Q$17</formula>
      <formula>$R$17</formula>
    </cfRule>
  </conditionalFormatting>
  <conditionalFormatting sqref="F1828:H1833 D1834:H1834 I1828:I1834 C1825:D1825 K1825:O1834 F1825:I1827 D1826:D1833 C1826:C1834">
    <cfRule type="cellIs" dxfId="2575" priority="2471" stopIfTrue="1" operator="greaterThan">
      <formula>0</formula>
    </cfRule>
  </conditionalFormatting>
  <conditionalFormatting sqref="D1828:D1833">
    <cfRule type="cellIs" dxfId="2574" priority="2470" stopIfTrue="1" operator="greaterThan">
      <formula>0</formula>
    </cfRule>
  </conditionalFormatting>
  <conditionalFormatting sqref="D1828:D1833 F1828:H1833">
    <cfRule type="cellIs" dxfId="2573" priority="2469" stopIfTrue="1" operator="greaterThan">
      <formula>0</formula>
    </cfRule>
  </conditionalFormatting>
  <conditionalFormatting sqref="H1825:H1833">
    <cfRule type="cellIs" dxfId="2572" priority="2468" stopIfTrue="1" operator="greaterThan">
      <formula>0</formula>
    </cfRule>
  </conditionalFormatting>
  <conditionalFormatting sqref="E1825:E1833">
    <cfRule type="cellIs" dxfId="2571" priority="2467" stopIfTrue="1" operator="greaterThan">
      <formula>0</formula>
    </cfRule>
  </conditionalFormatting>
  <conditionalFormatting sqref="M1842:M1847 K1842:K1847">
    <cfRule type="containsText" dxfId="2570" priority="2465" stopIfTrue="1" operator="containsText" text="NO CUMPLE">
      <formula>NOT(ISERROR(SEARCH("NO CUMPLE",K1842)))</formula>
    </cfRule>
    <cfRule type="containsText" dxfId="2569" priority="2466" stopIfTrue="1" operator="containsText" text="CUMPLE">
      <formula>NOT(ISERROR(SEARCH("CUMPLE",K1842)))</formula>
    </cfRule>
  </conditionalFormatting>
  <conditionalFormatting sqref="S1841">
    <cfRule type="cellIs" dxfId="2568" priority="2463" operator="greaterThanOrEqual">
      <formula>NUMMINCONT</formula>
    </cfRule>
    <cfRule type="cellIs" dxfId="2567" priority="2464" operator="lessThan">
      <formula>NUMMINCONT</formula>
    </cfRule>
  </conditionalFormatting>
  <conditionalFormatting sqref="T1828:V1833">
    <cfRule type="cellIs" dxfId="2566" priority="2461" stopIfTrue="1" operator="equal">
      <formula>"NO"</formula>
    </cfRule>
    <cfRule type="cellIs" dxfId="2565" priority="2462" stopIfTrue="1" operator="equal">
      <formula>"SI"</formula>
    </cfRule>
  </conditionalFormatting>
  <conditionalFormatting sqref="T1828:V1829">
    <cfRule type="cellIs" dxfId="2564" priority="2460" stopIfTrue="1" operator="equal">
      <formula>"NO APLICA"</formula>
    </cfRule>
  </conditionalFormatting>
  <conditionalFormatting sqref="T1830:U1833">
    <cfRule type="cellIs" dxfId="2563" priority="2459" stopIfTrue="1" operator="equal">
      <formula>"NO APLICA"</formula>
    </cfRule>
  </conditionalFormatting>
  <conditionalFormatting sqref="T1830:U1830">
    <cfRule type="cellIs" dxfId="2562" priority="2458" stopIfTrue="1" operator="equal">
      <formula>"NO APLICA"</formula>
    </cfRule>
  </conditionalFormatting>
  <conditionalFormatting sqref="V1830:V1833">
    <cfRule type="cellIs" dxfId="2561" priority="2457" stopIfTrue="1" operator="equal">
      <formula>"NO APLICA"</formula>
    </cfRule>
  </conditionalFormatting>
  <conditionalFormatting sqref="V1839:W1839">
    <cfRule type="cellIs" dxfId="2560" priority="2455" operator="equal">
      <formula>"CUMPLE"</formula>
    </cfRule>
    <cfRule type="cellIs" dxfId="2559" priority="2456" operator="equal">
      <formula>"NO CUMPLE"</formula>
    </cfRule>
  </conditionalFormatting>
  <conditionalFormatting sqref="V1839:W1841">
    <cfRule type="cellIs" dxfId="2558" priority="2454" operator="equal">
      <formula>"VERIFICAR"</formula>
    </cfRule>
  </conditionalFormatting>
  <conditionalFormatting sqref="T1834:V1834">
    <cfRule type="cellIs" dxfId="2557" priority="2452" stopIfTrue="1" operator="equal">
      <formula>"NO"</formula>
    </cfRule>
    <cfRule type="cellIs" dxfId="2556" priority="2453" stopIfTrue="1" operator="equal">
      <formula>"SI"</formula>
    </cfRule>
  </conditionalFormatting>
  <conditionalFormatting sqref="T1834:U1834">
    <cfRule type="cellIs" dxfId="2555" priority="2451" stopIfTrue="1" operator="equal">
      <formula>"NO APLICA"</formula>
    </cfRule>
  </conditionalFormatting>
  <conditionalFormatting sqref="V1834">
    <cfRule type="cellIs" dxfId="2554" priority="2450" stopIfTrue="1" operator="equal">
      <formula>"NO APLICA"</formula>
    </cfRule>
  </conditionalFormatting>
  <conditionalFormatting sqref="T1844">
    <cfRule type="cellIs" dxfId="2553" priority="2448" operator="equal">
      <formula>"CUMPLE"</formula>
    </cfRule>
    <cfRule type="cellIs" dxfId="2552" priority="2449" operator="equal">
      <formula>"NO CUMPLE"</formula>
    </cfRule>
  </conditionalFormatting>
  <conditionalFormatting sqref="T1844">
    <cfRule type="cellIs" dxfId="2551" priority="2447" operator="equal">
      <formula>"VERIFICAR"</formula>
    </cfRule>
  </conditionalFormatting>
  <conditionalFormatting sqref="Y1842:Y1847">
    <cfRule type="cellIs" dxfId="2550" priority="2446" stopIfTrue="1" operator="equal">
      <formula>"NO APLICA"</formula>
    </cfRule>
  </conditionalFormatting>
  <conditionalFormatting sqref="Y1847">
    <cfRule type="cellIs" dxfId="2549" priority="2445" stopIfTrue="1" operator="equal">
      <formula>"NO APLICA"</formula>
    </cfRule>
  </conditionalFormatting>
  <conditionalFormatting sqref="X1842:Y1847">
    <cfRule type="cellIs" dxfId="2548" priority="2443" stopIfTrue="1" operator="equal">
      <formula>"NO"</formula>
    </cfRule>
    <cfRule type="cellIs" dxfId="2547" priority="2444" stopIfTrue="1" operator="equal">
      <formula>"SI"</formula>
    </cfRule>
  </conditionalFormatting>
  <conditionalFormatting sqref="X1842:X1847">
    <cfRule type="cellIs" dxfId="2546" priority="2442" stopIfTrue="1" operator="equal">
      <formula>"NO APLICA"</formula>
    </cfRule>
  </conditionalFormatting>
  <conditionalFormatting sqref="X1843:X1846">
    <cfRule type="cellIs" dxfId="2545" priority="2441" stopIfTrue="1" operator="equal">
      <formula>"NO APLICA"</formula>
    </cfRule>
  </conditionalFormatting>
  <conditionalFormatting sqref="X1843">
    <cfRule type="cellIs" dxfId="2544" priority="2440" stopIfTrue="1" operator="equal">
      <formula>"NO APLICA"</formula>
    </cfRule>
  </conditionalFormatting>
  <conditionalFormatting sqref="X1847">
    <cfRule type="cellIs" dxfId="2543" priority="2439" stopIfTrue="1" operator="equal">
      <formula>"NO APLICA"</formula>
    </cfRule>
  </conditionalFormatting>
  <conditionalFormatting sqref="X1847">
    <cfRule type="cellIs" dxfId="2542" priority="2438" stopIfTrue="1" operator="equal">
      <formula>"NO APLICA"</formula>
    </cfRule>
  </conditionalFormatting>
  <conditionalFormatting sqref="AA1842:AA1847">
    <cfRule type="cellIs" dxfId="2541" priority="2437" stopIfTrue="1" operator="equal">
      <formula>"NO APLICA"</formula>
    </cfRule>
  </conditionalFormatting>
  <conditionalFormatting sqref="AA1847">
    <cfRule type="cellIs" dxfId="2540" priority="2436" stopIfTrue="1" operator="equal">
      <formula>"NO APLICA"</formula>
    </cfRule>
  </conditionalFormatting>
  <conditionalFormatting sqref="AA1842:AA1847">
    <cfRule type="cellIs" dxfId="2539" priority="2434" stopIfTrue="1" operator="equal">
      <formula>"NO"</formula>
    </cfRule>
    <cfRule type="cellIs" dxfId="2538" priority="2435" stopIfTrue="1" operator="equal">
      <formula>"SI"</formula>
    </cfRule>
  </conditionalFormatting>
  <conditionalFormatting sqref="Y1842:Z1847">
    <cfRule type="cellIs" dxfId="2537" priority="2432" operator="equal">
      <formula>"NO APLICA"</formula>
    </cfRule>
    <cfRule type="cellIs" dxfId="2536" priority="2433" operator="equal">
      <formula>"SI APLICA"</formula>
    </cfRule>
  </conditionalFormatting>
  <conditionalFormatting sqref="AB1842:AB1848">
    <cfRule type="cellIs" dxfId="2535" priority="2430" operator="equal">
      <formula>"NO APLICA"</formula>
    </cfRule>
    <cfRule type="cellIs" dxfId="2534" priority="2431" operator="equal">
      <formula>"SI APLICA"</formula>
    </cfRule>
  </conditionalFormatting>
  <conditionalFormatting sqref="X1848">
    <cfRule type="cellIs" dxfId="2533" priority="2428" operator="equal">
      <formula>"PROPONENTE PLURAL"</formula>
    </cfRule>
    <cfRule type="cellIs" dxfId="2532" priority="2429" operator="equal">
      <formula>"PROPONENTE INDIVIDUAL"</formula>
    </cfRule>
  </conditionalFormatting>
  <conditionalFormatting sqref="Z1848:AA1848 AA1842:AA1847">
    <cfRule type="cellIs" dxfId="2531" priority="2426" operator="equal">
      <formula>"NO APLICA"</formula>
    </cfRule>
    <cfRule type="cellIs" dxfId="2530" priority="2427" operator="equal">
      <formula>"SI APLICA"</formula>
    </cfRule>
  </conditionalFormatting>
  <conditionalFormatting sqref="AB1842:AB1847 Y1842:Z1847">
    <cfRule type="cellIs" dxfId="2529" priority="2425" operator="equal">
      <formula>""</formula>
    </cfRule>
  </conditionalFormatting>
  <conditionalFormatting sqref="H1848">
    <cfRule type="containsText" dxfId="2528" priority="2423" stopIfTrue="1" operator="containsText" text="NO CUMPLE">
      <formula>NOT(ISERROR(SEARCH("NO CUMPLE",H1848)))</formula>
    </cfRule>
    <cfRule type="containsText" dxfId="2527" priority="2424" stopIfTrue="1" operator="containsText" text="CUMPLE">
      <formula>NOT(ISERROR(SEARCH("CUMPLE",H1848)))</formula>
    </cfRule>
  </conditionalFormatting>
  <conditionalFormatting sqref="J1848">
    <cfRule type="containsText" dxfId="2526" priority="2421" stopIfTrue="1" operator="containsText" text="NO CUMPLE">
      <formula>NOT(ISERROR(SEARCH("NO CUMPLE",J1848)))</formula>
    </cfRule>
    <cfRule type="containsText" dxfId="2525" priority="2422" stopIfTrue="1" operator="containsText" text="CUMPLE">
      <formula>NOT(ISERROR(SEARCH("CUMPLE",J1848)))</formula>
    </cfRule>
  </conditionalFormatting>
  <conditionalFormatting sqref="K1848">
    <cfRule type="containsText" dxfId="2524" priority="2419" stopIfTrue="1" operator="containsText" text="NO CUMPLE">
      <formula>NOT(ISERROR(SEARCH("NO CUMPLE",K1848)))</formula>
    </cfRule>
    <cfRule type="containsText" dxfId="2523" priority="2420" stopIfTrue="1" operator="containsText" text="CUMPLE">
      <formula>NOT(ISERROR(SEARCH("CUMPLE",K1848)))</formula>
    </cfRule>
  </conditionalFormatting>
  <conditionalFormatting sqref="L1842:L1847">
    <cfRule type="containsText" dxfId="2522" priority="2417" stopIfTrue="1" operator="containsText" text="NO CUMPLE">
      <formula>NOT(ISERROR(SEARCH("NO CUMPLE",L1842)))</formula>
    </cfRule>
    <cfRule type="containsText" dxfId="2521" priority="2418" stopIfTrue="1" operator="containsText" text="CUMPLE">
      <formula>NOT(ISERROR(SEARCH("CUMPLE",L1842)))</formula>
    </cfRule>
  </conditionalFormatting>
  <conditionalFormatting sqref="O1847">
    <cfRule type="containsText" dxfId="2520" priority="2415" stopIfTrue="1" operator="containsText" text="NO CUMPLE">
      <formula>NOT(ISERROR(SEARCH("NO CUMPLE",O1847)))</formula>
    </cfRule>
    <cfRule type="containsText" dxfId="2519" priority="2416" stopIfTrue="1" operator="containsText" text="CUMPLE">
      <formula>NOT(ISERROR(SEARCH("CUMPLE",O1847)))</formula>
    </cfRule>
  </conditionalFormatting>
  <conditionalFormatting sqref="O1848:S1848">
    <cfRule type="cellIs" dxfId="2518" priority="2414" operator="equal">
      <formula>"EL PROPONENTE SE DEBE REQUERIR POR EXPERIENCIA MINIMA EXIGIDA"</formula>
    </cfRule>
  </conditionalFormatting>
  <conditionalFormatting sqref="X1836">
    <cfRule type="cellIs" dxfId="2517" priority="2411" stopIfTrue="1" operator="equal">
      <formula>"VERIFICAR"</formula>
    </cfRule>
    <cfRule type="cellIs" dxfId="2516" priority="2412" stopIfTrue="1" operator="equal">
      <formula>"NO CUMPLE"</formula>
    </cfRule>
    <cfRule type="cellIs" dxfId="2515" priority="2413" stopIfTrue="1" operator="equal">
      <formula>"CUMPLE"</formula>
    </cfRule>
  </conditionalFormatting>
  <conditionalFormatting sqref="X1825:Y1834 J1825:J1834">
    <cfRule type="cellIs" dxfId="2514" priority="2410" stopIfTrue="1" operator="greaterThan">
      <formula>0</formula>
    </cfRule>
  </conditionalFormatting>
  <conditionalFormatting sqref="X1825:Y1834">
    <cfRule type="cellIs" dxfId="2513" priority="2408" operator="equal">
      <formula>"NO CUMPLE"</formula>
    </cfRule>
    <cfRule type="cellIs" dxfId="2512" priority="2409" operator="equal">
      <formula>"CUMPLE"</formula>
    </cfRule>
  </conditionalFormatting>
  <conditionalFormatting sqref="N1842:N1847">
    <cfRule type="cellIs" dxfId="2511" priority="2406" operator="equal">
      <formula>"NO"</formula>
    </cfRule>
    <cfRule type="cellIs" dxfId="2510" priority="2407" operator="equal">
      <formula>"SI"</formula>
    </cfRule>
  </conditionalFormatting>
  <conditionalFormatting sqref="I1834">
    <cfRule type="cellIs" dxfId="2509" priority="2405" stopIfTrue="1" operator="greaterThan">
      <formula>0</formula>
    </cfRule>
  </conditionalFormatting>
  <conditionalFormatting sqref="K1828:L1834">
    <cfRule type="cellIs" dxfId="2508" priority="2403" operator="equal">
      <formula>0</formula>
    </cfRule>
    <cfRule type="cellIs" dxfId="2507" priority="2404" operator="notBetween">
      <formula>$Q$17</formula>
      <formula>$R$17</formula>
    </cfRule>
  </conditionalFormatting>
  <conditionalFormatting sqref="B1825:B1834">
    <cfRule type="cellIs" dxfId="2506" priority="2402" stopIfTrue="1" operator="greaterThan">
      <formula>0</formula>
    </cfRule>
  </conditionalFormatting>
  <conditionalFormatting sqref="C1825:D1825 D1826:D1827 C1826:C1834">
    <cfRule type="cellIs" dxfId="2505" priority="2401" stopIfTrue="1" operator="greaterThan">
      <formula>0</formula>
    </cfRule>
  </conditionalFormatting>
  <conditionalFormatting sqref="C1825:D1825 F1825:H1827 D1826:D1827 C1826:C1834">
    <cfRule type="cellIs" dxfId="2504" priority="2400" stopIfTrue="1" operator="greaterThan">
      <formula>0</formula>
    </cfRule>
  </conditionalFormatting>
  <conditionalFormatting sqref="T1825:V1827">
    <cfRule type="cellIs" dxfId="2503" priority="2398" stopIfTrue="1" operator="equal">
      <formula>"NO"</formula>
    </cfRule>
    <cfRule type="cellIs" dxfId="2502" priority="2399" stopIfTrue="1" operator="equal">
      <formula>"SI"</formula>
    </cfRule>
  </conditionalFormatting>
  <conditionalFormatting sqref="T1825:V1826">
    <cfRule type="cellIs" dxfId="2501" priority="2397" stopIfTrue="1" operator="equal">
      <formula>"NO APLICA"</formula>
    </cfRule>
  </conditionalFormatting>
  <conditionalFormatting sqref="T1827:U1827">
    <cfRule type="cellIs" dxfId="2500" priority="2396" stopIfTrue="1" operator="equal">
      <formula>"NO APLICA"</formula>
    </cfRule>
  </conditionalFormatting>
  <conditionalFormatting sqref="T1827:U1827">
    <cfRule type="cellIs" dxfId="2499" priority="2395" stopIfTrue="1" operator="equal">
      <formula>"NO APLICA"</formula>
    </cfRule>
  </conditionalFormatting>
  <conditionalFormatting sqref="V1827">
    <cfRule type="cellIs" dxfId="2498" priority="2394" stopIfTrue="1" operator="equal">
      <formula>"NO APLICA"</formula>
    </cfRule>
  </conditionalFormatting>
  <conditionalFormatting sqref="K1825:L1827">
    <cfRule type="cellIs" dxfId="2497" priority="2392" operator="equal">
      <formula>0</formula>
    </cfRule>
    <cfRule type="cellIs" dxfId="2496" priority="2393" operator="notBetween">
      <formula>$Q$17</formula>
      <formula>$R$17</formula>
    </cfRule>
  </conditionalFormatting>
  <conditionalFormatting sqref="F1858:H1863 D1864:H1864 I1858:I1864 C1857:C1864 D1857:D1863 F1855:I1857 C1855:D1856 K1855:O1864">
    <cfRule type="cellIs" dxfId="2495" priority="2391" stopIfTrue="1" operator="greaterThan">
      <formula>0</formula>
    </cfRule>
  </conditionalFormatting>
  <conditionalFormatting sqref="D1858:D1863">
    <cfRule type="cellIs" dxfId="2494" priority="2390" stopIfTrue="1" operator="greaterThan">
      <formula>0</formula>
    </cfRule>
  </conditionalFormatting>
  <conditionalFormatting sqref="D1858:D1863 F1858:H1863">
    <cfRule type="cellIs" dxfId="2493" priority="2389" stopIfTrue="1" operator="greaterThan">
      <formula>0</formula>
    </cfRule>
  </conditionalFormatting>
  <conditionalFormatting sqref="H1855:H1863">
    <cfRule type="cellIs" dxfId="2492" priority="2388" stopIfTrue="1" operator="greaterThan">
      <formula>0</formula>
    </cfRule>
  </conditionalFormatting>
  <conditionalFormatting sqref="E1855:E1863">
    <cfRule type="cellIs" dxfId="2491" priority="2387" stopIfTrue="1" operator="greaterThan">
      <formula>0</formula>
    </cfRule>
  </conditionalFormatting>
  <conditionalFormatting sqref="M1872:M1877 K1872:K1877">
    <cfRule type="containsText" dxfId="2490" priority="2385" stopIfTrue="1" operator="containsText" text="NO CUMPLE">
      <formula>NOT(ISERROR(SEARCH("NO CUMPLE",K1872)))</formula>
    </cfRule>
    <cfRule type="containsText" dxfId="2489" priority="2386" stopIfTrue="1" operator="containsText" text="CUMPLE">
      <formula>NOT(ISERROR(SEARCH("CUMPLE",K1872)))</formula>
    </cfRule>
  </conditionalFormatting>
  <conditionalFormatting sqref="S1871">
    <cfRule type="cellIs" dxfId="2488" priority="2383" operator="greaterThanOrEqual">
      <formula>NUMMINCONT</formula>
    </cfRule>
    <cfRule type="cellIs" dxfId="2487" priority="2384" operator="lessThan">
      <formula>NUMMINCONT</formula>
    </cfRule>
  </conditionalFormatting>
  <conditionalFormatting sqref="T1858:V1863">
    <cfRule type="cellIs" dxfId="2486" priority="2381" stopIfTrue="1" operator="equal">
      <formula>"NO"</formula>
    </cfRule>
    <cfRule type="cellIs" dxfId="2485" priority="2382" stopIfTrue="1" operator="equal">
      <formula>"SI"</formula>
    </cfRule>
  </conditionalFormatting>
  <conditionalFormatting sqref="T1858:V1859">
    <cfRule type="cellIs" dxfId="2484" priority="2380" stopIfTrue="1" operator="equal">
      <formula>"NO APLICA"</formula>
    </cfRule>
  </conditionalFormatting>
  <conditionalFormatting sqref="T1860:U1863">
    <cfRule type="cellIs" dxfId="2483" priority="2379" stopIfTrue="1" operator="equal">
      <formula>"NO APLICA"</formula>
    </cfRule>
  </conditionalFormatting>
  <conditionalFormatting sqref="T1860:U1860">
    <cfRule type="cellIs" dxfId="2482" priority="2378" stopIfTrue="1" operator="equal">
      <formula>"NO APLICA"</formula>
    </cfRule>
  </conditionalFormatting>
  <conditionalFormatting sqref="V1860:V1863">
    <cfRule type="cellIs" dxfId="2481" priority="2377" stopIfTrue="1" operator="equal">
      <formula>"NO APLICA"</formula>
    </cfRule>
  </conditionalFormatting>
  <conditionalFormatting sqref="V1869:W1869">
    <cfRule type="cellIs" dxfId="2480" priority="2375" operator="equal">
      <formula>"CUMPLE"</formula>
    </cfRule>
    <cfRule type="cellIs" dxfId="2479" priority="2376" operator="equal">
      <formula>"NO CUMPLE"</formula>
    </cfRule>
  </conditionalFormatting>
  <conditionalFormatting sqref="V1869:W1871">
    <cfRule type="cellIs" dxfId="2478" priority="2374" operator="equal">
      <formula>"VERIFICAR"</formula>
    </cfRule>
  </conditionalFormatting>
  <conditionalFormatting sqref="T1864:V1864">
    <cfRule type="cellIs" dxfId="2477" priority="2372" stopIfTrue="1" operator="equal">
      <formula>"NO"</formula>
    </cfRule>
    <cfRule type="cellIs" dxfId="2476" priority="2373" stopIfTrue="1" operator="equal">
      <formula>"SI"</formula>
    </cfRule>
  </conditionalFormatting>
  <conditionalFormatting sqref="T1864:U1864">
    <cfRule type="cellIs" dxfId="2475" priority="2371" stopIfTrue="1" operator="equal">
      <formula>"NO APLICA"</formula>
    </cfRule>
  </conditionalFormatting>
  <conditionalFormatting sqref="V1864">
    <cfRule type="cellIs" dxfId="2474" priority="2370" stopIfTrue="1" operator="equal">
      <formula>"NO APLICA"</formula>
    </cfRule>
  </conditionalFormatting>
  <conditionalFormatting sqref="T1874">
    <cfRule type="cellIs" dxfId="2473" priority="2368" operator="equal">
      <formula>"CUMPLE"</formula>
    </cfRule>
    <cfRule type="cellIs" dxfId="2472" priority="2369" operator="equal">
      <formula>"NO CUMPLE"</formula>
    </cfRule>
  </conditionalFormatting>
  <conditionalFormatting sqref="T1874">
    <cfRule type="cellIs" dxfId="2471" priority="2367" operator="equal">
      <formula>"VERIFICAR"</formula>
    </cfRule>
  </conditionalFormatting>
  <conditionalFormatting sqref="Y1872:Y1877">
    <cfRule type="cellIs" dxfId="2470" priority="2366" stopIfTrue="1" operator="equal">
      <formula>"NO APLICA"</formula>
    </cfRule>
  </conditionalFormatting>
  <conditionalFormatting sqref="Y1877">
    <cfRule type="cellIs" dxfId="2469" priority="2365" stopIfTrue="1" operator="equal">
      <formula>"NO APLICA"</formula>
    </cfRule>
  </conditionalFormatting>
  <conditionalFormatting sqref="X1872:Y1877">
    <cfRule type="cellIs" dxfId="2468" priority="2363" stopIfTrue="1" operator="equal">
      <formula>"NO"</formula>
    </cfRule>
    <cfRule type="cellIs" dxfId="2467" priority="2364" stopIfTrue="1" operator="equal">
      <formula>"SI"</formula>
    </cfRule>
  </conditionalFormatting>
  <conditionalFormatting sqref="X1872:X1877">
    <cfRule type="cellIs" dxfId="2466" priority="2362" stopIfTrue="1" operator="equal">
      <formula>"NO APLICA"</formula>
    </cfRule>
  </conditionalFormatting>
  <conditionalFormatting sqref="X1873:X1876">
    <cfRule type="cellIs" dxfId="2465" priority="2361" stopIfTrue="1" operator="equal">
      <formula>"NO APLICA"</formula>
    </cfRule>
  </conditionalFormatting>
  <conditionalFormatting sqref="X1873">
    <cfRule type="cellIs" dxfId="2464" priority="2360" stopIfTrue="1" operator="equal">
      <formula>"NO APLICA"</formula>
    </cfRule>
  </conditionalFormatting>
  <conditionalFormatting sqref="X1877">
    <cfRule type="cellIs" dxfId="2463" priority="2359" stopIfTrue="1" operator="equal">
      <formula>"NO APLICA"</formula>
    </cfRule>
  </conditionalFormatting>
  <conditionalFormatting sqref="X1877">
    <cfRule type="cellIs" dxfId="2462" priority="2358" stopIfTrue="1" operator="equal">
      <formula>"NO APLICA"</formula>
    </cfRule>
  </conditionalFormatting>
  <conditionalFormatting sqref="AA1872:AA1877">
    <cfRule type="cellIs" dxfId="2461" priority="2357" stopIfTrue="1" operator="equal">
      <formula>"NO APLICA"</formula>
    </cfRule>
  </conditionalFormatting>
  <conditionalFormatting sqref="AA1877">
    <cfRule type="cellIs" dxfId="2460" priority="2356" stopIfTrue="1" operator="equal">
      <formula>"NO APLICA"</formula>
    </cfRule>
  </conditionalFormatting>
  <conditionalFormatting sqref="AA1872:AA1877">
    <cfRule type="cellIs" dxfId="2459" priority="2354" stopIfTrue="1" operator="equal">
      <formula>"NO"</formula>
    </cfRule>
    <cfRule type="cellIs" dxfId="2458" priority="2355" stopIfTrue="1" operator="equal">
      <formula>"SI"</formula>
    </cfRule>
  </conditionalFormatting>
  <conditionalFormatting sqref="Y1872:Z1877">
    <cfRule type="cellIs" dxfId="2457" priority="2352" operator="equal">
      <formula>"NO APLICA"</formula>
    </cfRule>
    <cfRule type="cellIs" dxfId="2456" priority="2353" operator="equal">
      <formula>"SI APLICA"</formula>
    </cfRule>
  </conditionalFormatting>
  <conditionalFormatting sqref="AB1872:AB1878">
    <cfRule type="cellIs" dxfId="2455" priority="2350" operator="equal">
      <formula>"NO APLICA"</formula>
    </cfRule>
    <cfRule type="cellIs" dxfId="2454" priority="2351" operator="equal">
      <formula>"SI APLICA"</formula>
    </cfRule>
  </conditionalFormatting>
  <conditionalFormatting sqref="X1878">
    <cfRule type="cellIs" dxfId="2453" priority="2348" operator="equal">
      <formula>"PROPONENTE PLURAL"</formula>
    </cfRule>
    <cfRule type="cellIs" dxfId="2452" priority="2349" operator="equal">
      <formula>"PROPONENTE INDIVIDUAL"</formula>
    </cfRule>
  </conditionalFormatting>
  <conditionalFormatting sqref="Z1878:AA1878 AA1872:AA1877">
    <cfRule type="cellIs" dxfId="2451" priority="2346" operator="equal">
      <formula>"NO APLICA"</formula>
    </cfRule>
    <cfRule type="cellIs" dxfId="2450" priority="2347" operator="equal">
      <formula>"SI APLICA"</formula>
    </cfRule>
  </conditionalFormatting>
  <conditionalFormatting sqref="Y1872:Z1877 AB1872:AB1877">
    <cfRule type="cellIs" dxfId="2449" priority="2345" operator="equal">
      <formula>""</formula>
    </cfRule>
  </conditionalFormatting>
  <conditionalFormatting sqref="H1878">
    <cfRule type="containsText" dxfId="2448" priority="2343" stopIfTrue="1" operator="containsText" text="NO CUMPLE">
      <formula>NOT(ISERROR(SEARCH("NO CUMPLE",H1878)))</formula>
    </cfRule>
    <cfRule type="containsText" dxfId="2447" priority="2344" stopIfTrue="1" operator="containsText" text="CUMPLE">
      <formula>NOT(ISERROR(SEARCH("CUMPLE",H1878)))</formula>
    </cfRule>
  </conditionalFormatting>
  <conditionalFormatting sqref="J1878">
    <cfRule type="containsText" dxfId="2446" priority="2341" stopIfTrue="1" operator="containsText" text="NO CUMPLE">
      <formula>NOT(ISERROR(SEARCH("NO CUMPLE",J1878)))</formula>
    </cfRule>
    <cfRule type="containsText" dxfId="2445" priority="2342" stopIfTrue="1" operator="containsText" text="CUMPLE">
      <formula>NOT(ISERROR(SEARCH("CUMPLE",J1878)))</formula>
    </cfRule>
  </conditionalFormatting>
  <conditionalFormatting sqref="K1878">
    <cfRule type="containsText" dxfId="2444" priority="2339" stopIfTrue="1" operator="containsText" text="NO CUMPLE">
      <formula>NOT(ISERROR(SEARCH("NO CUMPLE",K1878)))</formula>
    </cfRule>
    <cfRule type="containsText" dxfId="2443" priority="2340" stopIfTrue="1" operator="containsText" text="CUMPLE">
      <formula>NOT(ISERROR(SEARCH("CUMPLE",K1878)))</formula>
    </cfRule>
  </conditionalFormatting>
  <conditionalFormatting sqref="L1872:L1877">
    <cfRule type="containsText" dxfId="2442" priority="2337" stopIfTrue="1" operator="containsText" text="NO CUMPLE">
      <formula>NOT(ISERROR(SEARCH("NO CUMPLE",L1872)))</formula>
    </cfRule>
    <cfRule type="containsText" dxfId="2441" priority="2338" stopIfTrue="1" operator="containsText" text="CUMPLE">
      <formula>NOT(ISERROR(SEARCH("CUMPLE",L1872)))</formula>
    </cfRule>
  </conditionalFormatting>
  <conditionalFormatting sqref="O1877">
    <cfRule type="containsText" dxfId="2440" priority="2335" stopIfTrue="1" operator="containsText" text="NO CUMPLE">
      <formula>NOT(ISERROR(SEARCH("NO CUMPLE",O1877)))</formula>
    </cfRule>
    <cfRule type="containsText" dxfId="2439" priority="2336" stopIfTrue="1" operator="containsText" text="CUMPLE">
      <formula>NOT(ISERROR(SEARCH("CUMPLE",O1877)))</formula>
    </cfRule>
  </conditionalFormatting>
  <conditionalFormatting sqref="O1878:S1878">
    <cfRule type="cellIs" dxfId="2438" priority="2334" operator="equal">
      <formula>"EL PROPONENTE SE DEBE REQUERIR POR EXPERIENCIA MINIMA EXIGIDA"</formula>
    </cfRule>
  </conditionalFormatting>
  <conditionalFormatting sqref="X1866">
    <cfRule type="cellIs" dxfId="2437" priority="2331" stopIfTrue="1" operator="equal">
      <formula>"VERIFICAR"</formula>
    </cfRule>
    <cfRule type="cellIs" dxfId="2436" priority="2332" stopIfTrue="1" operator="equal">
      <formula>"NO CUMPLE"</formula>
    </cfRule>
    <cfRule type="cellIs" dxfId="2435" priority="2333" stopIfTrue="1" operator="equal">
      <formula>"CUMPLE"</formula>
    </cfRule>
  </conditionalFormatting>
  <conditionalFormatting sqref="X1855:Y1864 J1855:J1864">
    <cfRule type="cellIs" dxfId="2434" priority="2330" stopIfTrue="1" operator="greaterThan">
      <formula>0</formula>
    </cfRule>
  </conditionalFormatting>
  <conditionalFormatting sqref="X1855:Y1864">
    <cfRule type="cellIs" dxfId="2433" priority="2328" operator="equal">
      <formula>"NO CUMPLE"</formula>
    </cfRule>
    <cfRule type="cellIs" dxfId="2432" priority="2329" operator="equal">
      <formula>"CUMPLE"</formula>
    </cfRule>
  </conditionalFormatting>
  <conditionalFormatting sqref="N1872:N1877">
    <cfRule type="cellIs" dxfId="2431" priority="2326" operator="equal">
      <formula>"NO"</formula>
    </cfRule>
    <cfRule type="cellIs" dxfId="2430" priority="2327" operator="equal">
      <formula>"SI"</formula>
    </cfRule>
  </conditionalFormatting>
  <conditionalFormatting sqref="I1864">
    <cfRule type="cellIs" dxfId="2429" priority="2325" stopIfTrue="1" operator="greaterThan">
      <formula>0</formula>
    </cfRule>
  </conditionalFormatting>
  <conditionalFormatting sqref="K1858:L1864">
    <cfRule type="cellIs" dxfId="2428" priority="2323" operator="equal">
      <formula>0</formula>
    </cfRule>
    <cfRule type="cellIs" dxfId="2427" priority="2324" operator="notBetween">
      <formula>$Q$17</formula>
      <formula>$R$17</formula>
    </cfRule>
  </conditionalFormatting>
  <conditionalFormatting sqref="B1855:B1864">
    <cfRule type="cellIs" dxfId="2426" priority="2322" stopIfTrue="1" operator="greaterThan">
      <formula>0</formula>
    </cfRule>
  </conditionalFormatting>
  <conditionalFormatting sqref="C1857:C1864 D1857 C1855:D1856">
    <cfRule type="cellIs" dxfId="2425" priority="2321" stopIfTrue="1" operator="greaterThan">
      <formula>0</formula>
    </cfRule>
  </conditionalFormatting>
  <conditionalFormatting sqref="C1857:C1864 D1857 F1855:H1857 C1855:D1856">
    <cfRule type="cellIs" dxfId="2424" priority="2320" stopIfTrue="1" operator="greaterThan">
      <formula>0</formula>
    </cfRule>
  </conditionalFormatting>
  <conditionalFormatting sqref="T1855:V1857">
    <cfRule type="cellIs" dxfId="2423" priority="2318" stopIfTrue="1" operator="equal">
      <formula>"NO"</formula>
    </cfRule>
    <cfRule type="cellIs" dxfId="2422" priority="2319" stopIfTrue="1" operator="equal">
      <formula>"SI"</formula>
    </cfRule>
  </conditionalFormatting>
  <conditionalFormatting sqref="T1855:V1856">
    <cfRule type="cellIs" dxfId="2421" priority="2317" stopIfTrue="1" operator="equal">
      <formula>"NO APLICA"</formula>
    </cfRule>
  </conditionalFormatting>
  <conditionalFormatting sqref="T1857:U1857">
    <cfRule type="cellIs" dxfId="2420" priority="2316" stopIfTrue="1" operator="equal">
      <formula>"NO APLICA"</formula>
    </cfRule>
  </conditionalFormatting>
  <conditionalFormatting sqref="T1857:U1857">
    <cfRule type="cellIs" dxfId="2419" priority="2315" stopIfTrue="1" operator="equal">
      <formula>"NO APLICA"</formula>
    </cfRule>
  </conditionalFormatting>
  <conditionalFormatting sqref="V1856:V1857">
    <cfRule type="cellIs" dxfId="2418" priority="2314" stopIfTrue="1" operator="equal">
      <formula>"NO APLICA"</formula>
    </cfRule>
  </conditionalFormatting>
  <conditionalFormatting sqref="K1855:L1857">
    <cfRule type="cellIs" dxfId="2417" priority="2312" operator="equal">
      <formula>0</formula>
    </cfRule>
    <cfRule type="cellIs" dxfId="2416" priority="2313" operator="notBetween">
      <formula>$Q$17</formula>
      <formula>$R$17</formula>
    </cfRule>
  </conditionalFormatting>
  <conditionalFormatting sqref="F1888:H1893 D1894:H1894 I1888:I1894 C1885:D1885 K1885:O1894 F1885:I1887 D1886:D1893 C1886:C1894">
    <cfRule type="cellIs" dxfId="2415" priority="2311" stopIfTrue="1" operator="greaterThan">
      <formula>0</formula>
    </cfRule>
  </conditionalFormatting>
  <conditionalFormatting sqref="D1888:D1893">
    <cfRule type="cellIs" dxfId="2414" priority="2310" stopIfTrue="1" operator="greaterThan">
      <formula>0</formula>
    </cfRule>
  </conditionalFormatting>
  <conditionalFormatting sqref="D1888:D1893 F1888:H1893">
    <cfRule type="cellIs" dxfId="2413" priority="2309" stopIfTrue="1" operator="greaterThan">
      <formula>0</formula>
    </cfRule>
  </conditionalFormatting>
  <conditionalFormatting sqref="H1885:H1893">
    <cfRule type="cellIs" dxfId="2412" priority="2308" stopIfTrue="1" operator="greaterThan">
      <formula>0</formula>
    </cfRule>
  </conditionalFormatting>
  <conditionalFormatting sqref="E1885:E1893">
    <cfRule type="cellIs" dxfId="2411" priority="2307" stopIfTrue="1" operator="greaterThan">
      <formula>0</formula>
    </cfRule>
  </conditionalFormatting>
  <conditionalFormatting sqref="M1902:M1907 K1902:K1907">
    <cfRule type="containsText" dxfId="2410" priority="2305" stopIfTrue="1" operator="containsText" text="NO CUMPLE">
      <formula>NOT(ISERROR(SEARCH("NO CUMPLE",K1902)))</formula>
    </cfRule>
    <cfRule type="containsText" dxfId="2409" priority="2306" stopIfTrue="1" operator="containsText" text="CUMPLE">
      <formula>NOT(ISERROR(SEARCH("CUMPLE",K1902)))</formula>
    </cfRule>
  </conditionalFormatting>
  <conditionalFormatting sqref="S1901">
    <cfRule type="cellIs" dxfId="2408" priority="2303" operator="greaterThanOrEqual">
      <formula>NUMMINCONT</formula>
    </cfRule>
    <cfRule type="cellIs" dxfId="2407" priority="2304" operator="lessThan">
      <formula>NUMMINCONT</formula>
    </cfRule>
  </conditionalFormatting>
  <conditionalFormatting sqref="T1888:V1893">
    <cfRule type="cellIs" dxfId="2406" priority="2301" stopIfTrue="1" operator="equal">
      <formula>"NO"</formula>
    </cfRule>
    <cfRule type="cellIs" dxfId="2405" priority="2302" stopIfTrue="1" operator="equal">
      <formula>"SI"</formula>
    </cfRule>
  </conditionalFormatting>
  <conditionalFormatting sqref="T1888:V1889">
    <cfRule type="cellIs" dxfId="2404" priority="2300" stopIfTrue="1" operator="equal">
      <formula>"NO APLICA"</formula>
    </cfRule>
  </conditionalFormatting>
  <conditionalFormatting sqref="T1890:U1893">
    <cfRule type="cellIs" dxfId="2403" priority="2299" stopIfTrue="1" operator="equal">
      <formula>"NO APLICA"</formula>
    </cfRule>
  </conditionalFormatting>
  <conditionalFormatting sqref="T1890:U1890">
    <cfRule type="cellIs" dxfId="2402" priority="2298" stopIfTrue="1" operator="equal">
      <formula>"NO APLICA"</formula>
    </cfRule>
  </conditionalFormatting>
  <conditionalFormatting sqref="V1890:V1893">
    <cfRule type="cellIs" dxfId="2401" priority="2297" stopIfTrue="1" operator="equal">
      <formula>"NO APLICA"</formula>
    </cfRule>
  </conditionalFormatting>
  <conditionalFormatting sqref="V1899:W1899">
    <cfRule type="cellIs" dxfId="2400" priority="2295" operator="equal">
      <formula>"CUMPLE"</formula>
    </cfRule>
    <cfRule type="cellIs" dxfId="2399" priority="2296" operator="equal">
      <formula>"NO CUMPLE"</formula>
    </cfRule>
  </conditionalFormatting>
  <conditionalFormatting sqref="V1899:W1901">
    <cfRule type="cellIs" dxfId="2398" priority="2294" operator="equal">
      <formula>"VERIFICAR"</formula>
    </cfRule>
  </conditionalFormatting>
  <conditionalFormatting sqref="T1894:V1894">
    <cfRule type="cellIs" dxfId="2397" priority="2292" stopIfTrue="1" operator="equal">
      <formula>"NO"</formula>
    </cfRule>
    <cfRule type="cellIs" dxfId="2396" priority="2293" stopIfTrue="1" operator="equal">
      <formula>"SI"</formula>
    </cfRule>
  </conditionalFormatting>
  <conditionalFormatting sqref="T1894:U1894">
    <cfRule type="cellIs" dxfId="2395" priority="2291" stopIfTrue="1" operator="equal">
      <formula>"NO APLICA"</formula>
    </cfRule>
  </conditionalFormatting>
  <conditionalFormatting sqref="V1894">
    <cfRule type="cellIs" dxfId="2394" priority="2290" stopIfTrue="1" operator="equal">
      <formula>"NO APLICA"</formula>
    </cfRule>
  </conditionalFormatting>
  <conditionalFormatting sqref="T1904">
    <cfRule type="cellIs" dxfId="2393" priority="2288" operator="equal">
      <formula>"CUMPLE"</formula>
    </cfRule>
    <cfRule type="cellIs" dxfId="2392" priority="2289" operator="equal">
      <formula>"NO CUMPLE"</formula>
    </cfRule>
  </conditionalFormatting>
  <conditionalFormatting sqref="T1904">
    <cfRule type="cellIs" dxfId="2391" priority="2287" operator="equal">
      <formula>"VERIFICAR"</formula>
    </cfRule>
  </conditionalFormatting>
  <conditionalFormatting sqref="Y1902:Y1907">
    <cfRule type="cellIs" dxfId="2390" priority="2286" stopIfTrue="1" operator="equal">
      <formula>"NO APLICA"</formula>
    </cfRule>
  </conditionalFormatting>
  <conditionalFormatting sqref="Y1907">
    <cfRule type="cellIs" dxfId="2389" priority="2285" stopIfTrue="1" operator="equal">
      <formula>"NO APLICA"</formula>
    </cfRule>
  </conditionalFormatting>
  <conditionalFormatting sqref="X1902:Y1907">
    <cfRule type="cellIs" dxfId="2388" priority="2283" stopIfTrue="1" operator="equal">
      <formula>"NO"</formula>
    </cfRule>
    <cfRule type="cellIs" dxfId="2387" priority="2284" stopIfTrue="1" operator="equal">
      <formula>"SI"</formula>
    </cfRule>
  </conditionalFormatting>
  <conditionalFormatting sqref="X1902:X1907">
    <cfRule type="cellIs" dxfId="2386" priority="2282" stopIfTrue="1" operator="equal">
      <formula>"NO APLICA"</formula>
    </cfRule>
  </conditionalFormatting>
  <conditionalFormatting sqref="X1903:X1906">
    <cfRule type="cellIs" dxfId="2385" priority="2281" stopIfTrue="1" operator="equal">
      <formula>"NO APLICA"</formula>
    </cfRule>
  </conditionalFormatting>
  <conditionalFormatting sqref="X1903">
    <cfRule type="cellIs" dxfId="2384" priority="2280" stopIfTrue="1" operator="equal">
      <formula>"NO APLICA"</formula>
    </cfRule>
  </conditionalFormatting>
  <conditionalFormatting sqref="X1907">
    <cfRule type="cellIs" dxfId="2383" priority="2279" stopIfTrue="1" operator="equal">
      <formula>"NO APLICA"</formula>
    </cfRule>
  </conditionalFormatting>
  <conditionalFormatting sqref="X1907">
    <cfRule type="cellIs" dxfId="2382" priority="2278" stopIfTrue="1" operator="equal">
      <formula>"NO APLICA"</formula>
    </cfRule>
  </conditionalFormatting>
  <conditionalFormatting sqref="AA1902:AA1907">
    <cfRule type="cellIs" dxfId="2381" priority="2277" stopIfTrue="1" operator="equal">
      <formula>"NO APLICA"</formula>
    </cfRule>
  </conditionalFormatting>
  <conditionalFormatting sqref="AA1907">
    <cfRule type="cellIs" dxfId="2380" priority="2276" stopIfTrue="1" operator="equal">
      <formula>"NO APLICA"</formula>
    </cfRule>
  </conditionalFormatting>
  <conditionalFormatting sqref="AA1902:AA1907">
    <cfRule type="cellIs" dxfId="2379" priority="2274" stopIfTrue="1" operator="equal">
      <formula>"NO"</formula>
    </cfRule>
    <cfRule type="cellIs" dxfId="2378" priority="2275" stopIfTrue="1" operator="equal">
      <formula>"SI"</formula>
    </cfRule>
  </conditionalFormatting>
  <conditionalFormatting sqref="Y1902:Z1907">
    <cfRule type="cellIs" dxfId="2377" priority="2272" operator="equal">
      <formula>"NO APLICA"</formula>
    </cfRule>
    <cfRule type="cellIs" dxfId="2376" priority="2273" operator="equal">
      <formula>"SI APLICA"</formula>
    </cfRule>
  </conditionalFormatting>
  <conditionalFormatting sqref="AB1902:AB1908">
    <cfRule type="cellIs" dxfId="2375" priority="2270" operator="equal">
      <formula>"NO APLICA"</formula>
    </cfRule>
    <cfRule type="cellIs" dxfId="2374" priority="2271" operator="equal">
      <formula>"SI APLICA"</formula>
    </cfRule>
  </conditionalFormatting>
  <conditionalFormatting sqref="X1908">
    <cfRule type="cellIs" dxfId="2373" priority="2268" operator="equal">
      <formula>"PROPONENTE PLURAL"</formula>
    </cfRule>
    <cfRule type="cellIs" dxfId="2372" priority="2269" operator="equal">
      <formula>"PROPONENTE INDIVIDUAL"</formula>
    </cfRule>
  </conditionalFormatting>
  <conditionalFormatting sqref="Z1908:AA1908 AA1902:AA1907">
    <cfRule type="cellIs" dxfId="2371" priority="2266" operator="equal">
      <formula>"NO APLICA"</formula>
    </cfRule>
    <cfRule type="cellIs" dxfId="2370" priority="2267" operator="equal">
      <formula>"SI APLICA"</formula>
    </cfRule>
  </conditionalFormatting>
  <conditionalFormatting sqref="AB1902:AB1907 Y1902:Z1907">
    <cfRule type="cellIs" dxfId="2369" priority="2265" operator="equal">
      <formula>""</formula>
    </cfRule>
  </conditionalFormatting>
  <conditionalFormatting sqref="H1908">
    <cfRule type="containsText" dxfId="2368" priority="2263" stopIfTrue="1" operator="containsText" text="NO CUMPLE">
      <formula>NOT(ISERROR(SEARCH("NO CUMPLE",H1908)))</formula>
    </cfRule>
    <cfRule type="containsText" dxfId="2367" priority="2264" stopIfTrue="1" operator="containsText" text="CUMPLE">
      <formula>NOT(ISERROR(SEARCH("CUMPLE",H1908)))</formula>
    </cfRule>
  </conditionalFormatting>
  <conditionalFormatting sqref="J1908">
    <cfRule type="containsText" dxfId="2366" priority="2261" stopIfTrue="1" operator="containsText" text="NO CUMPLE">
      <formula>NOT(ISERROR(SEARCH("NO CUMPLE",J1908)))</formula>
    </cfRule>
    <cfRule type="containsText" dxfId="2365" priority="2262" stopIfTrue="1" operator="containsText" text="CUMPLE">
      <formula>NOT(ISERROR(SEARCH("CUMPLE",J1908)))</formula>
    </cfRule>
  </conditionalFormatting>
  <conditionalFormatting sqref="K1908">
    <cfRule type="containsText" dxfId="2364" priority="2259" stopIfTrue="1" operator="containsText" text="NO CUMPLE">
      <formula>NOT(ISERROR(SEARCH("NO CUMPLE",K1908)))</formula>
    </cfRule>
    <cfRule type="containsText" dxfId="2363" priority="2260" stopIfTrue="1" operator="containsText" text="CUMPLE">
      <formula>NOT(ISERROR(SEARCH("CUMPLE",K1908)))</formula>
    </cfRule>
  </conditionalFormatting>
  <conditionalFormatting sqref="L1902:L1907">
    <cfRule type="containsText" dxfId="2362" priority="2257" stopIfTrue="1" operator="containsText" text="NO CUMPLE">
      <formula>NOT(ISERROR(SEARCH("NO CUMPLE",L1902)))</formula>
    </cfRule>
    <cfRule type="containsText" dxfId="2361" priority="2258" stopIfTrue="1" operator="containsText" text="CUMPLE">
      <formula>NOT(ISERROR(SEARCH("CUMPLE",L1902)))</formula>
    </cfRule>
  </conditionalFormatting>
  <conditionalFormatting sqref="O1907">
    <cfRule type="containsText" dxfId="2360" priority="2255" stopIfTrue="1" operator="containsText" text="NO CUMPLE">
      <formula>NOT(ISERROR(SEARCH("NO CUMPLE",O1907)))</formula>
    </cfRule>
    <cfRule type="containsText" dxfId="2359" priority="2256" stopIfTrue="1" operator="containsText" text="CUMPLE">
      <formula>NOT(ISERROR(SEARCH("CUMPLE",O1907)))</formula>
    </cfRule>
  </conditionalFormatting>
  <conditionalFormatting sqref="O1908:S1908">
    <cfRule type="cellIs" dxfId="2358" priority="2254" operator="equal">
      <formula>"EL PROPONENTE SE DEBE REQUERIR POR EXPERIENCIA MINIMA EXIGIDA"</formula>
    </cfRule>
  </conditionalFormatting>
  <conditionalFormatting sqref="X1896">
    <cfRule type="cellIs" dxfId="2357" priority="2251" stopIfTrue="1" operator="equal">
      <formula>"VERIFICAR"</formula>
    </cfRule>
    <cfRule type="cellIs" dxfId="2356" priority="2252" stopIfTrue="1" operator="equal">
      <formula>"NO CUMPLE"</formula>
    </cfRule>
    <cfRule type="cellIs" dxfId="2355" priority="2253" stopIfTrue="1" operator="equal">
      <formula>"CUMPLE"</formula>
    </cfRule>
  </conditionalFormatting>
  <conditionalFormatting sqref="X1885:Y1894 J1885:J1894">
    <cfRule type="cellIs" dxfId="2354" priority="2250" stopIfTrue="1" operator="greaterThan">
      <formula>0</formula>
    </cfRule>
  </conditionalFormatting>
  <conditionalFormatting sqref="X1885:Y1894">
    <cfRule type="cellIs" dxfId="2353" priority="2248" operator="equal">
      <formula>"NO CUMPLE"</formula>
    </cfRule>
    <cfRule type="cellIs" dxfId="2352" priority="2249" operator="equal">
      <formula>"CUMPLE"</formula>
    </cfRule>
  </conditionalFormatting>
  <conditionalFormatting sqref="N1902:N1907">
    <cfRule type="cellIs" dxfId="2351" priority="2246" operator="equal">
      <formula>"NO"</formula>
    </cfRule>
    <cfRule type="cellIs" dxfId="2350" priority="2247" operator="equal">
      <formula>"SI"</formula>
    </cfRule>
  </conditionalFormatting>
  <conditionalFormatting sqref="I1894">
    <cfRule type="cellIs" dxfId="2349" priority="2245" stopIfTrue="1" operator="greaterThan">
      <formula>0</formula>
    </cfRule>
  </conditionalFormatting>
  <conditionalFormatting sqref="K1888:L1894">
    <cfRule type="cellIs" dxfId="2348" priority="2243" operator="equal">
      <formula>0</formula>
    </cfRule>
    <cfRule type="cellIs" dxfId="2347" priority="2244" operator="notBetween">
      <formula>$Q$17</formula>
      <formula>$R$17</formula>
    </cfRule>
  </conditionalFormatting>
  <conditionalFormatting sqref="B1885:B1894">
    <cfRule type="cellIs" dxfId="2346" priority="2242" stopIfTrue="1" operator="greaterThan">
      <formula>0</formula>
    </cfRule>
  </conditionalFormatting>
  <conditionalFormatting sqref="C1885:D1885 D1886:D1887 C1886:C1894">
    <cfRule type="cellIs" dxfId="2345" priority="2241" stopIfTrue="1" operator="greaterThan">
      <formula>0</formula>
    </cfRule>
  </conditionalFormatting>
  <conditionalFormatting sqref="C1885:D1885 F1885:H1887 D1886:D1887 C1886:C1894">
    <cfRule type="cellIs" dxfId="2344" priority="2240" stopIfTrue="1" operator="greaterThan">
      <formula>0</formula>
    </cfRule>
  </conditionalFormatting>
  <conditionalFormatting sqref="T1885:V1887">
    <cfRule type="cellIs" dxfId="2343" priority="2238" stopIfTrue="1" operator="equal">
      <formula>"NO"</formula>
    </cfRule>
    <cfRule type="cellIs" dxfId="2342" priority="2239" stopIfTrue="1" operator="equal">
      <formula>"SI"</formula>
    </cfRule>
  </conditionalFormatting>
  <conditionalFormatting sqref="T1885:V1886">
    <cfRule type="cellIs" dxfId="2341" priority="2237" stopIfTrue="1" operator="equal">
      <formula>"NO APLICA"</formula>
    </cfRule>
  </conditionalFormatting>
  <conditionalFormatting sqref="T1887:U1887">
    <cfRule type="cellIs" dxfId="2340" priority="2236" stopIfTrue="1" operator="equal">
      <formula>"NO APLICA"</formula>
    </cfRule>
  </conditionalFormatting>
  <conditionalFormatting sqref="T1887:U1887">
    <cfRule type="cellIs" dxfId="2339" priority="2235" stopIfTrue="1" operator="equal">
      <formula>"NO APLICA"</formula>
    </cfRule>
  </conditionalFormatting>
  <conditionalFormatting sqref="V1887">
    <cfRule type="cellIs" dxfId="2338" priority="2234" stopIfTrue="1" operator="equal">
      <formula>"NO APLICA"</formula>
    </cfRule>
  </conditionalFormatting>
  <conditionalFormatting sqref="K1885:L1887">
    <cfRule type="cellIs" dxfId="2337" priority="2232" operator="equal">
      <formula>0</formula>
    </cfRule>
    <cfRule type="cellIs" dxfId="2336" priority="2233" operator="notBetween">
      <formula>$Q$17</formula>
      <formula>$R$17</formula>
    </cfRule>
  </conditionalFormatting>
  <conditionalFormatting sqref="D1924:H1924 I1918:I1924 K1915:O1924 F1915:I1917 C1919:C1924 D1919:D1923 F1918:H1923 C1915:D1920">
    <cfRule type="cellIs" dxfId="2335" priority="2231" stopIfTrue="1" operator="greaterThan">
      <formula>0</formula>
    </cfRule>
  </conditionalFormatting>
  <conditionalFormatting sqref="D1919:D1923">
    <cfRule type="cellIs" dxfId="2334" priority="2230" stopIfTrue="1" operator="greaterThan">
      <formula>0</formula>
    </cfRule>
  </conditionalFormatting>
  <conditionalFormatting sqref="F1919:H1923 D1919:D1923 G1918:H1918">
    <cfRule type="cellIs" dxfId="2333" priority="2229" stopIfTrue="1" operator="greaterThan">
      <formula>0</formula>
    </cfRule>
  </conditionalFormatting>
  <conditionalFormatting sqref="H1915:H1923">
    <cfRule type="cellIs" dxfId="2332" priority="2228" stopIfTrue="1" operator="greaterThan">
      <formula>0</formula>
    </cfRule>
  </conditionalFormatting>
  <conditionalFormatting sqref="E1915:E1923">
    <cfRule type="cellIs" dxfId="2331" priority="2227" stopIfTrue="1" operator="greaterThan">
      <formula>0</formula>
    </cfRule>
  </conditionalFormatting>
  <conditionalFormatting sqref="M1932:M1937 K1932:K1937">
    <cfRule type="containsText" dxfId="2330" priority="2225" stopIfTrue="1" operator="containsText" text="NO CUMPLE">
      <formula>NOT(ISERROR(SEARCH("NO CUMPLE",K1932)))</formula>
    </cfRule>
    <cfRule type="containsText" dxfId="2329" priority="2226" stopIfTrue="1" operator="containsText" text="CUMPLE">
      <formula>NOT(ISERROR(SEARCH("CUMPLE",K1932)))</formula>
    </cfRule>
  </conditionalFormatting>
  <conditionalFormatting sqref="S1931">
    <cfRule type="cellIs" dxfId="2328" priority="2223" operator="greaterThanOrEqual">
      <formula>NUMMINCONT</formula>
    </cfRule>
    <cfRule type="cellIs" dxfId="2327" priority="2224" operator="lessThan">
      <formula>NUMMINCONT</formula>
    </cfRule>
  </conditionalFormatting>
  <conditionalFormatting sqref="T1918:V1923">
    <cfRule type="cellIs" dxfId="2326" priority="2221" stopIfTrue="1" operator="equal">
      <formula>"NO"</formula>
    </cfRule>
    <cfRule type="cellIs" dxfId="2325" priority="2222" stopIfTrue="1" operator="equal">
      <formula>"SI"</formula>
    </cfRule>
  </conditionalFormatting>
  <conditionalFormatting sqref="T1918:V1919">
    <cfRule type="cellIs" dxfId="2324" priority="2220" stopIfTrue="1" operator="equal">
      <formula>"NO APLICA"</formula>
    </cfRule>
  </conditionalFormatting>
  <conditionalFormatting sqref="T1920:U1923">
    <cfRule type="cellIs" dxfId="2323" priority="2219" stopIfTrue="1" operator="equal">
      <formula>"NO APLICA"</formula>
    </cfRule>
  </conditionalFormatting>
  <conditionalFormatting sqref="T1920:U1920">
    <cfRule type="cellIs" dxfId="2322" priority="2218" stopIfTrue="1" operator="equal">
      <formula>"NO APLICA"</formula>
    </cfRule>
  </conditionalFormatting>
  <conditionalFormatting sqref="V1920:V1923">
    <cfRule type="cellIs" dxfId="2321" priority="2217" stopIfTrue="1" operator="equal">
      <formula>"NO APLICA"</formula>
    </cfRule>
  </conditionalFormatting>
  <conditionalFormatting sqref="V1929:W1929">
    <cfRule type="cellIs" dxfId="2320" priority="2215" operator="equal">
      <formula>"CUMPLE"</formula>
    </cfRule>
    <cfRule type="cellIs" dxfId="2319" priority="2216" operator="equal">
      <formula>"NO CUMPLE"</formula>
    </cfRule>
  </conditionalFormatting>
  <conditionalFormatting sqref="V1929:W1931">
    <cfRule type="cellIs" dxfId="2318" priority="2214" operator="equal">
      <formula>"VERIFICAR"</formula>
    </cfRule>
  </conditionalFormatting>
  <conditionalFormatting sqref="T1924:V1924">
    <cfRule type="cellIs" dxfId="2317" priority="2212" stopIfTrue="1" operator="equal">
      <formula>"NO"</formula>
    </cfRule>
    <cfRule type="cellIs" dxfId="2316" priority="2213" stopIfTrue="1" operator="equal">
      <formula>"SI"</formula>
    </cfRule>
  </conditionalFormatting>
  <conditionalFormatting sqref="T1924:U1924">
    <cfRule type="cellIs" dxfId="2315" priority="2211" stopIfTrue="1" operator="equal">
      <formula>"NO APLICA"</formula>
    </cfRule>
  </conditionalFormatting>
  <conditionalFormatting sqref="V1924">
    <cfRule type="cellIs" dxfId="2314" priority="2210" stopIfTrue="1" operator="equal">
      <formula>"NO APLICA"</formula>
    </cfRule>
  </conditionalFormatting>
  <conditionalFormatting sqref="T1934">
    <cfRule type="cellIs" dxfId="2313" priority="2208" operator="equal">
      <formula>"CUMPLE"</formula>
    </cfRule>
    <cfRule type="cellIs" dxfId="2312" priority="2209" operator="equal">
      <formula>"NO CUMPLE"</formula>
    </cfRule>
  </conditionalFormatting>
  <conditionalFormatting sqref="T1934">
    <cfRule type="cellIs" dxfId="2311" priority="2207" operator="equal">
      <formula>"VERIFICAR"</formula>
    </cfRule>
  </conditionalFormatting>
  <conditionalFormatting sqref="Y1932:Y1937">
    <cfRule type="cellIs" dxfId="2310" priority="2206" stopIfTrue="1" operator="equal">
      <formula>"NO APLICA"</formula>
    </cfRule>
  </conditionalFormatting>
  <conditionalFormatting sqref="Y1937">
    <cfRule type="cellIs" dxfId="2309" priority="2205" stopIfTrue="1" operator="equal">
      <formula>"NO APLICA"</formula>
    </cfRule>
  </conditionalFormatting>
  <conditionalFormatting sqref="X1932:Y1937">
    <cfRule type="cellIs" dxfId="2308" priority="2203" stopIfTrue="1" operator="equal">
      <formula>"NO"</formula>
    </cfRule>
    <cfRule type="cellIs" dxfId="2307" priority="2204" stopIfTrue="1" operator="equal">
      <formula>"SI"</formula>
    </cfRule>
  </conditionalFormatting>
  <conditionalFormatting sqref="X1932:X1937">
    <cfRule type="cellIs" dxfId="2306" priority="2202" stopIfTrue="1" operator="equal">
      <formula>"NO APLICA"</formula>
    </cfRule>
  </conditionalFormatting>
  <conditionalFormatting sqref="X1933:X1936">
    <cfRule type="cellIs" dxfId="2305" priority="2201" stopIfTrue="1" operator="equal">
      <formula>"NO APLICA"</formula>
    </cfRule>
  </conditionalFormatting>
  <conditionalFormatting sqref="X1933">
    <cfRule type="cellIs" dxfId="2304" priority="2200" stopIfTrue="1" operator="equal">
      <formula>"NO APLICA"</formula>
    </cfRule>
  </conditionalFormatting>
  <conditionalFormatting sqref="X1937">
    <cfRule type="cellIs" dxfId="2303" priority="2199" stopIfTrue="1" operator="equal">
      <formula>"NO APLICA"</formula>
    </cfRule>
  </conditionalFormatting>
  <conditionalFormatting sqref="X1937">
    <cfRule type="cellIs" dxfId="2302" priority="2198" stopIfTrue="1" operator="equal">
      <formula>"NO APLICA"</formula>
    </cfRule>
  </conditionalFormatting>
  <conditionalFormatting sqref="AA1932:AA1937">
    <cfRule type="cellIs" dxfId="2301" priority="2197" stopIfTrue="1" operator="equal">
      <formula>"NO APLICA"</formula>
    </cfRule>
  </conditionalFormatting>
  <conditionalFormatting sqref="AA1937">
    <cfRule type="cellIs" dxfId="2300" priority="2196" stopIfTrue="1" operator="equal">
      <formula>"NO APLICA"</formula>
    </cfRule>
  </conditionalFormatting>
  <conditionalFormatting sqref="AA1932:AA1937">
    <cfRule type="cellIs" dxfId="2299" priority="2194" stopIfTrue="1" operator="equal">
      <formula>"NO"</formula>
    </cfRule>
    <cfRule type="cellIs" dxfId="2298" priority="2195" stopIfTrue="1" operator="equal">
      <formula>"SI"</formula>
    </cfRule>
  </conditionalFormatting>
  <conditionalFormatting sqref="Y1932:Z1937">
    <cfRule type="cellIs" dxfId="2297" priority="2192" operator="equal">
      <formula>"NO APLICA"</formula>
    </cfRule>
    <cfRule type="cellIs" dxfId="2296" priority="2193" operator="equal">
      <formula>"SI APLICA"</formula>
    </cfRule>
  </conditionalFormatting>
  <conditionalFormatting sqref="AB1932:AB1938">
    <cfRule type="cellIs" dxfId="2295" priority="2190" operator="equal">
      <formula>"NO APLICA"</formula>
    </cfRule>
    <cfRule type="cellIs" dxfId="2294" priority="2191" operator="equal">
      <formula>"SI APLICA"</formula>
    </cfRule>
  </conditionalFormatting>
  <conditionalFormatting sqref="X1938">
    <cfRule type="cellIs" dxfId="2293" priority="2188" operator="equal">
      <formula>"PROPONENTE PLURAL"</formula>
    </cfRule>
    <cfRule type="cellIs" dxfId="2292" priority="2189" operator="equal">
      <formula>"PROPONENTE INDIVIDUAL"</formula>
    </cfRule>
  </conditionalFormatting>
  <conditionalFormatting sqref="Z1938:AA1938 AA1932:AA1937">
    <cfRule type="cellIs" dxfId="2291" priority="2186" operator="equal">
      <formula>"NO APLICA"</formula>
    </cfRule>
    <cfRule type="cellIs" dxfId="2290" priority="2187" operator="equal">
      <formula>"SI APLICA"</formula>
    </cfRule>
  </conditionalFormatting>
  <conditionalFormatting sqref="Y1932:Z1937 AB1932:AB1937">
    <cfRule type="cellIs" dxfId="2289" priority="2185" operator="equal">
      <formula>""</formula>
    </cfRule>
  </conditionalFormatting>
  <conditionalFormatting sqref="L1932:L1937">
    <cfRule type="containsText" dxfId="2288" priority="2177" stopIfTrue="1" operator="containsText" text="NO CUMPLE">
      <formula>NOT(ISERROR(SEARCH("NO CUMPLE",L1932)))</formula>
    </cfRule>
    <cfRule type="containsText" dxfId="2287" priority="2178" stopIfTrue="1" operator="containsText" text="CUMPLE">
      <formula>NOT(ISERROR(SEARCH("CUMPLE",L1932)))</formula>
    </cfRule>
  </conditionalFormatting>
  <conditionalFormatting sqref="O1937">
    <cfRule type="containsText" dxfId="2286" priority="2175" stopIfTrue="1" operator="containsText" text="NO CUMPLE">
      <formula>NOT(ISERROR(SEARCH("NO CUMPLE",O1937)))</formula>
    </cfRule>
    <cfRule type="containsText" dxfId="2285" priority="2176" stopIfTrue="1" operator="containsText" text="CUMPLE">
      <formula>NOT(ISERROR(SEARCH("CUMPLE",O1937)))</formula>
    </cfRule>
  </conditionalFormatting>
  <conditionalFormatting sqref="O1938:S1938">
    <cfRule type="cellIs" dxfId="2284" priority="2174" operator="equal">
      <formula>"EL PROPONENTE SE DEBE REQUERIR POR EXPERIENCIA MINIMA EXIGIDA"</formula>
    </cfRule>
  </conditionalFormatting>
  <conditionalFormatting sqref="X1926">
    <cfRule type="cellIs" dxfId="2283" priority="2171" stopIfTrue="1" operator="equal">
      <formula>"VERIFICAR"</formula>
    </cfRule>
    <cfRule type="cellIs" dxfId="2282" priority="2172" stopIfTrue="1" operator="equal">
      <formula>"NO CUMPLE"</formula>
    </cfRule>
    <cfRule type="cellIs" dxfId="2281" priority="2173" stopIfTrue="1" operator="equal">
      <formula>"CUMPLE"</formula>
    </cfRule>
  </conditionalFormatting>
  <conditionalFormatting sqref="X1915:Y1924 J1915:J1924">
    <cfRule type="cellIs" dxfId="2280" priority="2170" stopIfTrue="1" operator="greaterThan">
      <formula>0</formula>
    </cfRule>
  </conditionalFormatting>
  <conditionalFormatting sqref="X1915:Y1924">
    <cfRule type="cellIs" dxfId="2279" priority="2168" operator="equal">
      <formula>"NO CUMPLE"</formula>
    </cfRule>
    <cfRule type="cellIs" dxfId="2278" priority="2169" operator="equal">
      <formula>"CUMPLE"</formula>
    </cfRule>
  </conditionalFormatting>
  <conditionalFormatting sqref="N1932:N1937">
    <cfRule type="cellIs" dxfId="2277" priority="2166" operator="equal">
      <formula>"NO"</formula>
    </cfRule>
    <cfRule type="cellIs" dxfId="2276" priority="2167" operator="equal">
      <formula>"SI"</formula>
    </cfRule>
  </conditionalFormatting>
  <conditionalFormatting sqref="I1924">
    <cfRule type="cellIs" dxfId="2275" priority="2165" stopIfTrue="1" operator="greaterThan">
      <formula>0</formula>
    </cfRule>
  </conditionalFormatting>
  <conditionalFormatting sqref="K1918:L1924">
    <cfRule type="cellIs" dxfId="2274" priority="2163" operator="equal">
      <formula>0</formula>
    </cfRule>
    <cfRule type="cellIs" dxfId="2273" priority="2164" operator="notBetween">
      <formula>$Q$17</formula>
      <formula>$R$17</formula>
    </cfRule>
  </conditionalFormatting>
  <conditionalFormatting sqref="B1915:B1924">
    <cfRule type="cellIs" dxfId="2272" priority="2162" stopIfTrue="1" operator="greaterThan">
      <formula>0</formula>
    </cfRule>
  </conditionalFormatting>
  <conditionalFormatting sqref="C1919:C1924 C1915:D1918">
    <cfRule type="cellIs" dxfId="2271" priority="2161" stopIfTrue="1" operator="greaterThan">
      <formula>0</formula>
    </cfRule>
  </conditionalFormatting>
  <conditionalFormatting sqref="F1915:H1917 C1919:C1924 F1918 C1915:D1918">
    <cfRule type="cellIs" dxfId="2270" priority="2160" stopIfTrue="1" operator="greaterThan">
      <formula>0</formula>
    </cfRule>
  </conditionalFormatting>
  <conditionalFormatting sqref="T1915:V1917">
    <cfRule type="cellIs" dxfId="2269" priority="2158" stopIfTrue="1" operator="equal">
      <formula>"NO"</formula>
    </cfRule>
    <cfRule type="cellIs" dxfId="2268" priority="2159" stopIfTrue="1" operator="equal">
      <formula>"SI"</formula>
    </cfRule>
  </conditionalFormatting>
  <conditionalFormatting sqref="T1915:V1916">
    <cfRule type="cellIs" dxfId="2267" priority="2157" stopIfTrue="1" operator="equal">
      <formula>"NO APLICA"</formula>
    </cfRule>
  </conditionalFormatting>
  <conditionalFormatting sqref="T1917:U1917">
    <cfRule type="cellIs" dxfId="2266" priority="2156" stopIfTrue="1" operator="equal">
      <formula>"NO APLICA"</formula>
    </cfRule>
  </conditionalFormatting>
  <conditionalFormatting sqref="T1917:U1917">
    <cfRule type="cellIs" dxfId="2265" priority="2155" stopIfTrue="1" operator="equal">
      <formula>"NO APLICA"</formula>
    </cfRule>
  </conditionalFormatting>
  <conditionalFormatting sqref="V1917">
    <cfRule type="cellIs" dxfId="2264" priority="2154" stopIfTrue="1" operator="equal">
      <formula>"NO APLICA"</formula>
    </cfRule>
  </conditionalFormatting>
  <conditionalFormatting sqref="K1915:L1917">
    <cfRule type="cellIs" dxfId="2263" priority="2152" operator="equal">
      <formula>0</formula>
    </cfRule>
    <cfRule type="cellIs" dxfId="2262" priority="2153" operator="notBetween">
      <formula>$Q$17</formula>
      <formula>$R$17</formula>
    </cfRule>
  </conditionalFormatting>
  <conditionalFormatting sqref="F1948:H1953 D1954:H1954 I1948:I1954 K1945:O1954 F1946:I1947 D1946:D1953 C1946:C1954 H1945:I1945">
    <cfRule type="cellIs" dxfId="2261" priority="2151" stopIfTrue="1" operator="greaterThan">
      <formula>0</formula>
    </cfRule>
  </conditionalFormatting>
  <conditionalFormatting sqref="D1948:D1953">
    <cfRule type="cellIs" dxfId="2260" priority="2150" stopIfTrue="1" operator="greaterThan">
      <formula>0</formula>
    </cfRule>
  </conditionalFormatting>
  <conditionalFormatting sqref="D1948:D1953 F1948:H1953">
    <cfRule type="cellIs" dxfId="2259" priority="2149" stopIfTrue="1" operator="greaterThan">
      <formula>0</formula>
    </cfRule>
  </conditionalFormatting>
  <conditionalFormatting sqref="H1945:H1953">
    <cfRule type="cellIs" dxfId="2258" priority="2148" stopIfTrue="1" operator="greaterThan">
      <formula>0</formula>
    </cfRule>
  </conditionalFormatting>
  <conditionalFormatting sqref="E1946:E1953">
    <cfRule type="cellIs" dxfId="2257" priority="2147" stopIfTrue="1" operator="greaterThan">
      <formula>0</formula>
    </cfRule>
  </conditionalFormatting>
  <conditionalFormatting sqref="M1962:M1967 K1962:K1967">
    <cfRule type="containsText" dxfId="2256" priority="2145" stopIfTrue="1" operator="containsText" text="NO CUMPLE">
      <formula>NOT(ISERROR(SEARCH("NO CUMPLE",K1962)))</formula>
    </cfRule>
    <cfRule type="containsText" dxfId="2255" priority="2146" stopIfTrue="1" operator="containsText" text="CUMPLE">
      <formula>NOT(ISERROR(SEARCH("CUMPLE",K1962)))</formula>
    </cfRule>
  </conditionalFormatting>
  <conditionalFormatting sqref="S1961">
    <cfRule type="cellIs" dxfId="2254" priority="2143" operator="greaterThanOrEqual">
      <formula>NUMMINCONT</formula>
    </cfRule>
    <cfRule type="cellIs" dxfId="2253" priority="2144" operator="lessThan">
      <formula>NUMMINCONT</formula>
    </cfRule>
  </conditionalFormatting>
  <conditionalFormatting sqref="T1948:V1953">
    <cfRule type="cellIs" dxfId="2252" priority="2141" stopIfTrue="1" operator="equal">
      <formula>"NO"</formula>
    </cfRule>
    <cfRule type="cellIs" dxfId="2251" priority="2142" stopIfTrue="1" operator="equal">
      <formula>"SI"</formula>
    </cfRule>
  </conditionalFormatting>
  <conditionalFormatting sqref="T1948:V1949">
    <cfRule type="cellIs" dxfId="2250" priority="2140" stopIfTrue="1" operator="equal">
      <formula>"NO APLICA"</formula>
    </cfRule>
  </conditionalFormatting>
  <conditionalFormatting sqref="T1950:U1953">
    <cfRule type="cellIs" dxfId="2249" priority="2139" stopIfTrue="1" operator="equal">
      <formula>"NO APLICA"</formula>
    </cfRule>
  </conditionalFormatting>
  <conditionalFormatting sqref="T1950:U1950">
    <cfRule type="cellIs" dxfId="2248" priority="2138" stopIfTrue="1" operator="equal">
      <formula>"NO APLICA"</formula>
    </cfRule>
  </conditionalFormatting>
  <conditionalFormatting sqref="V1950:V1953">
    <cfRule type="cellIs" dxfId="2247" priority="2137" stopIfTrue="1" operator="equal">
      <formula>"NO APLICA"</formula>
    </cfRule>
  </conditionalFormatting>
  <conditionalFormatting sqref="V1959:W1959">
    <cfRule type="cellIs" dxfId="2246" priority="2135" operator="equal">
      <formula>"CUMPLE"</formula>
    </cfRule>
    <cfRule type="cellIs" dxfId="2245" priority="2136" operator="equal">
      <formula>"NO CUMPLE"</formula>
    </cfRule>
  </conditionalFormatting>
  <conditionalFormatting sqref="V1959:W1961">
    <cfRule type="cellIs" dxfId="2244" priority="2134" operator="equal">
      <formula>"VERIFICAR"</formula>
    </cfRule>
  </conditionalFormatting>
  <conditionalFormatting sqref="T1954:V1954">
    <cfRule type="cellIs" dxfId="2243" priority="2132" stopIfTrue="1" operator="equal">
      <formula>"NO"</formula>
    </cfRule>
    <cfRule type="cellIs" dxfId="2242" priority="2133" stopIfTrue="1" operator="equal">
      <formula>"SI"</formula>
    </cfRule>
  </conditionalFormatting>
  <conditionalFormatting sqref="T1954:U1954">
    <cfRule type="cellIs" dxfId="2241" priority="2131" stopIfTrue="1" operator="equal">
      <formula>"NO APLICA"</formula>
    </cfRule>
  </conditionalFormatting>
  <conditionalFormatting sqref="V1954">
    <cfRule type="cellIs" dxfId="2240" priority="2130" stopIfTrue="1" operator="equal">
      <formula>"NO APLICA"</formula>
    </cfRule>
  </conditionalFormatting>
  <conditionalFormatting sqref="T1964">
    <cfRule type="cellIs" dxfId="2239" priority="2128" operator="equal">
      <formula>"CUMPLE"</formula>
    </cfRule>
    <cfRule type="cellIs" dxfId="2238" priority="2129" operator="equal">
      <formula>"NO CUMPLE"</formula>
    </cfRule>
  </conditionalFormatting>
  <conditionalFormatting sqref="T1964">
    <cfRule type="cellIs" dxfId="2237" priority="2127" operator="equal">
      <formula>"VERIFICAR"</formula>
    </cfRule>
  </conditionalFormatting>
  <conditionalFormatting sqref="Y1962:Y1967">
    <cfRule type="cellIs" dxfId="2236" priority="2126" stopIfTrue="1" operator="equal">
      <formula>"NO APLICA"</formula>
    </cfRule>
  </conditionalFormatting>
  <conditionalFormatting sqref="Y1967">
    <cfRule type="cellIs" dxfId="2235" priority="2125" stopIfTrue="1" operator="equal">
      <formula>"NO APLICA"</formula>
    </cfRule>
  </conditionalFormatting>
  <conditionalFormatting sqref="X1962:Y1967">
    <cfRule type="cellIs" dxfId="2234" priority="2123" stopIfTrue="1" operator="equal">
      <formula>"NO"</formula>
    </cfRule>
    <cfRule type="cellIs" dxfId="2233" priority="2124" stopIfTrue="1" operator="equal">
      <formula>"SI"</formula>
    </cfRule>
  </conditionalFormatting>
  <conditionalFormatting sqref="X1962:X1967">
    <cfRule type="cellIs" dxfId="2232" priority="2122" stopIfTrue="1" operator="equal">
      <formula>"NO APLICA"</formula>
    </cfRule>
  </conditionalFormatting>
  <conditionalFormatting sqref="X1963:X1966">
    <cfRule type="cellIs" dxfId="2231" priority="2121" stopIfTrue="1" operator="equal">
      <formula>"NO APLICA"</formula>
    </cfRule>
  </conditionalFormatting>
  <conditionalFormatting sqref="X1963">
    <cfRule type="cellIs" dxfId="2230" priority="2120" stopIfTrue="1" operator="equal">
      <formula>"NO APLICA"</formula>
    </cfRule>
  </conditionalFormatting>
  <conditionalFormatting sqref="X1967">
    <cfRule type="cellIs" dxfId="2229" priority="2119" stopIfTrue="1" operator="equal">
      <formula>"NO APLICA"</formula>
    </cfRule>
  </conditionalFormatting>
  <conditionalFormatting sqref="X1967">
    <cfRule type="cellIs" dxfId="2228" priority="2118" stopIfTrue="1" operator="equal">
      <formula>"NO APLICA"</formula>
    </cfRule>
  </conditionalFormatting>
  <conditionalFormatting sqref="AA1962:AA1967">
    <cfRule type="cellIs" dxfId="2227" priority="2117" stopIfTrue="1" operator="equal">
      <formula>"NO APLICA"</formula>
    </cfRule>
  </conditionalFormatting>
  <conditionalFormatting sqref="AA1967">
    <cfRule type="cellIs" dxfId="2226" priority="2116" stopIfTrue="1" operator="equal">
      <formula>"NO APLICA"</formula>
    </cfRule>
  </conditionalFormatting>
  <conditionalFormatting sqref="AA1962:AA1967">
    <cfRule type="cellIs" dxfId="2225" priority="2114" stopIfTrue="1" operator="equal">
      <formula>"NO"</formula>
    </cfRule>
    <cfRule type="cellIs" dxfId="2224" priority="2115" stopIfTrue="1" operator="equal">
      <formula>"SI"</formula>
    </cfRule>
  </conditionalFormatting>
  <conditionalFormatting sqref="Y1962:Z1967">
    <cfRule type="cellIs" dxfId="2223" priority="2112" operator="equal">
      <formula>"NO APLICA"</formula>
    </cfRule>
    <cfRule type="cellIs" dxfId="2222" priority="2113" operator="equal">
      <formula>"SI APLICA"</formula>
    </cfRule>
  </conditionalFormatting>
  <conditionalFormatting sqref="AB1962:AB1968">
    <cfRule type="cellIs" dxfId="2221" priority="2110" operator="equal">
      <formula>"NO APLICA"</formula>
    </cfRule>
    <cfRule type="cellIs" dxfId="2220" priority="2111" operator="equal">
      <formula>"SI APLICA"</formula>
    </cfRule>
  </conditionalFormatting>
  <conditionalFormatting sqref="X1968">
    <cfRule type="cellIs" dxfId="2219" priority="2108" operator="equal">
      <formula>"PROPONENTE PLURAL"</formula>
    </cfRule>
    <cfRule type="cellIs" dxfId="2218" priority="2109" operator="equal">
      <formula>"PROPONENTE INDIVIDUAL"</formula>
    </cfRule>
  </conditionalFormatting>
  <conditionalFormatting sqref="Z1968:AA1968 AA1962:AA1967">
    <cfRule type="cellIs" dxfId="2217" priority="2106" operator="equal">
      <formula>"NO APLICA"</formula>
    </cfRule>
    <cfRule type="cellIs" dxfId="2216" priority="2107" operator="equal">
      <formula>"SI APLICA"</formula>
    </cfRule>
  </conditionalFormatting>
  <conditionalFormatting sqref="AB1962:AB1967 Y1962:Z1967">
    <cfRule type="cellIs" dxfId="2215" priority="2105" operator="equal">
      <formula>""</formula>
    </cfRule>
  </conditionalFormatting>
  <conditionalFormatting sqref="H1968">
    <cfRule type="containsText" dxfId="2214" priority="2103" stopIfTrue="1" operator="containsText" text="NO CUMPLE">
      <formula>NOT(ISERROR(SEARCH("NO CUMPLE",H1968)))</formula>
    </cfRule>
    <cfRule type="containsText" dxfId="2213" priority="2104" stopIfTrue="1" operator="containsText" text="CUMPLE">
      <formula>NOT(ISERROR(SEARCH("CUMPLE",H1968)))</formula>
    </cfRule>
  </conditionalFormatting>
  <conditionalFormatting sqref="J1968">
    <cfRule type="containsText" dxfId="2212" priority="2101" stopIfTrue="1" operator="containsText" text="NO CUMPLE">
      <formula>NOT(ISERROR(SEARCH("NO CUMPLE",J1968)))</formula>
    </cfRule>
    <cfRule type="containsText" dxfId="2211" priority="2102" stopIfTrue="1" operator="containsText" text="CUMPLE">
      <formula>NOT(ISERROR(SEARCH("CUMPLE",J1968)))</formula>
    </cfRule>
  </conditionalFormatting>
  <conditionalFormatting sqref="K1968">
    <cfRule type="containsText" dxfId="2210" priority="2099" stopIfTrue="1" operator="containsText" text="NO CUMPLE">
      <formula>NOT(ISERROR(SEARCH("NO CUMPLE",K1968)))</formula>
    </cfRule>
    <cfRule type="containsText" dxfId="2209" priority="2100" stopIfTrue="1" operator="containsText" text="CUMPLE">
      <formula>NOT(ISERROR(SEARCH("CUMPLE",K1968)))</formula>
    </cfRule>
  </conditionalFormatting>
  <conditionalFormatting sqref="L1962:L1967">
    <cfRule type="containsText" dxfId="2208" priority="2097" stopIfTrue="1" operator="containsText" text="NO CUMPLE">
      <formula>NOT(ISERROR(SEARCH("NO CUMPLE",L1962)))</formula>
    </cfRule>
    <cfRule type="containsText" dxfId="2207" priority="2098" stopIfTrue="1" operator="containsText" text="CUMPLE">
      <formula>NOT(ISERROR(SEARCH("CUMPLE",L1962)))</formula>
    </cfRule>
  </conditionalFormatting>
  <conditionalFormatting sqref="O1967">
    <cfRule type="containsText" dxfId="2206" priority="2095" stopIfTrue="1" operator="containsText" text="NO CUMPLE">
      <formula>NOT(ISERROR(SEARCH("NO CUMPLE",O1967)))</formula>
    </cfRule>
    <cfRule type="containsText" dxfId="2205" priority="2096" stopIfTrue="1" operator="containsText" text="CUMPLE">
      <formula>NOT(ISERROR(SEARCH("CUMPLE",O1967)))</formula>
    </cfRule>
  </conditionalFormatting>
  <conditionalFormatting sqref="O1968:S1968">
    <cfRule type="cellIs" dxfId="2204" priority="2094" operator="equal">
      <formula>"EL PROPONENTE SE DEBE REQUERIR POR EXPERIENCIA MINIMA EXIGIDA"</formula>
    </cfRule>
  </conditionalFormatting>
  <conditionalFormatting sqref="X1956">
    <cfRule type="cellIs" dxfId="2203" priority="2091" stopIfTrue="1" operator="equal">
      <formula>"VERIFICAR"</formula>
    </cfRule>
    <cfRule type="cellIs" dxfId="2202" priority="2092" stopIfTrue="1" operator="equal">
      <formula>"NO CUMPLE"</formula>
    </cfRule>
    <cfRule type="cellIs" dxfId="2201" priority="2093" stopIfTrue="1" operator="equal">
      <formula>"CUMPLE"</formula>
    </cfRule>
  </conditionalFormatting>
  <conditionalFormatting sqref="X1945:Y1954 J1945:J1954">
    <cfRule type="cellIs" dxfId="2200" priority="2090" stopIfTrue="1" operator="greaterThan">
      <formula>0</formula>
    </cfRule>
  </conditionalFormatting>
  <conditionalFormatting sqref="X1945:Y1954">
    <cfRule type="cellIs" dxfId="2199" priority="2088" operator="equal">
      <formula>"NO CUMPLE"</formula>
    </cfRule>
    <cfRule type="cellIs" dxfId="2198" priority="2089" operator="equal">
      <formula>"CUMPLE"</formula>
    </cfRule>
  </conditionalFormatting>
  <conditionalFormatting sqref="N1962:N1967">
    <cfRule type="cellIs" dxfId="2197" priority="2086" operator="equal">
      <formula>"NO"</formula>
    </cfRule>
    <cfRule type="cellIs" dxfId="2196" priority="2087" operator="equal">
      <formula>"SI"</formula>
    </cfRule>
  </conditionalFormatting>
  <conditionalFormatting sqref="I1954">
    <cfRule type="cellIs" dxfId="2195" priority="2085" stopIfTrue="1" operator="greaterThan">
      <formula>0</formula>
    </cfRule>
  </conditionalFormatting>
  <conditionalFormatting sqref="K1948:L1954">
    <cfRule type="cellIs" dxfId="2194" priority="2083" operator="equal">
      <formula>0</formula>
    </cfRule>
    <cfRule type="cellIs" dxfId="2193" priority="2084" operator="notBetween">
      <formula>$Q$17</formula>
      <formula>$R$17</formula>
    </cfRule>
  </conditionalFormatting>
  <conditionalFormatting sqref="B1945:B1954">
    <cfRule type="cellIs" dxfId="2192" priority="2082" stopIfTrue="1" operator="greaterThan">
      <formula>0</formula>
    </cfRule>
  </conditionalFormatting>
  <conditionalFormatting sqref="D1946:D1947 C1946:C1954">
    <cfRule type="cellIs" dxfId="2191" priority="2081" stopIfTrue="1" operator="greaterThan">
      <formula>0</formula>
    </cfRule>
  </conditionalFormatting>
  <conditionalFormatting sqref="F1946:H1947 D1946:D1947 C1946:C1954 H1945">
    <cfRule type="cellIs" dxfId="2190" priority="2080" stopIfTrue="1" operator="greaterThan">
      <formula>0</formula>
    </cfRule>
  </conditionalFormatting>
  <conditionalFormatting sqref="T1945:V1947">
    <cfRule type="cellIs" dxfId="2189" priority="2078" stopIfTrue="1" operator="equal">
      <formula>"NO"</formula>
    </cfRule>
    <cfRule type="cellIs" dxfId="2188" priority="2079" stopIfTrue="1" operator="equal">
      <formula>"SI"</formula>
    </cfRule>
  </conditionalFormatting>
  <conditionalFormatting sqref="T1945:V1946">
    <cfRule type="cellIs" dxfId="2187" priority="2077" stopIfTrue="1" operator="equal">
      <formula>"NO APLICA"</formula>
    </cfRule>
  </conditionalFormatting>
  <conditionalFormatting sqref="T1947:U1947">
    <cfRule type="cellIs" dxfId="2186" priority="2076" stopIfTrue="1" operator="equal">
      <formula>"NO APLICA"</formula>
    </cfRule>
  </conditionalFormatting>
  <conditionalFormatting sqref="T1947:U1947">
    <cfRule type="cellIs" dxfId="2185" priority="2075" stopIfTrue="1" operator="equal">
      <formula>"NO APLICA"</formula>
    </cfRule>
  </conditionalFormatting>
  <conditionalFormatting sqref="V1947">
    <cfRule type="cellIs" dxfId="2184" priority="2074" stopIfTrue="1" operator="equal">
      <formula>"NO APLICA"</formula>
    </cfRule>
  </conditionalFormatting>
  <conditionalFormatting sqref="K1945:L1947">
    <cfRule type="cellIs" dxfId="2183" priority="2072" operator="equal">
      <formula>0</formula>
    </cfRule>
    <cfRule type="cellIs" dxfId="2182" priority="2073" operator="notBetween">
      <formula>$Q$17</formula>
      <formula>$R$17</formula>
    </cfRule>
  </conditionalFormatting>
  <conditionalFormatting sqref="D1984:H1984 I1978:I1984 C1975:D1975 K1975:O1984 F1975:I1977 D1976:D1983 C1976:C1984 F1978:H1983">
    <cfRule type="cellIs" dxfId="2181" priority="2071" stopIfTrue="1" operator="greaterThan">
      <formula>0</formula>
    </cfRule>
  </conditionalFormatting>
  <conditionalFormatting sqref="D1978:D1983">
    <cfRule type="cellIs" dxfId="2180" priority="2070" stopIfTrue="1" operator="greaterThan">
      <formula>0</formula>
    </cfRule>
  </conditionalFormatting>
  <conditionalFormatting sqref="D1978:D1983 F1979:H1983 H1978">
    <cfRule type="cellIs" dxfId="2179" priority="2069" stopIfTrue="1" operator="greaterThan">
      <formula>0</formula>
    </cfRule>
  </conditionalFormatting>
  <conditionalFormatting sqref="H1975:H1983">
    <cfRule type="cellIs" dxfId="2178" priority="2068" stopIfTrue="1" operator="greaterThan">
      <formula>0</formula>
    </cfRule>
  </conditionalFormatting>
  <conditionalFormatting sqref="E1975:E1983">
    <cfRule type="cellIs" dxfId="2177" priority="2067" stopIfTrue="1" operator="greaterThan">
      <formula>0</formula>
    </cfRule>
  </conditionalFormatting>
  <conditionalFormatting sqref="M1992:M1997 K1992:K1997">
    <cfRule type="containsText" dxfId="2176" priority="2065" stopIfTrue="1" operator="containsText" text="NO CUMPLE">
      <formula>NOT(ISERROR(SEARCH("NO CUMPLE",K1992)))</formula>
    </cfRule>
    <cfRule type="containsText" dxfId="2175" priority="2066" stopIfTrue="1" operator="containsText" text="CUMPLE">
      <formula>NOT(ISERROR(SEARCH("CUMPLE",K1992)))</formula>
    </cfRule>
  </conditionalFormatting>
  <conditionalFormatting sqref="S1991">
    <cfRule type="cellIs" dxfId="2174" priority="2063" operator="greaterThanOrEqual">
      <formula>NUMMINCONT</formula>
    </cfRule>
    <cfRule type="cellIs" dxfId="2173" priority="2064" operator="lessThan">
      <formula>NUMMINCONT</formula>
    </cfRule>
  </conditionalFormatting>
  <conditionalFormatting sqref="T1978:V1983">
    <cfRule type="cellIs" dxfId="2172" priority="2061" stopIfTrue="1" operator="equal">
      <formula>"NO"</formula>
    </cfRule>
    <cfRule type="cellIs" dxfId="2171" priority="2062" stopIfTrue="1" operator="equal">
      <formula>"SI"</formula>
    </cfRule>
  </conditionalFormatting>
  <conditionalFormatting sqref="T1978:V1979">
    <cfRule type="cellIs" dxfId="2170" priority="2060" stopIfTrue="1" operator="equal">
      <formula>"NO APLICA"</formula>
    </cfRule>
  </conditionalFormatting>
  <conditionalFormatting sqref="T1980:U1983">
    <cfRule type="cellIs" dxfId="2169" priority="2059" stopIfTrue="1" operator="equal">
      <formula>"NO APLICA"</formula>
    </cfRule>
  </conditionalFormatting>
  <conditionalFormatting sqref="T1980:U1980">
    <cfRule type="cellIs" dxfId="2168" priority="2058" stopIfTrue="1" operator="equal">
      <formula>"NO APLICA"</formula>
    </cfRule>
  </conditionalFormatting>
  <conditionalFormatting sqref="V1980:V1983">
    <cfRule type="cellIs" dxfId="2167" priority="2057" stopIfTrue="1" operator="equal">
      <formula>"NO APLICA"</formula>
    </cfRule>
  </conditionalFormatting>
  <conditionalFormatting sqref="V1989:W1989">
    <cfRule type="cellIs" dxfId="2166" priority="2055" operator="equal">
      <formula>"CUMPLE"</formula>
    </cfRule>
    <cfRule type="cellIs" dxfId="2165" priority="2056" operator="equal">
      <formula>"NO CUMPLE"</formula>
    </cfRule>
  </conditionalFormatting>
  <conditionalFormatting sqref="V1989:W1991">
    <cfRule type="cellIs" dxfId="2164" priority="2054" operator="equal">
      <formula>"VERIFICAR"</formula>
    </cfRule>
  </conditionalFormatting>
  <conditionalFormatting sqref="T1984:V1984">
    <cfRule type="cellIs" dxfId="2163" priority="2052" stopIfTrue="1" operator="equal">
      <formula>"NO"</formula>
    </cfRule>
    <cfRule type="cellIs" dxfId="2162" priority="2053" stopIfTrue="1" operator="equal">
      <formula>"SI"</formula>
    </cfRule>
  </conditionalFormatting>
  <conditionalFormatting sqref="T1984:U1984">
    <cfRule type="cellIs" dxfId="2161" priority="2051" stopIfTrue="1" operator="equal">
      <formula>"NO APLICA"</formula>
    </cfRule>
  </conditionalFormatting>
  <conditionalFormatting sqref="V1984">
    <cfRule type="cellIs" dxfId="2160" priority="2050" stopIfTrue="1" operator="equal">
      <formula>"NO APLICA"</formula>
    </cfRule>
  </conditionalFormatting>
  <conditionalFormatting sqref="T1994">
    <cfRule type="cellIs" dxfId="2159" priority="2048" operator="equal">
      <formula>"CUMPLE"</formula>
    </cfRule>
    <cfRule type="cellIs" dxfId="2158" priority="2049" operator="equal">
      <formula>"NO CUMPLE"</formula>
    </cfRule>
  </conditionalFormatting>
  <conditionalFormatting sqref="T1994">
    <cfRule type="cellIs" dxfId="2157" priority="2047" operator="equal">
      <formula>"VERIFICAR"</formula>
    </cfRule>
  </conditionalFormatting>
  <conditionalFormatting sqref="Y1992:Y1997">
    <cfRule type="cellIs" dxfId="2156" priority="2046" stopIfTrue="1" operator="equal">
      <formula>"NO APLICA"</formula>
    </cfRule>
  </conditionalFormatting>
  <conditionalFormatting sqref="Y1997">
    <cfRule type="cellIs" dxfId="2155" priority="2045" stopIfTrue="1" operator="equal">
      <formula>"NO APLICA"</formula>
    </cfRule>
  </conditionalFormatting>
  <conditionalFormatting sqref="X1992:Y1997">
    <cfRule type="cellIs" dxfId="2154" priority="2043" stopIfTrue="1" operator="equal">
      <formula>"NO"</formula>
    </cfRule>
    <cfRule type="cellIs" dxfId="2153" priority="2044" stopIfTrue="1" operator="equal">
      <formula>"SI"</formula>
    </cfRule>
  </conditionalFormatting>
  <conditionalFormatting sqref="X1992:X1997">
    <cfRule type="cellIs" dxfId="2152" priority="2042" stopIfTrue="1" operator="equal">
      <formula>"NO APLICA"</formula>
    </cfRule>
  </conditionalFormatting>
  <conditionalFormatting sqref="X1993:X1996">
    <cfRule type="cellIs" dxfId="2151" priority="2041" stopIfTrue="1" operator="equal">
      <formula>"NO APLICA"</formula>
    </cfRule>
  </conditionalFormatting>
  <conditionalFormatting sqref="X1993">
    <cfRule type="cellIs" dxfId="2150" priority="2040" stopIfTrue="1" operator="equal">
      <formula>"NO APLICA"</formula>
    </cfRule>
  </conditionalFormatting>
  <conditionalFormatting sqref="X1997">
    <cfRule type="cellIs" dxfId="2149" priority="2039" stopIfTrue="1" operator="equal">
      <formula>"NO APLICA"</formula>
    </cfRule>
  </conditionalFormatting>
  <conditionalFormatting sqref="X1997">
    <cfRule type="cellIs" dxfId="2148" priority="2038" stopIfTrue="1" operator="equal">
      <formula>"NO APLICA"</formula>
    </cfRule>
  </conditionalFormatting>
  <conditionalFormatting sqref="AA1992:AA1997">
    <cfRule type="cellIs" dxfId="2147" priority="2037" stopIfTrue="1" operator="equal">
      <formula>"NO APLICA"</formula>
    </cfRule>
  </conditionalFormatting>
  <conditionalFormatting sqref="AA1997">
    <cfRule type="cellIs" dxfId="2146" priority="2036" stopIfTrue="1" operator="equal">
      <formula>"NO APLICA"</formula>
    </cfRule>
  </conditionalFormatting>
  <conditionalFormatting sqref="AA1992:AA1997">
    <cfRule type="cellIs" dxfId="2145" priority="2034" stopIfTrue="1" operator="equal">
      <formula>"NO"</formula>
    </cfRule>
    <cfRule type="cellIs" dxfId="2144" priority="2035" stopIfTrue="1" operator="equal">
      <formula>"SI"</formula>
    </cfRule>
  </conditionalFormatting>
  <conditionalFormatting sqref="Y1992:Z1997">
    <cfRule type="cellIs" dxfId="2143" priority="2032" operator="equal">
      <formula>"NO APLICA"</formula>
    </cfRule>
    <cfRule type="cellIs" dxfId="2142" priority="2033" operator="equal">
      <formula>"SI APLICA"</formula>
    </cfRule>
  </conditionalFormatting>
  <conditionalFormatting sqref="AB1992:AB1998">
    <cfRule type="cellIs" dxfId="2141" priority="2030" operator="equal">
      <formula>"NO APLICA"</formula>
    </cfRule>
    <cfRule type="cellIs" dxfId="2140" priority="2031" operator="equal">
      <formula>"SI APLICA"</formula>
    </cfRule>
  </conditionalFormatting>
  <conditionalFormatting sqref="X1998">
    <cfRule type="cellIs" dxfId="2139" priority="2028" operator="equal">
      <formula>"PROPONENTE PLURAL"</formula>
    </cfRule>
    <cfRule type="cellIs" dxfId="2138" priority="2029" operator="equal">
      <formula>"PROPONENTE INDIVIDUAL"</formula>
    </cfRule>
  </conditionalFormatting>
  <conditionalFormatting sqref="Z1998:AA1998 AA1992:AA1997">
    <cfRule type="cellIs" dxfId="2137" priority="2026" operator="equal">
      <formula>"NO APLICA"</formula>
    </cfRule>
    <cfRule type="cellIs" dxfId="2136" priority="2027" operator="equal">
      <formula>"SI APLICA"</formula>
    </cfRule>
  </conditionalFormatting>
  <conditionalFormatting sqref="AB1992:AB1997 Y1992:Z1997">
    <cfRule type="cellIs" dxfId="2135" priority="2025" operator="equal">
      <formula>""</formula>
    </cfRule>
  </conditionalFormatting>
  <conditionalFormatting sqref="H1998">
    <cfRule type="containsText" dxfId="2134" priority="2023" stopIfTrue="1" operator="containsText" text="NO CUMPLE">
      <formula>NOT(ISERROR(SEARCH("NO CUMPLE",H1998)))</formula>
    </cfRule>
    <cfRule type="containsText" dxfId="2133" priority="2024" stopIfTrue="1" operator="containsText" text="CUMPLE">
      <formula>NOT(ISERROR(SEARCH("CUMPLE",H1998)))</formula>
    </cfRule>
  </conditionalFormatting>
  <conditionalFormatting sqref="J1998">
    <cfRule type="containsText" dxfId="2132" priority="2021" stopIfTrue="1" operator="containsText" text="NO CUMPLE">
      <formula>NOT(ISERROR(SEARCH("NO CUMPLE",J1998)))</formula>
    </cfRule>
    <cfRule type="containsText" dxfId="2131" priority="2022" stopIfTrue="1" operator="containsText" text="CUMPLE">
      <formula>NOT(ISERROR(SEARCH("CUMPLE",J1998)))</formula>
    </cfRule>
  </conditionalFormatting>
  <conditionalFormatting sqref="K1998">
    <cfRule type="containsText" dxfId="2130" priority="2019" stopIfTrue="1" operator="containsText" text="NO CUMPLE">
      <formula>NOT(ISERROR(SEARCH("NO CUMPLE",K1998)))</formula>
    </cfRule>
    <cfRule type="containsText" dxfId="2129" priority="2020" stopIfTrue="1" operator="containsText" text="CUMPLE">
      <formula>NOT(ISERROR(SEARCH("CUMPLE",K1998)))</formula>
    </cfRule>
  </conditionalFormatting>
  <conditionalFormatting sqref="L1992:L1997">
    <cfRule type="containsText" dxfId="2128" priority="2017" stopIfTrue="1" operator="containsText" text="NO CUMPLE">
      <formula>NOT(ISERROR(SEARCH("NO CUMPLE",L1992)))</formula>
    </cfRule>
    <cfRule type="containsText" dxfId="2127" priority="2018" stopIfTrue="1" operator="containsText" text="CUMPLE">
      <formula>NOT(ISERROR(SEARCH("CUMPLE",L1992)))</formula>
    </cfRule>
  </conditionalFormatting>
  <conditionalFormatting sqref="O1997">
    <cfRule type="containsText" dxfId="2126" priority="2015" stopIfTrue="1" operator="containsText" text="NO CUMPLE">
      <formula>NOT(ISERROR(SEARCH("NO CUMPLE",O1997)))</formula>
    </cfRule>
    <cfRule type="containsText" dxfId="2125" priority="2016" stopIfTrue="1" operator="containsText" text="CUMPLE">
      <formula>NOT(ISERROR(SEARCH("CUMPLE",O1997)))</formula>
    </cfRule>
  </conditionalFormatting>
  <conditionalFormatting sqref="O1998:S1998">
    <cfRule type="cellIs" dxfId="2124" priority="2014" operator="equal">
      <formula>"EL PROPONENTE SE DEBE REQUERIR POR EXPERIENCIA MINIMA EXIGIDA"</formula>
    </cfRule>
  </conditionalFormatting>
  <conditionalFormatting sqref="X1986">
    <cfRule type="cellIs" dxfId="2123" priority="2011" stopIfTrue="1" operator="equal">
      <formula>"VERIFICAR"</formula>
    </cfRule>
    <cfRule type="cellIs" dxfId="2122" priority="2012" stopIfTrue="1" operator="equal">
      <formula>"NO CUMPLE"</formula>
    </cfRule>
    <cfRule type="cellIs" dxfId="2121" priority="2013" stopIfTrue="1" operator="equal">
      <formula>"CUMPLE"</formula>
    </cfRule>
  </conditionalFormatting>
  <conditionalFormatting sqref="X1975:Y1984 J1975:J1984">
    <cfRule type="cellIs" dxfId="2120" priority="2010" stopIfTrue="1" operator="greaterThan">
      <formula>0</formula>
    </cfRule>
  </conditionalFormatting>
  <conditionalFormatting sqref="X1975:Y1984">
    <cfRule type="cellIs" dxfId="2119" priority="2008" operator="equal">
      <formula>"NO CUMPLE"</formula>
    </cfRule>
    <cfRule type="cellIs" dxfId="2118" priority="2009" operator="equal">
      <formula>"CUMPLE"</formula>
    </cfRule>
  </conditionalFormatting>
  <conditionalFormatting sqref="N1992:N1997">
    <cfRule type="cellIs" dxfId="2117" priority="2006" operator="equal">
      <formula>"NO"</formula>
    </cfRule>
    <cfRule type="cellIs" dxfId="2116" priority="2007" operator="equal">
      <formula>"SI"</formula>
    </cfRule>
  </conditionalFormatting>
  <conditionalFormatting sqref="I1984">
    <cfRule type="cellIs" dxfId="2115" priority="2005" stopIfTrue="1" operator="greaterThan">
      <formula>0</formula>
    </cfRule>
  </conditionalFormatting>
  <conditionalFormatting sqref="K1978:L1984">
    <cfRule type="cellIs" dxfId="2114" priority="2003" operator="equal">
      <formula>0</formula>
    </cfRule>
    <cfRule type="cellIs" dxfId="2113" priority="2004" operator="notBetween">
      <formula>$Q$17</formula>
      <formula>$R$17</formula>
    </cfRule>
  </conditionalFormatting>
  <conditionalFormatting sqref="B1975:B1984">
    <cfRule type="cellIs" dxfId="2112" priority="2002" stopIfTrue="1" operator="greaterThan">
      <formula>0</formula>
    </cfRule>
  </conditionalFormatting>
  <conditionalFormatting sqref="C1975:D1975 D1976:D1977 C1976:C1984">
    <cfRule type="cellIs" dxfId="2111" priority="2001" stopIfTrue="1" operator="greaterThan">
      <formula>0</formula>
    </cfRule>
  </conditionalFormatting>
  <conditionalFormatting sqref="C1975:D1975 F1975:H1977 D1976:D1977 C1976:C1984 F1978:G1978">
    <cfRule type="cellIs" dxfId="2110" priority="2000" stopIfTrue="1" operator="greaterThan">
      <formula>0</formula>
    </cfRule>
  </conditionalFormatting>
  <conditionalFormatting sqref="T1975:V1977">
    <cfRule type="cellIs" dxfId="2109" priority="1998" stopIfTrue="1" operator="equal">
      <formula>"NO"</formula>
    </cfRule>
    <cfRule type="cellIs" dxfId="2108" priority="1999" stopIfTrue="1" operator="equal">
      <formula>"SI"</formula>
    </cfRule>
  </conditionalFormatting>
  <conditionalFormatting sqref="T1975:V1976">
    <cfRule type="cellIs" dxfId="2107" priority="1997" stopIfTrue="1" operator="equal">
      <formula>"NO APLICA"</formula>
    </cfRule>
  </conditionalFormatting>
  <conditionalFormatting sqref="T1977:U1977">
    <cfRule type="cellIs" dxfId="2106" priority="1996" stopIfTrue="1" operator="equal">
      <formula>"NO APLICA"</formula>
    </cfRule>
  </conditionalFormatting>
  <conditionalFormatting sqref="T1977:U1977">
    <cfRule type="cellIs" dxfId="2105" priority="1995" stopIfTrue="1" operator="equal">
      <formula>"NO APLICA"</formula>
    </cfRule>
  </conditionalFormatting>
  <conditionalFormatting sqref="V1977">
    <cfRule type="cellIs" dxfId="2104" priority="1994" stopIfTrue="1" operator="equal">
      <formula>"NO APLICA"</formula>
    </cfRule>
  </conditionalFormatting>
  <conditionalFormatting sqref="K1975:L1977">
    <cfRule type="cellIs" dxfId="2103" priority="1992" operator="equal">
      <formula>0</formula>
    </cfRule>
    <cfRule type="cellIs" dxfId="2102" priority="1993" operator="notBetween">
      <formula>$Q$17</formula>
      <formula>$R$17</formula>
    </cfRule>
  </conditionalFormatting>
  <conditionalFormatting sqref="F2008:H2013 D2014:H2014 I2008:I2014 C2005:D2005 K2005:O2014 F2005:I2007 D2006:D2013 C2006:C2014">
    <cfRule type="cellIs" dxfId="2101" priority="1991" stopIfTrue="1" operator="greaterThan">
      <formula>0</formula>
    </cfRule>
  </conditionalFormatting>
  <conditionalFormatting sqref="D2008:D2013">
    <cfRule type="cellIs" dxfId="2100" priority="1990" stopIfTrue="1" operator="greaterThan">
      <formula>0</formula>
    </cfRule>
  </conditionalFormatting>
  <conditionalFormatting sqref="D2008:D2013 F2008:H2013">
    <cfRule type="cellIs" dxfId="2099" priority="1989" stopIfTrue="1" operator="greaterThan">
      <formula>0</formula>
    </cfRule>
  </conditionalFormatting>
  <conditionalFormatting sqref="H2005:H2013">
    <cfRule type="cellIs" dxfId="2098" priority="1988" stopIfTrue="1" operator="greaterThan">
      <formula>0</formula>
    </cfRule>
  </conditionalFormatting>
  <conditionalFormatting sqref="E2005:E2013">
    <cfRule type="cellIs" dxfId="2097" priority="1987" stopIfTrue="1" operator="greaterThan">
      <formula>0</formula>
    </cfRule>
  </conditionalFormatting>
  <conditionalFormatting sqref="M2022:M2027 K2022:K2027">
    <cfRule type="containsText" dxfId="2096" priority="1985" stopIfTrue="1" operator="containsText" text="NO CUMPLE">
      <formula>NOT(ISERROR(SEARCH("NO CUMPLE",K2022)))</formula>
    </cfRule>
    <cfRule type="containsText" dxfId="2095" priority="1986" stopIfTrue="1" operator="containsText" text="CUMPLE">
      <formula>NOT(ISERROR(SEARCH("CUMPLE",K2022)))</formula>
    </cfRule>
  </conditionalFormatting>
  <conditionalFormatting sqref="S2021">
    <cfRule type="cellIs" dxfId="2094" priority="1983" operator="greaterThanOrEqual">
      <formula>NUMMINCONT</formula>
    </cfRule>
    <cfRule type="cellIs" dxfId="2093" priority="1984" operator="lessThan">
      <formula>NUMMINCONT</formula>
    </cfRule>
  </conditionalFormatting>
  <conditionalFormatting sqref="T2008:V2013">
    <cfRule type="cellIs" dxfId="2092" priority="1981" stopIfTrue="1" operator="equal">
      <formula>"NO"</formula>
    </cfRule>
    <cfRule type="cellIs" dxfId="2091" priority="1982" stopIfTrue="1" operator="equal">
      <formula>"SI"</formula>
    </cfRule>
  </conditionalFormatting>
  <conditionalFormatting sqref="T2008:V2009">
    <cfRule type="cellIs" dxfId="2090" priority="1980" stopIfTrue="1" operator="equal">
      <formula>"NO APLICA"</formula>
    </cfRule>
  </conditionalFormatting>
  <conditionalFormatting sqref="T2010:U2013">
    <cfRule type="cellIs" dxfId="2089" priority="1979" stopIfTrue="1" operator="equal">
      <formula>"NO APLICA"</formula>
    </cfRule>
  </conditionalFormatting>
  <conditionalFormatting sqref="T2010:U2010">
    <cfRule type="cellIs" dxfId="2088" priority="1978" stopIfTrue="1" operator="equal">
      <formula>"NO APLICA"</formula>
    </cfRule>
  </conditionalFormatting>
  <conditionalFormatting sqref="V2010:V2013">
    <cfRule type="cellIs" dxfId="2087" priority="1977" stopIfTrue="1" operator="equal">
      <formula>"NO APLICA"</formula>
    </cfRule>
  </conditionalFormatting>
  <conditionalFormatting sqref="V2019:W2019">
    <cfRule type="cellIs" dxfId="2086" priority="1975" operator="equal">
      <formula>"CUMPLE"</formula>
    </cfRule>
    <cfRule type="cellIs" dxfId="2085" priority="1976" operator="equal">
      <formula>"NO CUMPLE"</formula>
    </cfRule>
  </conditionalFormatting>
  <conditionalFormatting sqref="V2019:W2021">
    <cfRule type="cellIs" dxfId="2084" priority="1974" operator="equal">
      <formula>"VERIFICAR"</formula>
    </cfRule>
  </conditionalFormatting>
  <conditionalFormatting sqref="T2014:V2014">
    <cfRule type="cellIs" dxfId="2083" priority="1972" stopIfTrue="1" operator="equal">
      <formula>"NO"</formula>
    </cfRule>
    <cfRule type="cellIs" dxfId="2082" priority="1973" stopIfTrue="1" operator="equal">
      <formula>"SI"</formula>
    </cfRule>
  </conditionalFormatting>
  <conditionalFormatting sqref="T2014:U2014">
    <cfRule type="cellIs" dxfId="2081" priority="1971" stopIfTrue="1" operator="equal">
      <formula>"NO APLICA"</formula>
    </cfRule>
  </conditionalFormatting>
  <conditionalFormatting sqref="V2014">
    <cfRule type="cellIs" dxfId="2080" priority="1970" stopIfTrue="1" operator="equal">
      <formula>"NO APLICA"</formula>
    </cfRule>
  </conditionalFormatting>
  <conditionalFormatting sqref="T2024">
    <cfRule type="cellIs" dxfId="2079" priority="1968" operator="equal">
      <formula>"CUMPLE"</formula>
    </cfRule>
    <cfRule type="cellIs" dxfId="2078" priority="1969" operator="equal">
      <formula>"NO CUMPLE"</formula>
    </cfRule>
  </conditionalFormatting>
  <conditionalFormatting sqref="T2024">
    <cfRule type="cellIs" dxfId="2077" priority="1967" operator="equal">
      <formula>"VERIFICAR"</formula>
    </cfRule>
  </conditionalFormatting>
  <conditionalFormatting sqref="Y2022:Y2027">
    <cfRule type="cellIs" dxfId="2076" priority="1966" stopIfTrue="1" operator="equal">
      <formula>"NO APLICA"</formula>
    </cfRule>
  </conditionalFormatting>
  <conditionalFormatting sqref="Y2027">
    <cfRule type="cellIs" dxfId="2075" priority="1965" stopIfTrue="1" operator="equal">
      <formula>"NO APLICA"</formula>
    </cfRule>
  </conditionalFormatting>
  <conditionalFormatting sqref="X2022:Y2027">
    <cfRule type="cellIs" dxfId="2074" priority="1963" stopIfTrue="1" operator="equal">
      <formula>"NO"</formula>
    </cfRule>
    <cfRule type="cellIs" dxfId="2073" priority="1964" stopIfTrue="1" operator="equal">
      <formula>"SI"</formula>
    </cfRule>
  </conditionalFormatting>
  <conditionalFormatting sqref="X2022:X2027">
    <cfRule type="cellIs" dxfId="2072" priority="1962" stopIfTrue="1" operator="equal">
      <formula>"NO APLICA"</formula>
    </cfRule>
  </conditionalFormatting>
  <conditionalFormatting sqref="X2023:X2026">
    <cfRule type="cellIs" dxfId="2071" priority="1961" stopIfTrue="1" operator="equal">
      <formula>"NO APLICA"</formula>
    </cfRule>
  </conditionalFormatting>
  <conditionalFormatting sqref="X2023">
    <cfRule type="cellIs" dxfId="2070" priority="1960" stopIfTrue="1" operator="equal">
      <formula>"NO APLICA"</formula>
    </cfRule>
  </conditionalFormatting>
  <conditionalFormatting sqref="X2027">
    <cfRule type="cellIs" dxfId="2069" priority="1959" stopIfTrue="1" operator="equal">
      <formula>"NO APLICA"</formula>
    </cfRule>
  </conditionalFormatting>
  <conditionalFormatting sqref="X2027">
    <cfRule type="cellIs" dxfId="2068" priority="1958" stopIfTrue="1" operator="equal">
      <formula>"NO APLICA"</formula>
    </cfRule>
  </conditionalFormatting>
  <conditionalFormatting sqref="AA2022:AA2027">
    <cfRule type="cellIs" dxfId="2067" priority="1957" stopIfTrue="1" operator="equal">
      <formula>"NO APLICA"</formula>
    </cfRule>
  </conditionalFormatting>
  <conditionalFormatting sqref="AA2027">
    <cfRule type="cellIs" dxfId="2066" priority="1956" stopIfTrue="1" operator="equal">
      <formula>"NO APLICA"</formula>
    </cfRule>
  </conditionalFormatting>
  <conditionalFormatting sqref="AA2022:AA2027">
    <cfRule type="cellIs" dxfId="2065" priority="1954" stopIfTrue="1" operator="equal">
      <formula>"NO"</formula>
    </cfRule>
    <cfRule type="cellIs" dxfId="2064" priority="1955" stopIfTrue="1" operator="equal">
      <formula>"SI"</formula>
    </cfRule>
  </conditionalFormatting>
  <conditionalFormatting sqref="Y2022:Z2027">
    <cfRule type="cellIs" dxfId="2063" priority="1952" operator="equal">
      <formula>"NO APLICA"</formula>
    </cfRule>
    <cfRule type="cellIs" dxfId="2062" priority="1953" operator="equal">
      <formula>"SI APLICA"</formula>
    </cfRule>
  </conditionalFormatting>
  <conditionalFormatting sqref="AB2022:AB2028">
    <cfRule type="cellIs" dxfId="2061" priority="1950" operator="equal">
      <formula>"NO APLICA"</formula>
    </cfRule>
    <cfRule type="cellIs" dxfId="2060" priority="1951" operator="equal">
      <formula>"SI APLICA"</formula>
    </cfRule>
  </conditionalFormatting>
  <conditionalFormatting sqref="X2028">
    <cfRule type="cellIs" dxfId="2059" priority="1948" operator="equal">
      <formula>"PROPONENTE PLURAL"</formula>
    </cfRule>
    <cfRule type="cellIs" dxfId="2058" priority="1949" operator="equal">
      <formula>"PROPONENTE INDIVIDUAL"</formula>
    </cfRule>
  </conditionalFormatting>
  <conditionalFormatting sqref="Z2028:AA2028 AA2022:AA2027">
    <cfRule type="cellIs" dxfId="2057" priority="1946" operator="equal">
      <formula>"NO APLICA"</formula>
    </cfRule>
    <cfRule type="cellIs" dxfId="2056" priority="1947" operator="equal">
      <formula>"SI APLICA"</formula>
    </cfRule>
  </conditionalFormatting>
  <conditionalFormatting sqref="AB2022:AB2027 Y2022:Z2027">
    <cfRule type="cellIs" dxfId="2055" priority="1945" operator="equal">
      <formula>""</formula>
    </cfRule>
  </conditionalFormatting>
  <conditionalFormatting sqref="H2028">
    <cfRule type="containsText" dxfId="2054" priority="1943" stopIfTrue="1" operator="containsText" text="NO CUMPLE">
      <formula>NOT(ISERROR(SEARCH("NO CUMPLE",H2028)))</formula>
    </cfRule>
    <cfRule type="containsText" dxfId="2053" priority="1944" stopIfTrue="1" operator="containsText" text="CUMPLE">
      <formula>NOT(ISERROR(SEARCH("CUMPLE",H2028)))</formula>
    </cfRule>
  </conditionalFormatting>
  <conditionalFormatting sqref="J2028">
    <cfRule type="containsText" dxfId="2052" priority="1941" stopIfTrue="1" operator="containsText" text="NO CUMPLE">
      <formula>NOT(ISERROR(SEARCH("NO CUMPLE",J2028)))</formula>
    </cfRule>
    <cfRule type="containsText" dxfId="2051" priority="1942" stopIfTrue="1" operator="containsText" text="CUMPLE">
      <formula>NOT(ISERROR(SEARCH("CUMPLE",J2028)))</formula>
    </cfRule>
  </conditionalFormatting>
  <conditionalFormatting sqref="K2028">
    <cfRule type="containsText" dxfId="2050" priority="1939" stopIfTrue="1" operator="containsText" text="NO CUMPLE">
      <formula>NOT(ISERROR(SEARCH("NO CUMPLE",K2028)))</formula>
    </cfRule>
    <cfRule type="containsText" dxfId="2049" priority="1940" stopIfTrue="1" operator="containsText" text="CUMPLE">
      <formula>NOT(ISERROR(SEARCH("CUMPLE",K2028)))</formula>
    </cfRule>
  </conditionalFormatting>
  <conditionalFormatting sqref="L2022:L2027">
    <cfRule type="containsText" dxfId="2048" priority="1937" stopIfTrue="1" operator="containsText" text="NO CUMPLE">
      <formula>NOT(ISERROR(SEARCH("NO CUMPLE",L2022)))</formula>
    </cfRule>
    <cfRule type="containsText" dxfId="2047" priority="1938" stopIfTrue="1" operator="containsText" text="CUMPLE">
      <formula>NOT(ISERROR(SEARCH("CUMPLE",L2022)))</formula>
    </cfRule>
  </conditionalFormatting>
  <conditionalFormatting sqref="O2027">
    <cfRule type="containsText" dxfId="2046" priority="1935" stopIfTrue="1" operator="containsText" text="NO CUMPLE">
      <formula>NOT(ISERROR(SEARCH("NO CUMPLE",O2027)))</formula>
    </cfRule>
    <cfRule type="containsText" dxfId="2045" priority="1936" stopIfTrue="1" operator="containsText" text="CUMPLE">
      <formula>NOT(ISERROR(SEARCH("CUMPLE",O2027)))</formula>
    </cfRule>
  </conditionalFormatting>
  <conditionalFormatting sqref="O2028:S2028">
    <cfRule type="cellIs" dxfId="2044" priority="1934" operator="equal">
      <formula>"EL PROPONENTE SE DEBE REQUERIR POR EXPERIENCIA MINIMA EXIGIDA"</formula>
    </cfRule>
  </conditionalFormatting>
  <conditionalFormatting sqref="X2016">
    <cfRule type="cellIs" dxfId="2043" priority="1931" stopIfTrue="1" operator="equal">
      <formula>"VERIFICAR"</formula>
    </cfRule>
    <cfRule type="cellIs" dxfId="2042" priority="1932" stopIfTrue="1" operator="equal">
      <formula>"NO CUMPLE"</formula>
    </cfRule>
    <cfRule type="cellIs" dxfId="2041" priority="1933" stopIfTrue="1" operator="equal">
      <formula>"CUMPLE"</formula>
    </cfRule>
  </conditionalFormatting>
  <conditionalFormatting sqref="X2005:Y2014 J2005:J2014">
    <cfRule type="cellIs" dxfId="2040" priority="1930" stopIfTrue="1" operator="greaterThan">
      <formula>0</formula>
    </cfRule>
  </conditionalFormatting>
  <conditionalFormatting sqref="X2005:Y2014">
    <cfRule type="cellIs" dxfId="2039" priority="1928" operator="equal">
      <formula>"NO CUMPLE"</formula>
    </cfRule>
    <cfRule type="cellIs" dxfId="2038" priority="1929" operator="equal">
      <formula>"CUMPLE"</formula>
    </cfRule>
  </conditionalFormatting>
  <conditionalFormatting sqref="N2022:N2027">
    <cfRule type="cellIs" dxfId="2037" priority="1926" operator="equal">
      <formula>"NO"</formula>
    </cfRule>
    <cfRule type="cellIs" dxfId="2036" priority="1927" operator="equal">
      <formula>"SI"</formula>
    </cfRule>
  </conditionalFormatting>
  <conditionalFormatting sqref="I2014">
    <cfRule type="cellIs" dxfId="2035" priority="1925" stopIfTrue="1" operator="greaterThan">
      <formula>0</formula>
    </cfRule>
  </conditionalFormatting>
  <conditionalFormatting sqref="K2008:L2014">
    <cfRule type="cellIs" dxfId="2034" priority="1923" operator="equal">
      <formula>0</formula>
    </cfRule>
    <cfRule type="cellIs" dxfId="2033" priority="1924" operator="notBetween">
      <formula>$Q$17</formula>
      <formula>$R$17</formula>
    </cfRule>
  </conditionalFormatting>
  <conditionalFormatting sqref="B2005:B2014">
    <cfRule type="cellIs" dxfId="2032" priority="1922" stopIfTrue="1" operator="greaterThan">
      <formula>0</formula>
    </cfRule>
  </conditionalFormatting>
  <conditionalFormatting sqref="C2005:D2005 D2006:D2007 C2006:C2014">
    <cfRule type="cellIs" dxfId="2031" priority="1921" stopIfTrue="1" operator="greaterThan">
      <formula>0</formula>
    </cfRule>
  </conditionalFormatting>
  <conditionalFormatting sqref="C2005:D2005 F2005:H2007 D2006:D2007 C2006:C2014">
    <cfRule type="cellIs" dxfId="2030" priority="1920" stopIfTrue="1" operator="greaterThan">
      <formula>0</formula>
    </cfRule>
  </conditionalFormatting>
  <conditionalFormatting sqref="T2005:V2007">
    <cfRule type="cellIs" dxfId="2029" priority="1918" stopIfTrue="1" operator="equal">
      <formula>"NO"</formula>
    </cfRule>
    <cfRule type="cellIs" dxfId="2028" priority="1919" stopIfTrue="1" operator="equal">
      <formula>"SI"</formula>
    </cfRule>
  </conditionalFormatting>
  <conditionalFormatting sqref="T2005:V2006">
    <cfRule type="cellIs" dxfId="2027" priority="1917" stopIfTrue="1" operator="equal">
      <formula>"NO APLICA"</formula>
    </cfRule>
  </conditionalFormatting>
  <conditionalFormatting sqref="T2007:U2007">
    <cfRule type="cellIs" dxfId="2026" priority="1916" stopIfTrue="1" operator="equal">
      <formula>"NO APLICA"</formula>
    </cfRule>
  </conditionalFormatting>
  <conditionalFormatting sqref="T2007:U2007">
    <cfRule type="cellIs" dxfId="2025" priority="1915" stopIfTrue="1" operator="equal">
      <formula>"NO APLICA"</formula>
    </cfRule>
  </conditionalFormatting>
  <conditionalFormatting sqref="V2007">
    <cfRule type="cellIs" dxfId="2024" priority="1914" stopIfTrue="1" operator="equal">
      <formula>"NO APLICA"</formula>
    </cfRule>
  </conditionalFormatting>
  <conditionalFormatting sqref="K2005:L2007">
    <cfRule type="cellIs" dxfId="2023" priority="1912" operator="equal">
      <formula>0</formula>
    </cfRule>
    <cfRule type="cellIs" dxfId="2022" priority="1913" operator="notBetween">
      <formula>$Q$17</formula>
      <formula>$R$17</formula>
    </cfRule>
  </conditionalFormatting>
  <conditionalFormatting sqref="F2038:H2043 D2044:H2044 I2038:I2044 C2035:D2035 K2035:O2044 D2036:D2043 C2036:C2044 F2035:I2037">
    <cfRule type="cellIs" dxfId="2021" priority="1911" stopIfTrue="1" operator="greaterThan">
      <formula>0</formula>
    </cfRule>
  </conditionalFormatting>
  <conditionalFormatting sqref="D2038:D2043">
    <cfRule type="cellIs" dxfId="2020" priority="1910" stopIfTrue="1" operator="greaterThan">
      <formula>0</formula>
    </cfRule>
  </conditionalFormatting>
  <conditionalFormatting sqref="D2038:D2043 F2038:H2043">
    <cfRule type="cellIs" dxfId="2019" priority="1909" stopIfTrue="1" operator="greaterThan">
      <formula>0</formula>
    </cfRule>
  </conditionalFormatting>
  <conditionalFormatting sqref="H2035:H2043">
    <cfRule type="cellIs" dxfId="2018" priority="1908" stopIfTrue="1" operator="greaterThan">
      <formula>0</formula>
    </cfRule>
  </conditionalFormatting>
  <conditionalFormatting sqref="E2035:E2043">
    <cfRule type="cellIs" dxfId="2017" priority="1907" stopIfTrue="1" operator="greaterThan">
      <formula>0</formula>
    </cfRule>
  </conditionalFormatting>
  <conditionalFormatting sqref="M2052:M2057 K2052:K2057">
    <cfRule type="containsText" dxfId="2016" priority="1905" stopIfTrue="1" operator="containsText" text="NO CUMPLE">
      <formula>NOT(ISERROR(SEARCH("NO CUMPLE",K2052)))</formula>
    </cfRule>
    <cfRule type="containsText" dxfId="2015" priority="1906" stopIfTrue="1" operator="containsText" text="CUMPLE">
      <formula>NOT(ISERROR(SEARCH("CUMPLE",K2052)))</formula>
    </cfRule>
  </conditionalFormatting>
  <conditionalFormatting sqref="S2051">
    <cfRule type="cellIs" dxfId="2014" priority="1903" operator="greaterThanOrEqual">
      <formula>NUMMINCONT</formula>
    </cfRule>
    <cfRule type="cellIs" dxfId="2013" priority="1904" operator="lessThan">
      <formula>NUMMINCONT</formula>
    </cfRule>
  </conditionalFormatting>
  <conditionalFormatting sqref="T2038:V2043">
    <cfRule type="cellIs" dxfId="2012" priority="1901" stopIfTrue="1" operator="equal">
      <formula>"NO"</formula>
    </cfRule>
    <cfRule type="cellIs" dxfId="2011" priority="1902" stopIfTrue="1" operator="equal">
      <formula>"SI"</formula>
    </cfRule>
  </conditionalFormatting>
  <conditionalFormatting sqref="T2038:V2039">
    <cfRule type="cellIs" dxfId="2010" priority="1900" stopIfTrue="1" operator="equal">
      <formula>"NO APLICA"</formula>
    </cfRule>
  </conditionalFormatting>
  <conditionalFormatting sqref="T2040:U2043">
    <cfRule type="cellIs" dxfId="2009" priority="1899" stopIfTrue="1" operator="equal">
      <formula>"NO APLICA"</formula>
    </cfRule>
  </conditionalFormatting>
  <conditionalFormatting sqref="T2040:U2040">
    <cfRule type="cellIs" dxfId="2008" priority="1898" stopIfTrue="1" operator="equal">
      <formula>"NO APLICA"</formula>
    </cfRule>
  </conditionalFormatting>
  <conditionalFormatting sqref="V2040:V2043">
    <cfRule type="cellIs" dxfId="2007" priority="1897" stopIfTrue="1" operator="equal">
      <formula>"NO APLICA"</formula>
    </cfRule>
  </conditionalFormatting>
  <conditionalFormatting sqref="V2049:W2049">
    <cfRule type="cellIs" dxfId="2006" priority="1895" operator="equal">
      <formula>"CUMPLE"</formula>
    </cfRule>
    <cfRule type="cellIs" dxfId="2005" priority="1896" operator="equal">
      <formula>"NO CUMPLE"</formula>
    </cfRule>
  </conditionalFormatting>
  <conditionalFormatting sqref="V2049:W2051">
    <cfRule type="cellIs" dxfId="2004" priority="1894" operator="equal">
      <formula>"VERIFICAR"</formula>
    </cfRule>
  </conditionalFormatting>
  <conditionalFormatting sqref="T2044:V2044">
    <cfRule type="cellIs" dxfId="2003" priority="1892" stopIfTrue="1" operator="equal">
      <formula>"NO"</formula>
    </cfRule>
    <cfRule type="cellIs" dxfId="2002" priority="1893" stopIfTrue="1" operator="equal">
      <formula>"SI"</formula>
    </cfRule>
  </conditionalFormatting>
  <conditionalFormatting sqref="T2044:U2044">
    <cfRule type="cellIs" dxfId="2001" priority="1891" stopIfTrue="1" operator="equal">
      <formula>"NO APLICA"</formula>
    </cfRule>
  </conditionalFormatting>
  <conditionalFormatting sqref="V2044">
    <cfRule type="cellIs" dxfId="2000" priority="1890" stopIfTrue="1" operator="equal">
      <formula>"NO APLICA"</formula>
    </cfRule>
  </conditionalFormatting>
  <conditionalFormatting sqref="T2054">
    <cfRule type="cellIs" dxfId="1999" priority="1888" operator="equal">
      <formula>"CUMPLE"</formula>
    </cfRule>
    <cfRule type="cellIs" dxfId="1998" priority="1889" operator="equal">
      <formula>"NO CUMPLE"</formula>
    </cfRule>
  </conditionalFormatting>
  <conditionalFormatting sqref="T2054">
    <cfRule type="cellIs" dxfId="1997" priority="1887" operator="equal">
      <formula>"VERIFICAR"</formula>
    </cfRule>
  </conditionalFormatting>
  <conditionalFormatting sqref="Y2052:Y2057">
    <cfRule type="cellIs" dxfId="1996" priority="1886" stopIfTrue="1" operator="equal">
      <formula>"NO APLICA"</formula>
    </cfRule>
  </conditionalFormatting>
  <conditionalFormatting sqref="Y2057">
    <cfRule type="cellIs" dxfId="1995" priority="1885" stopIfTrue="1" operator="equal">
      <formula>"NO APLICA"</formula>
    </cfRule>
  </conditionalFormatting>
  <conditionalFormatting sqref="X2052:Y2057">
    <cfRule type="cellIs" dxfId="1994" priority="1883" stopIfTrue="1" operator="equal">
      <formula>"NO"</formula>
    </cfRule>
    <cfRule type="cellIs" dxfId="1993" priority="1884" stopIfTrue="1" operator="equal">
      <formula>"SI"</formula>
    </cfRule>
  </conditionalFormatting>
  <conditionalFormatting sqref="X2052:X2057">
    <cfRule type="cellIs" dxfId="1992" priority="1882" stopIfTrue="1" operator="equal">
      <formula>"NO APLICA"</formula>
    </cfRule>
  </conditionalFormatting>
  <conditionalFormatting sqref="X2053:X2056">
    <cfRule type="cellIs" dxfId="1991" priority="1881" stopIfTrue="1" operator="equal">
      <formula>"NO APLICA"</formula>
    </cfRule>
  </conditionalFormatting>
  <conditionalFormatting sqref="X2053">
    <cfRule type="cellIs" dxfId="1990" priority="1880" stopIfTrue="1" operator="equal">
      <formula>"NO APLICA"</formula>
    </cfRule>
  </conditionalFormatting>
  <conditionalFormatting sqref="X2057">
    <cfRule type="cellIs" dxfId="1989" priority="1879" stopIfTrue="1" operator="equal">
      <formula>"NO APLICA"</formula>
    </cfRule>
  </conditionalFormatting>
  <conditionalFormatting sqref="X2057">
    <cfRule type="cellIs" dxfId="1988" priority="1878" stopIfTrue="1" operator="equal">
      <formula>"NO APLICA"</formula>
    </cfRule>
  </conditionalFormatting>
  <conditionalFormatting sqref="AA2052:AA2057">
    <cfRule type="cellIs" dxfId="1987" priority="1877" stopIfTrue="1" operator="equal">
      <formula>"NO APLICA"</formula>
    </cfRule>
  </conditionalFormatting>
  <conditionalFormatting sqref="AA2057">
    <cfRule type="cellIs" dxfId="1986" priority="1876" stopIfTrue="1" operator="equal">
      <formula>"NO APLICA"</formula>
    </cfRule>
  </conditionalFormatting>
  <conditionalFormatting sqref="AA2052:AA2057">
    <cfRule type="cellIs" dxfId="1985" priority="1874" stopIfTrue="1" operator="equal">
      <formula>"NO"</formula>
    </cfRule>
    <cfRule type="cellIs" dxfId="1984" priority="1875" stopIfTrue="1" operator="equal">
      <formula>"SI"</formula>
    </cfRule>
  </conditionalFormatting>
  <conditionalFormatting sqref="Y2052:Z2057">
    <cfRule type="cellIs" dxfId="1983" priority="1872" operator="equal">
      <formula>"NO APLICA"</formula>
    </cfRule>
    <cfRule type="cellIs" dxfId="1982" priority="1873" operator="equal">
      <formula>"SI APLICA"</formula>
    </cfRule>
  </conditionalFormatting>
  <conditionalFormatting sqref="AB2052:AB2058">
    <cfRule type="cellIs" dxfId="1981" priority="1870" operator="equal">
      <formula>"NO APLICA"</formula>
    </cfRule>
    <cfRule type="cellIs" dxfId="1980" priority="1871" operator="equal">
      <formula>"SI APLICA"</formula>
    </cfRule>
  </conditionalFormatting>
  <conditionalFormatting sqref="X2058">
    <cfRule type="cellIs" dxfId="1979" priority="1868" operator="equal">
      <formula>"PROPONENTE PLURAL"</formula>
    </cfRule>
    <cfRule type="cellIs" dxfId="1978" priority="1869" operator="equal">
      <formula>"PROPONENTE INDIVIDUAL"</formula>
    </cfRule>
  </conditionalFormatting>
  <conditionalFormatting sqref="Z2058:AA2058 AA2052:AA2057">
    <cfRule type="cellIs" dxfId="1977" priority="1866" operator="equal">
      <formula>"NO APLICA"</formula>
    </cfRule>
    <cfRule type="cellIs" dxfId="1976" priority="1867" operator="equal">
      <formula>"SI APLICA"</formula>
    </cfRule>
  </conditionalFormatting>
  <conditionalFormatting sqref="AB2052:AB2057 Y2052:Z2057">
    <cfRule type="cellIs" dxfId="1975" priority="1865" operator="equal">
      <formula>""</formula>
    </cfRule>
  </conditionalFormatting>
  <conditionalFormatting sqref="H2058">
    <cfRule type="containsText" dxfId="1974" priority="1863" stopIfTrue="1" operator="containsText" text="NO CUMPLE">
      <formula>NOT(ISERROR(SEARCH("NO CUMPLE",H2058)))</formula>
    </cfRule>
    <cfRule type="containsText" dxfId="1973" priority="1864" stopIfTrue="1" operator="containsText" text="CUMPLE">
      <formula>NOT(ISERROR(SEARCH("CUMPLE",H2058)))</formula>
    </cfRule>
  </conditionalFormatting>
  <conditionalFormatting sqref="J2058">
    <cfRule type="containsText" dxfId="1972" priority="1861" stopIfTrue="1" operator="containsText" text="NO CUMPLE">
      <formula>NOT(ISERROR(SEARCH("NO CUMPLE",J2058)))</formula>
    </cfRule>
    <cfRule type="containsText" dxfId="1971" priority="1862" stopIfTrue="1" operator="containsText" text="CUMPLE">
      <formula>NOT(ISERROR(SEARCH("CUMPLE",J2058)))</formula>
    </cfRule>
  </conditionalFormatting>
  <conditionalFormatting sqref="K2058">
    <cfRule type="containsText" dxfId="1970" priority="1859" stopIfTrue="1" operator="containsText" text="NO CUMPLE">
      <formula>NOT(ISERROR(SEARCH("NO CUMPLE",K2058)))</formula>
    </cfRule>
    <cfRule type="containsText" dxfId="1969" priority="1860" stopIfTrue="1" operator="containsText" text="CUMPLE">
      <formula>NOT(ISERROR(SEARCH("CUMPLE",K2058)))</formula>
    </cfRule>
  </conditionalFormatting>
  <conditionalFormatting sqref="L2052:L2057">
    <cfRule type="containsText" dxfId="1968" priority="1857" stopIfTrue="1" operator="containsText" text="NO CUMPLE">
      <formula>NOT(ISERROR(SEARCH("NO CUMPLE",L2052)))</formula>
    </cfRule>
    <cfRule type="containsText" dxfId="1967" priority="1858" stopIfTrue="1" operator="containsText" text="CUMPLE">
      <formula>NOT(ISERROR(SEARCH("CUMPLE",L2052)))</formula>
    </cfRule>
  </conditionalFormatting>
  <conditionalFormatting sqref="O2057">
    <cfRule type="containsText" dxfId="1966" priority="1855" stopIfTrue="1" operator="containsText" text="NO CUMPLE">
      <formula>NOT(ISERROR(SEARCH("NO CUMPLE",O2057)))</formula>
    </cfRule>
    <cfRule type="containsText" dxfId="1965" priority="1856" stopIfTrue="1" operator="containsText" text="CUMPLE">
      <formula>NOT(ISERROR(SEARCH("CUMPLE",O2057)))</formula>
    </cfRule>
  </conditionalFormatting>
  <conditionalFormatting sqref="O2058:S2058">
    <cfRule type="cellIs" dxfId="1964" priority="1854" operator="equal">
      <formula>"EL PROPONENTE SE DEBE REQUERIR POR EXPERIENCIA MINIMA EXIGIDA"</formula>
    </cfRule>
  </conditionalFormatting>
  <conditionalFormatting sqref="X2046">
    <cfRule type="cellIs" dxfId="1963" priority="1851" stopIfTrue="1" operator="equal">
      <formula>"VERIFICAR"</formula>
    </cfRule>
    <cfRule type="cellIs" dxfId="1962" priority="1852" stopIfTrue="1" operator="equal">
      <formula>"NO CUMPLE"</formula>
    </cfRule>
    <cfRule type="cellIs" dxfId="1961" priority="1853" stopIfTrue="1" operator="equal">
      <formula>"CUMPLE"</formula>
    </cfRule>
  </conditionalFormatting>
  <conditionalFormatting sqref="X2035:Y2044 J2035:J2044">
    <cfRule type="cellIs" dxfId="1960" priority="1850" stopIfTrue="1" operator="greaterThan">
      <formula>0</formula>
    </cfRule>
  </conditionalFormatting>
  <conditionalFormatting sqref="X2035:Y2044">
    <cfRule type="cellIs" dxfId="1959" priority="1848" operator="equal">
      <formula>"NO CUMPLE"</formula>
    </cfRule>
    <cfRule type="cellIs" dxfId="1958" priority="1849" operator="equal">
      <formula>"CUMPLE"</formula>
    </cfRule>
  </conditionalFormatting>
  <conditionalFormatting sqref="N2052:N2057">
    <cfRule type="cellIs" dxfId="1957" priority="1846" operator="equal">
      <formula>"NO"</formula>
    </cfRule>
    <cfRule type="cellIs" dxfId="1956" priority="1847" operator="equal">
      <formula>"SI"</formula>
    </cfRule>
  </conditionalFormatting>
  <conditionalFormatting sqref="I2044">
    <cfRule type="cellIs" dxfId="1955" priority="1845" stopIfTrue="1" operator="greaterThan">
      <formula>0</formula>
    </cfRule>
  </conditionalFormatting>
  <conditionalFormatting sqref="K2038:L2044">
    <cfRule type="cellIs" dxfId="1954" priority="1843" operator="equal">
      <formula>0</formula>
    </cfRule>
    <cfRule type="cellIs" dxfId="1953" priority="1844" operator="notBetween">
      <formula>$Q$17</formula>
      <formula>$R$17</formula>
    </cfRule>
  </conditionalFormatting>
  <conditionalFormatting sqref="B2035:B2044">
    <cfRule type="cellIs" dxfId="1952" priority="1842" stopIfTrue="1" operator="greaterThan">
      <formula>0</formula>
    </cfRule>
  </conditionalFormatting>
  <conditionalFormatting sqref="C2035:D2035 D2036:D2037 C2036:C2044">
    <cfRule type="cellIs" dxfId="1951" priority="1841" stopIfTrue="1" operator="greaterThan">
      <formula>0</formula>
    </cfRule>
  </conditionalFormatting>
  <conditionalFormatting sqref="C2035:D2035 F2035:H2037 D2036:D2037 C2036:C2044">
    <cfRule type="cellIs" dxfId="1950" priority="1840" stopIfTrue="1" operator="greaterThan">
      <formula>0</formula>
    </cfRule>
  </conditionalFormatting>
  <conditionalFormatting sqref="T2035:V2037">
    <cfRule type="cellIs" dxfId="1949" priority="1838" stopIfTrue="1" operator="equal">
      <formula>"NO"</formula>
    </cfRule>
    <cfRule type="cellIs" dxfId="1948" priority="1839" stopIfTrue="1" operator="equal">
      <formula>"SI"</formula>
    </cfRule>
  </conditionalFormatting>
  <conditionalFormatting sqref="T2035:V2036">
    <cfRule type="cellIs" dxfId="1947" priority="1837" stopIfTrue="1" operator="equal">
      <formula>"NO APLICA"</formula>
    </cfRule>
  </conditionalFormatting>
  <conditionalFormatting sqref="T2037:U2037">
    <cfRule type="cellIs" dxfId="1946" priority="1836" stopIfTrue="1" operator="equal">
      <formula>"NO APLICA"</formula>
    </cfRule>
  </conditionalFormatting>
  <conditionalFormatting sqref="T2037:U2037">
    <cfRule type="cellIs" dxfId="1945" priority="1835" stopIfTrue="1" operator="equal">
      <formula>"NO APLICA"</formula>
    </cfRule>
  </conditionalFormatting>
  <conditionalFormatting sqref="V2037">
    <cfRule type="cellIs" dxfId="1944" priority="1834" stopIfTrue="1" operator="equal">
      <formula>"NO APLICA"</formula>
    </cfRule>
  </conditionalFormatting>
  <conditionalFormatting sqref="K2035:L2037">
    <cfRule type="cellIs" dxfId="1943" priority="1832" operator="equal">
      <formula>0</formula>
    </cfRule>
    <cfRule type="cellIs" dxfId="1942" priority="1833" operator="notBetween">
      <formula>$Q$17</formula>
      <formula>$R$17</formula>
    </cfRule>
  </conditionalFormatting>
  <conditionalFormatting sqref="F2068:H2073 D2074:H2074 I2068:I2074 C2065:D2065 K2069:O2074 F2065:I2067 D2066:D2073 C2066:C2074 K2065:L2068 N2065:O2068">
    <cfRule type="cellIs" dxfId="1941" priority="1831" stopIfTrue="1" operator="greaterThan">
      <formula>0</formula>
    </cfRule>
  </conditionalFormatting>
  <conditionalFormatting sqref="D2068:D2073">
    <cfRule type="cellIs" dxfId="1940" priority="1830" stopIfTrue="1" operator="greaterThan">
      <formula>0</formula>
    </cfRule>
  </conditionalFormatting>
  <conditionalFormatting sqref="D2068:D2073 F2068:H2073">
    <cfRule type="cellIs" dxfId="1939" priority="1829" stopIfTrue="1" operator="greaterThan">
      <formula>0</formula>
    </cfRule>
  </conditionalFormatting>
  <conditionalFormatting sqref="H2065:H2073">
    <cfRule type="cellIs" dxfId="1938" priority="1828" stopIfTrue="1" operator="greaterThan">
      <formula>0</formula>
    </cfRule>
  </conditionalFormatting>
  <conditionalFormatting sqref="E2065:E2073">
    <cfRule type="cellIs" dxfId="1937" priority="1827" stopIfTrue="1" operator="greaterThan">
      <formula>0</formula>
    </cfRule>
  </conditionalFormatting>
  <conditionalFormatting sqref="M2082:M2087 K2082:K2087">
    <cfRule type="containsText" dxfId="1936" priority="1825" stopIfTrue="1" operator="containsText" text="NO CUMPLE">
      <formula>NOT(ISERROR(SEARCH("NO CUMPLE",K2082)))</formula>
    </cfRule>
    <cfRule type="containsText" dxfId="1935" priority="1826" stopIfTrue="1" operator="containsText" text="CUMPLE">
      <formula>NOT(ISERROR(SEARCH("CUMPLE",K2082)))</formula>
    </cfRule>
  </conditionalFormatting>
  <conditionalFormatting sqref="S2081">
    <cfRule type="cellIs" dxfId="1934" priority="1823" operator="greaterThanOrEqual">
      <formula>NUMMINCONT</formula>
    </cfRule>
    <cfRule type="cellIs" dxfId="1933" priority="1824" operator="lessThan">
      <formula>NUMMINCONT</formula>
    </cfRule>
  </conditionalFormatting>
  <conditionalFormatting sqref="T2068:V2073">
    <cfRule type="cellIs" dxfId="1932" priority="1821" stopIfTrue="1" operator="equal">
      <formula>"NO"</formula>
    </cfRule>
    <cfRule type="cellIs" dxfId="1931" priority="1822" stopIfTrue="1" operator="equal">
      <formula>"SI"</formula>
    </cfRule>
  </conditionalFormatting>
  <conditionalFormatting sqref="T2068:V2069">
    <cfRule type="cellIs" dxfId="1930" priority="1820" stopIfTrue="1" operator="equal">
      <formula>"NO APLICA"</formula>
    </cfRule>
  </conditionalFormatting>
  <conditionalFormatting sqref="T2070:U2073">
    <cfRule type="cellIs" dxfId="1929" priority="1819" stopIfTrue="1" operator="equal">
      <formula>"NO APLICA"</formula>
    </cfRule>
  </conditionalFormatting>
  <conditionalFormatting sqref="T2070:U2070">
    <cfRule type="cellIs" dxfId="1928" priority="1818" stopIfTrue="1" operator="equal">
      <formula>"NO APLICA"</formula>
    </cfRule>
  </conditionalFormatting>
  <conditionalFormatting sqref="V2070:V2073">
    <cfRule type="cellIs" dxfId="1927" priority="1817" stopIfTrue="1" operator="equal">
      <formula>"NO APLICA"</formula>
    </cfRule>
  </conditionalFormatting>
  <conditionalFormatting sqref="V2079:W2079">
    <cfRule type="cellIs" dxfId="1926" priority="1815" operator="equal">
      <formula>"CUMPLE"</formula>
    </cfRule>
    <cfRule type="cellIs" dxfId="1925" priority="1816" operator="equal">
      <formula>"NO CUMPLE"</formula>
    </cfRule>
  </conditionalFormatting>
  <conditionalFormatting sqref="V2079:W2081">
    <cfRule type="cellIs" dxfId="1924" priority="1814" operator="equal">
      <formula>"VERIFICAR"</formula>
    </cfRule>
  </conditionalFormatting>
  <conditionalFormatting sqref="T2074:V2074">
    <cfRule type="cellIs" dxfId="1923" priority="1812" stopIfTrue="1" operator="equal">
      <formula>"NO"</formula>
    </cfRule>
    <cfRule type="cellIs" dxfId="1922" priority="1813" stopIfTrue="1" operator="equal">
      <formula>"SI"</formula>
    </cfRule>
  </conditionalFormatting>
  <conditionalFormatting sqref="T2074:U2074">
    <cfRule type="cellIs" dxfId="1921" priority="1811" stopIfTrue="1" operator="equal">
      <formula>"NO APLICA"</formula>
    </cfRule>
  </conditionalFormatting>
  <conditionalFormatting sqref="V2074">
    <cfRule type="cellIs" dxfId="1920" priority="1810" stopIfTrue="1" operator="equal">
      <formula>"NO APLICA"</formula>
    </cfRule>
  </conditionalFormatting>
  <conditionalFormatting sqref="T2084">
    <cfRule type="cellIs" dxfId="1919" priority="1808" operator="equal">
      <formula>"CUMPLE"</formula>
    </cfRule>
    <cfRule type="cellIs" dxfId="1918" priority="1809" operator="equal">
      <formula>"NO CUMPLE"</formula>
    </cfRule>
  </conditionalFormatting>
  <conditionalFormatting sqref="T2084">
    <cfRule type="cellIs" dxfId="1917" priority="1807" operator="equal">
      <formula>"VERIFICAR"</formula>
    </cfRule>
  </conditionalFormatting>
  <conditionalFormatting sqref="Y2082:Y2087">
    <cfRule type="cellIs" dxfId="1916" priority="1806" stopIfTrue="1" operator="equal">
      <formula>"NO APLICA"</formula>
    </cfRule>
  </conditionalFormatting>
  <conditionalFormatting sqref="Y2087">
    <cfRule type="cellIs" dxfId="1915" priority="1805" stopIfTrue="1" operator="equal">
      <formula>"NO APLICA"</formula>
    </cfRule>
  </conditionalFormatting>
  <conditionalFormatting sqref="X2082:Y2087">
    <cfRule type="cellIs" dxfId="1914" priority="1803" stopIfTrue="1" operator="equal">
      <formula>"NO"</formula>
    </cfRule>
    <cfRule type="cellIs" dxfId="1913" priority="1804" stopIfTrue="1" operator="equal">
      <formula>"SI"</formula>
    </cfRule>
  </conditionalFormatting>
  <conditionalFormatting sqref="X2082:X2087">
    <cfRule type="cellIs" dxfId="1912" priority="1802" stopIfTrue="1" operator="equal">
      <formula>"NO APLICA"</formula>
    </cfRule>
  </conditionalFormatting>
  <conditionalFormatting sqref="X2083:X2086">
    <cfRule type="cellIs" dxfId="1911" priority="1801" stopIfTrue="1" operator="equal">
      <formula>"NO APLICA"</formula>
    </cfRule>
  </conditionalFormatting>
  <conditionalFormatting sqref="X2083">
    <cfRule type="cellIs" dxfId="1910" priority="1800" stopIfTrue="1" operator="equal">
      <formula>"NO APLICA"</formula>
    </cfRule>
  </conditionalFormatting>
  <conditionalFormatting sqref="X2087">
    <cfRule type="cellIs" dxfId="1909" priority="1799" stopIfTrue="1" operator="equal">
      <formula>"NO APLICA"</formula>
    </cfRule>
  </conditionalFormatting>
  <conditionalFormatting sqref="X2087">
    <cfRule type="cellIs" dxfId="1908" priority="1798" stopIfTrue="1" operator="equal">
      <formula>"NO APLICA"</formula>
    </cfRule>
  </conditionalFormatting>
  <conditionalFormatting sqref="AA2082:AA2087">
    <cfRule type="cellIs" dxfId="1907" priority="1797" stopIfTrue="1" operator="equal">
      <formula>"NO APLICA"</formula>
    </cfRule>
  </conditionalFormatting>
  <conditionalFormatting sqref="AA2087">
    <cfRule type="cellIs" dxfId="1906" priority="1796" stopIfTrue="1" operator="equal">
      <formula>"NO APLICA"</formula>
    </cfRule>
  </conditionalFormatting>
  <conditionalFormatting sqref="AA2082:AA2087">
    <cfRule type="cellIs" dxfId="1905" priority="1794" stopIfTrue="1" operator="equal">
      <formula>"NO"</formula>
    </cfRule>
    <cfRule type="cellIs" dxfId="1904" priority="1795" stopIfTrue="1" operator="equal">
      <formula>"SI"</formula>
    </cfRule>
  </conditionalFormatting>
  <conditionalFormatting sqref="Y2082:Z2087">
    <cfRule type="cellIs" dxfId="1903" priority="1792" operator="equal">
      <formula>"NO APLICA"</formula>
    </cfRule>
    <cfRule type="cellIs" dxfId="1902" priority="1793" operator="equal">
      <formula>"SI APLICA"</formula>
    </cfRule>
  </conditionalFormatting>
  <conditionalFormatting sqref="AB2082:AB2088">
    <cfRule type="cellIs" dxfId="1901" priority="1790" operator="equal">
      <formula>"NO APLICA"</formula>
    </cfRule>
    <cfRule type="cellIs" dxfId="1900" priority="1791" operator="equal">
      <formula>"SI APLICA"</formula>
    </cfRule>
  </conditionalFormatting>
  <conditionalFormatting sqref="X2088">
    <cfRule type="cellIs" dxfId="1899" priority="1788" operator="equal">
      <formula>"PROPONENTE PLURAL"</formula>
    </cfRule>
    <cfRule type="cellIs" dxfId="1898" priority="1789" operator="equal">
      <formula>"PROPONENTE INDIVIDUAL"</formula>
    </cfRule>
  </conditionalFormatting>
  <conditionalFormatting sqref="Z2088:AA2088 AA2082:AA2087">
    <cfRule type="cellIs" dxfId="1897" priority="1786" operator="equal">
      <formula>"NO APLICA"</formula>
    </cfRule>
    <cfRule type="cellIs" dxfId="1896" priority="1787" operator="equal">
      <formula>"SI APLICA"</formula>
    </cfRule>
  </conditionalFormatting>
  <conditionalFormatting sqref="Y2082:Z2087 AB2082:AB2087">
    <cfRule type="cellIs" dxfId="1895" priority="1785" operator="equal">
      <formula>""</formula>
    </cfRule>
  </conditionalFormatting>
  <conditionalFormatting sqref="H2088">
    <cfRule type="containsText" dxfId="1894" priority="1783" stopIfTrue="1" operator="containsText" text="NO CUMPLE">
      <formula>NOT(ISERROR(SEARCH("NO CUMPLE",H2088)))</formula>
    </cfRule>
    <cfRule type="containsText" dxfId="1893" priority="1784" stopIfTrue="1" operator="containsText" text="CUMPLE">
      <formula>NOT(ISERROR(SEARCH("CUMPLE",H2088)))</formula>
    </cfRule>
  </conditionalFormatting>
  <conditionalFormatting sqref="J2088">
    <cfRule type="containsText" dxfId="1892" priority="1781" stopIfTrue="1" operator="containsText" text="NO CUMPLE">
      <formula>NOT(ISERROR(SEARCH("NO CUMPLE",J2088)))</formula>
    </cfRule>
    <cfRule type="containsText" dxfId="1891" priority="1782" stopIfTrue="1" operator="containsText" text="CUMPLE">
      <formula>NOT(ISERROR(SEARCH("CUMPLE",J2088)))</formula>
    </cfRule>
  </conditionalFormatting>
  <conditionalFormatting sqref="K2088">
    <cfRule type="containsText" dxfId="1890" priority="1779" stopIfTrue="1" operator="containsText" text="NO CUMPLE">
      <formula>NOT(ISERROR(SEARCH("NO CUMPLE",K2088)))</formula>
    </cfRule>
    <cfRule type="containsText" dxfId="1889" priority="1780" stopIfTrue="1" operator="containsText" text="CUMPLE">
      <formula>NOT(ISERROR(SEARCH("CUMPLE",K2088)))</formula>
    </cfRule>
  </conditionalFormatting>
  <conditionalFormatting sqref="L2082:L2087">
    <cfRule type="containsText" dxfId="1888" priority="1777" stopIfTrue="1" operator="containsText" text="NO CUMPLE">
      <formula>NOT(ISERROR(SEARCH("NO CUMPLE",L2082)))</formula>
    </cfRule>
    <cfRule type="containsText" dxfId="1887" priority="1778" stopIfTrue="1" operator="containsText" text="CUMPLE">
      <formula>NOT(ISERROR(SEARCH("CUMPLE",L2082)))</formula>
    </cfRule>
  </conditionalFormatting>
  <conditionalFormatting sqref="O2087">
    <cfRule type="containsText" dxfId="1886" priority="1775" stopIfTrue="1" operator="containsText" text="NO CUMPLE">
      <formula>NOT(ISERROR(SEARCH("NO CUMPLE",O2087)))</formula>
    </cfRule>
    <cfRule type="containsText" dxfId="1885" priority="1776" stopIfTrue="1" operator="containsText" text="CUMPLE">
      <formula>NOT(ISERROR(SEARCH("CUMPLE",O2087)))</formula>
    </cfRule>
  </conditionalFormatting>
  <conditionalFormatting sqref="O2088:S2088">
    <cfRule type="cellIs" dxfId="1884" priority="1774" operator="equal">
      <formula>"EL PROPONENTE SE DEBE REQUERIR POR EXPERIENCIA MINIMA EXIGIDA"</formula>
    </cfRule>
  </conditionalFormatting>
  <conditionalFormatting sqref="X2076">
    <cfRule type="cellIs" dxfId="1883" priority="1771" stopIfTrue="1" operator="equal">
      <formula>"VERIFICAR"</formula>
    </cfRule>
    <cfRule type="cellIs" dxfId="1882" priority="1772" stopIfTrue="1" operator="equal">
      <formula>"NO CUMPLE"</formula>
    </cfRule>
    <cfRule type="cellIs" dxfId="1881" priority="1773" stopIfTrue="1" operator="equal">
      <formula>"CUMPLE"</formula>
    </cfRule>
  </conditionalFormatting>
  <conditionalFormatting sqref="X2065:Y2074 J2065:J2068">
    <cfRule type="cellIs" dxfId="1880" priority="1770" stopIfTrue="1" operator="greaterThan">
      <formula>0</formula>
    </cfRule>
  </conditionalFormatting>
  <conditionalFormatting sqref="X2065:Y2074">
    <cfRule type="cellIs" dxfId="1879" priority="1768" operator="equal">
      <formula>"NO CUMPLE"</formula>
    </cfRule>
    <cfRule type="cellIs" dxfId="1878" priority="1769" operator="equal">
      <formula>"CUMPLE"</formula>
    </cfRule>
  </conditionalFormatting>
  <conditionalFormatting sqref="N2082:N2087">
    <cfRule type="cellIs" dxfId="1877" priority="1766" operator="equal">
      <formula>"NO"</formula>
    </cfRule>
    <cfRule type="cellIs" dxfId="1876" priority="1767" operator="equal">
      <formula>"SI"</formula>
    </cfRule>
  </conditionalFormatting>
  <conditionalFormatting sqref="I2074">
    <cfRule type="cellIs" dxfId="1875" priority="1765" stopIfTrue="1" operator="greaterThan">
      <formula>0</formula>
    </cfRule>
  </conditionalFormatting>
  <conditionalFormatting sqref="K2068:L2074">
    <cfRule type="cellIs" dxfId="1874" priority="1763" operator="equal">
      <formula>0</formula>
    </cfRule>
    <cfRule type="cellIs" dxfId="1873" priority="1764" operator="notBetween">
      <formula>$Q$17</formula>
      <formula>$R$17</formula>
    </cfRule>
  </conditionalFormatting>
  <conditionalFormatting sqref="B2065:B2074">
    <cfRule type="cellIs" dxfId="1872" priority="1762" stopIfTrue="1" operator="greaterThan">
      <formula>0</formula>
    </cfRule>
  </conditionalFormatting>
  <conditionalFormatting sqref="C2065:D2065 D2066:D2067 C2066:C2074">
    <cfRule type="cellIs" dxfId="1871" priority="1761" stopIfTrue="1" operator="greaterThan">
      <formula>0</formula>
    </cfRule>
  </conditionalFormatting>
  <conditionalFormatting sqref="C2065:D2065 F2065:H2067 D2066:D2067 C2066:C2074">
    <cfRule type="cellIs" dxfId="1870" priority="1760" stopIfTrue="1" operator="greaterThan">
      <formula>0</formula>
    </cfRule>
  </conditionalFormatting>
  <conditionalFormatting sqref="T2065:V2067">
    <cfRule type="cellIs" dxfId="1869" priority="1758" stopIfTrue="1" operator="equal">
      <formula>"NO"</formula>
    </cfRule>
    <cfRule type="cellIs" dxfId="1868" priority="1759" stopIfTrue="1" operator="equal">
      <formula>"SI"</formula>
    </cfRule>
  </conditionalFormatting>
  <conditionalFormatting sqref="T2065:V2066">
    <cfRule type="cellIs" dxfId="1867" priority="1757" stopIfTrue="1" operator="equal">
      <formula>"NO APLICA"</formula>
    </cfRule>
  </conditionalFormatting>
  <conditionalFormatting sqref="T2067:U2067">
    <cfRule type="cellIs" dxfId="1866" priority="1756" stopIfTrue="1" operator="equal">
      <formula>"NO APLICA"</formula>
    </cfRule>
  </conditionalFormatting>
  <conditionalFormatting sqref="T2067:U2067">
    <cfRule type="cellIs" dxfId="1865" priority="1755" stopIfTrue="1" operator="equal">
      <formula>"NO APLICA"</formula>
    </cfRule>
  </conditionalFormatting>
  <conditionalFormatting sqref="V2067">
    <cfRule type="cellIs" dxfId="1864" priority="1754" stopIfTrue="1" operator="equal">
      <formula>"NO APLICA"</formula>
    </cfRule>
  </conditionalFormatting>
  <conditionalFormatting sqref="K2065:L2067">
    <cfRule type="cellIs" dxfId="1863" priority="1752" operator="equal">
      <formula>0</formula>
    </cfRule>
    <cfRule type="cellIs" dxfId="1862" priority="1753" operator="notBetween">
      <formula>$Q$17</formula>
      <formula>$R$17</formula>
    </cfRule>
  </conditionalFormatting>
  <conditionalFormatting sqref="F2098:H2103 D2104:H2104 I2098:I2104 C2095:D2095 K2095:O2104 F2095:I2097 D2096:D2103 C2096:C2104">
    <cfRule type="cellIs" dxfId="1861" priority="1751" stopIfTrue="1" operator="greaterThan">
      <formula>0</formula>
    </cfRule>
  </conditionalFormatting>
  <conditionalFormatting sqref="D2098:D2103">
    <cfRule type="cellIs" dxfId="1860" priority="1750" stopIfTrue="1" operator="greaterThan">
      <formula>0</formula>
    </cfRule>
  </conditionalFormatting>
  <conditionalFormatting sqref="D2098:D2103 F2098:H2103">
    <cfRule type="cellIs" dxfId="1859" priority="1749" stopIfTrue="1" operator="greaterThan">
      <formula>0</formula>
    </cfRule>
  </conditionalFormatting>
  <conditionalFormatting sqref="H2095:H2103">
    <cfRule type="cellIs" dxfId="1858" priority="1748" stopIfTrue="1" operator="greaterThan">
      <formula>0</formula>
    </cfRule>
  </conditionalFormatting>
  <conditionalFormatting sqref="E2095:E2103">
    <cfRule type="cellIs" dxfId="1857" priority="1747" stopIfTrue="1" operator="greaterThan">
      <formula>0</formula>
    </cfRule>
  </conditionalFormatting>
  <conditionalFormatting sqref="M2112:M2117 K2112:K2117">
    <cfRule type="containsText" dxfId="1856" priority="1745" stopIfTrue="1" operator="containsText" text="NO CUMPLE">
      <formula>NOT(ISERROR(SEARCH("NO CUMPLE",K2112)))</formula>
    </cfRule>
    <cfRule type="containsText" dxfId="1855" priority="1746" stopIfTrue="1" operator="containsText" text="CUMPLE">
      <formula>NOT(ISERROR(SEARCH("CUMPLE",K2112)))</formula>
    </cfRule>
  </conditionalFormatting>
  <conditionalFormatting sqref="S2111">
    <cfRule type="cellIs" dxfId="1854" priority="1743" operator="greaterThanOrEqual">
      <formula>NUMMINCONT</formula>
    </cfRule>
    <cfRule type="cellIs" dxfId="1853" priority="1744" operator="lessThan">
      <formula>NUMMINCONT</formula>
    </cfRule>
  </conditionalFormatting>
  <conditionalFormatting sqref="T2098:V2103">
    <cfRule type="cellIs" dxfId="1852" priority="1741" stopIfTrue="1" operator="equal">
      <formula>"NO"</formula>
    </cfRule>
    <cfRule type="cellIs" dxfId="1851" priority="1742" stopIfTrue="1" operator="equal">
      <formula>"SI"</formula>
    </cfRule>
  </conditionalFormatting>
  <conditionalFormatting sqref="T2098:V2099">
    <cfRule type="cellIs" dxfId="1850" priority="1740" stopIfTrue="1" operator="equal">
      <formula>"NO APLICA"</formula>
    </cfRule>
  </conditionalFormatting>
  <conditionalFormatting sqref="T2100:U2103">
    <cfRule type="cellIs" dxfId="1849" priority="1739" stopIfTrue="1" operator="equal">
      <formula>"NO APLICA"</formula>
    </cfRule>
  </conditionalFormatting>
  <conditionalFormatting sqref="T2100:U2100">
    <cfRule type="cellIs" dxfId="1848" priority="1738" stopIfTrue="1" operator="equal">
      <formula>"NO APLICA"</formula>
    </cfRule>
  </conditionalFormatting>
  <conditionalFormatting sqref="V2100:V2103">
    <cfRule type="cellIs" dxfId="1847" priority="1737" stopIfTrue="1" operator="equal">
      <formula>"NO APLICA"</formula>
    </cfRule>
  </conditionalFormatting>
  <conditionalFormatting sqref="V2109:W2109">
    <cfRule type="cellIs" dxfId="1846" priority="1735" operator="equal">
      <formula>"CUMPLE"</formula>
    </cfRule>
    <cfRule type="cellIs" dxfId="1845" priority="1736" operator="equal">
      <formula>"NO CUMPLE"</formula>
    </cfRule>
  </conditionalFormatting>
  <conditionalFormatting sqref="V2109:W2111">
    <cfRule type="cellIs" dxfId="1844" priority="1734" operator="equal">
      <formula>"VERIFICAR"</formula>
    </cfRule>
  </conditionalFormatting>
  <conditionalFormatting sqref="T2104:V2104">
    <cfRule type="cellIs" dxfId="1843" priority="1732" stopIfTrue="1" operator="equal">
      <formula>"NO"</formula>
    </cfRule>
    <cfRule type="cellIs" dxfId="1842" priority="1733" stopIfTrue="1" operator="equal">
      <formula>"SI"</formula>
    </cfRule>
  </conditionalFormatting>
  <conditionalFormatting sqref="T2104:U2104">
    <cfRule type="cellIs" dxfId="1841" priority="1731" stopIfTrue="1" operator="equal">
      <formula>"NO APLICA"</formula>
    </cfRule>
  </conditionalFormatting>
  <conditionalFormatting sqref="V2104">
    <cfRule type="cellIs" dxfId="1840" priority="1730" stopIfTrue="1" operator="equal">
      <formula>"NO APLICA"</formula>
    </cfRule>
  </conditionalFormatting>
  <conditionalFormatting sqref="T2114">
    <cfRule type="cellIs" dxfId="1839" priority="1728" operator="equal">
      <formula>"CUMPLE"</formula>
    </cfRule>
    <cfRule type="cellIs" dxfId="1838" priority="1729" operator="equal">
      <formula>"NO CUMPLE"</formula>
    </cfRule>
  </conditionalFormatting>
  <conditionalFormatting sqref="T2114">
    <cfRule type="cellIs" dxfId="1837" priority="1727" operator="equal">
      <formula>"VERIFICAR"</formula>
    </cfRule>
  </conditionalFormatting>
  <conditionalFormatting sqref="Y2112:Y2117">
    <cfRule type="cellIs" dxfId="1836" priority="1726" stopIfTrue="1" operator="equal">
      <formula>"NO APLICA"</formula>
    </cfRule>
  </conditionalFormatting>
  <conditionalFormatting sqref="Y2117">
    <cfRule type="cellIs" dxfId="1835" priority="1725" stopIfTrue="1" operator="equal">
      <formula>"NO APLICA"</formula>
    </cfRule>
  </conditionalFormatting>
  <conditionalFormatting sqref="X2112:Y2117">
    <cfRule type="cellIs" dxfId="1834" priority="1723" stopIfTrue="1" operator="equal">
      <formula>"NO"</formula>
    </cfRule>
    <cfRule type="cellIs" dxfId="1833" priority="1724" stopIfTrue="1" operator="equal">
      <formula>"SI"</formula>
    </cfRule>
  </conditionalFormatting>
  <conditionalFormatting sqref="X2112:X2117">
    <cfRule type="cellIs" dxfId="1832" priority="1722" stopIfTrue="1" operator="equal">
      <formula>"NO APLICA"</formula>
    </cfRule>
  </conditionalFormatting>
  <conditionalFormatting sqref="X2113:X2116">
    <cfRule type="cellIs" dxfId="1831" priority="1721" stopIfTrue="1" operator="equal">
      <formula>"NO APLICA"</formula>
    </cfRule>
  </conditionalFormatting>
  <conditionalFormatting sqref="X2113">
    <cfRule type="cellIs" dxfId="1830" priority="1720" stopIfTrue="1" operator="equal">
      <formula>"NO APLICA"</formula>
    </cfRule>
  </conditionalFormatting>
  <conditionalFormatting sqref="X2117">
    <cfRule type="cellIs" dxfId="1829" priority="1719" stopIfTrue="1" operator="equal">
      <formula>"NO APLICA"</formula>
    </cfRule>
  </conditionalFormatting>
  <conditionalFormatting sqref="X2117">
    <cfRule type="cellIs" dxfId="1828" priority="1718" stopIfTrue="1" operator="equal">
      <formula>"NO APLICA"</formula>
    </cfRule>
  </conditionalFormatting>
  <conditionalFormatting sqref="AA2112:AA2117">
    <cfRule type="cellIs" dxfId="1827" priority="1717" stopIfTrue="1" operator="equal">
      <formula>"NO APLICA"</formula>
    </cfRule>
  </conditionalFormatting>
  <conditionalFormatting sqref="AA2117">
    <cfRule type="cellIs" dxfId="1826" priority="1716" stopIfTrue="1" operator="equal">
      <formula>"NO APLICA"</formula>
    </cfRule>
  </conditionalFormatting>
  <conditionalFormatting sqref="AA2112:AA2117">
    <cfRule type="cellIs" dxfId="1825" priority="1714" stopIfTrue="1" operator="equal">
      <formula>"NO"</formula>
    </cfRule>
    <cfRule type="cellIs" dxfId="1824" priority="1715" stopIfTrue="1" operator="equal">
      <formula>"SI"</formula>
    </cfRule>
  </conditionalFormatting>
  <conditionalFormatting sqref="Y2112:Z2117">
    <cfRule type="cellIs" dxfId="1823" priority="1712" operator="equal">
      <formula>"NO APLICA"</formula>
    </cfRule>
    <cfRule type="cellIs" dxfId="1822" priority="1713" operator="equal">
      <formula>"SI APLICA"</formula>
    </cfRule>
  </conditionalFormatting>
  <conditionalFormatting sqref="AB2112:AB2118">
    <cfRule type="cellIs" dxfId="1821" priority="1710" operator="equal">
      <formula>"NO APLICA"</formula>
    </cfRule>
    <cfRule type="cellIs" dxfId="1820" priority="1711" operator="equal">
      <formula>"SI APLICA"</formula>
    </cfRule>
  </conditionalFormatting>
  <conditionalFormatting sqref="X2118">
    <cfRule type="cellIs" dxfId="1819" priority="1708" operator="equal">
      <formula>"PROPONENTE PLURAL"</formula>
    </cfRule>
    <cfRule type="cellIs" dxfId="1818" priority="1709" operator="equal">
      <formula>"PROPONENTE INDIVIDUAL"</formula>
    </cfRule>
  </conditionalFormatting>
  <conditionalFormatting sqref="Z2118:AA2118 AA2112:AA2117">
    <cfRule type="cellIs" dxfId="1817" priority="1706" operator="equal">
      <formula>"NO APLICA"</formula>
    </cfRule>
    <cfRule type="cellIs" dxfId="1816" priority="1707" operator="equal">
      <formula>"SI APLICA"</formula>
    </cfRule>
  </conditionalFormatting>
  <conditionalFormatting sqref="AB2112:AB2117 Y2112:Z2117">
    <cfRule type="cellIs" dxfId="1815" priority="1705" operator="equal">
      <formula>""</formula>
    </cfRule>
  </conditionalFormatting>
  <conditionalFormatting sqref="H2118">
    <cfRule type="containsText" dxfId="1814" priority="1703" stopIfTrue="1" operator="containsText" text="NO CUMPLE">
      <formula>NOT(ISERROR(SEARCH("NO CUMPLE",H2118)))</formula>
    </cfRule>
    <cfRule type="containsText" dxfId="1813" priority="1704" stopIfTrue="1" operator="containsText" text="CUMPLE">
      <formula>NOT(ISERROR(SEARCH("CUMPLE",H2118)))</formula>
    </cfRule>
  </conditionalFormatting>
  <conditionalFormatting sqref="J2118">
    <cfRule type="containsText" dxfId="1812" priority="1701" stopIfTrue="1" operator="containsText" text="NO CUMPLE">
      <formula>NOT(ISERROR(SEARCH("NO CUMPLE",J2118)))</formula>
    </cfRule>
    <cfRule type="containsText" dxfId="1811" priority="1702" stopIfTrue="1" operator="containsText" text="CUMPLE">
      <formula>NOT(ISERROR(SEARCH("CUMPLE",J2118)))</formula>
    </cfRule>
  </conditionalFormatting>
  <conditionalFormatting sqref="K2118">
    <cfRule type="containsText" dxfId="1810" priority="1699" stopIfTrue="1" operator="containsText" text="NO CUMPLE">
      <formula>NOT(ISERROR(SEARCH("NO CUMPLE",K2118)))</formula>
    </cfRule>
    <cfRule type="containsText" dxfId="1809" priority="1700" stopIfTrue="1" operator="containsText" text="CUMPLE">
      <formula>NOT(ISERROR(SEARCH("CUMPLE",K2118)))</formula>
    </cfRule>
  </conditionalFormatting>
  <conditionalFormatting sqref="L2112:L2117">
    <cfRule type="containsText" dxfId="1808" priority="1697" stopIfTrue="1" operator="containsText" text="NO CUMPLE">
      <formula>NOT(ISERROR(SEARCH("NO CUMPLE",L2112)))</formula>
    </cfRule>
    <cfRule type="containsText" dxfId="1807" priority="1698" stopIfTrue="1" operator="containsText" text="CUMPLE">
      <formula>NOT(ISERROR(SEARCH("CUMPLE",L2112)))</formula>
    </cfRule>
  </conditionalFormatting>
  <conditionalFormatting sqref="O2117">
    <cfRule type="containsText" dxfId="1806" priority="1695" stopIfTrue="1" operator="containsText" text="NO CUMPLE">
      <formula>NOT(ISERROR(SEARCH("NO CUMPLE",O2117)))</formula>
    </cfRule>
    <cfRule type="containsText" dxfId="1805" priority="1696" stopIfTrue="1" operator="containsText" text="CUMPLE">
      <formula>NOT(ISERROR(SEARCH("CUMPLE",O2117)))</formula>
    </cfRule>
  </conditionalFormatting>
  <conditionalFormatting sqref="O2118:S2118">
    <cfRule type="cellIs" dxfId="1804" priority="1694" operator="equal">
      <formula>"EL PROPONENTE SE DEBE REQUERIR POR EXPERIENCIA MINIMA EXIGIDA"</formula>
    </cfRule>
  </conditionalFormatting>
  <conditionalFormatting sqref="X2106">
    <cfRule type="cellIs" dxfId="1803" priority="1691" stopIfTrue="1" operator="equal">
      <formula>"VERIFICAR"</formula>
    </cfRule>
    <cfRule type="cellIs" dxfId="1802" priority="1692" stopIfTrue="1" operator="equal">
      <formula>"NO CUMPLE"</formula>
    </cfRule>
    <cfRule type="cellIs" dxfId="1801" priority="1693" stopIfTrue="1" operator="equal">
      <formula>"CUMPLE"</formula>
    </cfRule>
  </conditionalFormatting>
  <conditionalFormatting sqref="X2095:Y2104 J2095:J2104">
    <cfRule type="cellIs" dxfId="1800" priority="1690" stopIfTrue="1" operator="greaterThan">
      <formula>0</formula>
    </cfRule>
  </conditionalFormatting>
  <conditionalFormatting sqref="X2095:Y2104">
    <cfRule type="cellIs" dxfId="1799" priority="1688" operator="equal">
      <formula>"NO CUMPLE"</formula>
    </cfRule>
    <cfRule type="cellIs" dxfId="1798" priority="1689" operator="equal">
      <formula>"CUMPLE"</formula>
    </cfRule>
  </conditionalFormatting>
  <conditionalFormatting sqref="N2112:N2117">
    <cfRule type="cellIs" dxfId="1797" priority="1686" operator="equal">
      <formula>"NO"</formula>
    </cfRule>
    <cfRule type="cellIs" dxfId="1796" priority="1687" operator="equal">
      <formula>"SI"</formula>
    </cfRule>
  </conditionalFormatting>
  <conditionalFormatting sqref="I2104">
    <cfRule type="cellIs" dxfId="1795" priority="1685" stopIfTrue="1" operator="greaterThan">
      <formula>0</formula>
    </cfRule>
  </conditionalFormatting>
  <conditionalFormatting sqref="K2098:L2104">
    <cfRule type="cellIs" dxfId="1794" priority="1683" operator="equal">
      <formula>0</formula>
    </cfRule>
    <cfRule type="cellIs" dxfId="1793" priority="1684" operator="notBetween">
      <formula>$Q$17</formula>
      <formula>$R$17</formula>
    </cfRule>
  </conditionalFormatting>
  <conditionalFormatting sqref="B2095:B2104">
    <cfRule type="cellIs" dxfId="1792" priority="1682" stopIfTrue="1" operator="greaterThan">
      <formula>0</formula>
    </cfRule>
  </conditionalFormatting>
  <conditionalFormatting sqref="C2095:D2095 D2096:D2097 C2096:C2104">
    <cfRule type="cellIs" dxfId="1791" priority="1681" stopIfTrue="1" operator="greaterThan">
      <formula>0</formula>
    </cfRule>
  </conditionalFormatting>
  <conditionalFormatting sqref="C2095:D2095 F2095:H2097 D2096:D2097 C2096:C2104">
    <cfRule type="cellIs" dxfId="1790" priority="1680" stopIfTrue="1" operator="greaterThan">
      <formula>0</formula>
    </cfRule>
  </conditionalFormatting>
  <conditionalFormatting sqref="T2095:V2097">
    <cfRule type="cellIs" dxfId="1789" priority="1678" stopIfTrue="1" operator="equal">
      <formula>"NO"</formula>
    </cfRule>
    <cfRule type="cellIs" dxfId="1788" priority="1679" stopIfTrue="1" operator="equal">
      <formula>"SI"</formula>
    </cfRule>
  </conditionalFormatting>
  <conditionalFormatting sqref="T2095:V2096">
    <cfRule type="cellIs" dxfId="1787" priority="1677" stopIfTrue="1" operator="equal">
      <formula>"NO APLICA"</formula>
    </cfRule>
  </conditionalFormatting>
  <conditionalFormatting sqref="T2097:U2097">
    <cfRule type="cellIs" dxfId="1786" priority="1676" stopIfTrue="1" operator="equal">
      <formula>"NO APLICA"</formula>
    </cfRule>
  </conditionalFormatting>
  <conditionalFormatting sqref="T2097:U2097">
    <cfRule type="cellIs" dxfId="1785" priority="1675" stopIfTrue="1" operator="equal">
      <formula>"NO APLICA"</formula>
    </cfRule>
  </conditionalFormatting>
  <conditionalFormatting sqref="V2097">
    <cfRule type="cellIs" dxfId="1784" priority="1674" stopIfTrue="1" operator="equal">
      <formula>"NO APLICA"</formula>
    </cfRule>
  </conditionalFormatting>
  <conditionalFormatting sqref="K2095:L2097">
    <cfRule type="cellIs" dxfId="1783" priority="1672" operator="equal">
      <formula>0</formula>
    </cfRule>
    <cfRule type="cellIs" dxfId="1782" priority="1673" operator="notBetween">
      <formula>$Q$17</formula>
      <formula>$R$17</formula>
    </cfRule>
  </conditionalFormatting>
  <conditionalFormatting sqref="F2128:H2133 D2134:H2134 I2128:I2134 C2125:D2125 K2125:O2134 F2125:I2127 D2126:D2133 C2126:C2134">
    <cfRule type="cellIs" dxfId="1781" priority="1671" stopIfTrue="1" operator="greaterThan">
      <formula>0</formula>
    </cfRule>
  </conditionalFormatting>
  <conditionalFormatting sqref="D2128:D2133">
    <cfRule type="cellIs" dxfId="1780" priority="1670" stopIfTrue="1" operator="greaterThan">
      <formula>0</formula>
    </cfRule>
  </conditionalFormatting>
  <conditionalFormatting sqref="D2128:D2133 F2128:H2133">
    <cfRule type="cellIs" dxfId="1779" priority="1669" stopIfTrue="1" operator="greaterThan">
      <formula>0</formula>
    </cfRule>
  </conditionalFormatting>
  <conditionalFormatting sqref="H2125:H2133">
    <cfRule type="cellIs" dxfId="1778" priority="1668" stopIfTrue="1" operator="greaterThan">
      <formula>0</formula>
    </cfRule>
  </conditionalFormatting>
  <conditionalFormatting sqref="E2125:E2133">
    <cfRule type="cellIs" dxfId="1777" priority="1667" stopIfTrue="1" operator="greaterThan">
      <formula>0</formula>
    </cfRule>
  </conditionalFormatting>
  <conditionalFormatting sqref="M2142:M2147 K2142:K2147">
    <cfRule type="containsText" dxfId="1776" priority="1665" stopIfTrue="1" operator="containsText" text="NO CUMPLE">
      <formula>NOT(ISERROR(SEARCH("NO CUMPLE",K2142)))</formula>
    </cfRule>
    <cfRule type="containsText" dxfId="1775" priority="1666" stopIfTrue="1" operator="containsText" text="CUMPLE">
      <formula>NOT(ISERROR(SEARCH("CUMPLE",K2142)))</formula>
    </cfRule>
  </conditionalFormatting>
  <conditionalFormatting sqref="S2141">
    <cfRule type="cellIs" dxfId="1774" priority="1663" operator="greaterThanOrEqual">
      <formula>NUMMINCONT</formula>
    </cfRule>
    <cfRule type="cellIs" dxfId="1773" priority="1664" operator="lessThan">
      <formula>NUMMINCONT</formula>
    </cfRule>
  </conditionalFormatting>
  <conditionalFormatting sqref="T2128:V2133">
    <cfRule type="cellIs" dxfId="1772" priority="1661" stopIfTrue="1" operator="equal">
      <formula>"NO"</formula>
    </cfRule>
    <cfRule type="cellIs" dxfId="1771" priority="1662" stopIfTrue="1" operator="equal">
      <formula>"SI"</formula>
    </cfRule>
  </conditionalFormatting>
  <conditionalFormatting sqref="T2128:V2129">
    <cfRule type="cellIs" dxfId="1770" priority="1660" stopIfTrue="1" operator="equal">
      <formula>"NO APLICA"</formula>
    </cfRule>
  </conditionalFormatting>
  <conditionalFormatting sqref="T2130:U2133">
    <cfRule type="cellIs" dxfId="1769" priority="1659" stopIfTrue="1" operator="equal">
      <formula>"NO APLICA"</formula>
    </cfRule>
  </conditionalFormatting>
  <conditionalFormatting sqref="T2130:U2130">
    <cfRule type="cellIs" dxfId="1768" priority="1658" stopIfTrue="1" operator="equal">
      <formula>"NO APLICA"</formula>
    </cfRule>
  </conditionalFormatting>
  <conditionalFormatting sqref="V2130:V2133">
    <cfRule type="cellIs" dxfId="1767" priority="1657" stopIfTrue="1" operator="equal">
      <formula>"NO APLICA"</formula>
    </cfRule>
  </conditionalFormatting>
  <conditionalFormatting sqref="V2139:W2139">
    <cfRule type="cellIs" dxfId="1766" priority="1655" operator="equal">
      <formula>"CUMPLE"</formula>
    </cfRule>
    <cfRule type="cellIs" dxfId="1765" priority="1656" operator="equal">
      <formula>"NO CUMPLE"</formula>
    </cfRule>
  </conditionalFormatting>
  <conditionalFormatting sqref="V2139:W2141">
    <cfRule type="cellIs" dxfId="1764" priority="1654" operator="equal">
      <formula>"VERIFICAR"</formula>
    </cfRule>
  </conditionalFormatting>
  <conditionalFormatting sqref="T2134:V2134">
    <cfRule type="cellIs" dxfId="1763" priority="1652" stopIfTrue="1" operator="equal">
      <formula>"NO"</formula>
    </cfRule>
    <cfRule type="cellIs" dxfId="1762" priority="1653" stopIfTrue="1" operator="equal">
      <formula>"SI"</formula>
    </cfRule>
  </conditionalFormatting>
  <conditionalFormatting sqref="T2134:U2134">
    <cfRule type="cellIs" dxfId="1761" priority="1651" stopIfTrue="1" operator="equal">
      <formula>"NO APLICA"</formula>
    </cfRule>
  </conditionalFormatting>
  <conditionalFormatting sqref="V2134">
    <cfRule type="cellIs" dxfId="1760" priority="1650" stopIfTrue="1" operator="equal">
      <formula>"NO APLICA"</formula>
    </cfRule>
  </conditionalFormatting>
  <conditionalFormatting sqref="T2144">
    <cfRule type="cellIs" dxfId="1759" priority="1648" operator="equal">
      <formula>"CUMPLE"</formula>
    </cfRule>
    <cfRule type="cellIs" dxfId="1758" priority="1649" operator="equal">
      <formula>"NO CUMPLE"</formula>
    </cfRule>
  </conditionalFormatting>
  <conditionalFormatting sqref="T2144">
    <cfRule type="cellIs" dxfId="1757" priority="1647" operator="equal">
      <formula>"VERIFICAR"</formula>
    </cfRule>
  </conditionalFormatting>
  <conditionalFormatting sqref="Y2142:Y2147">
    <cfRule type="cellIs" dxfId="1756" priority="1646" stopIfTrue="1" operator="equal">
      <formula>"NO APLICA"</formula>
    </cfRule>
  </conditionalFormatting>
  <conditionalFormatting sqref="Y2147">
    <cfRule type="cellIs" dxfId="1755" priority="1645" stopIfTrue="1" operator="equal">
      <formula>"NO APLICA"</formula>
    </cfRule>
  </conditionalFormatting>
  <conditionalFormatting sqref="X2142:Y2147">
    <cfRule type="cellIs" dxfId="1754" priority="1643" stopIfTrue="1" operator="equal">
      <formula>"NO"</formula>
    </cfRule>
    <cfRule type="cellIs" dxfId="1753" priority="1644" stopIfTrue="1" operator="equal">
      <formula>"SI"</formula>
    </cfRule>
  </conditionalFormatting>
  <conditionalFormatting sqref="X2142:X2147">
    <cfRule type="cellIs" dxfId="1752" priority="1642" stopIfTrue="1" operator="equal">
      <formula>"NO APLICA"</formula>
    </cfRule>
  </conditionalFormatting>
  <conditionalFormatting sqref="X2143:X2146">
    <cfRule type="cellIs" dxfId="1751" priority="1641" stopIfTrue="1" operator="equal">
      <formula>"NO APLICA"</formula>
    </cfRule>
  </conditionalFormatting>
  <conditionalFormatting sqref="X2143">
    <cfRule type="cellIs" dxfId="1750" priority="1640" stopIfTrue="1" operator="equal">
      <formula>"NO APLICA"</formula>
    </cfRule>
  </conditionalFormatting>
  <conditionalFormatting sqref="X2147">
    <cfRule type="cellIs" dxfId="1749" priority="1639" stopIfTrue="1" operator="equal">
      <formula>"NO APLICA"</formula>
    </cfRule>
  </conditionalFormatting>
  <conditionalFormatting sqref="X2147">
    <cfRule type="cellIs" dxfId="1748" priority="1638" stopIfTrue="1" operator="equal">
      <formula>"NO APLICA"</formula>
    </cfRule>
  </conditionalFormatting>
  <conditionalFormatting sqref="AA2142:AA2147">
    <cfRule type="cellIs" dxfId="1747" priority="1637" stopIfTrue="1" operator="equal">
      <formula>"NO APLICA"</formula>
    </cfRule>
  </conditionalFormatting>
  <conditionalFormatting sqref="AA2147">
    <cfRule type="cellIs" dxfId="1746" priority="1636" stopIfTrue="1" operator="equal">
      <formula>"NO APLICA"</formula>
    </cfRule>
  </conditionalFormatting>
  <conditionalFormatting sqref="AA2142:AA2147">
    <cfRule type="cellIs" dxfId="1745" priority="1634" stopIfTrue="1" operator="equal">
      <formula>"NO"</formula>
    </cfRule>
    <cfRule type="cellIs" dxfId="1744" priority="1635" stopIfTrue="1" operator="equal">
      <formula>"SI"</formula>
    </cfRule>
  </conditionalFormatting>
  <conditionalFormatting sqref="Y2142:Z2147">
    <cfRule type="cellIs" dxfId="1743" priority="1632" operator="equal">
      <formula>"NO APLICA"</formula>
    </cfRule>
    <cfRule type="cellIs" dxfId="1742" priority="1633" operator="equal">
      <formula>"SI APLICA"</formula>
    </cfRule>
  </conditionalFormatting>
  <conditionalFormatting sqref="AB2142:AB2148">
    <cfRule type="cellIs" dxfId="1741" priority="1630" operator="equal">
      <formula>"NO APLICA"</formula>
    </cfRule>
    <cfRule type="cellIs" dxfId="1740" priority="1631" operator="equal">
      <formula>"SI APLICA"</formula>
    </cfRule>
  </conditionalFormatting>
  <conditionalFormatting sqref="X2148">
    <cfRule type="cellIs" dxfId="1739" priority="1628" operator="equal">
      <formula>"PROPONENTE PLURAL"</formula>
    </cfRule>
    <cfRule type="cellIs" dxfId="1738" priority="1629" operator="equal">
      <formula>"PROPONENTE INDIVIDUAL"</formula>
    </cfRule>
  </conditionalFormatting>
  <conditionalFormatting sqref="Z2148:AA2148 AA2142:AA2147">
    <cfRule type="cellIs" dxfId="1737" priority="1626" operator="equal">
      <formula>"NO APLICA"</formula>
    </cfRule>
    <cfRule type="cellIs" dxfId="1736" priority="1627" operator="equal">
      <formula>"SI APLICA"</formula>
    </cfRule>
  </conditionalFormatting>
  <conditionalFormatting sqref="AB2142:AB2147 Y2142:Z2147">
    <cfRule type="cellIs" dxfId="1735" priority="1625" operator="equal">
      <formula>""</formula>
    </cfRule>
  </conditionalFormatting>
  <conditionalFormatting sqref="H2148">
    <cfRule type="containsText" dxfId="1734" priority="1623" stopIfTrue="1" operator="containsText" text="NO CUMPLE">
      <formula>NOT(ISERROR(SEARCH("NO CUMPLE",H2148)))</formula>
    </cfRule>
    <cfRule type="containsText" dxfId="1733" priority="1624" stopIfTrue="1" operator="containsText" text="CUMPLE">
      <formula>NOT(ISERROR(SEARCH("CUMPLE",H2148)))</formula>
    </cfRule>
  </conditionalFormatting>
  <conditionalFormatting sqref="J2148">
    <cfRule type="containsText" dxfId="1732" priority="1621" stopIfTrue="1" operator="containsText" text="NO CUMPLE">
      <formula>NOT(ISERROR(SEARCH("NO CUMPLE",J2148)))</formula>
    </cfRule>
    <cfRule type="containsText" dxfId="1731" priority="1622" stopIfTrue="1" operator="containsText" text="CUMPLE">
      <formula>NOT(ISERROR(SEARCH("CUMPLE",J2148)))</formula>
    </cfRule>
  </conditionalFormatting>
  <conditionalFormatting sqref="K2148">
    <cfRule type="containsText" dxfId="1730" priority="1619" stopIfTrue="1" operator="containsText" text="NO CUMPLE">
      <formula>NOT(ISERROR(SEARCH("NO CUMPLE",K2148)))</formula>
    </cfRule>
    <cfRule type="containsText" dxfId="1729" priority="1620" stopIfTrue="1" operator="containsText" text="CUMPLE">
      <formula>NOT(ISERROR(SEARCH("CUMPLE",K2148)))</formula>
    </cfRule>
  </conditionalFormatting>
  <conditionalFormatting sqref="L2142:L2147">
    <cfRule type="containsText" dxfId="1728" priority="1617" stopIfTrue="1" operator="containsText" text="NO CUMPLE">
      <formula>NOT(ISERROR(SEARCH("NO CUMPLE",L2142)))</formula>
    </cfRule>
    <cfRule type="containsText" dxfId="1727" priority="1618" stopIfTrue="1" operator="containsText" text="CUMPLE">
      <formula>NOT(ISERROR(SEARCH("CUMPLE",L2142)))</formula>
    </cfRule>
  </conditionalFormatting>
  <conditionalFormatting sqref="O2147">
    <cfRule type="containsText" dxfId="1726" priority="1615" stopIfTrue="1" operator="containsText" text="NO CUMPLE">
      <formula>NOT(ISERROR(SEARCH("NO CUMPLE",O2147)))</formula>
    </cfRule>
    <cfRule type="containsText" dxfId="1725" priority="1616" stopIfTrue="1" operator="containsText" text="CUMPLE">
      <formula>NOT(ISERROR(SEARCH("CUMPLE",O2147)))</formula>
    </cfRule>
  </conditionalFormatting>
  <conditionalFormatting sqref="O2148:S2148">
    <cfRule type="cellIs" dxfId="1724" priority="1614" operator="equal">
      <formula>"EL PROPONENTE SE DEBE REQUERIR POR EXPERIENCIA MINIMA EXIGIDA"</formula>
    </cfRule>
  </conditionalFormatting>
  <conditionalFormatting sqref="X2136">
    <cfRule type="cellIs" dxfId="1723" priority="1611" stopIfTrue="1" operator="equal">
      <formula>"VERIFICAR"</formula>
    </cfRule>
    <cfRule type="cellIs" dxfId="1722" priority="1612" stopIfTrue="1" operator="equal">
      <formula>"NO CUMPLE"</formula>
    </cfRule>
    <cfRule type="cellIs" dxfId="1721" priority="1613" stopIfTrue="1" operator="equal">
      <formula>"CUMPLE"</formula>
    </cfRule>
  </conditionalFormatting>
  <conditionalFormatting sqref="X2125:Y2134 J2125:J2134">
    <cfRule type="cellIs" dxfId="1720" priority="1610" stopIfTrue="1" operator="greaterThan">
      <formula>0</formula>
    </cfRule>
  </conditionalFormatting>
  <conditionalFormatting sqref="X2125:Y2134">
    <cfRule type="cellIs" dxfId="1719" priority="1608" operator="equal">
      <formula>"NO CUMPLE"</formula>
    </cfRule>
    <cfRule type="cellIs" dxfId="1718" priority="1609" operator="equal">
      <formula>"CUMPLE"</formula>
    </cfRule>
  </conditionalFormatting>
  <conditionalFormatting sqref="N2142:N2147">
    <cfRule type="cellIs" dxfId="1717" priority="1606" operator="equal">
      <formula>"NO"</formula>
    </cfRule>
    <cfRule type="cellIs" dxfId="1716" priority="1607" operator="equal">
      <formula>"SI"</formula>
    </cfRule>
  </conditionalFormatting>
  <conditionalFormatting sqref="I2134">
    <cfRule type="cellIs" dxfId="1715" priority="1605" stopIfTrue="1" operator="greaterThan">
      <formula>0</formula>
    </cfRule>
  </conditionalFormatting>
  <conditionalFormatting sqref="K2128:L2134">
    <cfRule type="cellIs" dxfId="1714" priority="1603" operator="equal">
      <formula>0</formula>
    </cfRule>
    <cfRule type="cellIs" dxfId="1713" priority="1604" operator="notBetween">
      <formula>$Q$17</formula>
      <formula>$R$17</formula>
    </cfRule>
  </conditionalFormatting>
  <conditionalFormatting sqref="B2125:B2134">
    <cfRule type="cellIs" dxfId="1712" priority="1602" stopIfTrue="1" operator="greaterThan">
      <formula>0</formula>
    </cfRule>
  </conditionalFormatting>
  <conditionalFormatting sqref="C2125:D2125 D2126:D2127 C2126:C2134">
    <cfRule type="cellIs" dxfId="1711" priority="1601" stopIfTrue="1" operator="greaterThan">
      <formula>0</formula>
    </cfRule>
  </conditionalFormatting>
  <conditionalFormatting sqref="C2125:D2125 F2125:H2127 D2126:D2127 C2126:C2134">
    <cfRule type="cellIs" dxfId="1710" priority="1600" stopIfTrue="1" operator="greaterThan">
      <formula>0</formula>
    </cfRule>
  </conditionalFormatting>
  <conditionalFormatting sqref="T2125:V2127">
    <cfRule type="cellIs" dxfId="1709" priority="1598" stopIfTrue="1" operator="equal">
      <formula>"NO"</formula>
    </cfRule>
    <cfRule type="cellIs" dxfId="1708" priority="1599" stopIfTrue="1" operator="equal">
      <formula>"SI"</formula>
    </cfRule>
  </conditionalFormatting>
  <conditionalFormatting sqref="T2125:V2126">
    <cfRule type="cellIs" dxfId="1707" priority="1597" stopIfTrue="1" operator="equal">
      <formula>"NO APLICA"</formula>
    </cfRule>
  </conditionalFormatting>
  <conditionalFormatting sqref="T2127:U2127">
    <cfRule type="cellIs" dxfId="1706" priority="1596" stopIfTrue="1" operator="equal">
      <formula>"NO APLICA"</formula>
    </cfRule>
  </conditionalFormatting>
  <conditionalFormatting sqref="T2127:U2127">
    <cfRule type="cellIs" dxfId="1705" priority="1595" stopIfTrue="1" operator="equal">
      <formula>"NO APLICA"</formula>
    </cfRule>
  </conditionalFormatting>
  <conditionalFormatting sqref="V2127">
    <cfRule type="cellIs" dxfId="1704" priority="1594" stopIfTrue="1" operator="equal">
      <formula>"NO APLICA"</formula>
    </cfRule>
  </conditionalFormatting>
  <conditionalFormatting sqref="K2125:L2127">
    <cfRule type="cellIs" dxfId="1703" priority="1592" operator="equal">
      <formula>0</formula>
    </cfRule>
    <cfRule type="cellIs" dxfId="1702" priority="1593" operator="notBetween">
      <formula>$Q$17</formula>
      <formula>$R$17</formula>
    </cfRule>
  </conditionalFormatting>
  <conditionalFormatting sqref="F2158:H2163 D2164:H2164 I2158:I2164 C2155:D2155 K2155:O2164 F2155:I2157 D2156:D2163 C2156:C2164">
    <cfRule type="cellIs" dxfId="1701" priority="1591" stopIfTrue="1" operator="greaterThan">
      <formula>0</formula>
    </cfRule>
  </conditionalFormatting>
  <conditionalFormatting sqref="D2158:D2163">
    <cfRule type="cellIs" dxfId="1700" priority="1590" stopIfTrue="1" operator="greaterThan">
      <formula>0</formula>
    </cfRule>
  </conditionalFormatting>
  <conditionalFormatting sqref="D2158:D2163 F2158:H2163">
    <cfRule type="cellIs" dxfId="1699" priority="1589" stopIfTrue="1" operator="greaterThan">
      <formula>0</formula>
    </cfRule>
  </conditionalFormatting>
  <conditionalFormatting sqref="H2155:H2163">
    <cfRule type="cellIs" dxfId="1698" priority="1588" stopIfTrue="1" operator="greaterThan">
      <formula>0</formula>
    </cfRule>
  </conditionalFormatting>
  <conditionalFormatting sqref="E2155:E2163">
    <cfRule type="cellIs" dxfId="1697" priority="1587" stopIfTrue="1" operator="greaterThan">
      <formula>0</formula>
    </cfRule>
  </conditionalFormatting>
  <conditionalFormatting sqref="M2172:M2177 K2172:K2177">
    <cfRule type="containsText" dxfId="1696" priority="1585" stopIfTrue="1" operator="containsText" text="NO CUMPLE">
      <formula>NOT(ISERROR(SEARCH("NO CUMPLE",K2172)))</formula>
    </cfRule>
    <cfRule type="containsText" dxfId="1695" priority="1586" stopIfTrue="1" operator="containsText" text="CUMPLE">
      <formula>NOT(ISERROR(SEARCH("CUMPLE",K2172)))</formula>
    </cfRule>
  </conditionalFormatting>
  <conditionalFormatting sqref="S2171">
    <cfRule type="cellIs" dxfId="1694" priority="1583" operator="greaterThanOrEqual">
      <formula>NUMMINCONT</formula>
    </cfRule>
    <cfRule type="cellIs" dxfId="1693" priority="1584" operator="lessThan">
      <formula>NUMMINCONT</formula>
    </cfRule>
  </conditionalFormatting>
  <conditionalFormatting sqref="T2158:V2163">
    <cfRule type="cellIs" dxfId="1692" priority="1581" stopIfTrue="1" operator="equal">
      <formula>"NO"</formula>
    </cfRule>
    <cfRule type="cellIs" dxfId="1691" priority="1582" stopIfTrue="1" operator="equal">
      <formula>"SI"</formula>
    </cfRule>
  </conditionalFormatting>
  <conditionalFormatting sqref="T2158:V2159">
    <cfRule type="cellIs" dxfId="1690" priority="1580" stopIfTrue="1" operator="equal">
      <formula>"NO APLICA"</formula>
    </cfRule>
  </conditionalFormatting>
  <conditionalFormatting sqref="T2160:U2163">
    <cfRule type="cellIs" dxfId="1689" priority="1579" stopIfTrue="1" operator="equal">
      <formula>"NO APLICA"</formula>
    </cfRule>
  </conditionalFormatting>
  <conditionalFormatting sqref="T2160:U2160">
    <cfRule type="cellIs" dxfId="1688" priority="1578" stopIfTrue="1" operator="equal">
      <formula>"NO APLICA"</formula>
    </cfRule>
  </conditionalFormatting>
  <conditionalFormatting sqref="V2160:V2163">
    <cfRule type="cellIs" dxfId="1687" priority="1577" stopIfTrue="1" operator="equal">
      <formula>"NO APLICA"</formula>
    </cfRule>
  </conditionalFormatting>
  <conditionalFormatting sqref="V2169:W2169">
    <cfRule type="cellIs" dxfId="1686" priority="1575" operator="equal">
      <formula>"CUMPLE"</formula>
    </cfRule>
    <cfRule type="cellIs" dxfId="1685" priority="1576" operator="equal">
      <formula>"NO CUMPLE"</formula>
    </cfRule>
  </conditionalFormatting>
  <conditionalFormatting sqref="V2169:W2171">
    <cfRule type="cellIs" dxfId="1684" priority="1574" operator="equal">
      <formula>"VERIFICAR"</formula>
    </cfRule>
  </conditionalFormatting>
  <conditionalFormatting sqref="T2164:V2164">
    <cfRule type="cellIs" dxfId="1683" priority="1572" stopIfTrue="1" operator="equal">
      <formula>"NO"</formula>
    </cfRule>
    <cfRule type="cellIs" dxfId="1682" priority="1573" stopIfTrue="1" operator="equal">
      <formula>"SI"</formula>
    </cfRule>
  </conditionalFormatting>
  <conditionalFormatting sqref="T2164:U2164">
    <cfRule type="cellIs" dxfId="1681" priority="1571" stopIfTrue="1" operator="equal">
      <formula>"NO APLICA"</formula>
    </cfRule>
  </conditionalFormatting>
  <conditionalFormatting sqref="V2164">
    <cfRule type="cellIs" dxfId="1680" priority="1570" stopIfTrue="1" operator="equal">
      <formula>"NO APLICA"</formula>
    </cfRule>
  </conditionalFormatting>
  <conditionalFormatting sqref="T2174">
    <cfRule type="cellIs" dxfId="1679" priority="1568" operator="equal">
      <formula>"CUMPLE"</formula>
    </cfRule>
    <cfRule type="cellIs" dxfId="1678" priority="1569" operator="equal">
      <formula>"NO CUMPLE"</formula>
    </cfRule>
  </conditionalFormatting>
  <conditionalFormatting sqref="T2174">
    <cfRule type="cellIs" dxfId="1677" priority="1567" operator="equal">
      <formula>"VERIFICAR"</formula>
    </cfRule>
  </conditionalFormatting>
  <conditionalFormatting sqref="Y2172:Y2177">
    <cfRule type="cellIs" dxfId="1676" priority="1566" stopIfTrue="1" operator="equal">
      <formula>"NO APLICA"</formula>
    </cfRule>
  </conditionalFormatting>
  <conditionalFormatting sqref="Y2177">
    <cfRule type="cellIs" dxfId="1675" priority="1565" stopIfTrue="1" operator="equal">
      <formula>"NO APLICA"</formula>
    </cfRule>
  </conditionalFormatting>
  <conditionalFormatting sqref="X2172:Y2177">
    <cfRule type="cellIs" dxfId="1674" priority="1563" stopIfTrue="1" operator="equal">
      <formula>"NO"</formula>
    </cfRule>
    <cfRule type="cellIs" dxfId="1673" priority="1564" stopIfTrue="1" operator="equal">
      <formula>"SI"</formula>
    </cfRule>
  </conditionalFormatting>
  <conditionalFormatting sqref="X2172:X2177">
    <cfRule type="cellIs" dxfId="1672" priority="1562" stopIfTrue="1" operator="equal">
      <formula>"NO APLICA"</formula>
    </cfRule>
  </conditionalFormatting>
  <conditionalFormatting sqref="X2173:X2176">
    <cfRule type="cellIs" dxfId="1671" priority="1561" stopIfTrue="1" operator="equal">
      <formula>"NO APLICA"</formula>
    </cfRule>
  </conditionalFormatting>
  <conditionalFormatting sqref="X2173">
    <cfRule type="cellIs" dxfId="1670" priority="1560" stopIfTrue="1" operator="equal">
      <formula>"NO APLICA"</formula>
    </cfRule>
  </conditionalFormatting>
  <conditionalFormatting sqref="X2177">
    <cfRule type="cellIs" dxfId="1669" priority="1559" stopIfTrue="1" operator="equal">
      <formula>"NO APLICA"</formula>
    </cfRule>
  </conditionalFormatting>
  <conditionalFormatting sqref="X2177">
    <cfRule type="cellIs" dxfId="1668" priority="1558" stopIfTrue="1" operator="equal">
      <formula>"NO APLICA"</formula>
    </cfRule>
  </conditionalFormatting>
  <conditionalFormatting sqref="AA2172:AA2177">
    <cfRule type="cellIs" dxfId="1667" priority="1557" stopIfTrue="1" operator="equal">
      <formula>"NO APLICA"</formula>
    </cfRule>
  </conditionalFormatting>
  <conditionalFormatting sqref="AA2177">
    <cfRule type="cellIs" dxfId="1666" priority="1556" stopIfTrue="1" operator="equal">
      <formula>"NO APLICA"</formula>
    </cfRule>
  </conditionalFormatting>
  <conditionalFormatting sqref="AA2172:AA2177">
    <cfRule type="cellIs" dxfId="1665" priority="1554" stopIfTrue="1" operator="equal">
      <formula>"NO"</formula>
    </cfRule>
    <cfRule type="cellIs" dxfId="1664" priority="1555" stopIfTrue="1" operator="equal">
      <formula>"SI"</formula>
    </cfRule>
  </conditionalFormatting>
  <conditionalFormatting sqref="Y2172:Z2177">
    <cfRule type="cellIs" dxfId="1663" priority="1552" operator="equal">
      <formula>"NO APLICA"</formula>
    </cfRule>
    <cfRule type="cellIs" dxfId="1662" priority="1553" operator="equal">
      <formula>"SI APLICA"</formula>
    </cfRule>
  </conditionalFormatting>
  <conditionalFormatting sqref="AB2172:AB2178">
    <cfRule type="cellIs" dxfId="1661" priority="1550" operator="equal">
      <formula>"NO APLICA"</formula>
    </cfRule>
    <cfRule type="cellIs" dxfId="1660" priority="1551" operator="equal">
      <formula>"SI APLICA"</formula>
    </cfRule>
  </conditionalFormatting>
  <conditionalFormatting sqref="X2178">
    <cfRule type="cellIs" dxfId="1659" priority="1548" operator="equal">
      <formula>"PROPONENTE PLURAL"</formula>
    </cfRule>
    <cfRule type="cellIs" dxfId="1658" priority="1549" operator="equal">
      <formula>"PROPONENTE INDIVIDUAL"</formula>
    </cfRule>
  </conditionalFormatting>
  <conditionalFormatting sqref="Z2178:AA2178 AA2172:AA2177">
    <cfRule type="cellIs" dxfId="1657" priority="1546" operator="equal">
      <formula>"NO APLICA"</formula>
    </cfRule>
    <cfRule type="cellIs" dxfId="1656" priority="1547" operator="equal">
      <formula>"SI APLICA"</formula>
    </cfRule>
  </conditionalFormatting>
  <conditionalFormatting sqref="AB2172:AB2177 Y2172:Z2177">
    <cfRule type="cellIs" dxfId="1655" priority="1545" operator="equal">
      <formula>""</formula>
    </cfRule>
  </conditionalFormatting>
  <conditionalFormatting sqref="H2178">
    <cfRule type="containsText" dxfId="1654" priority="1543" stopIfTrue="1" operator="containsText" text="NO CUMPLE">
      <formula>NOT(ISERROR(SEARCH("NO CUMPLE",H2178)))</formula>
    </cfRule>
    <cfRule type="containsText" dxfId="1653" priority="1544" stopIfTrue="1" operator="containsText" text="CUMPLE">
      <formula>NOT(ISERROR(SEARCH("CUMPLE",H2178)))</formula>
    </cfRule>
  </conditionalFormatting>
  <conditionalFormatting sqref="J2178">
    <cfRule type="containsText" dxfId="1652" priority="1541" stopIfTrue="1" operator="containsText" text="NO CUMPLE">
      <formula>NOT(ISERROR(SEARCH("NO CUMPLE",J2178)))</formula>
    </cfRule>
    <cfRule type="containsText" dxfId="1651" priority="1542" stopIfTrue="1" operator="containsText" text="CUMPLE">
      <formula>NOT(ISERROR(SEARCH("CUMPLE",J2178)))</formula>
    </cfRule>
  </conditionalFormatting>
  <conditionalFormatting sqref="K2178">
    <cfRule type="containsText" dxfId="1650" priority="1539" stopIfTrue="1" operator="containsText" text="NO CUMPLE">
      <formula>NOT(ISERROR(SEARCH("NO CUMPLE",K2178)))</formula>
    </cfRule>
    <cfRule type="containsText" dxfId="1649" priority="1540" stopIfTrue="1" operator="containsText" text="CUMPLE">
      <formula>NOT(ISERROR(SEARCH("CUMPLE",K2178)))</formula>
    </cfRule>
  </conditionalFormatting>
  <conditionalFormatting sqref="L2172:L2177">
    <cfRule type="containsText" dxfId="1648" priority="1537" stopIfTrue="1" operator="containsText" text="NO CUMPLE">
      <formula>NOT(ISERROR(SEARCH("NO CUMPLE",L2172)))</formula>
    </cfRule>
    <cfRule type="containsText" dxfId="1647" priority="1538" stopIfTrue="1" operator="containsText" text="CUMPLE">
      <formula>NOT(ISERROR(SEARCH("CUMPLE",L2172)))</formula>
    </cfRule>
  </conditionalFormatting>
  <conditionalFormatting sqref="O2177">
    <cfRule type="containsText" dxfId="1646" priority="1535" stopIfTrue="1" operator="containsText" text="NO CUMPLE">
      <formula>NOT(ISERROR(SEARCH("NO CUMPLE",O2177)))</formula>
    </cfRule>
    <cfRule type="containsText" dxfId="1645" priority="1536" stopIfTrue="1" operator="containsText" text="CUMPLE">
      <formula>NOT(ISERROR(SEARCH("CUMPLE",O2177)))</formula>
    </cfRule>
  </conditionalFormatting>
  <conditionalFormatting sqref="O2178:S2178">
    <cfRule type="cellIs" dxfId="1644" priority="1534" operator="equal">
      <formula>"EL PROPONENTE SE DEBE REQUERIR POR EXPERIENCIA MINIMA EXIGIDA"</formula>
    </cfRule>
  </conditionalFormatting>
  <conditionalFormatting sqref="X2166">
    <cfRule type="cellIs" dxfId="1643" priority="1531" stopIfTrue="1" operator="equal">
      <formula>"VERIFICAR"</formula>
    </cfRule>
    <cfRule type="cellIs" dxfId="1642" priority="1532" stopIfTrue="1" operator="equal">
      <formula>"NO CUMPLE"</formula>
    </cfRule>
    <cfRule type="cellIs" dxfId="1641" priority="1533" stopIfTrue="1" operator="equal">
      <formula>"CUMPLE"</formula>
    </cfRule>
  </conditionalFormatting>
  <conditionalFormatting sqref="X2155:Y2164 J2155:J2164">
    <cfRule type="cellIs" dxfId="1640" priority="1530" stopIfTrue="1" operator="greaterThan">
      <formula>0</formula>
    </cfRule>
  </conditionalFormatting>
  <conditionalFormatting sqref="X2155:Y2164">
    <cfRule type="cellIs" dxfId="1639" priority="1528" operator="equal">
      <formula>"NO CUMPLE"</formula>
    </cfRule>
    <cfRule type="cellIs" dxfId="1638" priority="1529" operator="equal">
      <formula>"CUMPLE"</formula>
    </cfRule>
  </conditionalFormatting>
  <conditionalFormatting sqref="N2172:N2177">
    <cfRule type="cellIs" dxfId="1637" priority="1526" operator="equal">
      <formula>"NO"</formula>
    </cfRule>
    <cfRule type="cellIs" dxfId="1636" priority="1527" operator="equal">
      <formula>"SI"</formula>
    </cfRule>
  </conditionalFormatting>
  <conditionalFormatting sqref="I2164">
    <cfRule type="cellIs" dxfId="1635" priority="1525" stopIfTrue="1" operator="greaterThan">
      <formula>0</formula>
    </cfRule>
  </conditionalFormatting>
  <conditionalFormatting sqref="K2158:L2164">
    <cfRule type="cellIs" dxfId="1634" priority="1523" operator="equal">
      <formula>0</formula>
    </cfRule>
    <cfRule type="cellIs" dxfId="1633" priority="1524" operator="notBetween">
      <formula>$Q$17</formula>
      <formula>$R$17</formula>
    </cfRule>
  </conditionalFormatting>
  <conditionalFormatting sqref="B2155:B2164">
    <cfRule type="cellIs" dxfId="1632" priority="1522" stopIfTrue="1" operator="greaterThan">
      <formula>0</formula>
    </cfRule>
  </conditionalFormatting>
  <conditionalFormatting sqref="C2155:D2155 D2156:D2157 C2156:C2164">
    <cfRule type="cellIs" dxfId="1631" priority="1521" stopIfTrue="1" operator="greaterThan">
      <formula>0</formula>
    </cfRule>
  </conditionalFormatting>
  <conditionalFormatting sqref="C2155:D2155 F2155:H2157 D2156:D2157 C2156:C2164">
    <cfRule type="cellIs" dxfId="1630" priority="1520" stopIfTrue="1" operator="greaterThan">
      <formula>0</formula>
    </cfRule>
  </conditionalFormatting>
  <conditionalFormatting sqref="T2155:V2157">
    <cfRule type="cellIs" dxfId="1629" priority="1518" stopIfTrue="1" operator="equal">
      <formula>"NO"</formula>
    </cfRule>
    <cfRule type="cellIs" dxfId="1628" priority="1519" stopIfTrue="1" operator="equal">
      <formula>"SI"</formula>
    </cfRule>
  </conditionalFormatting>
  <conditionalFormatting sqref="T2155:V2156">
    <cfRule type="cellIs" dxfId="1627" priority="1517" stopIfTrue="1" operator="equal">
      <formula>"NO APLICA"</formula>
    </cfRule>
  </conditionalFormatting>
  <conditionalFormatting sqref="T2157:U2157">
    <cfRule type="cellIs" dxfId="1626" priority="1516" stopIfTrue="1" operator="equal">
      <formula>"NO APLICA"</formula>
    </cfRule>
  </conditionalFormatting>
  <conditionalFormatting sqref="T2157:U2157">
    <cfRule type="cellIs" dxfId="1625" priority="1515" stopIfTrue="1" operator="equal">
      <formula>"NO APLICA"</formula>
    </cfRule>
  </conditionalFormatting>
  <conditionalFormatting sqref="V2157">
    <cfRule type="cellIs" dxfId="1624" priority="1514" stopIfTrue="1" operator="equal">
      <formula>"NO APLICA"</formula>
    </cfRule>
  </conditionalFormatting>
  <conditionalFormatting sqref="K2155:L2157">
    <cfRule type="cellIs" dxfId="1623" priority="1512" operator="equal">
      <formula>0</formula>
    </cfRule>
    <cfRule type="cellIs" dxfId="1622" priority="1513" operator="notBetween">
      <formula>$Q$17</formula>
      <formula>$R$17</formula>
    </cfRule>
  </conditionalFormatting>
  <conditionalFormatting sqref="F2188:H2193 D2194:H2194 I2188:I2194 C2185:D2185 K2185:O2194 F2185:I2187 D2186:D2193 C2186:C2194">
    <cfRule type="cellIs" dxfId="1621" priority="1511" stopIfTrue="1" operator="greaterThan">
      <formula>0</formula>
    </cfRule>
  </conditionalFormatting>
  <conditionalFormatting sqref="D2188:D2193">
    <cfRule type="cellIs" dxfId="1620" priority="1510" stopIfTrue="1" operator="greaterThan">
      <formula>0</formula>
    </cfRule>
  </conditionalFormatting>
  <conditionalFormatting sqref="D2188:D2193 F2188:H2193">
    <cfRule type="cellIs" dxfId="1619" priority="1509" stopIfTrue="1" operator="greaterThan">
      <formula>0</formula>
    </cfRule>
  </conditionalFormatting>
  <conditionalFormatting sqref="H2185:H2193">
    <cfRule type="cellIs" dxfId="1618" priority="1508" stopIfTrue="1" operator="greaterThan">
      <formula>0</formula>
    </cfRule>
  </conditionalFormatting>
  <conditionalFormatting sqref="E2185:E2193">
    <cfRule type="cellIs" dxfId="1617" priority="1507" stopIfTrue="1" operator="greaterThan">
      <formula>0</formula>
    </cfRule>
  </conditionalFormatting>
  <conditionalFormatting sqref="M2202:M2207 K2202:K2207">
    <cfRule type="containsText" dxfId="1616" priority="1505" stopIfTrue="1" operator="containsText" text="NO CUMPLE">
      <formula>NOT(ISERROR(SEARCH("NO CUMPLE",K2202)))</formula>
    </cfRule>
    <cfRule type="containsText" dxfId="1615" priority="1506" stopIfTrue="1" operator="containsText" text="CUMPLE">
      <formula>NOT(ISERROR(SEARCH("CUMPLE",K2202)))</formula>
    </cfRule>
  </conditionalFormatting>
  <conditionalFormatting sqref="S2201">
    <cfRule type="cellIs" dxfId="1614" priority="1503" operator="greaterThanOrEqual">
      <formula>NUMMINCONT</formula>
    </cfRule>
    <cfRule type="cellIs" dxfId="1613" priority="1504" operator="lessThan">
      <formula>NUMMINCONT</formula>
    </cfRule>
  </conditionalFormatting>
  <conditionalFormatting sqref="T2188:V2193">
    <cfRule type="cellIs" dxfId="1612" priority="1501" stopIfTrue="1" operator="equal">
      <formula>"NO"</formula>
    </cfRule>
    <cfRule type="cellIs" dxfId="1611" priority="1502" stopIfTrue="1" operator="equal">
      <formula>"SI"</formula>
    </cfRule>
  </conditionalFormatting>
  <conditionalFormatting sqref="T2188:V2189">
    <cfRule type="cellIs" dxfId="1610" priority="1500" stopIfTrue="1" operator="equal">
      <formula>"NO APLICA"</formula>
    </cfRule>
  </conditionalFormatting>
  <conditionalFormatting sqref="T2190:U2193">
    <cfRule type="cellIs" dxfId="1609" priority="1499" stopIfTrue="1" operator="equal">
      <formula>"NO APLICA"</formula>
    </cfRule>
  </conditionalFormatting>
  <conditionalFormatting sqref="T2190:U2190">
    <cfRule type="cellIs" dxfId="1608" priority="1498" stopIfTrue="1" operator="equal">
      <formula>"NO APLICA"</formula>
    </cfRule>
  </conditionalFormatting>
  <conditionalFormatting sqref="V2190:V2193">
    <cfRule type="cellIs" dxfId="1607" priority="1497" stopIfTrue="1" operator="equal">
      <formula>"NO APLICA"</formula>
    </cfRule>
  </conditionalFormatting>
  <conditionalFormatting sqref="V2199:W2199">
    <cfRule type="cellIs" dxfId="1606" priority="1495" operator="equal">
      <formula>"CUMPLE"</formula>
    </cfRule>
    <cfRule type="cellIs" dxfId="1605" priority="1496" operator="equal">
      <formula>"NO CUMPLE"</formula>
    </cfRule>
  </conditionalFormatting>
  <conditionalFormatting sqref="V2199:W2201">
    <cfRule type="cellIs" dxfId="1604" priority="1494" operator="equal">
      <formula>"VERIFICAR"</formula>
    </cfRule>
  </conditionalFormatting>
  <conditionalFormatting sqref="T2194:V2194">
    <cfRule type="cellIs" dxfId="1603" priority="1492" stopIfTrue="1" operator="equal">
      <formula>"NO"</formula>
    </cfRule>
    <cfRule type="cellIs" dxfId="1602" priority="1493" stopIfTrue="1" operator="equal">
      <formula>"SI"</formula>
    </cfRule>
  </conditionalFormatting>
  <conditionalFormatting sqref="T2194:U2194">
    <cfRule type="cellIs" dxfId="1601" priority="1491" stopIfTrue="1" operator="equal">
      <formula>"NO APLICA"</formula>
    </cfRule>
  </conditionalFormatting>
  <conditionalFormatting sqref="V2194">
    <cfRule type="cellIs" dxfId="1600" priority="1490" stopIfTrue="1" operator="equal">
      <formula>"NO APLICA"</formula>
    </cfRule>
  </conditionalFormatting>
  <conditionalFormatting sqref="T2204">
    <cfRule type="cellIs" dxfId="1599" priority="1488" operator="equal">
      <formula>"CUMPLE"</formula>
    </cfRule>
    <cfRule type="cellIs" dxfId="1598" priority="1489" operator="equal">
      <formula>"NO CUMPLE"</formula>
    </cfRule>
  </conditionalFormatting>
  <conditionalFormatting sqref="T2204">
    <cfRule type="cellIs" dxfId="1597" priority="1487" operator="equal">
      <formula>"VERIFICAR"</formula>
    </cfRule>
  </conditionalFormatting>
  <conditionalFormatting sqref="Y2202:Y2207">
    <cfRule type="cellIs" dxfId="1596" priority="1486" stopIfTrue="1" operator="equal">
      <formula>"NO APLICA"</formula>
    </cfRule>
  </conditionalFormatting>
  <conditionalFormatting sqref="Y2207">
    <cfRule type="cellIs" dxfId="1595" priority="1485" stopIfTrue="1" operator="equal">
      <formula>"NO APLICA"</formula>
    </cfRule>
  </conditionalFormatting>
  <conditionalFormatting sqref="X2202:Y2207">
    <cfRule type="cellIs" dxfId="1594" priority="1483" stopIfTrue="1" operator="equal">
      <formula>"NO"</formula>
    </cfRule>
    <cfRule type="cellIs" dxfId="1593" priority="1484" stopIfTrue="1" operator="equal">
      <formula>"SI"</formula>
    </cfRule>
  </conditionalFormatting>
  <conditionalFormatting sqref="X2202:X2207">
    <cfRule type="cellIs" dxfId="1592" priority="1482" stopIfTrue="1" operator="equal">
      <formula>"NO APLICA"</formula>
    </cfRule>
  </conditionalFormatting>
  <conditionalFormatting sqref="X2203:X2206">
    <cfRule type="cellIs" dxfId="1591" priority="1481" stopIfTrue="1" operator="equal">
      <formula>"NO APLICA"</formula>
    </cfRule>
  </conditionalFormatting>
  <conditionalFormatting sqref="X2203">
    <cfRule type="cellIs" dxfId="1590" priority="1480" stopIfTrue="1" operator="equal">
      <formula>"NO APLICA"</formula>
    </cfRule>
  </conditionalFormatting>
  <conditionalFormatting sqref="X2207">
    <cfRule type="cellIs" dxfId="1589" priority="1479" stopIfTrue="1" operator="equal">
      <formula>"NO APLICA"</formula>
    </cfRule>
  </conditionalFormatting>
  <conditionalFormatting sqref="X2207">
    <cfRule type="cellIs" dxfId="1588" priority="1478" stopIfTrue="1" operator="equal">
      <formula>"NO APLICA"</formula>
    </cfRule>
  </conditionalFormatting>
  <conditionalFormatting sqref="AA2202:AA2207">
    <cfRule type="cellIs" dxfId="1587" priority="1477" stopIfTrue="1" operator="equal">
      <formula>"NO APLICA"</formula>
    </cfRule>
  </conditionalFormatting>
  <conditionalFormatting sqref="AA2207">
    <cfRule type="cellIs" dxfId="1586" priority="1476" stopIfTrue="1" operator="equal">
      <formula>"NO APLICA"</formula>
    </cfRule>
  </conditionalFormatting>
  <conditionalFormatting sqref="AA2202:AA2207">
    <cfRule type="cellIs" dxfId="1585" priority="1474" stopIfTrue="1" operator="equal">
      <formula>"NO"</formula>
    </cfRule>
    <cfRule type="cellIs" dxfId="1584" priority="1475" stopIfTrue="1" operator="equal">
      <formula>"SI"</formula>
    </cfRule>
  </conditionalFormatting>
  <conditionalFormatting sqref="Y2202:Z2207">
    <cfRule type="cellIs" dxfId="1583" priority="1472" operator="equal">
      <formula>"NO APLICA"</formula>
    </cfRule>
    <cfRule type="cellIs" dxfId="1582" priority="1473" operator="equal">
      <formula>"SI APLICA"</formula>
    </cfRule>
  </conditionalFormatting>
  <conditionalFormatting sqref="AB2202:AB2208">
    <cfRule type="cellIs" dxfId="1581" priority="1470" operator="equal">
      <formula>"NO APLICA"</formula>
    </cfRule>
    <cfRule type="cellIs" dxfId="1580" priority="1471" operator="equal">
      <formula>"SI APLICA"</formula>
    </cfRule>
  </conditionalFormatting>
  <conditionalFormatting sqref="X2208">
    <cfRule type="cellIs" dxfId="1579" priority="1468" operator="equal">
      <formula>"PROPONENTE PLURAL"</formula>
    </cfRule>
    <cfRule type="cellIs" dxfId="1578" priority="1469" operator="equal">
      <formula>"PROPONENTE INDIVIDUAL"</formula>
    </cfRule>
  </conditionalFormatting>
  <conditionalFormatting sqref="Z2208:AA2208 AA2202:AA2207">
    <cfRule type="cellIs" dxfId="1577" priority="1466" operator="equal">
      <formula>"NO APLICA"</formula>
    </cfRule>
    <cfRule type="cellIs" dxfId="1576" priority="1467" operator="equal">
      <formula>"SI APLICA"</formula>
    </cfRule>
  </conditionalFormatting>
  <conditionalFormatting sqref="AB2202:AB2207 Y2202:Z2207">
    <cfRule type="cellIs" dxfId="1575" priority="1465" operator="equal">
      <formula>""</formula>
    </cfRule>
  </conditionalFormatting>
  <conditionalFormatting sqref="H2208">
    <cfRule type="containsText" dxfId="1574" priority="1463" stopIfTrue="1" operator="containsText" text="NO CUMPLE">
      <formula>NOT(ISERROR(SEARCH("NO CUMPLE",H2208)))</formula>
    </cfRule>
    <cfRule type="containsText" dxfId="1573" priority="1464" stopIfTrue="1" operator="containsText" text="CUMPLE">
      <formula>NOT(ISERROR(SEARCH("CUMPLE",H2208)))</formula>
    </cfRule>
  </conditionalFormatting>
  <conditionalFormatting sqref="J2208">
    <cfRule type="containsText" dxfId="1572" priority="1461" stopIfTrue="1" operator="containsText" text="NO CUMPLE">
      <formula>NOT(ISERROR(SEARCH("NO CUMPLE",J2208)))</formula>
    </cfRule>
    <cfRule type="containsText" dxfId="1571" priority="1462" stopIfTrue="1" operator="containsText" text="CUMPLE">
      <formula>NOT(ISERROR(SEARCH("CUMPLE",J2208)))</formula>
    </cfRule>
  </conditionalFormatting>
  <conditionalFormatting sqref="K2208">
    <cfRule type="containsText" dxfId="1570" priority="1459" stopIfTrue="1" operator="containsText" text="NO CUMPLE">
      <formula>NOT(ISERROR(SEARCH("NO CUMPLE",K2208)))</formula>
    </cfRule>
    <cfRule type="containsText" dxfId="1569" priority="1460" stopIfTrue="1" operator="containsText" text="CUMPLE">
      <formula>NOT(ISERROR(SEARCH("CUMPLE",K2208)))</formula>
    </cfRule>
  </conditionalFormatting>
  <conditionalFormatting sqref="L2202:L2207">
    <cfRule type="containsText" dxfId="1568" priority="1457" stopIfTrue="1" operator="containsText" text="NO CUMPLE">
      <formula>NOT(ISERROR(SEARCH("NO CUMPLE",L2202)))</formula>
    </cfRule>
    <cfRule type="containsText" dxfId="1567" priority="1458" stopIfTrue="1" operator="containsText" text="CUMPLE">
      <formula>NOT(ISERROR(SEARCH("CUMPLE",L2202)))</formula>
    </cfRule>
  </conditionalFormatting>
  <conditionalFormatting sqref="O2207">
    <cfRule type="containsText" dxfId="1566" priority="1455" stopIfTrue="1" operator="containsText" text="NO CUMPLE">
      <formula>NOT(ISERROR(SEARCH("NO CUMPLE",O2207)))</formula>
    </cfRule>
    <cfRule type="containsText" dxfId="1565" priority="1456" stopIfTrue="1" operator="containsText" text="CUMPLE">
      <formula>NOT(ISERROR(SEARCH("CUMPLE",O2207)))</formula>
    </cfRule>
  </conditionalFormatting>
  <conditionalFormatting sqref="O2208:S2208">
    <cfRule type="cellIs" dxfId="1564" priority="1454" operator="equal">
      <formula>"EL PROPONENTE SE DEBE REQUERIR POR EXPERIENCIA MINIMA EXIGIDA"</formula>
    </cfRule>
  </conditionalFormatting>
  <conditionalFormatting sqref="X2196">
    <cfRule type="cellIs" dxfId="1563" priority="1451" stopIfTrue="1" operator="equal">
      <formula>"VERIFICAR"</formula>
    </cfRule>
    <cfRule type="cellIs" dxfId="1562" priority="1452" stopIfTrue="1" operator="equal">
      <formula>"NO CUMPLE"</formula>
    </cfRule>
    <cfRule type="cellIs" dxfId="1561" priority="1453" stopIfTrue="1" operator="equal">
      <formula>"CUMPLE"</formula>
    </cfRule>
  </conditionalFormatting>
  <conditionalFormatting sqref="X2185:Y2194 J2185:J2194">
    <cfRule type="cellIs" dxfId="1560" priority="1450" stopIfTrue="1" operator="greaterThan">
      <formula>0</formula>
    </cfRule>
  </conditionalFormatting>
  <conditionalFormatting sqref="X2185:Y2194">
    <cfRule type="cellIs" dxfId="1559" priority="1448" operator="equal">
      <formula>"NO CUMPLE"</formula>
    </cfRule>
    <cfRule type="cellIs" dxfId="1558" priority="1449" operator="equal">
      <formula>"CUMPLE"</formula>
    </cfRule>
  </conditionalFormatting>
  <conditionalFormatting sqref="N2202:N2207">
    <cfRule type="cellIs" dxfId="1557" priority="1446" operator="equal">
      <formula>"NO"</formula>
    </cfRule>
    <cfRule type="cellIs" dxfId="1556" priority="1447" operator="equal">
      <formula>"SI"</formula>
    </cfRule>
  </conditionalFormatting>
  <conditionalFormatting sqref="I2194">
    <cfRule type="cellIs" dxfId="1555" priority="1445" stopIfTrue="1" operator="greaterThan">
      <formula>0</formula>
    </cfRule>
  </conditionalFormatting>
  <conditionalFormatting sqref="K2188:L2194">
    <cfRule type="cellIs" dxfId="1554" priority="1443" operator="equal">
      <formula>0</formula>
    </cfRule>
    <cfRule type="cellIs" dxfId="1553" priority="1444" operator="notBetween">
      <formula>$Q$17</formula>
      <formula>$R$17</formula>
    </cfRule>
  </conditionalFormatting>
  <conditionalFormatting sqref="B2185:B2194">
    <cfRule type="cellIs" dxfId="1552" priority="1442" stopIfTrue="1" operator="greaterThan">
      <formula>0</formula>
    </cfRule>
  </conditionalFormatting>
  <conditionalFormatting sqref="C2185:D2185 D2186:D2187 C2186:C2194">
    <cfRule type="cellIs" dxfId="1551" priority="1441" stopIfTrue="1" operator="greaterThan">
      <formula>0</formula>
    </cfRule>
  </conditionalFormatting>
  <conditionalFormatting sqref="C2185:D2185 F2185:H2187 D2186:D2187 C2186:C2194">
    <cfRule type="cellIs" dxfId="1550" priority="1440" stopIfTrue="1" operator="greaterThan">
      <formula>0</formula>
    </cfRule>
  </conditionalFormatting>
  <conditionalFormatting sqref="T2185:V2187">
    <cfRule type="cellIs" dxfId="1549" priority="1438" stopIfTrue="1" operator="equal">
      <formula>"NO"</formula>
    </cfRule>
    <cfRule type="cellIs" dxfId="1548" priority="1439" stopIfTrue="1" operator="equal">
      <formula>"SI"</formula>
    </cfRule>
  </conditionalFormatting>
  <conditionalFormatting sqref="T2185:V2186">
    <cfRule type="cellIs" dxfId="1547" priority="1437" stopIfTrue="1" operator="equal">
      <formula>"NO APLICA"</formula>
    </cfRule>
  </conditionalFormatting>
  <conditionalFormatting sqref="T2187:U2187">
    <cfRule type="cellIs" dxfId="1546" priority="1436" stopIfTrue="1" operator="equal">
      <formula>"NO APLICA"</formula>
    </cfRule>
  </conditionalFormatting>
  <conditionalFormatting sqref="T2187:U2187">
    <cfRule type="cellIs" dxfId="1545" priority="1435" stopIfTrue="1" operator="equal">
      <formula>"NO APLICA"</formula>
    </cfRule>
  </conditionalFormatting>
  <conditionalFormatting sqref="V2187">
    <cfRule type="cellIs" dxfId="1544" priority="1434" stopIfTrue="1" operator="equal">
      <formula>"NO APLICA"</formula>
    </cfRule>
  </conditionalFormatting>
  <conditionalFormatting sqref="K2185:L2187">
    <cfRule type="cellIs" dxfId="1543" priority="1432" operator="equal">
      <formula>0</formula>
    </cfRule>
    <cfRule type="cellIs" dxfId="1542" priority="1433" operator="notBetween">
      <formula>$Q$17</formula>
      <formula>$R$17</formula>
    </cfRule>
  </conditionalFormatting>
  <conditionalFormatting sqref="F2218:H2223 D2224:H2224 I2218:I2224 C2215:D2215 K2215:O2224 F2215:I2217 D2216:D2223 C2216:C2224">
    <cfRule type="cellIs" dxfId="1541" priority="1431" stopIfTrue="1" operator="greaterThan">
      <formula>0</formula>
    </cfRule>
  </conditionalFormatting>
  <conditionalFormatting sqref="D2218:D2223">
    <cfRule type="cellIs" dxfId="1540" priority="1430" stopIfTrue="1" operator="greaterThan">
      <formula>0</formula>
    </cfRule>
  </conditionalFormatting>
  <conditionalFormatting sqref="D2218:D2223 F2218:H2223">
    <cfRule type="cellIs" dxfId="1539" priority="1429" stopIfTrue="1" operator="greaterThan">
      <formula>0</formula>
    </cfRule>
  </conditionalFormatting>
  <conditionalFormatting sqref="H2215:H2223">
    <cfRule type="cellIs" dxfId="1538" priority="1428" stopIfTrue="1" operator="greaterThan">
      <formula>0</formula>
    </cfRule>
  </conditionalFormatting>
  <conditionalFormatting sqref="E2215:E2223">
    <cfRule type="cellIs" dxfId="1537" priority="1427" stopIfTrue="1" operator="greaterThan">
      <formula>0</formula>
    </cfRule>
  </conditionalFormatting>
  <conditionalFormatting sqref="M2232:M2237 K2232:K2237">
    <cfRule type="containsText" dxfId="1536" priority="1425" stopIfTrue="1" operator="containsText" text="NO CUMPLE">
      <formula>NOT(ISERROR(SEARCH("NO CUMPLE",K2232)))</formula>
    </cfRule>
    <cfRule type="containsText" dxfId="1535" priority="1426" stopIfTrue="1" operator="containsText" text="CUMPLE">
      <formula>NOT(ISERROR(SEARCH("CUMPLE",K2232)))</formula>
    </cfRule>
  </conditionalFormatting>
  <conditionalFormatting sqref="S2231">
    <cfRule type="cellIs" dxfId="1534" priority="1423" operator="greaterThanOrEqual">
      <formula>NUMMINCONT</formula>
    </cfRule>
    <cfRule type="cellIs" dxfId="1533" priority="1424" operator="lessThan">
      <formula>NUMMINCONT</formula>
    </cfRule>
  </conditionalFormatting>
  <conditionalFormatting sqref="T2218:V2223">
    <cfRule type="cellIs" dxfId="1532" priority="1421" stopIfTrue="1" operator="equal">
      <formula>"NO"</formula>
    </cfRule>
    <cfRule type="cellIs" dxfId="1531" priority="1422" stopIfTrue="1" operator="equal">
      <formula>"SI"</formula>
    </cfRule>
  </conditionalFormatting>
  <conditionalFormatting sqref="T2218:V2219">
    <cfRule type="cellIs" dxfId="1530" priority="1420" stopIfTrue="1" operator="equal">
      <formula>"NO APLICA"</formula>
    </cfRule>
  </conditionalFormatting>
  <conditionalFormatting sqref="T2220:U2223">
    <cfRule type="cellIs" dxfId="1529" priority="1419" stopIfTrue="1" operator="equal">
      <formula>"NO APLICA"</formula>
    </cfRule>
  </conditionalFormatting>
  <conditionalFormatting sqref="T2220:U2220">
    <cfRule type="cellIs" dxfId="1528" priority="1418" stopIfTrue="1" operator="equal">
      <formula>"NO APLICA"</formula>
    </cfRule>
  </conditionalFormatting>
  <conditionalFormatting sqref="V2220:V2223">
    <cfRule type="cellIs" dxfId="1527" priority="1417" stopIfTrue="1" operator="equal">
      <formula>"NO APLICA"</formula>
    </cfRule>
  </conditionalFormatting>
  <conditionalFormatting sqref="V2229:W2229">
    <cfRule type="cellIs" dxfId="1526" priority="1415" operator="equal">
      <formula>"CUMPLE"</formula>
    </cfRule>
    <cfRule type="cellIs" dxfId="1525" priority="1416" operator="equal">
      <formula>"NO CUMPLE"</formula>
    </cfRule>
  </conditionalFormatting>
  <conditionalFormatting sqref="V2229:W2231">
    <cfRule type="cellIs" dxfId="1524" priority="1414" operator="equal">
      <formula>"VERIFICAR"</formula>
    </cfRule>
  </conditionalFormatting>
  <conditionalFormatting sqref="T2224:V2224">
    <cfRule type="cellIs" dxfId="1523" priority="1412" stopIfTrue="1" operator="equal">
      <formula>"NO"</formula>
    </cfRule>
    <cfRule type="cellIs" dxfId="1522" priority="1413" stopIfTrue="1" operator="equal">
      <formula>"SI"</formula>
    </cfRule>
  </conditionalFormatting>
  <conditionalFormatting sqref="T2224:U2224">
    <cfRule type="cellIs" dxfId="1521" priority="1411" stopIfTrue="1" operator="equal">
      <formula>"NO APLICA"</formula>
    </cfRule>
  </conditionalFormatting>
  <conditionalFormatting sqref="V2224">
    <cfRule type="cellIs" dxfId="1520" priority="1410" stopIfTrue="1" operator="equal">
      <formula>"NO APLICA"</formula>
    </cfRule>
  </conditionalFormatting>
  <conditionalFormatting sqref="T2234">
    <cfRule type="cellIs" dxfId="1519" priority="1408" operator="equal">
      <formula>"CUMPLE"</formula>
    </cfRule>
    <cfRule type="cellIs" dxfId="1518" priority="1409" operator="equal">
      <formula>"NO CUMPLE"</formula>
    </cfRule>
  </conditionalFormatting>
  <conditionalFormatting sqref="T2234">
    <cfRule type="cellIs" dxfId="1517" priority="1407" operator="equal">
      <formula>"VERIFICAR"</formula>
    </cfRule>
  </conditionalFormatting>
  <conditionalFormatting sqref="Y2232:Y2237">
    <cfRule type="cellIs" dxfId="1516" priority="1406" stopIfTrue="1" operator="equal">
      <formula>"NO APLICA"</formula>
    </cfRule>
  </conditionalFormatting>
  <conditionalFormatting sqref="Y2237">
    <cfRule type="cellIs" dxfId="1515" priority="1405" stopIfTrue="1" operator="equal">
      <formula>"NO APLICA"</formula>
    </cfRule>
  </conditionalFormatting>
  <conditionalFormatting sqref="X2232:Y2237">
    <cfRule type="cellIs" dxfId="1514" priority="1403" stopIfTrue="1" operator="equal">
      <formula>"NO"</formula>
    </cfRule>
    <cfRule type="cellIs" dxfId="1513" priority="1404" stopIfTrue="1" operator="equal">
      <formula>"SI"</formula>
    </cfRule>
  </conditionalFormatting>
  <conditionalFormatting sqref="X2232:X2237">
    <cfRule type="cellIs" dxfId="1512" priority="1402" stopIfTrue="1" operator="equal">
      <formula>"NO APLICA"</formula>
    </cfRule>
  </conditionalFormatting>
  <conditionalFormatting sqref="X2233:X2236">
    <cfRule type="cellIs" dxfId="1511" priority="1401" stopIfTrue="1" operator="equal">
      <formula>"NO APLICA"</formula>
    </cfRule>
  </conditionalFormatting>
  <conditionalFormatting sqref="X2233">
    <cfRule type="cellIs" dxfId="1510" priority="1400" stopIfTrue="1" operator="equal">
      <formula>"NO APLICA"</formula>
    </cfRule>
  </conditionalFormatting>
  <conditionalFormatting sqref="X2237">
    <cfRule type="cellIs" dxfId="1509" priority="1399" stopIfTrue="1" operator="equal">
      <formula>"NO APLICA"</formula>
    </cfRule>
  </conditionalFormatting>
  <conditionalFormatting sqref="X2237">
    <cfRule type="cellIs" dxfId="1508" priority="1398" stopIfTrue="1" operator="equal">
      <formula>"NO APLICA"</formula>
    </cfRule>
  </conditionalFormatting>
  <conditionalFormatting sqref="AA2232:AA2237">
    <cfRule type="cellIs" dxfId="1507" priority="1397" stopIfTrue="1" operator="equal">
      <formula>"NO APLICA"</formula>
    </cfRule>
  </conditionalFormatting>
  <conditionalFormatting sqref="AA2237">
    <cfRule type="cellIs" dxfId="1506" priority="1396" stopIfTrue="1" operator="equal">
      <formula>"NO APLICA"</formula>
    </cfRule>
  </conditionalFormatting>
  <conditionalFormatting sqref="AA2232:AA2237">
    <cfRule type="cellIs" dxfId="1505" priority="1394" stopIfTrue="1" operator="equal">
      <formula>"NO"</formula>
    </cfRule>
    <cfRule type="cellIs" dxfId="1504" priority="1395" stopIfTrue="1" operator="equal">
      <formula>"SI"</formula>
    </cfRule>
  </conditionalFormatting>
  <conditionalFormatting sqref="Y2232:Z2237">
    <cfRule type="cellIs" dxfId="1503" priority="1392" operator="equal">
      <formula>"NO APLICA"</formula>
    </cfRule>
    <cfRule type="cellIs" dxfId="1502" priority="1393" operator="equal">
      <formula>"SI APLICA"</formula>
    </cfRule>
  </conditionalFormatting>
  <conditionalFormatting sqref="AB2232:AB2238">
    <cfRule type="cellIs" dxfId="1501" priority="1390" operator="equal">
      <formula>"NO APLICA"</formula>
    </cfRule>
    <cfRule type="cellIs" dxfId="1500" priority="1391" operator="equal">
      <formula>"SI APLICA"</formula>
    </cfRule>
  </conditionalFormatting>
  <conditionalFormatting sqref="X2238">
    <cfRule type="cellIs" dxfId="1499" priority="1388" operator="equal">
      <formula>"PROPONENTE PLURAL"</formula>
    </cfRule>
    <cfRule type="cellIs" dxfId="1498" priority="1389" operator="equal">
      <formula>"PROPONENTE INDIVIDUAL"</formula>
    </cfRule>
  </conditionalFormatting>
  <conditionalFormatting sqref="Z2238:AA2238 AA2232:AA2237">
    <cfRule type="cellIs" dxfId="1497" priority="1386" operator="equal">
      <formula>"NO APLICA"</formula>
    </cfRule>
    <cfRule type="cellIs" dxfId="1496" priority="1387" operator="equal">
      <formula>"SI APLICA"</formula>
    </cfRule>
  </conditionalFormatting>
  <conditionalFormatting sqref="AB2232:AB2237 Y2232:Z2237">
    <cfRule type="cellIs" dxfId="1495" priority="1385" operator="equal">
      <formula>""</formula>
    </cfRule>
  </conditionalFormatting>
  <conditionalFormatting sqref="H2238">
    <cfRule type="containsText" dxfId="1494" priority="1383" stopIfTrue="1" operator="containsText" text="NO CUMPLE">
      <formula>NOT(ISERROR(SEARCH("NO CUMPLE",H2238)))</formula>
    </cfRule>
    <cfRule type="containsText" dxfId="1493" priority="1384" stopIfTrue="1" operator="containsText" text="CUMPLE">
      <formula>NOT(ISERROR(SEARCH("CUMPLE",H2238)))</formula>
    </cfRule>
  </conditionalFormatting>
  <conditionalFormatting sqref="J2238">
    <cfRule type="containsText" dxfId="1492" priority="1381" stopIfTrue="1" operator="containsText" text="NO CUMPLE">
      <formula>NOT(ISERROR(SEARCH("NO CUMPLE",J2238)))</formula>
    </cfRule>
    <cfRule type="containsText" dxfId="1491" priority="1382" stopIfTrue="1" operator="containsText" text="CUMPLE">
      <formula>NOT(ISERROR(SEARCH("CUMPLE",J2238)))</formula>
    </cfRule>
  </conditionalFormatting>
  <conditionalFormatting sqref="K2238">
    <cfRule type="containsText" dxfId="1490" priority="1379" stopIfTrue="1" operator="containsText" text="NO CUMPLE">
      <formula>NOT(ISERROR(SEARCH("NO CUMPLE",K2238)))</formula>
    </cfRule>
    <cfRule type="containsText" dxfId="1489" priority="1380" stopIfTrue="1" operator="containsText" text="CUMPLE">
      <formula>NOT(ISERROR(SEARCH("CUMPLE",K2238)))</formula>
    </cfRule>
  </conditionalFormatting>
  <conditionalFormatting sqref="L2232:L2237">
    <cfRule type="containsText" dxfId="1488" priority="1377" stopIfTrue="1" operator="containsText" text="NO CUMPLE">
      <formula>NOT(ISERROR(SEARCH("NO CUMPLE",L2232)))</formula>
    </cfRule>
    <cfRule type="containsText" dxfId="1487" priority="1378" stopIfTrue="1" operator="containsText" text="CUMPLE">
      <formula>NOT(ISERROR(SEARCH("CUMPLE",L2232)))</formula>
    </cfRule>
  </conditionalFormatting>
  <conditionalFormatting sqref="O2237">
    <cfRule type="containsText" dxfId="1486" priority="1375" stopIfTrue="1" operator="containsText" text="NO CUMPLE">
      <formula>NOT(ISERROR(SEARCH("NO CUMPLE",O2237)))</formula>
    </cfRule>
    <cfRule type="containsText" dxfId="1485" priority="1376" stopIfTrue="1" operator="containsText" text="CUMPLE">
      <formula>NOT(ISERROR(SEARCH("CUMPLE",O2237)))</formula>
    </cfRule>
  </conditionalFormatting>
  <conditionalFormatting sqref="O2238:S2238">
    <cfRule type="cellIs" dxfId="1484" priority="1374" operator="equal">
      <formula>"EL PROPONENTE SE DEBE REQUERIR POR EXPERIENCIA MINIMA EXIGIDA"</formula>
    </cfRule>
  </conditionalFormatting>
  <conditionalFormatting sqref="X2226">
    <cfRule type="cellIs" dxfId="1483" priority="1371" stopIfTrue="1" operator="equal">
      <formula>"VERIFICAR"</formula>
    </cfRule>
    <cfRule type="cellIs" dxfId="1482" priority="1372" stopIfTrue="1" operator="equal">
      <formula>"NO CUMPLE"</formula>
    </cfRule>
    <cfRule type="cellIs" dxfId="1481" priority="1373" stopIfTrue="1" operator="equal">
      <formula>"CUMPLE"</formula>
    </cfRule>
  </conditionalFormatting>
  <conditionalFormatting sqref="X2215:Y2224 J2215:J2224">
    <cfRule type="cellIs" dxfId="1480" priority="1370" stopIfTrue="1" operator="greaterThan">
      <formula>0</formula>
    </cfRule>
  </conditionalFormatting>
  <conditionalFormatting sqref="X2215:Y2224">
    <cfRule type="cellIs" dxfId="1479" priority="1368" operator="equal">
      <formula>"NO CUMPLE"</formula>
    </cfRule>
    <cfRule type="cellIs" dxfId="1478" priority="1369" operator="equal">
      <formula>"CUMPLE"</formula>
    </cfRule>
  </conditionalFormatting>
  <conditionalFormatting sqref="N2232:N2237">
    <cfRule type="cellIs" dxfId="1477" priority="1366" operator="equal">
      <formula>"NO"</formula>
    </cfRule>
    <cfRule type="cellIs" dxfId="1476" priority="1367" operator="equal">
      <formula>"SI"</formula>
    </cfRule>
  </conditionalFormatting>
  <conditionalFormatting sqref="I2224">
    <cfRule type="cellIs" dxfId="1475" priority="1365" stopIfTrue="1" operator="greaterThan">
      <formula>0</formula>
    </cfRule>
  </conditionalFormatting>
  <conditionalFormatting sqref="K2218:L2224">
    <cfRule type="cellIs" dxfId="1474" priority="1363" operator="equal">
      <formula>0</formula>
    </cfRule>
    <cfRule type="cellIs" dxfId="1473" priority="1364" operator="notBetween">
      <formula>$Q$17</formula>
      <formula>$R$17</formula>
    </cfRule>
  </conditionalFormatting>
  <conditionalFormatting sqref="B2215:B2224">
    <cfRule type="cellIs" dxfId="1472" priority="1362" stopIfTrue="1" operator="greaterThan">
      <formula>0</formula>
    </cfRule>
  </conditionalFormatting>
  <conditionalFormatting sqref="C2215:D2215 D2216:D2217 C2216:C2224">
    <cfRule type="cellIs" dxfId="1471" priority="1361" stopIfTrue="1" operator="greaterThan">
      <formula>0</formula>
    </cfRule>
  </conditionalFormatting>
  <conditionalFormatting sqref="C2215:D2215 F2215:H2217 D2216:D2217 C2216:C2224">
    <cfRule type="cellIs" dxfId="1470" priority="1360" stopIfTrue="1" operator="greaterThan">
      <formula>0</formula>
    </cfRule>
  </conditionalFormatting>
  <conditionalFormatting sqref="T2215:V2217">
    <cfRule type="cellIs" dxfId="1469" priority="1358" stopIfTrue="1" operator="equal">
      <formula>"NO"</formula>
    </cfRule>
    <cfRule type="cellIs" dxfId="1468" priority="1359" stopIfTrue="1" operator="equal">
      <formula>"SI"</formula>
    </cfRule>
  </conditionalFormatting>
  <conditionalFormatting sqref="T2215:V2216">
    <cfRule type="cellIs" dxfId="1467" priority="1357" stopIfTrue="1" operator="equal">
      <formula>"NO APLICA"</formula>
    </cfRule>
  </conditionalFormatting>
  <conditionalFormatting sqref="T2217:U2217">
    <cfRule type="cellIs" dxfId="1466" priority="1356" stopIfTrue="1" operator="equal">
      <formula>"NO APLICA"</formula>
    </cfRule>
  </conditionalFormatting>
  <conditionalFormatting sqref="T2217:U2217">
    <cfRule type="cellIs" dxfId="1465" priority="1355" stopIfTrue="1" operator="equal">
      <formula>"NO APLICA"</formula>
    </cfRule>
  </conditionalFormatting>
  <conditionalFormatting sqref="V2217">
    <cfRule type="cellIs" dxfId="1464" priority="1354" stopIfTrue="1" operator="equal">
      <formula>"NO APLICA"</formula>
    </cfRule>
  </conditionalFormatting>
  <conditionalFormatting sqref="K2215:L2217">
    <cfRule type="cellIs" dxfId="1463" priority="1352" operator="equal">
      <formula>0</formula>
    </cfRule>
    <cfRule type="cellIs" dxfId="1462" priority="1353" operator="notBetween">
      <formula>$Q$17</formula>
      <formula>$R$17</formula>
    </cfRule>
  </conditionalFormatting>
  <conditionalFormatting sqref="F2248:H2253 D2254:H2254 I2248:I2254 C2245:D2245 K2245:O2254 F2245:I2247 D2246:D2253 C2246:C2254">
    <cfRule type="cellIs" dxfId="1461" priority="1351" stopIfTrue="1" operator="greaterThan">
      <formula>0</formula>
    </cfRule>
  </conditionalFormatting>
  <conditionalFormatting sqref="D2248:D2253">
    <cfRule type="cellIs" dxfId="1460" priority="1350" stopIfTrue="1" operator="greaterThan">
      <formula>0</formula>
    </cfRule>
  </conditionalFormatting>
  <conditionalFormatting sqref="D2248:D2253 F2248:H2253">
    <cfRule type="cellIs" dxfId="1459" priority="1349" stopIfTrue="1" operator="greaterThan">
      <formula>0</formula>
    </cfRule>
  </conditionalFormatting>
  <conditionalFormatting sqref="H2245:H2253">
    <cfRule type="cellIs" dxfId="1458" priority="1348" stopIfTrue="1" operator="greaterThan">
      <formula>0</formula>
    </cfRule>
  </conditionalFormatting>
  <conditionalFormatting sqref="E2245:E2253">
    <cfRule type="cellIs" dxfId="1457" priority="1347" stopIfTrue="1" operator="greaterThan">
      <formula>0</formula>
    </cfRule>
  </conditionalFormatting>
  <conditionalFormatting sqref="M2262:M2267 K2262:K2267">
    <cfRule type="containsText" dxfId="1456" priority="1345" stopIfTrue="1" operator="containsText" text="NO CUMPLE">
      <formula>NOT(ISERROR(SEARCH("NO CUMPLE",K2262)))</formula>
    </cfRule>
    <cfRule type="containsText" dxfId="1455" priority="1346" stopIfTrue="1" operator="containsText" text="CUMPLE">
      <formula>NOT(ISERROR(SEARCH("CUMPLE",K2262)))</formula>
    </cfRule>
  </conditionalFormatting>
  <conditionalFormatting sqref="S2261">
    <cfRule type="cellIs" dxfId="1454" priority="1343" operator="greaterThanOrEqual">
      <formula>NUMMINCONT</formula>
    </cfRule>
    <cfRule type="cellIs" dxfId="1453" priority="1344" operator="lessThan">
      <formula>NUMMINCONT</formula>
    </cfRule>
  </conditionalFormatting>
  <conditionalFormatting sqref="T2248:V2253">
    <cfRule type="cellIs" dxfId="1452" priority="1341" stopIfTrue="1" operator="equal">
      <formula>"NO"</formula>
    </cfRule>
    <cfRule type="cellIs" dxfId="1451" priority="1342" stopIfTrue="1" operator="equal">
      <formula>"SI"</formula>
    </cfRule>
  </conditionalFormatting>
  <conditionalFormatting sqref="T2248:V2249">
    <cfRule type="cellIs" dxfId="1450" priority="1340" stopIfTrue="1" operator="equal">
      <formula>"NO APLICA"</formula>
    </cfRule>
  </conditionalFormatting>
  <conditionalFormatting sqref="T2250:U2253">
    <cfRule type="cellIs" dxfId="1449" priority="1339" stopIfTrue="1" operator="equal">
      <formula>"NO APLICA"</formula>
    </cfRule>
  </conditionalFormatting>
  <conditionalFormatting sqref="T2250:U2250">
    <cfRule type="cellIs" dxfId="1448" priority="1338" stopIfTrue="1" operator="equal">
      <formula>"NO APLICA"</formula>
    </cfRule>
  </conditionalFormatting>
  <conditionalFormatting sqref="V2250:V2253">
    <cfRule type="cellIs" dxfId="1447" priority="1337" stopIfTrue="1" operator="equal">
      <formula>"NO APLICA"</formula>
    </cfRule>
  </conditionalFormatting>
  <conditionalFormatting sqref="V2259:W2259">
    <cfRule type="cellIs" dxfId="1446" priority="1335" operator="equal">
      <formula>"CUMPLE"</formula>
    </cfRule>
    <cfRule type="cellIs" dxfId="1445" priority="1336" operator="equal">
      <formula>"NO CUMPLE"</formula>
    </cfRule>
  </conditionalFormatting>
  <conditionalFormatting sqref="V2259:W2261">
    <cfRule type="cellIs" dxfId="1444" priority="1334" operator="equal">
      <formula>"VERIFICAR"</formula>
    </cfRule>
  </conditionalFormatting>
  <conditionalFormatting sqref="T2254:V2254">
    <cfRule type="cellIs" dxfId="1443" priority="1332" stopIfTrue="1" operator="equal">
      <formula>"NO"</formula>
    </cfRule>
    <cfRule type="cellIs" dxfId="1442" priority="1333" stopIfTrue="1" operator="equal">
      <formula>"SI"</formula>
    </cfRule>
  </conditionalFormatting>
  <conditionalFormatting sqref="T2254:U2254">
    <cfRule type="cellIs" dxfId="1441" priority="1331" stopIfTrue="1" operator="equal">
      <formula>"NO APLICA"</formula>
    </cfRule>
  </conditionalFormatting>
  <conditionalFormatting sqref="V2254">
    <cfRule type="cellIs" dxfId="1440" priority="1330" stopIfTrue="1" operator="equal">
      <formula>"NO APLICA"</formula>
    </cfRule>
  </conditionalFormatting>
  <conditionalFormatting sqref="T2264">
    <cfRule type="cellIs" dxfId="1439" priority="1328" operator="equal">
      <formula>"CUMPLE"</formula>
    </cfRule>
    <cfRule type="cellIs" dxfId="1438" priority="1329" operator="equal">
      <formula>"NO CUMPLE"</formula>
    </cfRule>
  </conditionalFormatting>
  <conditionalFormatting sqref="T2264">
    <cfRule type="cellIs" dxfId="1437" priority="1327" operator="equal">
      <formula>"VERIFICAR"</formula>
    </cfRule>
  </conditionalFormatting>
  <conditionalFormatting sqref="Y2262:Y2267">
    <cfRule type="cellIs" dxfId="1436" priority="1326" stopIfTrue="1" operator="equal">
      <formula>"NO APLICA"</formula>
    </cfRule>
  </conditionalFormatting>
  <conditionalFormatting sqref="Y2267">
    <cfRule type="cellIs" dxfId="1435" priority="1325" stopIfTrue="1" operator="equal">
      <formula>"NO APLICA"</formula>
    </cfRule>
  </conditionalFormatting>
  <conditionalFormatting sqref="X2262:Y2267">
    <cfRule type="cellIs" dxfId="1434" priority="1323" stopIfTrue="1" operator="equal">
      <formula>"NO"</formula>
    </cfRule>
    <cfRule type="cellIs" dxfId="1433" priority="1324" stopIfTrue="1" operator="equal">
      <formula>"SI"</formula>
    </cfRule>
  </conditionalFormatting>
  <conditionalFormatting sqref="X2262:X2267">
    <cfRule type="cellIs" dxfId="1432" priority="1322" stopIfTrue="1" operator="equal">
      <formula>"NO APLICA"</formula>
    </cfRule>
  </conditionalFormatting>
  <conditionalFormatting sqref="X2263:X2266">
    <cfRule type="cellIs" dxfId="1431" priority="1321" stopIfTrue="1" operator="equal">
      <formula>"NO APLICA"</formula>
    </cfRule>
  </conditionalFormatting>
  <conditionalFormatting sqref="X2263">
    <cfRule type="cellIs" dxfId="1430" priority="1320" stopIfTrue="1" operator="equal">
      <formula>"NO APLICA"</formula>
    </cfRule>
  </conditionalFormatting>
  <conditionalFormatting sqref="X2267">
    <cfRule type="cellIs" dxfId="1429" priority="1319" stopIfTrue="1" operator="equal">
      <formula>"NO APLICA"</formula>
    </cfRule>
  </conditionalFormatting>
  <conditionalFormatting sqref="X2267">
    <cfRule type="cellIs" dxfId="1428" priority="1318" stopIfTrue="1" operator="equal">
      <formula>"NO APLICA"</formula>
    </cfRule>
  </conditionalFormatting>
  <conditionalFormatting sqref="AA2262:AA2267">
    <cfRule type="cellIs" dxfId="1427" priority="1317" stopIfTrue="1" operator="equal">
      <formula>"NO APLICA"</formula>
    </cfRule>
  </conditionalFormatting>
  <conditionalFormatting sqref="AA2267">
    <cfRule type="cellIs" dxfId="1426" priority="1316" stopIfTrue="1" operator="equal">
      <formula>"NO APLICA"</formula>
    </cfRule>
  </conditionalFormatting>
  <conditionalFormatting sqref="AA2262:AA2267">
    <cfRule type="cellIs" dxfId="1425" priority="1314" stopIfTrue="1" operator="equal">
      <formula>"NO"</formula>
    </cfRule>
    <cfRule type="cellIs" dxfId="1424" priority="1315" stopIfTrue="1" operator="equal">
      <formula>"SI"</formula>
    </cfRule>
  </conditionalFormatting>
  <conditionalFormatting sqref="Y2262:Z2267">
    <cfRule type="cellIs" dxfId="1423" priority="1312" operator="equal">
      <formula>"NO APLICA"</formula>
    </cfRule>
    <cfRule type="cellIs" dxfId="1422" priority="1313" operator="equal">
      <formula>"SI APLICA"</formula>
    </cfRule>
  </conditionalFormatting>
  <conditionalFormatting sqref="AB2262:AB2268">
    <cfRule type="cellIs" dxfId="1421" priority="1310" operator="equal">
      <formula>"NO APLICA"</formula>
    </cfRule>
    <cfRule type="cellIs" dxfId="1420" priority="1311" operator="equal">
      <formula>"SI APLICA"</formula>
    </cfRule>
  </conditionalFormatting>
  <conditionalFormatting sqref="X2268">
    <cfRule type="cellIs" dxfId="1419" priority="1308" operator="equal">
      <formula>"PROPONENTE PLURAL"</formula>
    </cfRule>
    <cfRule type="cellIs" dxfId="1418" priority="1309" operator="equal">
      <formula>"PROPONENTE INDIVIDUAL"</formula>
    </cfRule>
  </conditionalFormatting>
  <conditionalFormatting sqref="Z2268:AA2268 AA2262:AA2267">
    <cfRule type="cellIs" dxfId="1417" priority="1306" operator="equal">
      <formula>"NO APLICA"</formula>
    </cfRule>
    <cfRule type="cellIs" dxfId="1416" priority="1307" operator="equal">
      <formula>"SI APLICA"</formula>
    </cfRule>
  </conditionalFormatting>
  <conditionalFormatting sqref="AB2262:AB2267 Y2262:Z2267">
    <cfRule type="cellIs" dxfId="1415" priority="1305" operator="equal">
      <formula>""</formula>
    </cfRule>
  </conditionalFormatting>
  <conditionalFormatting sqref="H2268">
    <cfRule type="containsText" dxfId="1414" priority="1303" stopIfTrue="1" operator="containsText" text="NO CUMPLE">
      <formula>NOT(ISERROR(SEARCH("NO CUMPLE",H2268)))</formula>
    </cfRule>
    <cfRule type="containsText" dxfId="1413" priority="1304" stopIfTrue="1" operator="containsText" text="CUMPLE">
      <formula>NOT(ISERROR(SEARCH("CUMPLE",H2268)))</formula>
    </cfRule>
  </conditionalFormatting>
  <conditionalFormatting sqref="J2268">
    <cfRule type="containsText" dxfId="1412" priority="1301" stopIfTrue="1" operator="containsText" text="NO CUMPLE">
      <formula>NOT(ISERROR(SEARCH("NO CUMPLE",J2268)))</formula>
    </cfRule>
    <cfRule type="containsText" dxfId="1411" priority="1302" stopIfTrue="1" operator="containsText" text="CUMPLE">
      <formula>NOT(ISERROR(SEARCH("CUMPLE",J2268)))</formula>
    </cfRule>
  </conditionalFormatting>
  <conditionalFormatting sqref="K2268">
    <cfRule type="containsText" dxfId="1410" priority="1299" stopIfTrue="1" operator="containsText" text="NO CUMPLE">
      <formula>NOT(ISERROR(SEARCH("NO CUMPLE",K2268)))</formula>
    </cfRule>
    <cfRule type="containsText" dxfId="1409" priority="1300" stopIfTrue="1" operator="containsText" text="CUMPLE">
      <formula>NOT(ISERROR(SEARCH("CUMPLE",K2268)))</formula>
    </cfRule>
  </conditionalFormatting>
  <conditionalFormatting sqref="L2262:L2267">
    <cfRule type="containsText" dxfId="1408" priority="1297" stopIfTrue="1" operator="containsText" text="NO CUMPLE">
      <formula>NOT(ISERROR(SEARCH("NO CUMPLE",L2262)))</formula>
    </cfRule>
    <cfRule type="containsText" dxfId="1407" priority="1298" stopIfTrue="1" operator="containsText" text="CUMPLE">
      <formula>NOT(ISERROR(SEARCH("CUMPLE",L2262)))</formula>
    </cfRule>
  </conditionalFormatting>
  <conditionalFormatting sqref="O2267">
    <cfRule type="containsText" dxfId="1406" priority="1295" stopIfTrue="1" operator="containsText" text="NO CUMPLE">
      <formula>NOT(ISERROR(SEARCH("NO CUMPLE",O2267)))</formula>
    </cfRule>
    <cfRule type="containsText" dxfId="1405" priority="1296" stopIfTrue="1" operator="containsText" text="CUMPLE">
      <formula>NOT(ISERROR(SEARCH("CUMPLE",O2267)))</formula>
    </cfRule>
  </conditionalFormatting>
  <conditionalFormatting sqref="O2268:S2268">
    <cfRule type="cellIs" dxfId="1404" priority="1294" operator="equal">
      <formula>"EL PROPONENTE SE DEBE REQUERIR POR EXPERIENCIA MINIMA EXIGIDA"</formula>
    </cfRule>
  </conditionalFormatting>
  <conditionalFormatting sqref="X2256">
    <cfRule type="cellIs" dxfId="1403" priority="1291" stopIfTrue="1" operator="equal">
      <formula>"VERIFICAR"</formula>
    </cfRule>
    <cfRule type="cellIs" dxfId="1402" priority="1292" stopIfTrue="1" operator="equal">
      <formula>"NO CUMPLE"</formula>
    </cfRule>
    <cfRule type="cellIs" dxfId="1401" priority="1293" stopIfTrue="1" operator="equal">
      <formula>"CUMPLE"</formula>
    </cfRule>
  </conditionalFormatting>
  <conditionalFormatting sqref="X2245:Y2254 J2245:J2254">
    <cfRule type="cellIs" dxfId="1400" priority="1290" stopIfTrue="1" operator="greaterThan">
      <formula>0</formula>
    </cfRule>
  </conditionalFormatting>
  <conditionalFormatting sqref="X2245:Y2254">
    <cfRule type="cellIs" dxfId="1399" priority="1288" operator="equal">
      <formula>"NO CUMPLE"</formula>
    </cfRule>
    <cfRule type="cellIs" dxfId="1398" priority="1289" operator="equal">
      <formula>"CUMPLE"</formula>
    </cfRule>
  </conditionalFormatting>
  <conditionalFormatting sqref="N2262:N2267">
    <cfRule type="cellIs" dxfId="1397" priority="1286" operator="equal">
      <formula>"NO"</formula>
    </cfRule>
    <cfRule type="cellIs" dxfId="1396" priority="1287" operator="equal">
      <formula>"SI"</formula>
    </cfRule>
  </conditionalFormatting>
  <conditionalFormatting sqref="I2254">
    <cfRule type="cellIs" dxfId="1395" priority="1285" stopIfTrue="1" operator="greaterThan">
      <formula>0</formula>
    </cfRule>
  </conditionalFormatting>
  <conditionalFormatting sqref="K2248:L2254">
    <cfRule type="cellIs" dxfId="1394" priority="1283" operator="equal">
      <formula>0</formula>
    </cfRule>
    <cfRule type="cellIs" dxfId="1393" priority="1284" operator="notBetween">
      <formula>$Q$17</formula>
      <formula>$R$17</formula>
    </cfRule>
  </conditionalFormatting>
  <conditionalFormatting sqref="B2245:B2254">
    <cfRule type="cellIs" dxfId="1392" priority="1282" stopIfTrue="1" operator="greaterThan">
      <formula>0</formula>
    </cfRule>
  </conditionalFormatting>
  <conditionalFormatting sqref="C2245:D2245 D2246:D2247 C2246:C2254">
    <cfRule type="cellIs" dxfId="1391" priority="1281" stopIfTrue="1" operator="greaterThan">
      <formula>0</formula>
    </cfRule>
  </conditionalFormatting>
  <conditionalFormatting sqref="C2245:D2245 F2245:H2247 D2246:D2247 C2246:C2254">
    <cfRule type="cellIs" dxfId="1390" priority="1280" stopIfTrue="1" operator="greaterThan">
      <formula>0</formula>
    </cfRule>
  </conditionalFormatting>
  <conditionalFormatting sqref="T2245:V2247">
    <cfRule type="cellIs" dxfId="1389" priority="1278" stopIfTrue="1" operator="equal">
      <formula>"NO"</formula>
    </cfRule>
    <cfRule type="cellIs" dxfId="1388" priority="1279" stopIfTrue="1" operator="equal">
      <formula>"SI"</formula>
    </cfRule>
  </conditionalFormatting>
  <conditionalFormatting sqref="T2245:V2246">
    <cfRule type="cellIs" dxfId="1387" priority="1277" stopIfTrue="1" operator="equal">
      <formula>"NO APLICA"</formula>
    </cfRule>
  </conditionalFormatting>
  <conditionalFormatting sqref="T2247:U2247">
    <cfRule type="cellIs" dxfId="1386" priority="1276" stopIfTrue="1" operator="equal">
      <formula>"NO APLICA"</formula>
    </cfRule>
  </conditionalFormatting>
  <conditionalFormatting sqref="T2247:U2247">
    <cfRule type="cellIs" dxfId="1385" priority="1275" stopIfTrue="1" operator="equal">
      <formula>"NO APLICA"</formula>
    </cfRule>
  </conditionalFormatting>
  <conditionalFormatting sqref="V2247">
    <cfRule type="cellIs" dxfId="1384" priority="1274" stopIfTrue="1" operator="equal">
      <formula>"NO APLICA"</formula>
    </cfRule>
  </conditionalFormatting>
  <conditionalFormatting sqref="K2245:L2247">
    <cfRule type="cellIs" dxfId="1383" priority="1272" operator="equal">
      <formula>0</formula>
    </cfRule>
    <cfRule type="cellIs" dxfId="1382" priority="1273" operator="notBetween">
      <formula>$Q$17</formula>
      <formula>$R$17</formula>
    </cfRule>
  </conditionalFormatting>
  <conditionalFormatting sqref="F2278:H2283 D2284:H2284 I2278:I2284 C2275:D2275 K2275:O2284 F2275:I2277 D2276:D2283 C2276:C2284">
    <cfRule type="cellIs" dxfId="1381" priority="1271" stopIfTrue="1" operator="greaterThan">
      <formula>0</formula>
    </cfRule>
  </conditionalFormatting>
  <conditionalFormatting sqref="D2278:D2283">
    <cfRule type="cellIs" dxfId="1380" priority="1270" stopIfTrue="1" operator="greaterThan">
      <formula>0</formula>
    </cfRule>
  </conditionalFormatting>
  <conditionalFormatting sqref="D2278:D2283 F2278:H2283">
    <cfRule type="cellIs" dxfId="1379" priority="1269" stopIfTrue="1" operator="greaterThan">
      <formula>0</formula>
    </cfRule>
  </conditionalFormatting>
  <conditionalFormatting sqref="H2275:H2283">
    <cfRule type="cellIs" dxfId="1378" priority="1268" stopIfTrue="1" operator="greaterThan">
      <formula>0</formula>
    </cfRule>
  </conditionalFormatting>
  <conditionalFormatting sqref="E2275:E2283">
    <cfRule type="cellIs" dxfId="1377" priority="1267" stopIfTrue="1" operator="greaterThan">
      <formula>0</formula>
    </cfRule>
  </conditionalFormatting>
  <conditionalFormatting sqref="M2292:M2297 K2292:K2297">
    <cfRule type="containsText" dxfId="1376" priority="1265" stopIfTrue="1" operator="containsText" text="NO CUMPLE">
      <formula>NOT(ISERROR(SEARCH("NO CUMPLE",K2292)))</formula>
    </cfRule>
    <cfRule type="containsText" dxfId="1375" priority="1266" stopIfTrue="1" operator="containsText" text="CUMPLE">
      <formula>NOT(ISERROR(SEARCH("CUMPLE",K2292)))</formula>
    </cfRule>
  </conditionalFormatting>
  <conditionalFormatting sqref="S2291">
    <cfRule type="cellIs" dxfId="1374" priority="1263" operator="greaterThanOrEqual">
      <formula>NUMMINCONT</formula>
    </cfRule>
    <cfRule type="cellIs" dxfId="1373" priority="1264" operator="lessThan">
      <formula>NUMMINCONT</formula>
    </cfRule>
  </conditionalFormatting>
  <conditionalFormatting sqref="T2278:V2283">
    <cfRule type="cellIs" dxfId="1372" priority="1261" stopIfTrue="1" operator="equal">
      <formula>"NO"</formula>
    </cfRule>
    <cfRule type="cellIs" dxfId="1371" priority="1262" stopIfTrue="1" operator="equal">
      <formula>"SI"</formula>
    </cfRule>
  </conditionalFormatting>
  <conditionalFormatting sqref="T2278:V2279">
    <cfRule type="cellIs" dxfId="1370" priority="1260" stopIfTrue="1" operator="equal">
      <formula>"NO APLICA"</formula>
    </cfRule>
  </conditionalFormatting>
  <conditionalFormatting sqref="T2280:U2283">
    <cfRule type="cellIs" dxfId="1369" priority="1259" stopIfTrue="1" operator="equal">
      <formula>"NO APLICA"</formula>
    </cfRule>
  </conditionalFormatting>
  <conditionalFormatting sqref="T2280:U2280">
    <cfRule type="cellIs" dxfId="1368" priority="1258" stopIfTrue="1" operator="equal">
      <formula>"NO APLICA"</formula>
    </cfRule>
  </conditionalFormatting>
  <conditionalFormatting sqref="V2280:V2283">
    <cfRule type="cellIs" dxfId="1367" priority="1257" stopIfTrue="1" operator="equal">
      <formula>"NO APLICA"</formula>
    </cfRule>
  </conditionalFormatting>
  <conditionalFormatting sqref="V2289:W2289">
    <cfRule type="cellIs" dxfId="1366" priority="1255" operator="equal">
      <formula>"CUMPLE"</formula>
    </cfRule>
    <cfRule type="cellIs" dxfId="1365" priority="1256" operator="equal">
      <formula>"NO CUMPLE"</formula>
    </cfRule>
  </conditionalFormatting>
  <conditionalFormatting sqref="V2289:W2291">
    <cfRule type="cellIs" dxfId="1364" priority="1254" operator="equal">
      <formula>"VERIFICAR"</formula>
    </cfRule>
  </conditionalFormatting>
  <conditionalFormatting sqref="T2284:V2284">
    <cfRule type="cellIs" dxfId="1363" priority="1252" stopIfTrue="1" operator="equal">
      <formula>"NO"</formula>
    </cfRule>
    <cfRule type="cellIs" dxfId="1362" priority="1253" stopIfTrue="1" operator="equal">
      <formula>"SI"</formula>
    </cfRule>
  </conditionalFormatting>
  <conditionalFormatting sqref="T2284:U2284">
    <cfRule type="cellIs" dxfId="1361" priority="1251" stopIfTrue="1" operator="equal">
      <formula>"NO APLICA"</formula>
    </cfRule>
  </conditionalFormatting>
  <conditionalFormatting sqref="V2284">
    <cfRule type="cellIs" dxfId="1360" priority="1250" stopIfTrue="1" operator="equal">
      <formula>"NO APLICA"</formula>
    </cfRule>
  </conditionalFormatting>
  <conditionalFormatting sqref="T2294">
    <cfRule type="cellIs" dxfId="1359" priority="1248" operator="equal">
      <formula>"CUMPLE"</formula>
    </cfRule>
    <cfRule type="cellIs" dxfId="1358" priority="1249" operator="equal">
      <formula>"NO CUMPLE"</formula>
    </cfRule>
  </conditionalFormatting>
  <conditionalFormatting sqref="T2294">
    <cfRule type="cellIs" dxfId="1357" priority="1247" operator="equal">
      <formula>"VERIFICAR"</formula>
    </cfRule>
  </conditionalFormatting>
  <conditionalFormatting sqref="Y2292:Y2297">
    <cfRule type="cellIs" dxfId="1356" priority="1246" stopIfTrue="1" operator="equal">
      <formula>"NO APLICA"</formula>
    </cfRule>
  </conditionalFormatting>
  <conditionalFormatting sqref="Y2297">
    <cfRule type="cellIs" dxfId="1355" priority="1245" stopIfTrue="1" operator="equal">
      <formula>"NO APLICA"</formula>
    </cfRule>
  </conditionalFormatting>
  <conditionalFormatting sqref="X2292:Y2297">
    <cfRule type="cellIs" dxfId="1354" priority="1243" stopIfTrue="1" operator="equal">
      <formula>"NO"</formula>
    </cfRule>
    <cfRule type="cellIs" dxfId="1353" priority="1244" stopIfTrue="1" operator="equal">
      <formula>"SI"</formula>
    </cfRule>
  </conditionalFormatting>
  <conditionalFormatting sqref="X2292:X2297">
    <cfRule type="cellIs" dxfId="1352" priority="1242" stopIfTrue="1" operator="equal">
      <formula>"NO APLICA"</formula>
    </cfRule>
  </conditionalFormatting>
  <conditionalFormatting sqref="X2293:X2296">
    <cfRule type="cellIs" dxfId="1351" priority="1241" stopIfTrue="1" operator="equal">
      <formula>"NO APLICA"</formula>
    </cfRule>
  </conditionalFormatting>
  <conditionalFormatting sqref="X2293">
    <cfRule type="cellIs" dxfId="1350" priority="1240" stopIfTrue="1" operator="equal">
      <formula>"NO APLICA"</formula>
    </cfRule>
  </conditionalFormatting>
  <conditionalFormatting sqref="X2297">
    <cfRule type="cellIs" dxfId="1349" priority="1239" stopIfTrue="1" operator="equal">
      <formula>"NO APLICA"</formula>
    </cfRule>
  </conditionalFormatting>
  <conditionalFormatting sqref="X2297">
    <cfRule type="cellIs" dxfId="1348" priority="1238" stopIfTrue="1" operator="equal">
      <formula>"NO APLICA"</formula>
    </cfRule>
  </conditionalFormatting>
  <conditionalFormatting sqref="AA2292:AA2297">
    <cfRule type="cellIs" dxfId="1347" priority="1237" stopIfTrue="1" operator="equal">
      <formula>"NO APLICA"</formula>
    </cfRule>
  </conditionalFormatting>
  <conditionalFormatting sqref="AA2297">
    <cfRule type="cellIs" dxfId="1346" priority="1236" stopIfTrue="1" operator="equal">
      <formula>"NO APLICA"</formula>
    </cfRule>
  </conditionalFormatting>
  <conditionalFormatting sqref="AA2292:AA2297">
    <cfRule type="cellIs" dxfId="1345" priority="1234" stopIfTrue="1" operator="equal">
      <formula>"NO"</formula>
    </cfRule>
    <cfRule type="cellIs" dxfId="1344" priority="1235" stopIfTrue="1" operator="equal">
      <formula>"SI"</formula>
    </cfRule>
  </conditionalFormatting>
  <conditionalFormatting sqref="Y2292:Z2297">
    <cfRule type="cellIs" dxfId="1343" priority="1232" operator="equal">
      <formula>"NO APLICA"</formula>
    </cfRule>
    <cfRule type="cellIs" dxfId="1342" priority="1233" operator="equal">
      <formula>"SI APLICA"</formula>
    </cfRule>
  </conditionalFormatting>
  <conditionalFormatting sqref="AB2292:AB2298">
    <cfRule type="cellIs" dxfId="1341" priority="1230" operator="equal">
      <formula>"NO APLICA"</formula>
    </cfRule>
    <cfRule type="cellIs" dxfId="1340" priority="1231" operator="equal">
      <formula>"SI APLICA"</formula>
    </cfRule>
  </conditionalFormatting>
  <conditionalFormatting sqref="X2298">
    <cfRule type="cellIs" dxfId="1339" priority="1228" operator="equal">
      <formula>"PROPONENTE PLURAL"</formula>
    </cfRule>
    <cfRule type="cellIs" dxfId="1338" priority="1229" operator="equal">
      <formula>"PROPONENTE INDIVIDUAL"</formula>
    </cfRule>
  </conditionalFormatting>
  <conditionalFormatting sqref="Z2298:AA2298 AA2292:AA2297">
    <cfRule type="cellIs" dxfId="1337" priority="1226" operator="equal">
      <formula>"NO APLICA"</formula>
    </cfRule>
    <cfRule type="cellIs" dxfId="1336" priority="1227" operator="equal">
      <formula>"SI APLICA"</formula>
    </cfRule>
  </conditionalFormatting>
  <conditionalFormatting sqref="AB2292:AB2297 Y2292:Z2297">
    <cfRule type="cellIs" dxfId="1335" priority="1225" operator="equal">
      <formula>""</formula>
    </cfRule>
  </conditionalFormatting>
  <conditionalFormatting sqref="H2298">
    <cfRule type="containsText" dxfId="1334" priority="1223" stopIfTrue="1" operator="containsText" text="NO CUMPLE">
      <formula>NOT(ISERROR(SEARCH("NO CUMPLE",H2298)))</formula>
    </cfRule>
    <cfRule type="containsText" dxfId="1333" priority="1224" stopIfTrue="1" operator="containsText" text="CUMPLE">
      <formula>NOT(ISERROR(SEARCH("CUMPLE",H2298)))</formula>
    </cfRule>
  </conditionalFormatting>
  <conditionalFormatting sqref="J2298">
    <cfRule type="containsText" dxfId="1332" priority="1221" stopIfTrue="1" operator="containsText" text="NO CUMPLE">
      <formula>NOT(ISERROR(SEARCH("NO CUMPLE",J2298)))</formula>
    </cfRule>
    <cfRule type="containsText" dxfId="1331" priority="1222" stopIfTrue="1" operator="containsText" text="CUMPLE">
      <formula>NOT(ISERROR(SEARCH("CUMPLE",J2298)))</formula>
    </cfRule>
  </conditionalFormatting>
  <conditionalFormatting sqref="K2298">
    <cfRule type="containsText" dxfId="1330" priority="1219" stopIfTrue="1" operator="containsText" text="NO CUMPLE">
      <formula>NOT(ISERROR(SEARCH("NO CUMPLE",K2298)))</formula>
    </cfRule>
    <cfRule type="containsText" dxfId="1329" priority="1220" stopIfTrue="1" operator="containsText" text="CUMPLE">
      <formula>NOT(ISERROR(SEARCH("CUMPLE",K2298)))</formula>
    </cfRule>
  </conditionalFormatting>
  <conditionalFormatting sqref="L2292:L2297">
    <cfRule type="containsText" dxfId="1328" priority="1217" stopIfTrue="1" operator="containsText" text="NO CUMPLE">
      <formula>NOT(ISERROR(SEARCH("NO CUMPLE",L2292)))</formula>
    </cfRule>
    <cfRule type="containsText" dxfId="1327" priority="1218" stopIfTrue="1" operator="containsText" text="CUMPLE">
      <formula>NOT(ISERROR(SEARCH("CUMPLE",L2292)))</formula>
    </cfRule>
  </conditionalFormatting>
  <conditionalFormatting sqref="O2297">
    <cfRule type="containsText" dxfId="1326" priority="1215" stopIfTrue="1" operator="containsText" text="NO CUMPLE">
      <formula>NOT(ISERROR(SEARCH("NO CUMPLE",O2297)))</formula>
    </cfRule>
    <cfRule type="containsText" dxfId="1325" priority="1216" stopIfTrue="1" operator="containsText" text="CUMPLE">
      <formula>NOT(ISERROR(SEARCH("CUMPLE",O2297)))</formula>
    </cfRule>
  </conditionalFormatting>
  <conditionalFormatting sqref="O2298:S2298">
    <cfRule type="cellIs" dxfId="1324" priority="1214" operator="equal">
      <formula>"EL PROPONENTE SE DEBE REQUERIR POR EXPERIENCIA MINIMA EXIGIDA"</formula>
    </cfRule>
  </conditionalFormatting>
  <conditionalFormatting sqref="X2286">
    <cfRule type="cellIs" dxfId="1323" priority="1211" stopIfTrue="1" operator="equal">
      <formula>"VERIFICAR"</formula>
    </cfRule>
    <cfRule type="cellIs" dxfId="1322" priority="1212" stopIfTrue="1" operator="equal">
      <formula>"NO CUMPLE"</formula>
    </cfRule>
    <cfRule type="cellIs" dxfId="1321" priority="1213" stopIfTrue="1" operator="equal">
      <formula>"CUMPLE"</formula>
    </cfRule>
  </conditionalFormatting>
  <conditionalFormatting sqref="X2275:Y2284 J2275:J2284">
    <cfRule type="cellIs" dxfId="1320" priority="1210" stopIfTrue="1" operator="greaterThan">
      <formula>0</formula>
    </cfRule>
  </conditionalFormatting>
  <conditionalFormatting sqref="X2275:Y2284">
    <cfRule type="cellIs" dxfId="1319" priority="1208" operator="equal">
      <formula>"NO CUMPLE"</formula>
    </cfRule>
    <cfRule type="cellIs" dxfId="1318" priority="1209" operator="equal">
      <formula>"CUMPLE"</formula>
    </cfRule>
  </conditionalFormatting>
  <conditionalFormatting sqref="N2292:N2297">
    <cfRule type="cellIs" dxfId="1317" priority="1206" operator="equal">
      <formula>"NO"</formula>
    </cfRule>
    <cfRule type="cellIs" dxfId="1316" priority="1207" operator="equal">
      <formula>"SI"</formula>
    </cfRule>
  </conditionalFormatting>
  <conditionalFormatting sqref="I2284">
    <cfRule type="cellIs" dxfId="1315" priority="1205" stopIfTrue="1" operator="greaterThan">
      <formula>0</formula>
    </cfRule>
  </conditionalFormatting>
  <conditionalFormatting sqref="K2278:L2284">
    <cfRule type="cellIs" dxfId="1314" priority="1203" operator="equal">
      <formula>0</formula>
    </cfRule>
    <cfRule type="cellIs" dxfId="1313" priority="1204" operator="notBetween">
      <formula>$Q$17</formula>
      <formula>$R$17</formula>
    </cfRule>
  </conditionalFormatting>
  <conditionalFormatting sqref="B2275:B2284">
    <cfRule type="cellIs" dxfId="1312" priority="1202" stopIfTrue="1" operator="greaterThan">
      <formula>0</formula>
    </cfRule>
  </conditionalFormatting>
  <conditionalFormatting sqref="C2275:D2275 D2276:D2277 C2276:C2284">
    <cfRule type="cellIs" dxfId="1311" priority="1201" stopIfTrue="1" operator="greaterThan">
      <formula>0</formula>
    </cfRule>
  </conditionalFormatting>
  <conditionalFormatting sqref="C2275:D2275 F2275:H2277 D2276:D2277 C2276:C2284">
    <cfRule type="cellIs" dxfId="1310" priority="1200" stopIfTrue="1" operator="greaterThan">
      <formula>0</formula>
    </cfRule>
  </conditionalFormatting>
  <conditionalFormatting sqref="T2275:V2277">
    <cfRule type="cellIs" dxfId="1309" priority="1198" stopIfTrue="1" operator="equal">
      <formula>"NO"</formula>
    </cfRule>
    <cfRule type="cellIs" dxfId="1308" priority="1199" stopIfTrue="1" operator="equal">
      <formula>"SI"</formula>
    </cfRule>
  </conditionalFormatting>
  <conditionalFormatting sqref="T2275:V2276">
    <cfRule type="cellIs" dxfId="1307" priority="1197" stopIfTrue="1" operator="equal">
      <formula>"NO APLICA"</formula>
    </cfRule>
  </conditionalFormatting>
  <conditionalFormatting sqref="T2277:U2277">
    <cfRule type="cellIs" dxfId="1306" priority="1196" stopIfTrue="1" operator="equal">
      <formula>"NO APLICA"</formula>
    </cfRule>
  </conditionalFormatting>
  <conditionalFormatting sqref="T2277:U2277">
    <cfRule type="cellIs" dxfId="1305" priority="1195" stopIfTrue="1" operator="equal">
      <formula>"NO APLICA"</formula>
    </cfRule>
  </conditionalFormatting>
  <conditionalFormatting sqref="V2277">
    <cfRule type="cellIs" dxfId="1304" priority="1194" stopIfTrue="1" operator="equal">
      <formula>"NO APLICA"</formula>
    </cfRule>
  </conditionalFormatting>
  <conditionalFormatting sqref="K2275:L2277">
    <cfRule type="cellIs" dxfId="1303" priority="1192" operator="equal">
      <formula>0</formula>
    </cfRule>
    <cfRule type="cellIs" dxfId="1302" priority="1193" operator="notBetween">
      <formula>$Q$17</formula>
      <formula>$R$17</formula>
    </cfRule>
  </conditionalFormatting>
  <conditionalFormatting sqref="F2308:H2313 D2314:H2314 I2308:I2314 C2305:D2305 K2305:O2314 F2305:I2307 D2306:D2313 C2306:C2314">
    <cfRule type="cellIs" dxfId="1301" priority="1191" stopIfTrue="1" operator="greaterThan">
      <formula>0</formula>
    </cfRule>
  </conditionalFormatting>
  <conditionalFormatting sqref="D2308:D2313">
    <cfRule type="cellIs" dxfId="1300" priority="1190" stopIfTrue="1" operator="greaterThan">
      <formula>0</formula>
    </cfRule>
  </conditionalFormatting>
  <conditionalFormatting sqref="D2308:D2313 F2308:H2313">
    <cfRule type="cellIs" dxfId="1299" priority="1189" stopIfTrue="1" operator="greaterThan">
      <formula>0</formula>
    </cfRule>
  </conditionalFormatting>
  <conditionalFormatting sqref="H2305:H2313">
    <cfRule type="cellIs" dxfId="1298" priority="1188" stopIfTrue="1" operator="greaterThan">
      <formula>0</formula>
    </cfRule>
  </conditionalFormatting>
  <conditionalFormatting sqref="E2305:E2313">
    <cfRule type="cellIs" dxfId="1297" priority="1187" stopIfTrue="1" operator="greaterThan">
      <formula>0</formula>
    </cfRule>
  </conditionalFormatting>
  <conditionalFormatting sqref="M2322:M2327 K2322:K2327">
    <cfRule type="containsText" dxfId="1296" priority="1185" stopIfTrue="1" operator="containsText" text="NO CUMPLE">
      <formula>NOT(ISERROR(SEARCH("NO CUMPLE",K2322)))</formula>
    </cfRule>
    <cfRule type="containsText" dxfId="1295" priority="1186" stopIfTrue="1" operator="containsText" text="CUMPLE">
      <formula>NOT(ISERROR(SEARCH("CUMPLE",K2322)))</formula>
    </cfRule>
  </conditionalFormatting>
  <conditionalFormatting sqref="S2321">
    <cfRule type="cellIs" dxfId="1294" priority="1183" operator="greaterThanOrEqual">
      <formula>NUMMINCONT</formula>
    </cfRule>
    <cfRule type="cellIs" dxfId="1293" priority="1184" operator="lessThan">
      <formula>NUMMINCONT</formula>
    </cfRule>
  </conditionalFormatting>
  <conditionalFormatting sqref="T2308:V2313">
    <cfRule type="cellIs" dxfId="1292" priority="1181" stopIfTrue="1" operator="equal">
      <formula>"NO"</formula>
    </cfRule>
    <cfRule type="cellIs" dxfId="1291" priority="1182" stopIfTrue="1" operator="equal">
      <formula>"SI"</formula>
    </cfRule>
  </conditionalFormatting>
  <conditionalFormatting sqref="T2308:V2309">
    <cfRule type="cellIs" dxfId="1290" priority="1180" stopIfTrue="1" operator="equal">
      <formula>"NO APLICA"</formula>
    </cfRule>
  </conditionalFormatting>
  <conditionalFormatting sqref="T2310:U2313">
    <cfRule type="cellIs" dxfId="1289" priority="1179" stopIfTrue="1" operator="equal">
      <formula>"NO APLICA"</formula>
    </cfRule>
  </conditionalFormatting>
  <conditionalFormatting sqref="T2310:U2310">
    <cfRule type="cellIs" dxfId="1288" priority="1178" stopIfTrue="1" operator="equal">
      <formula>"NO APLICA"</formula>
    </cfRule>
  </conditionalFormatting>
  <conditionalFormatting sqref="V2310:V2313">
    <cfRule type="cellIs" dxfId="1287" priority="1177" stopIfTrue="1" operator="equal">
      <formula>"NO APLICA"</formula>
    </cfRule>
  </conditionalFormatting>
  <conditionalFormatting sqref="V2319:W2319">
    <cfRule type="cellIs" dxfId="1286" priority="1175" operator="equal">
      <formula>"CUMPLE"</formula>
    </cfRule>
    <cfRule type="cellIs" dxfId="1285" priority="1176" operator="equal">
      <formula>"NO CUMPLE"</formula>
    </cfRule>
  </conditionalFormatting>
  <conditionalFormatting sqref="V2319:W2321">
    <cfRule type="cellIs" dxfId="1284" priority="1174" operator="equal">
      <formula>"VERIFICAR"</formula>
    </cfRule>
  </conditionalFormatting>
  <conditionalFormatting sqref="T2314:V2314">
    <cfRule type="cellIs" dxfId="1283" priority="1172" stopIfTrue="1" operator="equal">
      <formula>"NO"</formula>
    </cfRule>
    <cfRule type="cellIs" dxfId="1282" priority="1173" stopIfTrue="1" operator="equal">
      <formula>"SI"</formula>
    </cfRule>
  </conditionalFormatting>
  <conditionalFormatting sqref="T2314:U2314">
    <cfRule type="cellIs" dxfId="1281" priority="1171" stopIfTrue="1" operator="equal">
      <formula>"NO APLICA"</formula>
    </cfRule>
  </conditionalFormatting>
  <conditionalFormatting sqref="V2314">
    <cfRule type="cellIs" dxfId="1280" priority="1170" stopIfTrue="1" operator="equal">
      <formula>"NO APLICA"</formula>
    </cfRule>
  </conditionalFormatting>
  <conditionalFormatting sqref="T2324">
    <cfRule type="cellIs" dxfId="1279" priority="1168" operator="equal">
      <formula>"CUMPLE"</formula>
    </cfRule>
    <cfRule type="cellIs" dxfId="1278" priority="1169" operator="equal">
      <formula>"NO CUMPLE"</formula>
    </cfRule>
  </conditionalFormatting>
  <conditionalFormatting sqref="T2324">
    <cfRule type="cellIs" dxfId="1277" priority="1167" operator="equal">
      <formula>"VERIFICAR"</formula>
    </cfRule>
  </conditionalFormatting>
  <conditionalFormatting sqref="Y2322:Y2327">
    <cfRule type="cellIs" dxfId="1276" priority="1166" stopIfTrue="1" operator="equal">
      <formula>"NO APLICA"</formula>
    </cfRule>
  </conditionalFormatting>
  <conditionalFormatting sqref="Y2327">
    <cfRule type="cellIs" dxfId="1275" priority="1165" stopIfTrue="1" operator="equal">
      <formula>"NO APLICA"</formula>
    </cfRule>
  </conditionalFormatting>
  <conditionalFormatting sqref="X2322:Y2327">
    <cfRule type="cellIs" dxfId="1274" priority="1163" stopIfTrue="1" operator="equal">
      <formula>"NO"</formula>
    </cfRule>
    <cfRule type="cellIs" dxfId="1273" priority="1164" stopIfTrue="1" operator="equal">
      <formula>"SI"</formula>
    </cfRule>
  </conditionalFormatting>
  <conditionalFormatting sqref="X2322:X2327">
    <cfRule type="cellIs" dxfId="1272" priority="1162" stopIfTrue="1" operator="equal">
      <formula>"NO APLICA"</formula>
    </cfRule>
  </conditionalFormatting>
  <conditionalFormatting sqref="X2323:X2326">
    <cfRule type="cellIs" dxfId="1271" priority="1161" stopIfTrue="1" operator="equal">
      <formula>"NO APLICA"</formula>
    </cfRule>
  </conditionalFormatting>
  <conditionalFormatting sqref="X2323">
    <cfRule type="cellIs" dxfId="1270" priority="1160" stopIfTrue="1" operator="equal">
      <formula>"NO APLICA"</formula>
    </cfRule>
  </conditionalFormatting>
  <conditionalFormatting sqref="X2327">
    <cfRule type="cellIs" dxfId="1269" priority="1159" stopIfTrue="1" operator="equal">
      <formula>"NO APLICA"</formula>
    </cfRule>
  </conditionalFormatting>
  <conditionalFormatting sqref="X2327">
    <cfRule type="cellIs" dxfId="1268" priority="1158" stopIfTrue="1" operator="equal">
      <formula>"NO APLICA"</formula>
    </cfRule>
  </conditionalFormatting>
  <conditionalFormatting sqref="AA2322:AA2327">
    <cfRule type="cellIs" dxfId="1267" priority="1157" stopIfTrue="1" operator="equal">
      <formula>"NO APLICA"</formula>
    </cfRule>
  </conditionalFormatting>
  <conditionalFormatting sqref="AA2327">
    <cfRule type="cellIs" dxfId="1266" priority="1156" stopIfTrue="1" operator="equal">
      <formula>"NO APLICA"</formula>
    </cfRule>
  </conditionalFormatting>
  <conditionalFormatting sqref="AA2322:AA2327">
    <cfRule type="cellIs" dxfId="1265" priority="1154" stopIfTrue="1" operator="equal">
      <formula>"NO"</formula>
    </cfRule>
    <cfRule type="cellIs" dxfId="1264" priority="1155" stopIfTrue="1" operator="equal">
      <formula>"SI"</formula>
    </cfRule>
  </conditionalFormatting>
  <conditionalFormatting sqref="Y2322:Z2327">
    <cfRule type="cellIs" dxfId="1263" priority="1152" operator="equal">
      <formula>"NO APLICA"</formula>
    </cfRule>
    <cfRule type="cellIs" dxfId="1262" priority="1153" operator="equal">
      <formula>"SI APLICA"</formula>
    </cfRule>
  </conditionalFormatting>
  <conditionalFormatting sqref="AB2322:AB2328">
    <cfRule type="cellIs" dxfId="1261" priority="1150" operator="equal">
      <formula>"NO APLICA"</formula>
    </cfRule>
    <cfRule type="cellIs" dxfId="1260" priority="1151" operator="equal">
      <formula>"SI APLICA"</formula>
    </cfRule>
  </conditionalFormatting>
  <conditionalFormatting sqref="X2328">
    <cfRule type="cellIs" dxfId="1259" priority="1148" operator="equal">
      <formula>"PROPONENTE PLURAL"</formula>
    </cfRule>
    <cfRule type="cellIs" dxfId="1258" priority="1149" operator="equal">
      <formula>"PROPONENTE INDIVIDUAL"</formula>
    </cfRule>
  </conditionalFormatting>
  <conditionalFormatting sqref="Z2328:AA2328 AA2322:AA2327">
    <cfRule type="cellIs" dxfId="1257" priority="1146" operator="equal">
      <formula>"NO APLICA"</formula>
    </cfRule>
    <cfRule type="cellIs" dxfId="1256" priority="1147" operator="equal">
      <formula>"SI APLICA"</formula>
    </cfRule>
  </conditionalFormatting>
  <conditionalFormatting sqref="AB2322:AB2327 Y2322:Z2327">
    <cfRule type="cellIs" dxfId="1255" priority="1145" operator="equal">
      <formula>""</formula>
    </cfRule>
  </conditionalFormatting>
  <conditionalFormatting sqref="H2328">
    <cfRule type="containsText" dxfId="1254" priority="1143" stopIfTrue="1" operator="containsText" text="NO CUMPLE">
      <formula>NOT(ISERROR(SEARCH("NO CUMPLE",H2328)))</formula>
    </cfRule>
    <cfRule type="containsText" dxfId="1253" priority="1144" stopIfTrue="1" operator="containsText" text="CUMPLE">
      <formula>NOT(ISERROR(SEARCH("CUMPLE",H2328)))</formula>
    </cfRule>
  </conditionalFormatting>
  <conditionalFormatting sqref="J2328">
    <cfRule type="containsText" dxfId="1252" priority="1141" stopIfTrue="1" operator="containsText" text="NO CUMPLE">
      <formula>NOT(ISERROR(SEARCH("NO CUMPLE",J2328)))</formula>
    </cfRule>
    <cfRule type="containsText" dxfId="1251" priority="1142" stopIfTrue="1" operator="containsText" text="CUMPLE">
      <formula>NOT(ISERROR(SEARCH("CUMPLE",J2328)))</formula>
    </cfRule>
  </conditionalFormatting>
  <conditionalFormatting sqref="K2328">
    <cfRule type="containsText" dxfId="1250" priority="1139" stopIfTrue="1" operator="containsText" text="NO CUMPLE">
      <formula>NOT(ISERROR(SEARCH("NO CUMPLE",K2328)))</formula>
    </cfRule>
    <cfRule type="containsText" dxfId="1249" priority="1140" stopIfTrue="1" operator="containsText" text="CUMPLE">
      <formula>NOT(ISERROR(SEARCH("CUMPLE",K2328)))</formula>
    </cfRule>
  </conditionalFormatting>
  <conditionalFormatting sqref="L2322:L2327">
    <cfRule type="containsText" dxfId="1248" priority="1137" stopIfTrue="1" operator="containsText" text="NO CUMPLE">
      <formula>NOT(ISERROR(SEARCH("NO CUMPLE",L2322)))</formula>
    </cfRule>
    <cfRule type="containsText" dxfId="1247" priority="1138" stopIfTrue="1" operator="containsText" text="CUMPLE">
      <formula>NOT(ISERROR(SEARCH("CUMPLE",L2322)))</formula>
    </cfRule>
  </conditionalFormatting>
  <conditionalFormatting sqref="O2327">
    <cfRule type="containsText" dxfId="1246" priority="1135" stopIfTrue="1" operator="containsText" text="NO CUMPLE">
      <formula>NOT(ISERROR(SEARCH("NO CUMPLE",O2327)))</formula>
    </cfRule>
    <cfRule type="containsText" dxfId="1245" priority="1136" stopIfTrue="1" operator="containsText" text="CUMPLE">
      <formula>NOT(ISERROR(SEARCH("CUMPLE",O2327)))</formula>
    </cfRule>
  </conditionalFormatting>
  <conditionalFormatting sqref="O2328:S2328">
    <cfRule type="cellIs" dxfId="1244" priority="1134" operator="equal">
      <formula>"EL PROPONENTE SE DEBE REQUERIR POR EXPERIENCIA MINIMA EXIGIDA"</formula>
    </cfRule>
  </conditionalFormatting>
  <conditionalFormatting sqref="X2316">
    <cfRule type="cellIs" dxfId="1243" priority="1131" stopIfTrue="1" operator="equal">
      <formula>"VERIFICAR"</formula>
    </cfRule>
    <cfRule type="cellIs" dxfId="1242" priority="1132" stopIfTrue="1" operator="equal">
      <formula>"NO CUMPLE"</formula>
    </cfRule>
    <cfRule type="cellIs" dxfId="1241" priority="1133" stopIfTrue="1" operator="equal">
      <formula>"CUMPLE"</formula>
    </cfRule>
  </conditionalFormatting>
  <conditionalFormatting sqref="X2305:Y2314 J2305:J2314">
    <cfRule type="cellIs" dxfId="1240" priority="1130" stopIfTrue="1" operator="greaterThan">
      <formula>0</formula>
    </cfRule>
  </conditionalFormatting>
  <conditionalFormatting sqref="X2305:Y2314">
    <cfRule type="cellIs" dxfId="1239" priority="1128" operator="equal">
      <formula>"NO CUMPLE"</formula>
    </cfRule>
    <cfRule type="cellIs" dxfId="1238" priority="1129" operator="equal">
      <formula>"CUMPLE"</formula>
    </cfRule>
  </conditionalFormatting>
  <conditionalFormatting sqref="N2322:N2327">
    <cfRule type="cellIs" dxfId="1237" priority="1126" operator="equal">
      <formula>"NO"</formula>
    </cfRule>
    <cfRule type="cellIs" dxfId="1236" priority="1127" operator="equal">
      <formula>"SI"</formula>
    </cfRule>
  </conditionalFormatting>
  <conditionalFormatting sqref="I2314">
    <cfRule type="cellIs" dxfId="1235" priority="1125" stopIfTrue="1" operator="greaterThan">
      <formula>0</formula>
    </cfRule>
  </conditionalFormatting>
  <conditionalFormatting sqref="K2308:L2314">
    <cfRule type="cellIs" dxfId="1234" priority="1123" operator="equal">
      <formula>0</formula>
    </cfRule>
    <cfRule type="cellIs" dxfId="1233" priority="1124" operator="notBetween">
      <formula>$Q$17</formula>
      <formula>$R$17</formula>
    </cfRule>
  </conditionalFormatting>
  <conditionalFormatting sqref="B2305:B2314">
    <cfRule type="cellIs" dxfId="1232" priority="1122" stopIfTrue="1" operator="greaterThan">
      <formula>0</formula>
    </cfRule>
  </conditionalFormatting>
  <conditionalFormatting sqref="C2305:D2305 D2306:D2307 C2306:C2314">
    <cfRule type="cellIs" dxfId="1231" priority="1121" stopIfTrue="1" operator="greaterThan">
      <formula>0</formula>
    </cfRule>
  </conditionalFormatting>
  <conditionalFormatting sqref="C2305:D2305 F2305:H2307 D2306:D2307 C2306:C2314">
    <cfRule type="cellIs" dxfId="1230" priority="1120" stopIfTrue="1" operator="greaterThan">
      <formula>0</formula>
    </cfRule>
  </conditionalFormatting>
  <conditionalFormatting sqref="T2305:V2307">
    <cfRule type="cellIs" dxfId="1229" priority="1118" stopIfTrue="1" operator="equal">
      <formula>"NO"</formula>
    </cfRule>
    <cfRule type="cellIs" dxfId="1228" priority="1119" stopIfTrue="1" operator="equal">
      <formula>"SI"</formula>
    </cfRule>
  </conditionalFormatting>
  <conditionalFormatting sqref="T2305:V2306">
    <cfRule type="cellIs" dxfId="1227" priority="1117" stopIfTrue="1" operator="equal">
      <formula>"NO APLICA"</formula>
    </cfRule>
  </conditionalFormatting>
  <conditionalFormatting sqref="T2307:U2307">
    <cfRule type="cellIs" dxfId="1226" priority="1116" stopIfTrue="1" operator="equal">
      <formula>"NO APLICA"</formula>
    </cfRule>
  </conditionalFormatting>
  <conditionalFormatting sqref="T2307:U2307">
    <cfRule type="cellIs" dxfId="1225" priority="1115" stopIfTrue="1" operator="equal">
      <formula>"NO APLICA"</formula>
    </cfRule>
  </conditionalFormatting>
  <conditionalFormatting sqref="V2307">
    <cfRule type="cellIs" dxfId="1224" priority="1114" stopIfTrue="1" operator="equal">
      <formula>"NO APLICA"</formula>
    </cfRule>
  </conditionalFormatting>
  <conditionalFormatting sqref="K2305:L2307">
    <cfRule type="cellIs" dxfId="1223" priority="1112" operator="equal">
      <formula>0</formula>
    </cfRule>
    <cfRule type="cellIs" dxfId="1222" priority="1113" operator="notBetween">
      <formula>$Q$17</formula>
      <formula>$R$17</formula>
    </cfRule>
  </conditionalFormatting>
  <conditionalFormatting sqref="F2338:H2343 D2344:H2344 I2338:I2344 C2335:D2335 K2335:O2344 F2335:I2337 D2336:D2343 C2336:C2344">
    <cfRule type="cellIs" dxfId="1221" priority="1111" stopIfTrue="1" operator="greaterThan">
      <formula>0</formula>
    </cfRule>
  </conditionalFormatting>
  <conditionalFormatting sqref="D2338:D2343">
    <cfRule type="cellIs" dxfId="1220" priority="1110" stopIfTrue="1" operator="greaterThan">
      <formula>0</formula>
    </cfRule>
  </conditionalFormatting>
  <conditionalFormatting sqref="D2338:D2343 F2338:H2343">
    <cfRule type="cellIs" dxfId="1219" priority="1109" stopIfTrue="1" operator="greaterThan">
      <formula>0</formula>
    </cfRule>
  </conditionalFormatting>
  <conditionalFormatting sqref="H2335:H2343">
    <cfRule type="cellIs" dxfId="1218" priority="1108" stopIfTrue="1" operator="greaterThan">
      <formula>0</formula>
    </cfRule>
  </conditionalFormatting>
  <conditionalFormatting sqref="E2335:E2343">
    <cfRule type="cellIs" dxfId="1217" priority="1107" stopIfTrue="1" operator="greaterThan">
      <formula>0</formula>
    </cfRule>
  </conditionalFormatting>
  <conditionalFormatting sqref="M2352:M2357 K2352:K2357">
    <cfRule type="containsText" dxfId="1216" priority="1105" stopIfTrue="1" operator="containsText" text="NO CUMPLE">
      <formula>NOT(ISERROR(SEARCH("NO CUMPLE",K2352)))</formula>
    </cfRule>
    <cfRule type="containsText" dxfId="1215" priority="1106" stopIfTrue="1" operator="containsText" text="CUMPLE">
      <formula>NOT(ISERROR(SEARCH("CUMPLE",K2352)))</formula>
    </cfRule>
  </conditionalFormatting>
  <conditionalFormatting sqref="S2351">
    <cfRule type="cellIs" dxfId="1214" priority="1103" operator="greaterThanOrEqual">
      <formula>NUMMINCONT</formula>
    </cfRule>
    <cfRule type="cellIs" dxfId="1213" priority="1104" operator="lessThan">
      <formula>NUMMINCONT</formula>
    </cfRule>
  </conditionalFormatting>
  <conditionalFormatting sqref="T2338:V2343">
    <cfRule type="cellIs" dxfId="1212" priority="1101" stopIfTrue="1" operator="equal">
      <formula>"NO"</formula>
    </cfRule>
    <cfRule type="cellIs" dxfId="1211" priority="1102" stopIfTrue="1" operator="equal">
      <formula>"SI"</formula>
    </cfRule>
  </conditionalFormatting>
  <conditionalFormatting sqref="T2338:V2339">
    <cfRule type="cellIs" dxfId="1210" priority="1100" stopIfTrue="1" operator="equal">
      <formula>"NO APLICA"</formula>
    </cfRule>
  </conditionalFormatting>
  <conditionalFormatting sqref="T2340:U2343">
    <cfRule type="cellIs" dxfId="1209" priority="1099" stopIfTrue="1" operator="equal">
      <formula>"NO APLICA"</formula>
    </cfRule>
  </conditionalFormatting>
  <conditionalFormatting sqref="T2340:U2340">
    <cfRule type="cellIs" dxfId="1208" priority="1098" stopIfTrue="1" operator="equal">
      <formula>"NO APLICA"</formula>
    </cfRule>
  </conditionalFormatting>
  <conditionalFormatting sqref="V2340:V2343">
    <cfRule type="cellIs" dxfId="1207" priority="1097" stopIfTrue="1" operator="equal">
      <formula>"NO APLICA"</formula>
    </cfRule>
  </conditionalFormatting>
  <conditionalFormatting sqref="V2349:W2349">
    <cfRule type="cellIs" dxfId="1206" priority="1095" operator="equal">
      <formula>"CUMPLE"</formula>
    </cfRule>
    <cfRule type="cellIs" dxfId="1205" priority="1096" operator="equal">
      <formula>"NO CUMPLE"</formula>
    </cfRule>
  </conditionalFormatting>
  <conditionalFormatting sqref="V2349:W2351">
    <cfRule type="cellIs" dxfId="1204" priority="1094" operator="equal">
      <formula>"VERIFICAR"</formula>
    </cfRule>
  </conditionalFormatting>
  <conditionalFormatting sqref="T2344:V2344">
    <cfRule type="cellIs" dxfId="1203" priority="1092" stopIfTrue="1" operator="equal">
      <formula>"NO"</formula>
    </cfRule>
    <cfRule type="cellIs" dxfId="1202" priority="1093" stopIfTrue="1" operator="equal">
      <formula>"SI"</formula>
    </cfRule>
  </conditionalFormatting>
  <conditionalFormatting sqref="T2344:U2344">
    <cfRule type="cellIs" dxfId="1201" priority="1091" stopIfTrue="1" operator="equal">
      <formula>"NO APLICA"</formula>
    </cfRule>
  </conditionalFormatting>
  <conditionalFormatting sqref="V2344">
    <cfRule type="cellIs" dxfId="1200" priority="1090" stopIfTrue="1" operator="equal">
      <formula>"NO APLICA"</formula>
    </cfRule>
  </conditionalFormatting>
  <conditionalFormatting sqref="T2354">
    <cfRule type="cellIs" dxfId="1199" priority="1088" operator="equal">
      <formula>"CUMPLE"</formula>
    </cfRule>
    <cfRule type="cellIs" dxfId="1198" priority="1089" operator="equal">
      <formula>"NO CUMPLE"</formula>
    </cfRule>
  </conditionalFormatting>
  <conditionalFormatting sqref="T2354">
    <cfRule type="cellIs" dxfId="1197" priority="1087" operator="equal">
      <formula>"VERIFICAR"</formula>
    </cfRule>
  </conditionalFormatting>
  <conditionalFormatting sqref="Y2352:Y2357">
    <cfRule type="cellIs" dxfId="1196" priority="1086" stopIfTrue="1" operator="equal">
      <formula>"NO APLICA"</formula>
    </cfRule>
  </conditionalFormatting>
  <conditionalFormatting sqref="Y2357">
    <cfRule type="cellIs" dxfId="1195" priority="1085" stopIfTrue="1" operator="equal">
      <formula>"NO APLICA"</formula>
    </cfRule>
  </conditionalFormatting>
  <conditionalFormatting sqref="X2352:Y2357">
    <cfRule type="cellIs" dxfId="1194" priority="1083" stopIfTrue="1" operator="equal">
      <formula>"NO"</formula>
    </cfRule>
    <cfRule type="cellIs" dxfId="1193" priority="1084" stopIfTrue="1" operator="equal">
      <formula>"SI"</formula>
    </cfRule>
  </conditionalFormatting>
  <conditionalFormatting sqref="X2352:X2357">
    <cfRule type="cellIs" dxfId="1192" priority="1082" stopIfTrue="1" operator="equal">
      <formula>"NO APLICA"</formula>
    </cfRule>
  </conditionalFormatting>
  <conditionalFormatting sqref="X2353:X2356">
    <cfRule type="cellIs" dxfId="1191" priority="1081" stopIfTrue="1" operator="equal">
      <formula>"NO APLICA"</formula>
    </cfRule>
  </conditionalFormatting>
  <conditionalFormatting sqref="X2353">
    <cfRule type="cellIs" dxfId="1190" priority="1080" stopIfTrue="1" operator="equal">
      <formula>"NO APLICA"</formula>
    </cfRule>
  </conditionalFormatting>
  <conditionalFormatting sqref="X2357">
    <cfRule type="cellIs" dxfId="1189" priority="1079" stopIfTrue="1" operator="equal">
      <formula>"NO APLICA"</formula>
    </cfRule>
  </conditionalFormatting>
  <conditionalFormatting sqref="X2357">
    <cfRule type="cellIs" dxfId="1188" priority="1078" stopIfTrue="1" operator="equal">
      <formula>"NO APLICA"</formula>
    </cfRule>
  </conditionalFormatting>
  <conditionalFormatting sqref="AA2352:AA2357">
    <cfRule type="cellIs" dxfId="1187" priority="1077" stopIfTrue="1" operator="equal">
      <formula>"NO APLICA"</formula>
    </cfRule>
  </conditionalFormatting>
  <conditionalFormatting sqref="AA2357">
    <cfRule type="cellIs" dxfId="1186" priority="1076" stopIfTrue="1" operator="equal">
      <formula>"NO APLICA"</formula>
    </cfRule>
  </conditionalFormatting>
  <conditionalFormatting sqref="AA2352:AA2357">
    <cfRule type="cellIs" dxfId="1185" priority="1074" stopIfTrue="1" operator="equal">
      <formula>"NO"</formula>
    </cfRule>
    <cfRule type="cellIs" dxfId="1184" priority="1075" stopIfTrue="1" operator="equal">
      <formula>"SI"</formula>
    </cfRule>
  </conditionalFormatting>
  <conditionalFormatting sqref="Y2352:Z2357">
    <cfRule type="cellIs" dxfId="1183" priority="1072" operator="equal">
      <formula>"NO APLICA"</formula>
    </cfRule>
    <cfRule type="cellIs" dxfId="1182" priority="1073" operator="equal">
      <formula>"SI APLICA"</formula>
    </cfRule>
  </conditionalFormatting>
  <conditionalFormatting sqref="AB2352:AB2358">
    <cfRule type="cellIs" dxfId="1181" priority="1070" operator="equal">
      <formula>"NO APLICA"</formula>
    </cfRule>
    <cfRule type="cellIs" dxfId="1180" priority="1071" operator="equal">
      <formula>"SI APLICA"</formula>
    </cfRule>
  </conditionalFormatting>
  <conditionalFormatting sqref="X2358">
    <cfRule type="cellIs" dxfId="1179" priority="1068" operator="equal">
      <formula>"PROPONENTE PLURAL"</formula>
    </cfRule>
    <cfRule type="cellIs" dxfId="1178" priority="1069" operator="equal">
      <formula>"PROPONENTE INDIVIDUAL"</formula>
    </cfRule>
  </conditionalFormatting>
  <conditionalFormatting sqref="Z2358:AA2358 AA2352:AA2357">
    <cfRule type="cellIs" dxfId="1177" priority="1066" operator="equal">
      <formula>"NO APLICA"</formula>
    </cfRule>
    <cfRule type="cellIs" dxfId="1176" priority="1067" operator="equal">
      <formula>"SI APLICA"</formula>
    </cfRule>
  </conditionalFormatting>
  <conditionalFormatting sqref="AB2352:AB2357 Y2352:Z2357">
    <cfRule type="cellIs" dxfId="1175" priority="1065" operator="equal">
      <formula>""</formula>
    </cfRule>
  </conditionalFormatting>
  <conditionalFormatting sqref="H2358">
    <cfRule type="containsText" dxfId="1174" priority="1063" stopIfTrue="1" operator="containsText" text="NO CUMPLE">
      <formula>NOT(ISERROR(SEARCH("NO CUMPLE",H2358)))</formula>
    </cfRule>
    <cfRule type="containsText" dxfId="1173" priority="1064" stopIfTrue="1" operator="containsText" text="CUMPLE">
      <formula>NOT(ISERROR(SEARCH("CUMPLE",H2358)))</formula>
    </cfRule>
  </conditionalFormatting>
  <conditionalFormatting sqref="J2358">
    <cfRule type="containsText" dxfId="1172" priority="1061" stopIfTrue="1" operator="containsText" text="NO CUMPLE">
      <formula>NOT(ISERROR(SEARCH("NO CUMPLE",J2358)))</formula>
    </cfRule>
    <cfRule type="containsText" dxfId="1171" priority="1062" stopIfTrue="1" operator="containsText" text="CUMPLE">
      <formula>NOT(ISERROR(SEARCH("CUMPLE",J2358)))</formula>
    </cfRule>
  </conditionalFormatting>
  <conditionalFormatting sqref="K2358">
    <cfRule type="containsText" dxfId="1170" priority="1059" stopIfTrue="1" operator="containsText" text="NO CUMPLE">
      <formula>NOT(ISERROR(SEARCH("NO CUMPLE",K2358)))</formula>
    </cfRule>
    <cfRule type="containsText" dxfId="1169" priority="1060" stopIfTrue="1" operator="containsText" text="CUMPLE">
      <formula>NOT(ISERROR(SEARCH("CUMPLE",K2358)))</formula>
    </cfRule>
  </conditionalFormatting>
  <conditionalFormatting sqref="L2352:L2357">
    <cfRule type="containsText" dxfId="1168" priority="1057" stopIfTrue="1" operator="containsText" text="NO CUMPLE">
      <formula>NOT(ISERROR(SEARCH("NO CUMPLE",L2352)))</formula>
    </cfRule>
    <cfRule type="containsText" dxfId="1167" priority="1058" stopIfTrue="1" operator="containsText" text="CUMPLE">
      <formula>NOT(ISERROR(SEARCH("CUMPLE",L2352)))</formula>
    </cfRule>
  </conditionalFormatting>
  <conditionalFormatting sqref="O2357">
    <cfRule type="containsText" dxfId="1166" priority="1055" stopIfTrue="1" operator="containsText" text="NO CUMPLE">
      <formula>NOT(ISERROR(SEARCH("NO CUMPLE",O2357)))</formula>
    </cfRule>
    <cfRule type="containsText" dxfId="1165" priority="1056" stopIfTrue="1" operator="containsText" text="CUMPLE">
      <formula>NOT(ISERROR(SEARCH("CUMPLE",O2357)))</formula>
    </cfRule>
  </conditionalFormatting>
  <conditionalFormatting sqref="O2358:S2358">
    <cfRule type="cellIs" dxfId="1164" priority="1054" operator="equal">
      <formula>"EL PROPONENTE SE DEBE REQUERIR POR EXPERIENCIA MINIMA EXIGIDA"</formula>
    </cfRule>
  </conditionalFormatting>
  <conditionalFormatting sqref="X2346">
    <cfRule type="cellIs" dxfId="1163" priority="1051" stopIfTrue="1" operator="equal">
      <formula>"VERIFICAR"</formula>
    </cfRule>
    <cfRule type="cellIs" dxfId="1162" priority="1052" stopIfTrue="1" operator="equal">
      <formula>"NO CUMPLE"</formula>
    </cfRule>
    <cfRule type="cellIs" dxfId="1161" priority="1053" stopIfTrue="1" operator="equal">
      <formula>"CUMPLE"</formula>
    </cfRule>
  </conditionalFormatting>
  <conditionalFormatting sqref="X2335:Y2344 J2335:J2344">
    <cfRule type="cellIs" dxfId="1160" priority="1050" stopIfTrue="1" operator="greaterThan">
      <formula>0</formula>
    </cfRule>
  </conditionalFormatting>
  <conditionalFormatting sqref="X2335:Y2344">
    <cfRule type="cellIs" dxfId="1159" priority="1048" operator="equal">
      <formula>"NO CUMPLE"</formula>
    </cfRule>
    <cfRule type="cellIs" dxfId="1158" priority="1049" operator="equal">
      <formula>"CUMPLE"</formula>
    </cfRule>
  </conditionalFormatting>
  <conditionalFormatting sqref="N2352:N2357">
    <cfRule type="cellIs" dxfId="1157" priority="1046" operator="equal">
      <formula>"NO"</formula>
    </cfRule>
    <cfRule type="cellIs" dxfId="1156" priority="1047" operator="equal">
      <formula>"SI"</formula>
    </cfRule>
  </conditionalFormatting>
  <conditionalFormatting sqref="I2344">
    <cfRule type="cellIs" dxfId="1155" priority="1045" stopIfTrue="1" operator="greaterThan">
      <formula>0</formula>
    </cfRule>
  </conditionalFormatting>
  <conditionalFormatting sqref="K2338:L2344">
    <cfRule type="cellIs" dxfId="1154" priority="1043" operator="equal">
      <formula>0</formula>
    </cfRule>
    <cfRule type="cellIs" dxfId="1153" priority="1044" operator="notBetween">
      <formula>$Q$17</formula>
      <formula>$R$17</formula>
    </cfRule>
  </conditionalFormatting>
  <conditionalFormatting sqref="B2335:B2344">
    <cfRule type="cellIs" dxfId="1152" priority="1042" stopIfTrue="1" operator="greaterThan">
      <formula>0</formula>
    </cfRule>
  </conditionalFormatting>
  <conditionalFormatting sqref="C2335:D2335 D2336:D2337 C2336:C2344">
    <cfRule type="cellIs" dxfId="1151" priority="1041" stopIfTrue="1" operator="greaterThan">
      <formula>0</formula>
    </cfRule>
  </conditionalFormatting>
  <conditionalFormatting sqref="C2335:D2335 F2335:H2337 D2336:D2337 C2336:C2344">
    <cfRule type="cellIs" dxfId="1150" priority="1040" stopIfTrue="1" operator="greaterThan">
      <formula>0</formula>
    </cfRule>
  </conditionalFormatting>
  <conditionalFormatting sqref="T2335:V2337">
    <cfRule type="cellIs" dxfId="1149" priority="1038" stopIfTrue="1" operator="equal">
      <formula>"NO"</formula>
    </cfRule>
    <cfRule type="cellIs" dxfId="1148" priority="1039" stopIfTrue="1" operator="equal">
      <formula>"SI"</formula>
    </cfRule>
  </conditionalFormatting>
  <conditionalFormatting sqref="T2335:V2336">
    <cfRule type="cellIs" dxfId="1147" priority="1037" stopIfTrue="1" operator="equal">
      <formula>"NO APLICA"</formula>
    </cfRule>
  </conditionalFormatting>
  <conditionalFormatting sqref="T2337:U2337">
    <cfRule type="cellIs" dxfId="1146" priority="1036" stopIfTrue="1" operator="equal">
      <formula>"NO APLICA"</formula>
    </cfRule>
  </conditionalFormatting>
  <conditionalFormatting sqref="T2337:U2337">
    <cfRule type="cellIs" dxfId="1145" priority="1035" stopIfTrue="1" operator="equal">
      <formula>"NO APLICA"</formula>
    </cfRule>
  </conditionalFormatting>
  <conditionalFormatting sqref="V2337">
    <cfRule type="cellIs" dxfId="1144" priority="1034" stopIfTrue="1" operator="equal">
      <formula>"NO APLICA"</formula>
    </cfRule>
  </conditionalFormatting>
  <conditionalFormatting sqref="K2335:L2337">
    <cfRule type="cellIs" dxfId="1143" priority="1032" operator="equal">
      <formula>0</formula>
    </cfRule>
    <cfRule type="cellIs" dxfId="1142" priority="1033" operator="notBetween">
      <formula>$Q$17</formula>
      <formula>$R$17</formula>
    </cfRule>
  </conditionalFormatting>
  <conditionalFormatting sqref="F2368:H2373 D2374:H2374 I2368:I2374 C2365:D2365 K2365:O2374 F2365:I2367 D2366:D2373 C2366:C2374">
    <cfRule type="cellIs" dxfId="1141" priority="1031" stopIfTrue="1" operator="greaterThan">
      <formula>0</formula>
    </cfRule>
  </conditionalFormatting>
  <conditionalFormatting sqref="D2368:D2373">
    <cfRule type="cellIs" dxfId="1140" priority="1030" stopIfTrue="1" operator="greaterThan">
      <formula>0</formula>
    </cfRule>
  </conditionalFormatting>
  <conditionalFormatting sqref="D2368:D2373 F2368:H2373">
    <cfRule type="cellIs" dxfId="1139" priority="1029" stopIfTrue="1" operator="greaterThan">
      <formula>0</formula>
    </cfRule>
  </conditionalFormatting>
  <conditionalFormatting sqref="H2365:H2373">
    <cfRule type="cellIs" dxfId="1138" priority="1028" stopIfTrue="1" operator="greaterThan">
      <formula>0</formula>
    </cfRule>
  </conditionalFormatting>
  <conditionalFormatting sqref="E2365:E2373">
    <cfRule type="cellIs" dxfId="1137" priority="1027" stopIfTrue="1" operator="greaterThan">
      <formula>0</formula>
    </cfRule>
  </conditionalFormatting>
  <conditionalFormatting sqref="M2382:M2387 K2382:K2387">
    <cfRule type="containsText" dxfId="1136" priority="1025" stopIfTrue="1" operator="containsText" text="NO CUMPLE">
      <formula>NOT(ISERROR(SEARCH("NO CUMPLE",K2382)))</formula>
    </cfRule>
    <cfRule type="containsText" dxfId="1135" priority="1026" stopIfTrue="1" operator="containsText" text="CUMPLE">
      <formula>NOT(ISERROR(SEARCH("CUMPLE",K2382)))</formula>
    </cfRule>
  </conditionalFormatting>
  <conditionalFormatting sqref="S2381">
    <cfRule type="cellIs" dxfId="1134" priority="1023" operator="greaterThanOrEqual">
      <formula>NUMMINCONT</formula>
    </cfRule>
    <cfRule type="cellIs" dxfId="1133" priority="1024" operator="lessThan">
      <formula>NUMMINCONT</formula>
    </cfRule>
  </conditionalFormatting>
  <conditionalFormatting sqref="T2368:V2373">
    <cfRule type="cellIs" dxfId="1132" priority="1021" stopIfTrue="1" operator="equal">
      <formula>"NO"</formula>
    </cfRule>
    <cfRule type="cellIs" dxfId="1131" priority="1022" stopIfTrue="1" operator="equal">
      <formula>"SI"</formula>
    </cfRule>
  </conditionalFormatting>
  <conditionalFormatting sqref="T2368:V2369">
    <cfRule type="cellIs" dxfId="1130" priority="1020" stopIfTrue="1" operator="equal">
      <formula>"NO APLICA"</formula>
    </cfRule>
  </conditionalFormatting>
  <conditionalFormatting sqref="T2370:U2373">
    <cfRule type="cellIs" dxfId="1129" priority="1019" stopIfTrue="1" operator="equal">
      <formula>"NO APLICA"</formula>
    </cfRule>
  </conditionalFormatting>
  <conditionalFormatting sqref="T2370:U2370">
    <cfRule type="cellIs" dxfId="1128" priority="1018" stopIfTrue="1" operator="equal">
      <formula>"NO APLICA"</formula>
    </cfRule>
  </conditionalFormatting>
  <conditionalFormatting sqref="V2370:V2373">
    <cfRule type="cellIs" dxfId="1127" priority="1017" stopIfTrue="1" operator="equal">
      <formula>"NO APLICA"</formula>
    </cfRule>
  </conditionalFormatting>
  <conditionalFormatting sqref="V2379:W2379">
    <cfRule type="cellIs" dxfId="1126" priority="1015" operator="equal">
      <formula>"CUMPLE"</formula>
    </cfRule>
    <cfRule type="cellIs" dxfId="1125" priority="1016" operator="equal">
      <formula>"NO CUMPLE"</formula>
    </cfRule>
  </conditionalFormatting>
  <conditionalFormatting sqref="V2379:W2381">
    <cfRule type="cellIs" dxfId="1124" priority="1014" operator="equal">
      <formula>"VERIFICAR"</formula>
    </cfRule>
  </conditionalFormatting>
  <conditionalFormatting sqref="T2374:V2374">
    <cfRule type="cellIs" dxfId="1123" priority="1012" stopIfTrue="1" operator="equal">
      <formula>"NO"</formula>
    </cfRule>
    <cfRule type="cellIs" dxfId="1122" priority="1013" stopIfTrue="1" operator="equal">
      <formula>"SI"</formula>
    </cfRule>
  </conditionalFormatting>
  <conditionalFormatting sqref="T2374:U2374">
    <cfRule type="cellIs" dxfId="1121" priority="1011" stopIfTrue="1" operator="equal">
      <formula>"NO APLICA"</formula>
    </cfRule>
  </conditionalFormatting>
  <conditionalFormatting sqref="V2374">
    <cfRule type="cellIs" dxfId="1120" priority="1010" stopIfTrue="1" operator="equal">
      <formula>"NO APLICA"</formula>
    </cfRule>
  </conditionalFormatting>
  <conditionalFormatting sqref="T2384">
    <cfRule type="cellIs" dxfId="1119" priority="1008" operator="equal">
      <formula>"CUMPLE"</formula>
    </cfRule>
    <cfRule type="cellIs" dxfId="1118" priority="1009" operator="equal">
      <formula>"NO CUMPLE"</formula>
    </cfRule>
  </conditionalFormatting>
  <conditionalFormatting sqref="T2384">
    <cfRule type="cellIs" dxfId="1117" priority="1007" operator="equal">
      <formula>"VERIFICAR"</formula>
    </cfRule>
  </conditionalFormatting>
  <conditionalFormatting sqref="Y2382:Y2387">
    <cfRule type="cellIs" dxfId="1116" priority="1006" stopIfTrue="1" operator="equal">
      <formula>"NO APLICA"</formula>
    </cfRule>
  </conditionalFormatting>
  <conditionalFormatting sqref="Y2387">
    <cfRule type="cellIs" dxfId="1115" priority="1005" stopIfTrue="1" operator="equal">
      <formula>"NO APLICA"</formula>
    </cfRule>
  </conditionalFormatting>
  <conditionalFormatting sqref="X2382:Y2387">
    <cfRule type="cellIs" dxfId="1114" priority="1003" stopIfTrue="1" operator="equal">
      <formula>"NO"</formula>
    </cfRule>
    <cfRule type="cellIs" dxfId="1113" priority="1004" stopIfTrue="1" operator="equal">
      <formula>"SI"</formula>
    </cfRule>
  </conditionalFormatting>
  <conditionalFormatting sqref="X2382:X2387">
    <cfRule type="cellIs" dxfId="1112" priority="1002" stopIfTrue="1" operator="equal">
      <formula>"NO APLICA"</formula>
    </cfRule>
  </conditionalFormatting>
  <conditionalFormatting sqref="X2383:X2386">
    <cfRule type="cellIs" dxfId="1111" priority="1001" stopIfTrue="1" operator="equal">
      <formula>"NO APLICA"</formula>
    </cfRule>
  </conditionalFormatting>
  <conditionalFormatting sqref="X2383">
    <cfRule type="cellIs" dxfId="1110" priority="1000" stopIfTrue="1" operator="equal">
      <formula>"NO APLICA"</formula>
    </cfRule>
  </conditionalFormatting>
  <conditionalFormatting sqref="X2387">
    <cfRule type="cellIs" dxfId="1109" priority="999" stopIfTrue="1" operator="equal">
      <formula>"NO APLICA"</formula>
    </cfRule>
  </conditionalFormatting>
  <conditionalFormatting sqref="X2387">
    <cfRule type="cellIs" dxfId="1108" priority="998" stopIfTrue="1" operator="equal">
      <formula>"NO APLICA"</formula>
    </cfRule>
  </conditionalFormatting>
  <conditionalFormatting sqref="AA2382:AA2387">
    <cfRule type="cellIs" dxfId="1107" priority="997" stopIfTrue="1" operator="equal">
      <formula>"NO APLICA"</formula>
    </cfRule>
  </conditionalFormatting>
  <conditionalFormatting sqref="AA2387">
    <cfRule type="cellIs" dxfId="1106" priority="996" stopIfTrue="1" operator="equal">
      <formula>"NO APLICA"</formula>
    </cfRule>
  </conditionalFormatting>
  <conditionalFormatting sqref="AA2382:AA2387">
    <cfRule type="cellIs" dxfId="1105" priority="994" stopIfTrue="1" operator="equal">
      <formula>"NO"</formula>
    </cfRule>
    <cfRule type="cellIs" dxfId="1104" priority="995" stopIfTrue="1" operator="equal">
      <formula>"SI"</formula>
    </cfRule>
  </conditionalFormatting>
  <conditionalFormatting sqref="Y2382:Z2387">
    <cfRule type="cellIs" dxfId="1103" priority="992" operator="equal">
      <formula>"NO APLICA"</formula>
    </cfRule>
    <cfRule type="cellIs" dxfId="1102" priority="993" operator="equal">
      <formula>"SI APLICA"</formula>
    </cfRule>
  </conditionalFormatting>
  <conditionalFormatting sqref="AB2382:AB2388">
    <cfRule type="cellIs" dxfId="1101" priority="990" operator="equal">
      <formula>"NO APLICA"</formula>
    </cfRule>
    <cfRule type="cellIs" dxfId="1100" priority="991" operator="equal">
      <formula>"SI APLICA"</formula>
    </cfRule>
  </conditionalFormatting>
  <conditionalFormatting sqref="X2388">
    <cfRule type="cellIs" dxfId="1099" priority="988" operator="equal">
      <formula>"PROPONENTE PLURAL"</formula>
    </cfRule>
    <cfRule type="cellIs" dxfId="1098" priority="989" operator="equal">
      <formula>"PROPONENTE INDIVIDUAL"</formula>
    </cfRule>
  </conditionalFormatting>
  <conditionalFormatting sqref="Z2388:AA2388 AA2382:AA2387">
    <cfRule type="cellIs" dxfId="1097" priority="986" operator="equal">
      <formula>"NO APLICA"</formula>
    </cfRule>
    <cfRule type="cellIs" dxfId="1096" priority="987" operator="equal">
      <formula>"SI APLICA"</formula>
    </cfRule>
  </conditionalFormatting>
  <conditionalFormatting sqref="AB2382:AB2387 Y2382:Z2387">
    <cfRule type="cellIs" dxfId="1095" priority="985" operator="equal">
      <formula>""</formula>
    </cfRule>
  </conditionalFormatting>
  <conditionalFormatting sqref="H2388">
    <cfRule type="containsText" dxfId="1094" priority="983" stopIfTrue="1" operator="containsText" text="NO CUMPLE">
      <formula>NOT(ISERROR(SEARCH("NO CUMPLE",H2388)))</formula>
    </cfRule>
    <cfRule type="containsText" dxfId="1093" priority="984" stopIfTrue="1" operator="containsText" text="CUMPLE">
      <formula>NOT(ISERROR(SEARCH("CUMPLE",H2388)))</formula>
    </cfRule>
  </conditionalFormatting>
  <conditionalFormatting sqref="J2388">
    <cfRule type="containsText" dxfId="1092" priority="981" stopIfTrue="1" operator="containsText" text="NO CUMPLE">
      <formula>NOT(ISERROR(SEARCH("NO CUMPLE",J2388)))</formula>
    </cfRule>
    <cfRule type="containsText" dxfId="1091" priority="982" stopIfTrue="1" operator="containsText" text="CUMPLE">
      <formula>NOT(ISERROR(SEARCH("CUMPLE",J2388)))</formula>
    </cfRule>
  </conditionalFormatting>
  <conditionalFormatting sqref="K2388">
    <cfRule type="containsText" dxfId="1090" priority="979" stopIfTrue="1" operator="containsText" text="NO CUMPLE">
      <formula>NOT(ISERROR(SEARCH("NO CUMPLE",K2388)))</formula>
    </cfRule>
    <cfRule type="containsText" dxfId="1089" priority="980" stopIfTrue="1" operator="containsText" text="CUMPLE">
      <formula>NOT(ISERROR(SEARCH("CUMPLE",K2388)))</formula>
    </cfRule>
  </conditionalFormatting>
  <conditionalFormatting sqref="L2382:L2387">
    <cfRule type="containsText" dxfId="1088" priority="977" stopIfTrue="1" operator="containsText" text="NO CUMPLE">
      <formula>NOT(ISERROR(SEARCH("NO CUMPLE",L2382)))</formula>
    </cfRule>
    <cfRule type="containsText" dxfId="1087" priority="978" stopIfTrue="1" operator="containsText" text="CUMPLE">
      <formula>NOT(ISERROR(SEARCH("CUMPLE",L2382)))</formula>
    </cfRule>
  </conditionalFormatting>
  <conditionalFormatting sqref="O2387">
    <cfRule type="containsText" dxfId="1086" priority="975" stopIfTrue="1" operator="containsText" text="NO CUMPLE">
      <formula>NOT(ISERROR(SEARCH("NO CUMPLE",O2387)))</formula>
    </cfRule>
    <cfRule type="containsText" dxfId="1085" priority="976" stopIfTrue="1" operator="containsText" text="CUMPLE">
      <formula>NOT(ISERROR(SEARCH("CUMPLE",O2387)))</formula>
    </cfRule>
  </conditionalFormatting>
  <conditionalFormatting sqref="O2388:S2388">
    <cfRule type="cellIs" dxfId="1084" priority="974" operator="equal">
      <formula>"EL PROPONENTE SE DEBE REQUERIR POR EXPERIENCIA MINIMA EXIGIDA"</formula>
    </cfRule>
  </conditionalFormatting>
  <conditionalFormatting sqref="X2376">
    <cfRule type="cellIs" dxfId="1083" priority="971" stopIfTrue="1" operator="equal">
      <formula>"VERIFICAR"</formula>
    </cfRule>
    <cfRule type="cellIs" dxfId="1082" priority="972" stopIfTrue="1" operator="equal">
      <formula>"NO CUMPLE"</formula>
    </cfRule>
    <cfRule type="cellIs" dxfId="1081" priority="973" stopIfTrue="1" operator="equal">
      <formula>"CUMPLE"</formula>
    </cfRule>
  </conditionalFormatting>
  <conditionalFormatting sqref="X2365:Y2374 J2365:J2374">
    <cfRule type="cellIs" dxfId="1080" priority="970" stopIfTrue="1" operator="greaterThan">
      <formula>0</formula>
    </cfRule>
  </conditionalFormatting>
  <conditionalFormatting sqref="X2365:Y2374">
    <cfRule type="cellIs" dxfId="1079" priority="968" operator="equal">
      <formula>"NO CUMPLE"</formula>
    </cfRule>
    <cfRule type="cellIs" dxfId="1078" priority="969" operator="equal">
      <formula>"CUMPLE"</formula>
    </cfRule>
  </conditionalFormatting>
  <conditionalFormatting sqref="N2382:N2387">
    <cfRule type="cellIs" dxfId="1077" priority="966" operator="equal">
      <formula>"NO"</formula>
    </cfRule>
    <cfRule type="cellIs" dxfId="1076" priority="967" operator="equal">
      <formula>"SI"</formula>
    </cfRule>
  </conditionalFormatting>
  <conditionalFormatting sqref="I2374">
    <cfRule type="cellIs" dxfId="1075" priority="965" stopIfTrue="1" operator="greaterThan">
      <formula>0</formula>
    </cfRule>
  </conditionalFormatting>
  <conditionalFormatting sqref="K2368:L2374">
    <cfRule type="cellIs" dxfId="1074" priority="963" operator="equal">
      <formula>0</formula>
    </cfRule>
    <cfRule type="cellIs" dxfId="1073" priority="964" operator="notBetween">
      <formula>$Q$17</formula>
      <formula>$R$17</formula>
    </cfRule>
  </conditionalFormatting>
  <conditionalFormatting sqref="B2365:B2374">
    <cfRule type="cellIs" dxfId="1072" priority="962" stopIfTrue="1" operator="greaterThan">
      <formula>0</formula>
    </cfRule>
  </conditionalFormatting>
  <conditionalFormatting sqref="C2365:D2365 D2366:D2367 C2366:C2374">
    <cfRule type="cellIs" dxfId="1071" priority="961" stopIfTrue="1" operator="greaterThan">
      <formula>0</formula>
    </cfRule>
  </conditionalFormatting>
  <conditionalFormatting sqref="C2365:D2365 F2365:H2367 D2366:D2367 C2366:C2374">
    <cfRule type="cellIs" dxfId="1070" priority="960" stopIfTrue="1" operator="greaterThan">
      <formula>0</formula>
    </cfRule>
  </conditionalFormatting>
  <conditionalFormatting sqref="T2365:V2367">
    <cfRule type="cellIs" dxfId="1069" priority="958" stopIfTrue="1" operator="equal">
      <formula>"NO"</formula>
    </cfRule>
    <cfRule type="cellIs" dxfId="1068" priority="959" stopIfTrue="1" operator="equal">
      <formula>"SI"</formula>
    </cfRule>
  </conditionalFormatting>
  <conditionalFormatting sqref="T2365:V2366">
    <cfRule type="cellIs" dxfId="1067" priority="957" stopIfTrue="1" operator="equal">
      <formula>"NO APLICA"</formula>
    </cfRule>
  </conditionalFormatting>
  <conditionalFormatting sqref="T2367:U2367">
    <cfRule type="cellIs" dxfId="1066" priority="956" stopIfTrue="1" operator="equal">
      <formula>"NO APLICA"</formula>
    </cfRule>
  </conditionalFormatting>
  <conditionalFormatting sqref="T2367:U2367">
    <cfRule type="cellIs" dxfId="1065" priority="955" stopIfTrue="1" operator="equal">
      <formula>"NO APLICA"</formula>
    </cfRule>
  </conditionalFormatting>
  <conditionalFormatting sqref="V2367">
    <cfRule type="cellIs" dxfId="1064" priority="954" stopIfTrue="1" operator="equal">
      <formula>"NO APLICA"</formula>
    </cfRule>
  </conditionalFormatting>
  <conditionalFormatting sqref="K2365:L2367">
    <cfRule type="cellIs" dxfId="1063" priority="952" operator="equal">
      <formula>0</formula>
    </cfRule>
    <cfRule type="cellIs" dxfId="1062" priority="953" operator="notBetween">
      <formula>$Q$17</formula>
      <formula>$R$17</formula>
    </cfRule>
  </conditionalFormatting>
  <conditionalFormatting sqref="F2398:H2403 D2404:H2404 I2398:I2404 C2395:D2395 K2395:O2404 F2395:I2397 D2396:D2403 C2396:C2404">
    <cfRule type="cellIs" dxfId="1061" priority="951" stopIfTrue="1" operator="greaterThan">
      <formula>0</formula>
    </cfRule>
  </conditionalFormatting>
  <conditionalFormatting sqref="D2398:D2403">
    <cfRule type="cellIs" dxfId="1060" priority="950" stopIfTrue="1" operator="greaterThan">
      <formula>0</formula>
    </cfRule>
  </conditionalFormatting>
  <conditionalFormatting sqref="D2398:D2403 F2398:H2403">
    <cfRule type="cellIs" dxfId="1059" priority="949" stopIfTrue="1" operator="greaterThan">
      <formula>0</formula>
    </cfRule>
  </conditionalFormatting>
  <conditionalFormatting sqref="H2395:H2403">
    <cfRule type="cellIs" dxfId="1058" priority="948" stopIfTrue="1" operator="greaterThan">
      <formula>0</formula>
    </cfRule>
  </conditionalFormatting>
  <conditionalFormatting sqref="E2395:E2403">
    <cfRule type="cellIs" dxfId="1057" priority="947" stopIfTrue="1" operator="greaterThan">
      <formula>0</formula>
    </cfRule>
  </conditionalFormatting>
  <conditionalFormatting sqref="M2412:M2417 K2412:K2417">
    <cfRule type="containsText" dxfId="1056" priority="945" stopIfTrue="1" operator="containsText" text="NO CUMPLE">
      <formula>NOT(ISERROR(SEARCH("NO CUMPLE",K2412)))</formula>
    </cfRule>
    <cfRule type="containsText" dxfId="1055" priority="946" stopIfTrue="1" operator="containsText" text="CUMPLE">
      <formula>NOT(ISERROR(SEARCH("CUMPLE",K2412)))</formula>
    </cfRule>
  </conditionalFormatting>
  <conditionalFormatting sqref="S2411">
    <cfRule type="cellIs" dxfId="1054" priority="943" operator="greaterThanOrEqual">
      <formula>NUMMINCONT</formula>
    </cfRule>
    <cfRule type="cellIs" dxfId="1053" priority="944" operator="lessThan">
      <formula>NUMMINCONT</formula>
    </cfRule>
  </conditionalFormatting>
  <conditionalFormatting sqref="T2398:V2403">
    <cfRule type="cellIs" dxfId="1052" priority="941" stopIfTrue="1" operator="equal">
      <formula>"NO"</formula>
    </cfRule>
    <cfRule type="cellIs" dxfId="1051" priority="942" stopIfTrue="1" operator="equal">
      <formula>"SI"</formula>
    </cfRule>
  </conditionalFormatting>
  <conditionalFormatting sqref="T2398:V2399">
    <cfRule type="cellIs" dxfId="1050" priority="940" stopIfTrue="1" operator="equal">
      <formula>"NO APLICA"</formula>
    </cfRule>
  </conditionalFormatting>
  <conditionalFormatting sqref="T2400:U2403">
    <cfRule type="cellIs" dxfId="1049" priority="939" stopIfTrue="1" operator="equal">
      <formula>"NO APLICA"</formula>
    </cfRule>
  </conditionalFormatting>
  <conditionalFormatting sqref="T2400:U2400">
    <cfRule type="cellIs" dxfId="1048" priority="938" stopIfTrue="1" operator="equal">
      <formula>"NO APLICA"</formula>
    </cfRule>
  </conditionalFormatting>
  <conditionalFormatting sqref="V2400:V2403">
    <cfRule type="cellIs" dxfId="1047" priority="937" stopIfTrue="1" operator="equal">
      <formula>"NO APLICA"</formula>
    </cfRule>
  </conditionalFormatting>
  <conditionalFormatting sqref="V2409:W2409">
    <cfRule type="cellIs" dxfId="1046" priority="935" operator="equal">
      <formula>"CUMPLE"</formula>
    </cfRule>
    <cfRule type="cellIs" dxfId="1045" priority="936" operator="equal">
      <formula>"NO CUMPLE"</formula>
    </cfRule>
  </conditionalFormatting>
  <conditionalFormatting sqref="V2409:W2411">
    <cfRule type="cellIs" dxfId="1044" priority="934" operator="equal">
      <formula>"VERIFICAR"</formula>
    </cfRule>
  </conditionalFormatting>
  <conditionalFormatting sqref="T2404:V2404">
    <cfRule type="cellIs" dxfId="1043" priority="932" stopIfTrue="1" operator="equal">
      <formula>"NO"</formula>
    </cfRule>
    <cfRule type="cellIs" dxfId="1042" priority="933" stopIfTrue="1" operator="equal">
      <formula>"SI"</formula>
    </cfRule>
  </conditionalFormatting>
  <conditionalFormatting sqref="T2404:U2404">
    <cfRule type="cellIs" dxfId="1041" priority="931" stopIfTrue="1" operator="equal">
      <formula>"NO APLICA"</formula>
    </cfRule>
  </conditionalFormatting>
  <conditionalFormatting sqref="V2404">
    <cfRule type="cellIs" dxfId="1040" priority="930" stopIfTrue="1" operator="equal">
      <formula>"NO APLICA"</formula>
    </cfRule>
  </conditionalFormatting>
  <conditionalFormatting sqref="T2414">
    <cfRule type="cellIs" dxfId="1039" priority="928" operator="equal">
      <formula>"CUMPLE"</formula>
    </cfRule>
    <cfRule type="cellIs" dxfId="1038" priority="929" operator="equal">
      <formula>"NO CUMPLE"</formula>
    </cfRule>
  </conditionalFormatting>
  <conditionalFormatting sqref="T2414">
    <cfRule type="cellIs" dxfId="1037" priority="927" operator="equal">
      <formula>"VERIFICAR"</formula>
    </cfRule>
  </conditionalFormatting>
  <conditionalFormatting sqref="Y2412:Y2417">
    <cfRule type="cellIs" dxfId="1036" priority="926" stopIfTrue="1" operator="equal">
      <formula>"NO APLICA"</formula>
    </cfRule>
  </conditionalFormatting>
  <conditionalFormatting sqref="Y2417">
    <cfRule type="cellIs" dxfId="1035" priority="925" stopIfTrue="1" operator="equal">
      <formula>"NO APLICA"</formula>
    </cfRule>
  </conditionalFormatting>
  <conditionalFormatting sqref="X2412:Y2417">
    <cfRule type="cellIs" dxfId="1034" priority="923" stopIfTrue="1" operator="equal">
      <formula>"NO"</formula>
    </cfRule>
    <cfRule type="cellIs" dxfId="1033" priority="924" stopIfTrue="1" operator="equal">
      <formula>"SI"</formula>
    </cfRule>
  </conditionalFormatting>
  <conditionalFormatting sqref="X2412:X2417">
    <cfRule type="cellIs" dxfId="1032" priority="922" stopIfTrue="1" operator="equal">
      <formula>"NO APLICA"</formula>
    </cfRule>
  </conditionalFormatting>
  <conditionalFormatting sqref="X2413:X2416">
    <cfRule type="cellIs" dxfId="1031" priority="921" stopIfTrue="1" operator="equal">
      <formula>"NO APLICA"</formula>
    </cfRule>
  </conditionalFormatting>
  <conditionalFormatting sqref="X2413">
    <cfRule type="cellIs" dxfId="1030" priority="920" stopIfTrue="1" operator="equal">
      <formula>"NO APLICA"</formula>
    </cfRule>
  </conditionalFormatting>
  <conditionalFormatting sqref="X2417">
    <cfRule type="cellIs" dxfId="1029" priority="919" stopIfTrue="1" operator="equal">
      <formula>"NO APLICA"</formula>
    </cfRule>
  </conditionalFormatting>
  <conditionalFormatting sqref="X2417">
    <cfRule type="cellIs" dxfId="1028" priority="918" stopIfTrue="1" operator="equal">
      <formula>"NO APLICA"</formula>
    </cfRule>
  </conditionalFormatting>
  <conditionalFormatting sqref="AA2412:AA2417">
    <cfRule type="cellIs" dxfId="1027" priority="917" stopIfTrue="1" operator="equal">
      <formula>"NO APLICA"</formula>
    </cfRule>
  </conditionalFormatting>
  <conditionalFormatting sqref="AA2417">
    <cfRule type="cellIs" dxfId="1026" priority="916" stopIfTrue="1" operator="equal">
      <formula>"NO APLICA"</formula>
    </cfRule>
  </conditionalFormatting>
  <conditionalFormatting sqref="AA2412:AA2417">
    <cfRule type="cellIs" dxfId="1025" priority="914" stopIfTrue="1" operator="equal">
      <formula>"NO"</formula>
    </cfRule>
    <cfRule type="cellIs" dxfId="1024" priority="915" stopIfTrue="1" operator="equal">
      <formula>"SI"</formula>
    </cfRule>
  </conditionalFormatting>
  <conditionalFormatting sqref="Y2412:Z2417">
    <cfRule type="cellIs" dxfId="1023" priority="912" operator="equal">
      <formula>"NO APLICA"</formula>
    </cfRule>
    <cfRule type="cellIs" dxfId="1022" priority="913" operator="equal">
      <formula>"SI APLICA"</formula>
    </cfRule>
  </conditionalFormatting>
  <conditionalFormatting sqref="AB2412:AB2418">
    <cfRule type="cellIs" dxfId="1021" priority="910" operator="equal">
      <formula>"NO APLICA"</formula>
    </cfRule>
    <cfRule type="cellIs" dxfId="1020" priority="911" operator="equal">
      <formula>"SI APLICA"</formula>
    </cfRule>
  </conditionalFormatting>
  <conditionalFormatting sqref="X2418">
    <cfRule type="cellIs" dxfId="1019" priority="908" operator="equal">
      <formula>"PROPONENTE PLURAL"</formula>
    </cfRule>
    <cfRule type="cellIs" dxfId="1018" priority="909" operator="equal">
      <formula>"PROPONENTE INDIVIDUAL"</formula>
    </cfRule>
  </conditionalFormatting>
  <conditionalFormatting sqref="Z2418:AA2418 AA2412:AA2417">
    <cfRule type="cellIs" dxfId="1017" priority="906" operator="equal">
      <formula>"NO APLICA"</formula>
    </cfRule>
    <cfRule type="cellIs" dxfId="1016" priority="907" operator="equal">
      <formula>"SI APLICA"</formula>
    </cfRule>
  </conditionalFormatting>
  <conditionalFormatting sqref="AB2412:AB2417 Y2412:Z2417">
    <cfRule type="cellIs" dxfId="1015" priority="905" operator="equal">
      <formula>""</formula>
    </cfRule>
  </conditionalFormatting>
  <conditionalFormatting sqref="H2418">
    <cfRule type="containsText" dxfId="1014" priority="903" stopIfTrue="1" operator="containsText" text="NO CUMPLE">
      <formula>NOT(ISERROR(SEARCH("NO CUMPLE",H2418)))</formula>
    </cfRule>
    <cfRule type="containsText" dxfId="1013" priority="904" stopIfTrue="1" operator="containsText" text="CUMPLE">
      <formula>NOT(ISERROR(SEARCH("CUMPLE",H2418)))</formula>
    </cfRule>
  </conditionalFormatting>
  <conditionalFormatting sqref="J2418">
    <cfRule type="containsText" dxfId="1012" priority="901" stopIfTrue="1" operator="containsText" text="NO CUMPLE">
      <formula>NOT(ISERROR(SEARCH("NO CUMPLE",J2418)))</formula>
    </cfRule>
    <cfRule type="containsText" dxfId="1011" priority="902" stopIfTrue="1" operator="containsText" text="CUMPLE">
      <formula>NOT(ISERROR(SEARCH("CUMPLE",J2418)))</formula>
    </cfRule>
  </conditionalFormatting>
  <conditionalFormatting sqref="K2418">
    <cfRule type="containsText" dxfId="1010" priority="899" stopIfTrue="1" operator="containsText" text="NO CUMPLE">
      <formula>NOT(ISERROR(SEARCH("NO CUMPLE",K2418)))</formula>
    </cfRule>
    <cfRule type="containsText" dxfId="1009" priority="900" stopIfTrue="1" operator="containsText" text="CUMPLE">
      <formula>NOT(ISERROR(SEARCH("CUMPLE",K2418)))</formula>
    </cfRule>
  </conditionalFormatting>
  <conditionalFormatting sqref="L2412:L2417">
    <cfRule type="containsText" dxfId="1008" priority="897" stopIfTrue="1" operator="containsText" text="NO CUMPLE">
      <formula>NOT(ISERROR(SEARCH("NO CUMPLE",L2412)))</formula>
    </cfRule>
    <cfRule type="containsText" dxfId="1007" priority="898" stopIfTrue="1" operator="containsText" text="CUMPLE">
      <formula>NOT(ISERROR(SEARCH("CUMPLE",L2412)))</formula>
    </cfRule>
  </conditionalFormatting>
  <conditionalFormatting sqref="O2417">
    <cfRule type="containsText" dxfId="1006" priority="895" stopIfTrue="1" operator="containsText" text="NO CUMPLE">
      <formula>NOT(ISERROR(SEARCH("NO CUMPLE",O2417)))</formula>
    </cfRule>
    <cfRule type="containsText" dxfId="1005" priority="896" stopIfTrue="1" operator="containsText" text="CUMPLE">
      <formula>NOT(ISERROR(SEARCH("CUMPLE",O2417)))</formula>
    </cfRule>
  </conditionalFormatting>
  <conditionalFormatting sqref="O2418:S2418">
    <cfRule type="cellIs" dxfId="1004" priority="894" operator="equal">
      <formula>"EL PROPONENTE SE DEBE REQUERIR POR EXPERIENCIA MINIMA EXIGIDA"</formula>
    </cfRule>
  </conditionalFormatting>
  <conditionalFormatting sqref="X2406">
    <cfRule type="cellIs" dxfId="1003" priority="891" stopIfTrue="1" operator="equal">
      <formula>"VERIFICAR"</formula>
    </cfRule>
    <cfRule type="cellIs" dxfId="1002" priority="892" stopIfTrue="1" operator="equal">
      <formula>"NO CUMPLE"</formula>
    </cfRule>
    <cfRule type="cellIs" dxfId="1001" priority="893" stopIfTrue="1" operator="equal">
      <formula>"CUMPLE"</formula>
    </cfRule>
  </conditionalFormatting>
  <conditionalFormatting sqref="X2395:Y2404 J2395:J2404">
    <cfRule type="cellIs" dxfId="1000" priority="890" stopIfTrue="1" operator="greaterThan">
      <formula>0</formula>
    </cfRule>
  </conditionalFormatting>
  <conditionalFormatting sqref="X2395:Y2404">
    <cfRule type="cellIs" dxfId="999" priority="888" operator="equal">
      <formula>"NO CUMPLE"</formula>
    </cfRule>
    <cfRule type="cellIs" dxfId="998" priority="889" operator="equal">
      <formula>"CUMPLE"</formula>
    </cfRule>
  </conditionalFormatting>
  <conditionalFormatting sqref="N2412:N2417">
    <cfRule type="cellIs" dxfId="997" priority="886" operator="equal">
      <formula>"NO"</formula>
    </cfRule>
    <cfRule type="cellIs" dxfId="996" priority="887" operator="equal">
      <formula>"SI"</formula>
    </cfRule>
  </conditionalFormatting>
  <conditionalFormatting sqref="I2404">
    <cfRule type="cellIs" dxfId="995" priority="885" stopIfTrue="1" operator="greaterThan">
      <formula>0</formula>
    </cfRule>
  </conditionalFormatting>
  <conditionalFormatting sqref="K2398:L2404">
    <cfRule type="cellIs" dxfId="994" priority="883" operator="equal">
      <formula>0</formula>
    </cfRule>
    <cfRule type="cellIs" dxfId="993" priority="884" operator="notBetween">
      <formula>$Q$17</formula>
      <formula>$R$17</formula>
    </cfRule>
  </conditionalFormatting>
  <conditionalFormatting sqref="B2395:B2404">
    <cfRule type="cellIs" dxfId="992" priority="882" stopIfTrue="1" operator="greaterThan">
      <formula>0</formula>
    </cfRule>
  </conditionalFormatting>
  <conditionalFormatting sqref="C2395:D2395 D2396:D2397 C2396:C2404">
    <cfRule type="cellIs" dxfId="991" priority="881" stopIfTrue="1" operator="greaterThan">
      <formula>0</formula>
    </cfRule>
  </conditionalFormatting>
  <conditionalFormatting sqref="C2395:D2395 F2395:H2397 D2396:D2397 C2396:C2404">
    <cfRule type="cellIs" dxfId="990" priority="880" stopIfTrue="1" operator="greaterThan">
      <formula>0</formula>
    </cfRule>
  </conditionalFormatting>
  <conditionalFormatting sqref="T2395:V2397">
    <cfRule type="cellIs" dxfId="989" priority="878" stopIfTrue="1" operator="equal">
      <formula>"NO"</formula>
    </cfRule>
    <cfRule type="cellIs" dxfId="988" priority="879" stopIfTrue="1" operator="equal">
      <formula>"SI"</formula>
    </cfRule>
  </conditionalFormatting>
  <conditionalFormatting sqref="T2395:V2396">
    <cfRule type="cellIs" dxfId="987" priority="877" stopIfTrue="1" operator="equal">
      <formula>"NO APLICA"</formula>
    </cfRule>
  </conditionalFormatting>
  <conditionalFormatting sqref="T2397:U2397">
    <cfRule type="cellIs" dxfId="986" priority="876" stopIfTrue="1" operator="equal">
      <formula>"NO APLICA"</formula>
    </cfRule>
  </conditionalFormatting>
  <conditionalFormatting sqref="T2397:U2397">
    <cfRule type="cellIs" dxfId="985" priority="875" stopIfTrue="1" operator="equal">
      <formula>"NO APLICA"</formula>
    </cfRule>
  </conditionalFormatting>
  <conditionalFormatting sqref="V2397">
    <cfRule type="cellIs" dxfId="984" priority="874" stopIfTrue="1" operator="equal">
      <formula>"NO APLICA"</formula>
    </cfRule>
  </conditionalFormatting>
  <conditionalFormatting sqref="K2395:L2397">
    <cfRule type="cellIs" dxfId="983" priority="872" operator="equal">
      <formula>0</formula>
    </cfRule>
    <cfRule type="cellIs" dxfId="982" priority="873" operator="notBetween">
      <formula>$Q$17</formula>
      <formula>$R$17</formula>
    </cfRule>
  </conditionalFormatting>
  <conditionalFormatting sqref="F2428:H2433 D2434:H2434 I2428:I2434 C2425:D2425 K2425:O2434 F2425:I2427 D2426:D2433 C2426:C2434">
    <cfRule type="cellIs" dxfId="981" priority="871" stopIfTrue="1" operator="greaterThan">
      <formula>0</formula>
    </cfRule>
  </conditionalFormatting>
  <conditionalFormatting sqref="D2428:D2433">
    <cfRule type="cellIs" dxfId="980" priority="870" stopIfTrue="1" operator="greaterThan">
      <formula>0</formula>
    </cfRule>
  </conditionalFormatting>
  <conditionalFormatting sqref="D2428:D2433 F2428:H2433">
    <cfRule type="cellIs" dxfId="979" priority="869" stopIfTrue="1" operator="greaterThan">
      <formula>0</formula>
    </cfRule>
  </conditionalFormatting>
  <conditionalFormatting sqref="H2425:H2433">
    <cfRule type="cellIs" dxfId="978" priority="868" stopIfTrue="1" operator="greaterThan">
      <formula>0</formula>
    </cfRule>
  </conditionalFormatting>
  <conditionalFormatting sqref="E2425:E2433">
    <cfRule type="cellIs" dxfId="977" priority="867" stopIfTrue="1" operator="greaterThan">
      <formula>0</formula>
    </cfRule>
  </conditionalFormatting>
  <conditionalFormatting sqref="M2442:M2447 K2442:K2447">
    <cfRule type="containsText" dxfId="976" priority="865" stopIfTrue="1" operator="containsText" text="NO CUMPLE">
      <formula>NOT(ISERROR(SEARCH("NO CUMPLE",K2442)))</formula>
    </cfRule>
    <cfRule type="containsText" dxfId="975" priority="866" stopIfTrue="1" operator="containsText" text="CUMPLE">
      <formula>NOT(ISERROR(SEARCH("CUMPLE",K2442)))</formula>
    </cfRule>
  </conditionalFormatting>
  <conditionalFormatting sqref="S2441">
    <cfRule type="cellIs" dxfId="974" priority="863" operator="greaterThanOrEqual">
      <formula>NUMMINCONT</formula>
    </cfRule>
    <cfRule type="cellIs" dxfId="973" priority="864" operator="lessThan">
      <formula>NUMMINCONT</formula>
    </cfRule>
  </conditionalFormatting>
  <conditionalFormatting sqref="T2428:V2433">
    <cfRule type="cellIs" dxfId="972" priority="861" stopIfTrue="1" operator="equal">
      <formula>"NO"</formula>
    </cfRule>
    <cfRule type="cellIs" dxfId="971" priority="862" stopIfTrue="1" operator="equal">
      <formula>"SI"</formula>
    </cfRule>
  </conditionalFormatting>
  <conditionalFormatting sqref="T2428:V2429">
    <cfRule type="cellIs" dxfId="970" priority="860" stopIfTrue="1" operator="equal">
      <formula>"NO APLICA"</formula>
    </cfRule>
  </conditionalFormatting>
  <conditionalFormatting sqref="T2430:U2433">
    <cfRule type="cellIs" dxfId="969" priority="859" stopIfTrue="1" operator="equal">
      <formula>"NO APLICA"</formula>
    </cfRule>
  </conditionalFormatting>
  <conditionalFormatting sqref="T2430:U2430">
    <cfRule type="cellIs" dxfId="968" priority="858" stopIfTrue="1" operator="equal">
      <formula>"NO APLICA"</formula>
    </cfRule>
  </conditionalFormatting>
  <conditionalFormatting sqref="V2430:V2433">
    <cfRule type="cellIs" dxfId="967" priority="857" stopIfTrue="1" operator="equal">
      <formula>"NO APLICA"</formula>
    </cfRule>
  </conditionalFormatting>
  <conditionalFormatting sqref="V2439:W2439">
    <cfRule type="cellIs" dxfId="966" priority="855" operator="equal">
      <formula>"CUMPLE"</formula>
    </cfRule>
    <cfRule type="cellIs" dxfId="965" priority="856" operator="equal">
      <formula>"NO CUMPLE"</formula>
    </cfRule>
  </conditionalFormatting>
  <conditionalFormatting sqref="V2439:W2441">
    <cfRule type="cellIs" dxfId="964" priority="854" operator="equal">
      <formula>"VERIFICAR"</formula>
    </cfRule>
  </conditionalFormatting>
  <conditionalFormatting sqref="T2434:V2434">
    <cfRule type="cellIs" dxfId="963" priority="852" stopIfTrue="1" operator="equal">
      <formula>"NO"</formula>
    </cfRule>
    <cfRule type="cellIs" dxfId="962" priority="853" stopIfTrue="1" operator="equal">
      <formula>"SI"</formula>
    </cfRule>
  </conditionalFormatting>
  <conditionalFormatting sqref="T2434:U2434">
    <cfRule type="cellIs" dxfId="961" priority="851" stopIfTrue="1" operator="equal">
      <formula>"NO APLICA"</formula>
    </cfRule>
  </conditionalFormatting>
  <conditionalFormatting sqref="V2434">
    <cfRule type="cellIs" dxfId="960" priority="850" stopIfTrue="1" operator="equal">
      <formula>"NO APLICA"</formula>
    </cfRule>
  </conditionalFormatting>
  <conditionalFormatting sqref="T2444">
    <cfRule type="cellIs" dxfId="959" priority="848" operator="equal">
      <formula>"CUMPLE"</formula>
    </cfRule>
    <cfRule type="cellIs" dxfId="958" priority="849" operator="equal">
      <formula>"NO CUMPLE"</formula>
    </cfRule>
  </conditionalFormatting>
  <conditionalFormatting sqref="T2444">
    <cfRule type="cellIs" dxfId="957" priority="847" operator="equal">
      <formula>"VERIFICAR"</formula>
    </cfRule>
  </conditionalFormatting>
  <conditionalFormatting sqref="Y2442:Y2447">
    <cfRule type="cellIs" dxfId="956" priority="846" stopIfTrue="1" operator="equal">
      <formula>"NO APLICA"</formula>
    </cfRule>
  </conditionalFormatting>
  <conditionalFormatting sqref="Y2447">
    <cfRule type="cellIs" dxfId="955" priority="845" stopIfTrue="1" operator="equal">
      <formula>"NO APLICA"</formula>
    </cfRule>
  </conditionalFormatting>
  <conditionalFormatting sqref="X2442:Y2447">
    <cfRule type="cellIs" dxfId="954" priority="843" stopIfTrue="1" operator="equal">
      <formula>"NO"</formula>
    </cfRule>
    <cfRule type="cellIs" dxfId="953" priority="844" stopIfTrue="1" operator="equal">
      <formula>"SI"</formula>
    </cfRule>
  </conditionalFormatting>
  <conditionalFormatting sqref="X2442:X2447">
    <cfRule type="cellIs" dxfId="952" priority="842" stopIfTrue="1" operator="equal">
      <formula>"NO APLICA"</formula>
    </cfRule>
  </conditionalFormatting>
  <conditionalFormatting sqref="X2443:X2446">
    <cfRule type="cellIs" dxfId="951" priority="841" stopIfTrue="1" operator="equal">
      <formula>"NO APLICA"</formula>
    </cfRule>
  </conditionalFormatting>
  <conditionalFormatting sqref="X2443">
    <cfRule type="cellIs" dxfId="950" priority="840" stopIfTrue="1" operator="equal">
      <formula>"NO APLICA"</formula>
    </cfRule>
  </conditionalFormatting>
  <conditionalFormatting sqref="X2447">
    <cfRule type="cellIs" dxfId="949" priority="839" stopIfTrue="1" operator="equal">
      <formula>"NO APLICA"</formula>
    </cfRule>
  </conditionalFormatting>
  <conditionalFormatting sqref="X2447">
    <cfRule type="cellIs" dxfId="948" priority="838" stopIfTrue="1" operator="equal">
      <formula>"NO APLICA"</formula>
    </cfRule>
  </conditionalFormatting>
  <conditionalFormatting sqref="AA2442:AA2447">
    <cfRule type="cellIs" dxfId="947" priority="837" stopIfTrue="1" operator="equal">
      <formula>"NO APLICA"</formula>
    </cfRule>
  </conditionalFormatting>
  <conditionalFormatting sqref="AA2447">
    <cfRule type="cellIs" dxfId="946" priority="836" stopIfTrue="1" operator="equal">
      <formula>"NO APLICA"</formula>
    </cfRule>
  </conditionalFormatting>
  <conditionalFormatting sqref="AA2442:AA2447">
    <cfRule type="cellIs" dxfId="945" priority="834" stopIfTrue="1" operator="equal">
      <formula>"NO"</formula>
    </cfRule>
    <cfRule type="cellIs" dxfId="944" priority="835" stopIfTrue="1" operator="equal">
      <formula>"SI"</formula>
    </cfRule>
  </conditionalFormatting>
  <conditionalFormatting sqref="Y2442:Z2447">
    <cfRule type="cellIs" dxfId="943" priority="832" operator="equal">
      <formula>"NO APLICA"</formula>
    </cfRule>
    <cfRule type="cellIs" dxfId="942" priority="833" operator="equal">
      <formula>"SI APLICA"</formula>
    </cfRule>
  </conditionalFormatting>
  <conditionalFormatting sqref="AB2442:AB2448">
    <cfRule type="cellIs" dxfId="941" priority="830" operator="equal">
      <formula>"NO APLICA"</formula>
    </cfRule>
    <cfRule type="cellIs" dxfId="940" priority="831" operator="equal">
      <formula>"SI APLICA"</formula>
    </cfRule>
  </conditionalFormatting>
  <conditionalFormatting sqref="X2448">
    <cfRule type="cellIs" dxfId="939" priority="828" operator="equal">
      <formula>"PROPONENTE PLURAL"</formula>
    </cfRule>
    <cfRule type="cellIs" dxfId="938" priority="829" operator="equal">
      <formula>"PROPONENTE INDIVIDUAL"</formula>
    </cfRule>
  </conditionalFormatting>
  <conditionalFormatting sqref="Z2448:AA2448 AA2442:AA2447">
    <cfRule type="cellIs" dxfId="937" priority="826" operator="equal">
      <formula>"NO APLICA"</formula>
    </cfRule>
    <cfRule type="cellIs" dxfId="936" priority="827" operator="equal">
      <formula>"SI APLICA"</formula>
    </cfRule>
  </conditionalFormatting>
  <conditionalFormatting sqref="AB2442:AB2447 Y2442:Z2447">
    <cfRule type="cellIs" dxfId="935" priority="825" operator="equal">
      <formula>""</formula>
    </cfRule>
  </conditionalFormatting>
  <conditionalFormatting sqref="H2448">
    <cfRule type="containsText" dxfId="934" priority="823" stopIfTrue="1" operator="containsText" text="NO CUMPLE">
      <formula>NOT(ISERROR(SEARCH("NO CUMPLE",H2448)))</formula>
    </cfRule>
    <cfRule type="containsText" dxfId="933" priority="824" stopIfTrue="1" operator="containsText" text="CUMPLE">
      <formula>NOT(ISERROR(SEARCH("CUMPLE",H2448)))</formula>
    </cfRule>
  </conditionalFormatting>
  <conditionalFormatting sqref="J2448">
    <cfRule type="containsText" dxfId="932" priority="821" stopIfTrue="1" operator="containsText" text="NO CUMPLE">
      <formula>NOT(ISERROR(SEARCH("NO CUMPLE",J2448)))</formula>
    </cfRule>
    <cfRule type="containsText" dxfId="931" priority="822" stopIfTrue="1" operator="containsText" text="CUMPLE">
      <formula>NOT(ISERROR(SEARCH("CUMPLE",J2448)))</formula>
    </cfRule>
  </conditionalFormatting>
  <conditionalFormatting sqref="K2448">
    <cfRule type="containsText" dxfId="930" priority="819" stopIfTrue="1" operator="containsText" text="NO CUMPLE">
      <formula>NOT(ISERROR(SEARCH("NO CUMPLE",K2448)))</formula>
    </cfRule>
    <cfRule type="containsText" dxfId="929" priority="820" stopIfTrue="1" operator="containsText" text="CUMPLE">
      <formula>NOT(ISERROR(SEARCH("CUMPLE",K2448)))</formula>
    </cfRule>
  </conditionalFormatting>
  <conditionalFormatting sqref="L2442:L2447">
    <cfRule type="containsText" dxfId="928" priority="817" stopIfTrue="1" operator="containsText" text="NO CUMPLE">
      <formula>NOT(ISERROR(SEARCH("NO CUMPLE",L2442)))</formula>
    </cfRule>
    <cfRule type="containsText" dxfId="927" priority="818" stopIfTrue="1" operator="containsText" text="CUMPLE">
      <formula>NOT(ISERROR(SEARCH("CUMPLE",L2442)))</formula>
    </cfRule>
  </conditionalFormatting>
  <conditionalFormatting sqref="O2447">
    <cfRule type="containsText" dxfId="926" priority="815" stopIfTrue="1" operator="containsText" text="NO CUMPLE">
      <formula>NOT(ISERROR(SEARCH("NO CUMPLE",O2447)))</formula>
    </cfRule>
    <cfRule type="containsText" dxfId="925" priority="816" stopIfTrue="1" operator="containsText" text="CUMPLE">
      <formula>NOT(ISERROR(SEARCH("CUMPLE",O2447)))</formula>
    </cfRule>
  </conditionalFormatting>
  <conditionalFormatting sqref="O2448:S2448">
    <cfRule type="cellIs" dxfId="924" priority="814" operator="equal">
      <formula>"EL PROPONENTE SE DEBE REQUERIR POR EXPERIENCIA MINIMA EXIGIDA"</formula>
    </cfRule>
  </conditionalFormatting>
  <conditionalFormatting sqref="X2436">
    <cfRule type="cellIs" dxfId="923" priority="811" stopIfTrue="1" operator="equal">
      <formula>"VERIFICAR"</formula>
    </cfRule>
    <cfRule type="cellIs" dxfId="922" priority="812" stopIfTrue="1" operator="equal">
      <formula>"NO CUMPLE"</formula>
    </cfRule>
    <cfRule type="cellIs" dxfId="921" priority="813" stopIfTrue="1" operator="equal">
      <formula>"CUMPLE"</formula>
    </cfRule>
  </conditionalFormatting>
  <conditionalFormatting sqref="X2425:Y2434 J2425:J2434">
    <cfRule type="cellIs" dxfId="920" priority="810" stopIfTrue="1" operator="greaterThan">
      <formula>0</formula>
    </cfRule>
  </conditionalFormatting>
  <conditionalFormatting sqref="X2425:Y2434">
    <cfRule type="cellIs" dxfId="919" priority="808" operator="equal">
      <formula>"NO CUMPLE"</formula>
    </cfRule>
    <cfRule type="cellIs" dxfId="918" priority="809" operator="equal">
      <formula>"CUMPLE"</formula>
    </cfRule>
  </conditionalFormatting>
  <conditionalFormatting sqref="N2442:N2447">
    <cfRule type="cellIs" dxfId="917" priority="806" operator="equal">
      <formula>"NO"</formula>
    </cfRule>
    <cfRule type="cellIs" dxfId="916" priority="807" operator="equal">
      <formula>"SI"</formula>
    </cfRule>
  </conditionalFormatting>
  <conditionalFormatting sqref="I2434">
    <cfRule type="cellIs" dxfId="915" priority="805" stopIfTrue="1" operator="greaterThan">
      <formula>0</formula>
    </cfRule>
  </conditionalFormatting>
  <conditionalFormatting sqref="K2428:L2434">
    <cfRule type="cellIs" dxfId="914" priority="803" operator="equal">
      <formula>0</formula>
    </cfRule>
    <cfRule type="cellIs" dxfId="913" priority="804" operator="notBetween">
      <formula>$Q$17</formula>
      <formula>$R$17</formula>
    </cfRule>
  </conditionalFormatting>
  <conditionalFormatting sqref="B2425:B2434">
    <cfRule type="cellIs" dxfId="912" priority="802" stopIfTrue="1" operator="greaterThan">
      <formula>0</formula>
    </cfRule>
  </conditionalFormatting>
  <conditionalFormatting sqref="C2425:D2425 D2426:D2427 C2426:C2434">
    <cfRule type="cellIs" dxfId="911" priority="801" stopIfTrue="1" operator="greaterThan">
      <formula>0</formula>
    </cfRule>
  </conditionalFormatting>
  <conditionalFormatting sqref="C2425:D2425 F2425:H2427 D2426:D2427 C2426:C2434">
    <cfRule type="cellIs" dxfId="910" priority="800" stopIfTrue="1" operator="greaterThan">
      <formula>0</formula>
    </cfRule>
  </conditionalFormatting>
  <conditionalFormatting sqref="T2425:V2427">
    <cfRule type="cellIs" dxfId="909" priority="798" stopIfTrue="1" operator="equal">
      <formula>"NO"</formula>
    </cfRule>
    <cfRule type="cellIs" dxfId="908" priority="799" stopIfTrue="1" operator="equal">
      <formula>"SI"</formula>
    </cfRule>
  </conditionalFormatting>
  <conditionalFormatting sqref="T2425:V2426">
    <cfRule type="cellIs" dxfId="907" priority="797" stopIfTrue="1" operator="equal">
      <formula>"NO APLICA"</formula>
    </cfRule>
  </conditionalFormatting>
  <conditionalFormatting sqref="T2427:U2427">
    <cfRule type="cellIs" dxfId="906" priority="796" stopIfTrue="1" operator="equal">
      <formula>"NO APLICA"</formula>
    </cfRule>
  </conditionalFormatting>
  <conditionalFormatting sqref="T2427:U2427">
    <cfRule type="cellIs" dxfId="905" priority="795" stopIfTrue="1" operator="equal">
      <formula>"NO APLICA"</formula>
    </cfRule>
  </conditionalFormatting>
  <conditionalFormatting sqref="V2427">
    <cfRule type="cellIs" dxfId="904" priority="794" stopIfTrue="1" operator="equal">
      <formula>"NO APLICA"</formula>
    </cfRule>
  </conditionalFormatting>
  <conditionalFormatting sqref="K2425:L2427">
    <cfRule type="cellIs" dxfId="903" priority="792" operator="equal">
      <formula>0</formula>
    </cfRule>
    <cfRule type="cellIs" dxfId="902" priority="793" operator="notBetween">
      <formula>$Q$17</formula>
      <formula>$R$17</formula>
    </cfRule>
  </conditionalFormatting>
  <conditionalFormatting sqref="F2458:H2463 D2464:H2464 I2458:I2464 C2455:D2455 K2455:O2464 F2455:I2457 D2456:D2463 C2456:C2464">
    <cfRule type="cellIs" dxfId="901" priority="791" stopIfTrue="1" operator="greaterThan">
      <formula>0</formula>
    </cfRule>
  </conditionalFormatting>
  <conditionalFormatting sqref="D2458:D2463">
    <cfRule type="cellIs" dxfId="900" priority="790" stopIfTrue="1" operator="greaterThan">
      <formula>0</formula>
    </cfRule>
  </conditionalFormatting>
  <conditionalFormatting sqref="D2458:D2463 F2458:H2463">
    <cfRule type="cellIs" dxfId="899" priority="789" stopIfTrue="1" operator="greaterThan">
      <formula>0</formula>
    </cfRule>
  </conditionalFormatting>
  <conditionalFormatting sqref="H2455:H2463">
    <cfRule type="cellIs" dxfId="898" priority="788" stopIfTrue="1" operator="greaterThan">
      <formula>0</formula>
    </cfRule>
  </conditionalFormatting>
  <conditionalFormatting sqref="E2455:E2463">
    <cfRule type="cellIs" dxfId="897" priority="787" stopIfTrue="1" operator="greaterThan">
      <formula>0</formula>
    </cfRule>
  </conditionalFormatting>
  <conditionalFormatting sqref="M2472:M2477 K2472:K2477">
    <cfRule type="containsText" dxfId="896" priority="785" stopIfTrue="1" operator="containsText" text="NO CUMPLE">
      <formula>NOT(ISERROR(SEARCH("NO CUMPLE",K2472)))</formula>
    </cfRule>
    <cfRule type="containsText" dxfId="895" priority="786" stopIfTrue="1" operator="containsText" text="CUMPLE">
      <formula>NOT(ISERROR(SEARCH("CUMPLE",K2472)))</formula>
    </cfRule>
  </conditionalFormatting>
  <conditionalFormatting sqref="S2471">
    <cfRule type="cellIs" dxfId="894" priority="783" operator="greaterThanOrEqual">
      <formula>NUMMINCONT</formula>
    </cfRule>
    <cfRule type="cellIs" dxfId="893" priority="784" operator="lessThan">
      <formula>NUMMINCONT</formula>
    </cfRule>
  </conditionalFormatting>
  <conditionalFormatting sqref="T2458:V2463">
    <cfRule type="cellIs" dxfId="892" priority="781" stopIfTrue="1" operator="equal">
      <formula>"NO"</formula>
    </cfRule>
    <cfRule type="cellIs" dxfId="891" priority="782" stopIfTrue="1" operator="equal">
      <formula>"SI"</formula>
    </cfRule>
  </conditionalFormatting>
  <conditionalFormatting sqref="T2458:V2459">
    <cfRule type="cellIs" dxfId="890" priority="780" stopIfTrue="1" operator="equal">
      <formula>"NO APLICA"</formula>
    </cfRule>
  </conditionalFormatting>
  <conditionalFormatting sqref="T2460:U2463">
    <cfRule type="cellIs" dxfId="889" priority="779" stopIfTrue="1" operator="equal">
      <formula>"NO APLICA"</formula>
    </cfRule>
  </conditionalFormatting>
  <conditionalFormatting sqref="T2460:U2460">
    <cfRule type="cellIs" dxfId="888" priority="778" stopIfTrue="1" operator="equal">
      <formula>"NO APLICA"</formula>
    </cfRule>
  </conditionalFormatting>
  <conditionalFormatting sqref="V2460:V2463">
    <cfRule type="cellIs" dxfId="887" priority="777" stopIfTrue="1" operator="equal">
      <formula>"NO APLICA"</formula>
    </cfRule>
  </conditionalFormatting>
  <conditionalFormatting sqref="V2469:W2469">
    <cfRule type="cellIs" dxfId="886" priority="775" operator="equal">
      <formula>"CUMPLE"</formula>
    </cfRule>
    <cfRule type="cellIs" dxfId="885" priority="776" operator="equal">
      <formula>"NO CUMPLE"</formula>
    </cfRule>
  </conditionalFormatting>
  <conditionalFormatting sqref="V2469:W2471">
    <cfRule type="cellIs" dxfId="884" priority="774" operator="equal">
      <formula>"VERIFICAR"</formula>
    </cfRule>
  </conditionalFormatting>
  <conditionalFormatting sqref="T2464:V2464">
    <cfRule type="cellIs" dxfId="883" priority="772" stopIfTrue="1" operator="equal">
      <formula>"NO"</formula>
    </cfRule>
    <cfRule type="cellIs" dxfId="882" priority="773" stopIfTrue="1" operator="equal">
      <formula>"SI"</formula>
    </cfRule>
  </conditionalFormatting>
  <conditionalFormatting sqref="T2464:U2464">
    <cfRule type="cellIs" dxfId="881" priority="771" stopIfTrue="1" operator="equal">
      <formula>"NO APLICA"</formula>
    </cfRule>
  </conditionalFormatting>
  <conditionalFormatting sqref="V2464">
    <cfRule type="cellIs" dxfId="880" priority="770" stopIfTrue="1" operator="equal">
      <formula>"NO APLICA"</formula>
    </cfRule>
  </conditionalFormatting>
  <conditionalFormatting sqref="T2474">
    <cfRule type="cellIs" dxfId="879" priority="768" operator="equal">
      <formula>"CUMPLE"</formula>
    </cfRule>
    <cfRule type="cellIs" dxfId="878" priority="769" operator="equal">
      <formula>"NO CUMPLE"</formula>
    </cfRule>
  </conditionalFormatting>
  <conditionalFormatting sqref="T2474">
    <cfRule type="cellIs" dxfId="877" priority="767" operator="equal">
      <formula>"VERIFICAR"</formula>
    </cfRule>
  </conditionalFormatting>
  <conditionalFormatting sqref="Y2472:Y2477">
    <cfRule type="cellIs" dxfId="876" priority="766" stopIfTrue="1" operator="equal">
      <formula>"NO APLICA"</formula>
    </cfRule>
  </conditionalFormatting>
  <conditionalFormatting sqref="Y2477">
    <cfRule type="cellIs" dxfId="875" priority="765" stopIfTrue="1" operator="equal">
      <formula>"NO APLICA"</formula>
    </cfRule>
  </conditionalFormatting>
  <conditionalFormatting sqref="X2472:Y2477">
    <cfRule type="cellIs" dxfId="874" priority="763" stopIfTrue="1" operator="equal">
      <formula>"NO"</formula>
    </cfRule>
    <cfRule type="cellIs" dxfId="873" priority="764" stopIfTrue="1" operator="equal">
      <formula>"SI"</formula>
    </cfRule>
  </conditionalFormatting>
  <conditionalFormatting sqref="X2472:X2477">
    <cfRule type="cellIs" dxfId="872" priority="762" stopIfTrue="1" operator="equal">
      <formula>"NO APLICA"</formula>
    </cfRule>
  </conditionalFormatting>
  <conditionalFormatting sqref="X2473:X2476">
    <cfRule type="cellIs" dxfId="871" priority="761" stopIfTrue="1" operator="equal">
      <formula>"NO APLICA"</formula>
    </cfRule>
  </conditionalFormatting>
  <conditionalFormatting sqref="X2473">
    <cfRule type="cellIs" dxfId="870" priority="760" stopIfTrue="1" operator="equal">
      <formula>"NO APLICA"</formula>
    </cfRule>
  </conditionalFormatting>
  <conditionalFormatting sqref="X2477">
    <cfRule type="cellIs" dxfId="869" priority="759" stopIfTrue="1" operator="equal">
      <formula>"NO APLICA"</formula>
    </cfRule>
  </conditionalFormatting>
  <conditionalFormatting sqref="X2477">
    <cfRule type="cellIs" dxfId="868" priority="758" stopIfTrue="1" operator="equal">
      <formula>"NO APLICA"</formula>
    </cfRule>
  </conditionalFormatting>
  <conditionalFormatting sqref="AA2472:AA2477">
    <cfRule type="cellIs" dxfId="867" priority="757" stopIfTrue="1" operator="equal">
      <formula>"NO APLICA"</formula>
    </cfRule>
  </conditionalFormatting>
  <conditionalFormatting sqref="AA2477">
    <cfRule type="cellIs" dxfId="866" priority="756" stopIfTrue="1" operator="equal">
      <formula>"NO APLICA"</formula>
    </cfRule>
  </conditionalFormatting>
  <conditionalFormatting sqref="AA2472:AA2477">
    <cfRule type="cellIs" dxfId="865" priority="754" stopIfTrue="1" operator="equal">
      <formula>"NO"</formula>
    </cfRule>
    <cfRule type="cellIs" dxfId="864" priority="755" stopIfTrue="1" operator="equal">
      <formula>"SI"</formula>
    </cfRule>
  </conditionalFormatting>
  <conditionalFormatting sqref="Y2472:Z2477">
    <cfRule type="cellIs" dxfId="863" priority="752" operator="equal">
      <formula>"NO APLICA"</formula>
    </cfRule>
    <cfRule type="cellIs" dxfId="862" priority="753" operator="equal">
      <formula>"SI APLICA"</formula>
    </cfRule>
  </conditionalFormatting>
  <conditionalFormatting sqref="AB2472:AB2478">
    <cfRule type="cellIs" dxfId="861" priority="750" operator="equal">
      <formula>"NO APLICA"</formula>
    </cfRule>
    <cfRule type="cellIs" dxfId="860" priority="751" operator="equal">
      <formula>"SI APLICA"</formula>
    </cfRule>
  </conditionalFormatting>
  <conditionalFormatting sqref="X2478">
    <cfRule type="cellIs" dxfId="859" priority="748" operator="equal">
      <formula>"PROPONENTE PLURAL"</formula>
    </cfRule>
    <cfRule type="cellIs" dxfId="858" priority="749" operator="equal">
      <formula>"PROPONENTE INDIVIDUAL"</formula>
    </cfRule>
  </conditionalFormatting>
  <conditionalFormatting sqref="Z2478:AA2478 AA2472:AA2477">
    <cfRule type="cellIs" dxfId="857" priority="746" operator="equal">
      <formula>"NO APLICA"</formula>
    </cfRule>
    <cfRule type="cellIs" dxfId="856" priority="747" operator="equal">
      <formula>"SI APLICA"</formula>
    </cfRule>
  </conditionalFormatting>
  <conditionalFormatting sqref="AB2472:AB2477 Y2472:Z2477">
    <cfRule type="cellIs" dxfId="855" priority="745" operator="equal">
      <formula>""</formula>
    </cfRule>
  </conditionalFormatting>
  <conditionalFormatting sqref="H2478">
    <cfRule type="containsText" dxfId="854" priority="743" stopIfTrue="1" operator="containsText" text="NO CUMPLE">
      <formula>NOT(ISERROR(SEARCH("NO CUMPLE",H2478)))</formula>
    </cfRule>
    <cfRule type="containsText" dxfId="853" priority="744" stopIfTrue="1" operator="containsText" text="CUMPLE">
      <formula>NOT(ISERROR(SEARCH("CUMPLE",H2478)))</formula>
    </cfRule>
  </conditionalFormatting>
  <conditionalFormatting sqref="J2478">
    <cfRule type="containsText" dxfId="852" priority="741" stopIfTrue="1" operator="containsText" text="NO CUMPLE">
      <formula>NOT(ISERROR(SEARCH("NO CUMPLE",J2478)))</formula>
    </cfRule>
    <cfRule type="containsText" dxfId="851" priority="742" stopIfTrue="1" operator="containsText" text="CUMPLE">
      <formula>NOT(ISERROR(SEARCH("CUMPLE",J2478)))</formula>
    </cfRule>
  </conditionalFormatting>
  <conditionalFormatting sqref="K2478">
    <cfRule type="containsText" dxfId="850" priority="739" stopIfTrue="1" operator="containsText" text="NO CUMPLE">
      <formula>NOT(ISERROR(SEARCH("NO CUMPLE",K2478)))</formula>
    </cfRule>
    <cfRule type="containsText" dxfId="849" priority="740" stopIfTrue="1" operator="containsText" text="CUMPLE">
      <formula>NOT(ISERROR(SEARCH("CUMPLE",K2478)))</formula>
    </cfRule>
  </conditionalFormatting>
  <conditionalFormatting sqref="L2472:L2477">
    <cfRule type="containsText" dxfId="848" priority="737" stopIfTrue="1" operator="containsText" text="NO CUMPLE">
      <formula>NOT(ISERROR(SEARCH("NO CUMPLE",L2472)))</formula>
    </cfRule>
    <cfRule type="containsText" dxfId="847" priority="738" stopIfTrue="1" operator="containsText" text="CUMPLE">
      <formula>NOT(ISERROR(SEARCH("CUMPLE",L2472)))</formula>
    </cfRule>
  </conditionalFormatting>
  <conditionalFormatting sqref="O2477">
    <cfRule type="containsText" dxfId="846" priority="735" stopIfTrue="1" operator="containsText" text="NO CUMPLE">
      <formula>NOT(ISERROR(SEARCH("NO CUMPLE",O2477)))</formula>
    </cfRule>
    <cfRule type="containsText" dxfId="845" priority="736" stopIfTrue="1" operator="containsText" text="CUMPLE">
      <formula>NOT(ISERROR(SEARCH("CUMPLE",O2477)))</formula>
    </cfRule>
  </conditionalFormatting>
  <conditionalFormatting sqref="O2478:S2478">
    <cfRule type="cellIs" dxfId="844" priority="734" operator="equal">
      <formula>"EL PROPONENTE SE DEBE REQUERIR POR EXPERIENCIA MINIMA EXIGIDA"</formula>
    </cfRule>
  </conditionalFormatting>
  <conditionalFormatting sqref="X2466">
    <cfRule type="cellIs" dxfId="843" priority="731" stopIfTrue="1" operator="equal">
      <formula>"VERIFICAR"</formula>
    </cfRule>
    <cfRule type="cellIs" dxfId="842" priority="732" stopIfTrue="1" operator="equal">
      <formula>"NO CUMPLE"</formula>
    </cfRule>
    <cfRule type="cellIs" dxfId="841" priority="733" stopIfTrue="1" operator="equal">
      <formula>"CUMPLE"</formula>
    </cfRule>
  </conditionalFormatting>
  <conditionalFormatting sqref="X2455:Y2464 J2455:J2464">
    <cfRule type="cellIs" dxfId="840" priority="730" stopIfTrue="1" operator="greaterThan">
      <formula>0</formula>
    </cfRule>
  </conditionalFormatting>
  <conditionalFormatting sqref="X2455:Y2464">
    <cfRule type="cellIs" dxfId="839" priority="728" operator="equal">
      <formula>"NO CUMPLE"</formula>
    </cfRule>
    <cfRule type="cellIs" dxfId="838" priority="729" operator="equal">
      <formula>"CUMPLE"</formula>
    </cfRule>
  </conditionalFormatting>
  <conditionalFormatting sqref="N2472:N2477">
    <cfRule type="cellIs" dxfId="837" priority="726" operator="equal">
      <formula>"NO"</formula>
    </cfRule>
    <cfRule type="cellIs" dxfId="836" priority="727" operator="equal">
      <formula>"SI"</formula>
    </cfRule>
  </conditionalFormatting>
  <conditionalFormatting sqref="I2464">
    <cfRule type="cellIs" dxfId="835" priority="725" stopIfTrue="1" operator="greaterThan">
      <formula>0</formula>
    </cfRule>
  </conditionalFormatting>
  <conditionalFormatting sqref="K2458:L2464">
    <cfRule type="cellIs" dxfId="834" priority="723" operator="equal">
      <formula>0</formula>
    </cfRule>
    <cfRule type="cellIs" dxfId="833" priority="724" operator="notBetween">
      <formula>$Q$17</formula>
      <formula>$R$17</formula>
    </cfRule>
  </conditionalFormatting>
  <conditionalFormatting sqref="B2455:B2464">
    <cfRule type="cellIs" dxfId="832" priority="722" stopIfTrue="1" operator="greaterThan">
      <formula>0</formula>
    </cfRule>
  </conditionalFormatting>
  <conditionalFormatting sqref="C2455:D2455 D2456:D2457 C2456:C2464">
    <cfRule type="cellIs" dxfId="831" priority="721" stopIfTrue="1" operator="greaterThan">
      <formula>0</formula>
    </cfRule>
  </conditionalFormatting>
  <conditionalFormatting sqref="C2455:D2455 F2455:H2457 D2456:D2457 C2456:C2464">
    <cfRule type="cellIs" dxfId="830" priority="720" stopIfTrue="1" operator="greaterThan">
      <formula>0</formula>
    </cfRule>
  </conditionalFormatting>
  <conditionalFormatting sqref="T2455:V2457">
    <cfRule type="cellIs" dxfId="829" priority="718" stopIfTrue="1" operator="equal">
      <formula>"NO"</formula>
    </cfRule>
    <cfRule type="cellIs" dxfId="828" priority="719" stopIfTrue="1" operator="equal">
      <formula>"SI"</formula>
    </cfRule>
  </conditionalFormatting>
  <conditionalFormatting sqref="T2455:V2456">
    <cfRule type="cellIs" dxfId="827" priority="717" stopIfTrue="1" operator="equal">
      <formula>"NO APLICA"</formula>
    </cfRule>
  </conditionalFormatting>
  <conditionalFormatting sqref="T2457:U2457">
    <cfRule type="cellIs" dxfId="826" priority="716" stopIfTrue="1" operator="equal">
      <formula>"NO APLICA"</formula>
    </cfRule>
  </conditionalFormatting>
  <conditionalFormatting sqref="T2457:U2457">
    <cfRule type="cellIs" dxfId="825" priority="715" stopIfTrue="1" operator="equal">
      <formula>"NO APLICA"</formula>
    </cfRule>
  </conditionalFormatting>
  <conditionalFormatting sqref="V2457">
    <cfRule type="cellIs" dxfId="824" priority="714" stopIfTrue="1" operator="equal">
      <formula>"NO APLICA"</formula>
    </cfRule>
  </conditionalFormatting>
  <conditionalFormatting sqref="K2455:L2457">
    <cfRule type="cellIs" dxfId="823" priority="712" operator="equal">
      <formula>0</formula>
    </cfRule>
    <cfRule type="cellIs" dxfId="822" priority="713" operator="notBetween">
      <formula>$Q$17</formula>
      <formula>$R$17</formula>
    </cfRule>
  </conditionalFormatting>
  <conditionalFormatting sqref="F2488:H2493 D2494:H2494 I2488:I2494 C2485:D2485 K2485:O2494 F2485:I2487 D2486:D2493 C2486:C2494">
    <cfRule type="cellIs" dxfId="821" priority="711" stopIfTrue="1" operator="greaterThan">
      <formula>0</formula>
    </cfRule>
  </conditionalFormatting>
  <conditionalFormatting sqref="D2488:D2493">
    <cfRule type="cellIs" dxfId="820" priority="710" stopIfTrue="1" operator="greaterThan">
      <formula>0</formula>
    </cfRule>
  </conditionalFormatting>
  <conditionalFormatting sqref="D2488:D2493 F2488:H2493">
    <cfRule type="cellIs" dxfId="819" priority="709" stopIfTrue="1" operator="greaterThan">
      <formula>0</formula>
    </cfRule>
  </conditionalFormatting>
  <conditionalFormatting sqref="H2485:H2493">
    <cfRule type="cellIs" dxfId="818" priority="708" stopIfTrue="1" operator="greaterThan">
      <formula>0</formula>
    </cfRule>
  </conditionalFormatting>
  <conditionalFormatting sqref="E2485:E2493">
    <cfRule type="cellIs" dxfId="817" priority="707" stopIfTrue="1" operator="greaterThan">
      <formula>0</formula>
    </cfRule>
  </conditionalFormatting>
  <conditionalFormatting sqref="M2502:M2507 K2502:K2507">
    <cfRule type="containsText" dxfId="816" priority="705" stopIfTrue="1" operator="containsText" text="NO CUMPLE">
      <formula>NOT(ISERROR(SEARCH("NO CUMPLE",K2502)))</formula>
    </cfRule>
    <cfRule type="containsText" dxfId="815" priority="706" stopIfTrue="1" operator="containsText" text="CUMPLE">
      <formula>NOT(ISERROR(SEARCH("CUMPLE",K2502)))</formula>
    </cfRule>
  </conditionalFormatting>
  <conditionalFormatting sqref="S2501">
    <cfRule type="cellIs" dxfId="814" priority="703" operator="greaterThanOrEqual">
      <formula>NUMMINCONT</formula>
    </cfRule>
    <cfRule type="cellIs" dxfId="813" priority="704" operator="lessThan">
      <formula>NUMMINCONT</formula>
    </cfRule>
  </conditionalFormatting>
  <conditionalFormatting sqref="T2488:V2493">
    <cfRule type="cellIs" dxfId="812" priority="701" stopIfTrue="1" operator="equal">
      <formula>"NO"</formula>
    </cfRule>
    <cfRule type="cellIs" dxfId="811" priority="702" stopIfTrue="1" operator="equal">
      <formula>"SI"</formula>
    </cfRule>
  </conditionalFormatting>
  <conditionalFormatting sqref="T2488:V2489">
    <cfRule type="cellIs" dxfId="810" priority="700" stopIfTrue="1" operator="equal">
      <formula>"NO APLICA"</formula>
    </cfRule>
  </conditionalFormatting>
  <conditionalFormatting sqref="T2490:U2493">
    <cfRule type="cellIs" dxfId="809" priority="699" stopIfTrue="1" operator="equal">
      <formula>"NO APLICA"</formula>
    </cfRule>
  </conditionalFormatting>
  <conditionalFormatting sqref="T2490:U2490">
    <cfRule type="cellIs" dxfId="808" priority="698" stopIfTrue="1" operator="equal">
      <formula>"NO APLICA"</formula>
    </cfRule>
  </conditionalFormatting>
  <conditionalFormatting sqref="V2490:V2493">
    <cfRule type="cellIs" dxfId="807" priority="697" stopIfTrue="1" operator="equal">
      <formula>"NO APLICA"</formula>
    </cfRule>
  </conditionalFormatting>
  <conditionalFormatting sqref="V2499:W2499">
    <cfRule type="cellIs" dxfId="806" priority="695" operator="equal">
      <formula>"CUMPLE"</formula>
    </cfRule>
    <cfRule type="cellIs" dxfId="805" priority="696" operator="equal">
      <formula>"NO CUMPLE"</formula>
    </cfRule>
  </conditionalFormatting>
  <conditionalFormatting sqref="V2499:W2501">
    <cfRule type="cellIs" dxfId="804" priority="694" operator="equal">
      <formula>"VERIFICAR"</formula>
    </cfRule>
  </conditionalFormatting>
  <conditionalFormatting sqref="T2494:V2494">
    <cfRule type="cellIs" dxfId="803" priority="692" stopIfTrue="1" operator="equal">
      <formula>"NO"</formula>
    </cfRule>
    <cfRule type="cellIs" dxfId="802" priority="693" stopIfTrue="1" operator="equal">
      <formula>"SI"</formula>
    </cfRule>
  </conditionalFormatting>
  <conditionalFormatting sqref="T2494:U2494">
    <cfRule type="cellIs" dxfId="801" priority="691" stopIfTrue="1" operator="equal">
      <formula>"NO APLICA"</formula>
    </cfRule>
  </conditionalFormatting>
  <conditionalFormatting sqref="V2494">
    <cfRule type="cellIs" dxfId="800" priority="690" stopIfTrue="1" operator="equal">
      <formula>"NO APLICA"</formula>
    </cfRule>
  </conditionalFormatting>
  <conditionalFormatting sqref="T2504">
    <cfRule type="cellIs" dxfId="799" priority="688" operator="equal">
      <formula>"CUMPLE"</formula>
    </cfRule>
    <cfRule type="cellIs" dxfId="798" priority="689" operator="equal">
      <formula>"NO CUMPLE"</formula>
    </cfRule>
  </conditionalFormatting>
  <conditionalFormatting sqref="T2504">
    <cfRule type="cellIs" dxfId="797" priority="687" operator="equal">
      <formula>"VERIFICAR"</formula>
    </cfRule>
  </conditionalFormatting>
  <conditionalFormatting sqref="Y2502:Y2507">
    <cfRule type="cellIs" dxfId="796" priority="686" stopIfTrue="1" operator="equal">
      <formula>"NO APLICA"</formula>
    </cfRule>
  </conditionalFormatting>
  <conditionalFormatting sqref="Y2507">
    <cfRule type="cellIs" dxfId="795" priority="685" stopIfTrue="1" operator="equal">
      <formula>"NO APLICA"</formula>
    </cfRule>
  </conditionalFormatting>
  <conditionalFormatting sqref="X2502:Y2507">
    <cfRule type="cellIs" dxfId="794" priority="683" stopIfTrue="1" operator="equal">
      <formula>"NO"</formula>
    </cfRule>
    <cfRule type="cellIs" dxfId="793" priority="684" stopIfTrue="1" operator="equal">
      <formula>"SI"</formula>
    </cfRule>
  </conditionalFormatting>
  <conditionalFormatting sqref="X2502:X2507">
    <cfRule type="cellIs" dxfId="792" priority="682" stopIfTrue="1" operator="equal">
      <formula>"NO APLICA"</formula>
    </cfRule>
  </conditionalFormatting>
  <conditionalFormatting sqref="X2503:X2506">
    <cfRule type="cellIs" dxfId="791" priority="681" stopIfTrue="1" operator="equal">
      <formula>"NO APLICA"</formula>
    </cfRule>
  </conditionalFormatting>
  <conditionalFormatting sqref="X2503">
    <cfRule type="cellIs" dxfId="790" priority="680" stopIfTrue="1" operator="equal">
      <formula>"NO APLICA"</formula>
    </cfRule>
  </conditionalFormatting>
  <conditionalFormatting sqref="X2507">
    <cfRule type="cellIs" dxfId="789" priority="679" stopIfTrue="1" operator="equal">
      <formula>"NO APLICA"</formula>
    </cfRule>
  </conditionalFormatting>
  <conditionalFormatting sqref="X2507">
    <cfRule type="cellIs" dxfId="788" priority="678" stopIfTrue="1" operator="equal">
      <formula>"NO APLICA"</formula>
    </cfRule>
  </conditionalFormatting>
  <conditionalFormatting sqref="AA2502:AA2507">
    <cfRule type="cellIs" dxfId="787" priority="677" stopIfTrue="1" operator="equal">
      <formula>"NO APLICA"</formula>
    </cfRule>
  </conditionalFormatting>
  <conditionalFormatting sqref="AA2507">
    <cfRule type="cellIs" dxfId="786" priority="676" stopIfTrue="1" operator="equal">
      <formula>"NO APLICA"</formula>
    </cfRule>
  </conditionalFormatting>
  <conditionalFormatting sqref="AA2502:AA2507">
    <cfRule type="cellIs" dxfId="785" priority="674" stopIfTrue="1" operator="equal">
      <formula>"NO"</formula>
    </cfRule>
    <cfRule type="cellIs" dxfId="784" priority="675" stopIfTrue="1" operator="equal">
      <formula>"SI"</formula>
    </cfRule>
  </conditionalFormatting>
  <conditionalFormatting sqref="Y2502:Z2507">
    <cfRule type="cellIs" dxfId="783" priority="672" operator="equal">
      <formula>"NO APLICA"</formula>
    </cfRule>
    <cfRule type="cellIs" dxfId="782" priority="673" operator="equal">
      <formula>"SI APLICA"</formula>
    </cfRule>
  </conditionalFormatting>
  <conditionalFormatting sqref="AB2502:AB2508">
    <cfRule type="cellIs" dxfId="781" priority="670" operator="equal">
      <formula>"NO APLICA"</formula>
    </cfRule>
    <cfRule type="cellIs" dxfId="780" priority="671" operator="equal">
      <formula>"SI APLICA"</formula>
    </cfRule>
  </conditionalFormatting>
  <conditionalFormatting sqref="X2508">
    <cfRule type="cellIs" dxfId="779" priority="668" operator="equal">
      <formula>"PROPONENTE PLURAL"</formula>
    </cfRule>
    <cfRule type="cellIs" dxfId="778" priority="669" operator="equal">
      <formula>"PROPONENTE INDIVIDUAL"</formula>
    </cfRule>
  </conditionalFormatting>
  <conditionalFormatting sqref="Z2508:AA2508 AA2502:AA2507">
    <cfRule type="cellIs" dxfId="777" priority="666" operator="equal">
      <formula>"NO APLICA"</formula>
    </cfRule>
    <cfRule type="cellIs" dxfId="776" priority="667" operator="equal">
      <formula>"SI APLICA"</formula>
    </cfRule>
  </conditionalFormatting>
  <conditionalFormatting sqref="AB2502:AB2507 Y2502:Z2507">
    <cfRule type="cellIs" dxfId="775" priority="665" operator="equal">
      <formula>""</formula>
    </cfRule>
  </conditionalFormatting>
  <conditionalFormatting sqref="H2508">
    <cfRule type="containsText" dxfId="774" priority="663" stopIfTrue="1" operator="containsText" text="NO CUMPLE">
      <formula>NOT(ISERROR(SEARCH("NO CUMPLE",H2508)))</formula>
    </cfRule>
    <cfRule type="containsText" dxfId="773" priority="664" stopIfTrue="1" operator="containsText" text="CUMPLE">
      <formula>NOT(ISERROR(SEARCH("CUMPLE",H2508)))</formula>
    </cfRule>
  </conditionalFormatting>
  <conditionalFormatting sqref="J2508">
    <cfRule type="containsText" dxfId="772" priority="661" stopIfTrue="1" operator="containsText" text="NO CUMPLE">
      <formula>NOT(ISERROR(SEARCH("NO CUMPLE",J2508)))</formula>
    </cfRule>
    <cfRule type="containsText" dxfId="771" priority="662" stopIfTrue="1" operator="containsText" text="CUMPLE">
      <formula>NOT(ISERROR(SEARCH("CUMPLE",J2508)))</formula>
    </cfRule>
  </conditionalFormatting>
  <conditionalFormatting sqref="K2508">
    <cfRule type="containsText" dxfId="770" priority="659" stopIfTrue="1" operator="containsText" text="NO CUMPLE">
      <formula>NOT(ISERROR(SEARCH("NO CUMPLE",K2508)))</formula>
    </cfRule>
    <cfRule type="containsText" dxfId="769" priority="660" stopIfTrue="1" operator="containsText" text="CUMPLE">
      <formula>NOT(ISERROR(SEARCH("CUMPLE",K2508)))</formula>
    </cfRule>
  </conditionalFormatting>
  <conditionalFormatting sqref="L2502:L2507">
    <cfRule type="containsText" dxfId="768" priority="657" stopIfTrue="1" operator="containsText" text="NO CUMPLE">
      <formula>NOT(ISERROR(SEARCH("NO CUMPLE",L2502)))</formula>
    </cfRule>
    <cfRule type="containsText" dxfId="767" priority="658" stopIfTrue="1" operator="containsText" text="CUMPLE">
      <formula>NOT(ISERROR(SEARCH("CUMPLE",L2502)))</formula>
    </cfRule>
  </conditionalFormatting>
  <conditionalFormatting sqref="O2507">
    <cfRule type="containsText" dxfId="766" priority="655" stopIfTrue="1" operator="containsText" text="NO CUMPLE">
      <formula>NOT(ISERROR(SEARCH("NO CUMPLE",O2507)))</formula>
    </cfRule>
    <cfRule type="containsText" dxfId="765" priority="656" stopIfTrue="1" operator="containsText" text="CUMPLE">
      <formula>NOT(ISERROR(SEARCH("CUMPLE",O2507)))</formula>
    </cfRule>
  </conditionalFormatting>
  <conditionalFormatting sqref="O2508:S2508">
    <cfRule type="cellIs" dxfId="764" priority="654" operator="equal">
      <formula>"EL PROPONENTE SE DEBE REQUERIR POR EXPERIENCIA MINIMA EXIGIDA"</formula>
    </cfRule>
  </conditionalFormatting>
  <conditionalFormatting sqref="X2496">
    <cfRule type="cellIs" dxfId="763" priority="651" stopIfTrue="1" operator="equal">
      <formula>"VERIFICAR"</formula>
    </cfRule>
    <cfRule type="cellIs" dxfId="762" priority="652" stopIfTrue="1" operator="equal">
      <formula>"NO CUMPLE"</formula>
    </cfRule>
    <cfRule type="cellIs" dxfId="761" priority="653" stopIfTrue="1" operator="equal">
      <formula>"CUMPLE"</formula>
    </cfRule>
  </conditionalFormatting>
  <conditionalFormatting sqref="X2485:Y2494 J2485:J2494">
    <cfRule type="cellIs" dxfId="760" priority="650" stopIfTrue="1" operator="greaterThan">
      <formula>0</formula>
    </cfRule>
  </conditionalFormatting>
  <conditionalFormatting sqref="X2485:Y2494">
    <cfRule type="cellIs" dxfId="759" priority="648" operator="equal">
      <formula>"NO CUMPLE"</formula>
    </cfRule>
    <cfRule type="cellIs" dxfId="758" priority="649" operator="equal">
      <formula>"CUMPLE"</formula>
    </cfRule>
  </conditionalFormatting>
  <conditionalFormatting sqref="N2502:N2507">
    <cfRule type="cellIs" dxfId="757" priority="646" operator="equal">
      <formula>"NO"</formula>
    </cfRule>
    <cfRule type="cellIs" dxfId="756" priority="647" operator="equal">
      <formula>"SI"</formula>
    </cfRule>
  </conditionalFormatting>
  <conditionalFormatting sqref="I2494">
    <cfRule type="cellIs" dxfId="755" priority="645" stopIfTrue="1" operator="greaterThan">
      <formula>0</formula>
    </cfRule>
  </conditionalFormatting>
  <conditionalFormatting sqref="K2488:L2494">
    <cfRule type="cellIs" dxfId="754" priority="643" operator="equal">
      <formula>0</formula>
    </cfRule>
    <cfRule type="cellIs" dxfId="753" priority="644" operator="notBetween">
      <formula>$Q$17</formula>
      <formula>$R$17</formula>
    </cfRule>
  </conditionalFormatting>
  <conditionalFormatting sqref="B2485:B2494">
    <cfRule type="cellIs" dxfId="752" priority="642" stopIfTrue="1" operator="greaterThan">
      <formula>0</formula>
    </cfRule>
  </conditionalFormatting>
  <conditionalFormatting sqref="C2485:D2485 D2486:D2487 C2486:C2494">
    <cfRule type="cellIs" dxfId="751" priority="641" stopIfTrue="1" operator="greaterThan">
      <formula>0</formula>
    </cfRule>
  </conditionalFormatting>
  <conditionalFormatting sqref="C2485:D2485 F2485:H2487 D2486:D2487 C2486:C2494">
    <cfRule type="cellIs" dxfId="750" priority="640" stopIfTrue="1" operator="greaterThan">
      <formula>0</formula>
    </cfRule>
  </conditionalFormatting>
  <conditionalFormatting sqref="T2485:V2487">
    <cfRule type="cellIs" dxfId="749" priority="638" stopIfTrue="1" operator="equal">
      <formula>"NO"</formula>
    </cfRule>
    <cfRule type="cellIs" dxfId="748" priority="639" stopIfTrue="1" operator="equal">
      <formula>"SI"</formula>
    </cfRule>
  </conditionalFormatting>
  <conditionalFormatting sqref="T2485:V2486">
    <cfRule type="cellIs" dxfId="747" priority="637" stopIfTrue="1" operator="equal">
      <formula>"NO APLICA"</formula>
    </cfRule>
  </conditionalFormatting>
  <conditionalFormatting sqref="T2487:U2487">
    <cfRule type="cellIs" dxfId="746" priority="636" stopIfTrue="1" operator="equal">
      <formula>"NO APLICA"</formula>
    </cfRule>
  </conditionalFormatting>
  <conditionalFormatting sqref="T2487:U2487">
    <cfRule type="cellIs" dxfId="745" priority="635" stopIfTrue="1" operator="equal">
      <formula>"NO APLICA"</formula>
    </cfRule>
  </conditionalFormatting>
  <conditionalFormatting sqref="V2487">
    <cfRule type="cellIs" dxfId="744" priority="634" stopIfTrue="1" operator="equal">
      <formula>"NO APLICA"</formula>
    </cfRule>
  </conditionalFormatting>
  <conditionalFormatting sqref="K2485:L2487">
    <cfRule type="cellIs" dxfId="743" priority="632" operator="equal">
      <formula>0</formula>
    </cfRule>
    <cfRule type="cellIs" dxfId="742" priority="633" operator="notBetween">
      <formula>$Q$17</formula>
      <formula>$R$17</formula>
    </cfRule>
  </conditionalFormatting>
  <conditionalFormatting sqref="F2518:H2523 D2524:H2524 I2518:I2524 C2515:D2515 K2515:O2524 F2515:I2517 D2516:D2523 C2516:C2524">
    <cfRule type="cellIs" dxfId="741" priority="631" stopIfTrue="1" operator="greaterThan">
      <formula>0</formula>
    </cfRule>
  </conditionalFormatting>
  <conditionalFormatting sqref="D2518:D2523">
    <cfRule type="cellIs" dxfId="740" priority="630" stopIfTrue="1" operator="greaterThan">
      <formula>0</formula>
    </cfRule>
  </conditionalFormatting>
  <conditionalFormatting sqref="D2518:D2523 F2518:H2523">
    <cfRule type="cellIs" dxfId="739" priority="629" stopIfTrue="1" operator="greaterThan">
      <formula>0</formula>
    </cfRule>
  </conditionalFormatting>
  <conditionalFormatting sqref="H2515:H2523">
    <cfRule type="cellIs" dxfId="738" priority="628" stopIfTrue="1" operator="greaterThan">
      <formula>0</formula>
    </cfRule>
  </conditionalFormatting>
  <conditionalFormatting sqref="E2515:E2523">
    <cfRule type="cellIs" dxfId="737" priority="627" stopIfTrue="1" operator="greaterThan">
      <formula>0</formula>
    </cfRule>
  </conditionalFormatting>
  <conditionalFormatting sqref="M2532:M2537 K2532:K2537">
    <cfRule type="containsText" dxfId="736" priority="625" stopIfTrue="1" operator="containsText" text="NO CUMPLE">
      <formula>NOT(ISERROR(SEARCH("NO CUMPLE",K2532)))</formula>
    </cfRule>
    <cfRule type="containsText" dxfId="735" priority="626" stopIfTrue="1" operator="containsText" text="CUMPLE">
      <formula>NOT(ISERROR(SEARCH("CUMPLE",K2532)))</formula>
    </cfRule>
  </conditionalFormatting>
  <conditionalFormatting sqref="S2531">
    <cfRule type="cellIs" dxfId="734" priority="623" operator="greaterThanOrEqual">
      <formula>NUMMINCONT</formula>
    </cfRule>
    <cfRule type="cellIs" dxfId="733" priority="624" operator="lessThan">
      <formula>NUMMINCONT</formula>
    </cfRule>
  </conditionalFormatting>
  <conditionalFormatting sqref="T2518:V2523">
    <cfRule type="cellIs" dxfId="732" priority="621" stopIfTrue="1" operator="equal">
      <formula>"NO"</formula>
    </cfRule>
    <cfRule type="cellIs" dxfId="731" priority="622" stopIfTrue="1" operator="equal">
      <formula>"SI"</formula>
    </cfRule>
  </conditionalFormatting>
  <conditionalFormatting sqref="T2518:V2519">
    <cfRule type="cellIs" dxfId="730" priority="620" stopIfTrue="1" operator="equal">
      <formula>"NO APLICA"</formula>
    </cfRule>
  </conditionalFormatting>
  <conditionalFormatting sqref="T2520:U2523">
    <cfRule type="cellIs" dxfId="729" priority="619" stopIfTrue="1" operator="equal">
      <formula>"NO APLICA"</formula>
    </cfRule>
  </conditionalFormatting>
  <conditionalFormatting sqref="T2520:U2520">
    <cfRule type="cellIs" dxfId="728" priority="618" stopIfTrue="1" operator="equal">
      <formula>"NO APLICA"</formula>
    </cfRule>
  </conditionalFormatting>
  <conditionalFormatting sqref="V2520:V2523">
    <cfRule type="cellIs" dxfId="727" priority="617" stopIfTrue="1" operator="equal">
      <formula>"NO APLICA"</formula>
    </cfRule>
  </conditionalFormatting>
  <conditionalFormatting sqref="V2529:W2529">
    <cfRule type="cellIs" dxfId="726" priority="615" operator="equal">
      <formula>"CUMPLE"</formula>
    </cfRule>
    <cfRule type="cellIs" dxfId="725" priority="616" operator="equal">
      <formula>"NO CUMPLE"</formula>
    </cfRule>
  </conditionalFormatting>
  <conditionalFormatting sqref="V2529:W2531">
    <cfRule type="cellIs" dxfId="724" priority="614" operator="equal">
      <formula>"VERIFICAR"</formula>
    </cfRule>
  </conditionalFormatting>
  <conditionalFormatting sqref="T2524:V2524">
    <cfRule type="cellIs" dxfId="723" priority="612" stopIfTrue="1" operator="equal">
      <formula>"NO"</formula>
    </cfRule>
    <cfRule type="cellIs" dxfId="722" priority="613" stopIfTrue="1" operator="equal">
      <formula>"SI"</formula>
    </cfRule>
  </conditionalFormatting>
  <conditionalFormatting sqref="T2524:U2524">
    <cfRule type="cellIs" dxfId="721" priority="611" stopIfTrue="1" operator="equal">
      <formula>"NO APLICA"</formula>
    </cfRule>
  </conditionalFormatting>
  <conditionalFormatting sqref="V2524">
    <cfRule type="cellIs" dxfId="720" priority="610" stopIfTrue="1" operator="equal">
      <formula>"NO APLICA"</formula>
    </cfRule>
  </conditionalFormatting>
  <conditionalFormatting sqref="T2534">
    <cfRule type="cellIs" dxfId="719" priority="608" operator="equal">
      <formula>"CUMPLE"</formula>
    </cfRule>
    <cfRule type="cellIs" dxfId="718" priority="609" operator="equal">
      <formula>"NO CUMPLE"</formula>
    </cfRule>
  </conditionalFormatting>
  <conditionalFormatting sqref="T2534">
    <cfRule type="cellIs" dxfId="717" priority="607" operator="equal">
      <formula>"VERIFICAR"</formula>
    </cfRule>
  </conditionalFormatting>
  <conditionalFormatting sqref="Y2532:Y2537">
    <cfRule type="cellIs" dxfId="716" priority="606" stopIfTrue="1" operator="equal">
      <formula>"NO APLICA"</formula>
    </cfRule>
  </conditionalFormatting>
  <conditionalFormatting sqref="Y2537">
    <cfRule type="cellIs" dxfId="715" priority="605" stopIfTrue="1" operator="equal">
      <formula>"NO APLICA"</formula>
    </cfRule>
  </conditionalFormatting>
  <conditionalFormatting sqref="X2532:Y2537">
    <cfRule type="cellIs" dxfId="714" priority="603" stopIfTrue="1" operator="equal">
      <formula>"NO"</formula>
    </cfRule>
    <cfRule type="cellIs" dxfId="713" priority="604" stopIfTrue="1" operator="equal">
      <formula>"SI"</formula>
    </cfRule>
  </conditionalFormatting>
  <conditionalFormatting sqref="X2532:X2537">
    <cfRule type="cellIs" dxfId="712" priority="602" stopIfTrue="1" operator="equal">
      <formula>"NO APLICA"</formula>
    </cfRule>
  </conditionalFormatting>
  <conditionalFormatting sqref="X2533:X2536">
    <cfRule type="cellIs" dxfId="711" priority="601" stopIfTrue="1" operator="equal">
      <formula>"NO APLICA"</formula>
    </cfRule>
  </conditionalFormatting>
  <conditionalFormatting sqref="X2533">
    <cfRule type="cellIs" dxfId="710" priority="600" stopIfTrue="1" operator="equal">
      <formula>"NO APLICA"</formula>
    </cfRule>
  </conditionalFormatting>
  <conditionalFormatting sqref="X2537">
    <cfRule type="cellIs" dxfId="709" priority="599" stopIfTrue="1" operator="equal">
      <formula>"NO APLICA"</formula>
    </cfRule>
  </conditionalFormatting>
  <conditionalFormatting sqref="X2537">
    <cfRule type="cellIs" dxfId="708" priority="598" stopIfTrue="1" operator="equal">
      <formula>"NO APLICA"</formula>
    </cfRule>
  </conditionalFormatting>
  <conditionalFormatting sqref="AA2532:AA2537">
    <cfRule type="cellIs" dxfId="707" priority="597" stopIfTrue="1" operator="equal">
      <formula>"NO APLICA"</formula>
    </cfRule>
  </conditionalFormatting>
  <conditionalFormatting sqref="AA2537">
    <cfRule type="cellIs" dxfId="706" priority="596" stopIfTrue="1" operator="equal">
      <formula>"NO APLICA"</formula>
    </cfRule>
  </conditionalFormatting>
  <conditionalFormatting sqref="AA2532:AA2537">
    <cfRule type="cellIs" dxfId="705" priority="594" stopIfTrue="1" operator="equal">
      <formula>"NO"</formula>
    </cfRule>
    <cfRule type="cellIs" dxfId="704" priority="595" stopIfTrue="1" operator="equal">
      <formula>"SI"</formula>
    </cfRule>
  </conditionalFormatting>
  <conditionalFormatting sqref="Y2532:Z2537">
    <cfRule type="cellIs" dxfId="703" priority="592" operator="equal">
      <formula>"NO APLICA"</formula>
    </cfRule>
    <cfRule type="cellIs" dxfId="702" priority="593" operator="equal">
      <formula>"SI APLICA"</formula>
    </cfRule>
  </conditionalFormatting>
  <conditionalFormatting sqref="AB2532:AB2538">
    <cfRule type="cellIs" dxfId="701" priority="590" operator="equal">
      <formula>"NO APLICA"</formula>
    </cfRule>
    <cfRule type="cellIs" dxfId="700" priority="591" operator="equal">
      <formula>"SI APLICA"</formula>
    </cfRule>
  </conditionalFormatting>
  <conditionalFormatting sqref="X2538">
    <cfRule type="cellIs" dxfId="699" priority="588" operator="equal">
      <formula>"PROPONENTE PLURAL"</formula>
    </cfRule>
    <cfRule type="cellIs" dxfId="698" priority="589" operator="equal">
      <formula>"PROPONENTE INDIVIDUAL"</formula>
    </cfRule>
  </conditionalFormatting>
  <conditionalFormatting sqref="Z2538:AA2538 AA2532:AA2537">
    <cfRule type="cellIs" dxfId="697" priority="586" operator="equal">
      <formula>"NO APLICA"</formula>
    </cfRule>
    <cfRule type="cellIs" dxfId="696" priority="587" operator="equal">
      <formula>"SI APLICA"</formula>
    </cfRule>
  </conditionalFormatting>
  <conditionalFormatting sqref="AB2532:AB2537 Y2532:Z2537">
    <cfRule type="cellIs" dxfId="695" priority="585" operator="equal">
      <formula>""</formula>
    </cfRule>
  </conditionalFormatting>
  <conditionalFormatting sqref="H2538">
    <cfRule type="containsText" dxfId="694" priority="583" stopIfTrue="1" operator="containsText" text="NO CUMPLE">
      <formula>NOT(ISERROR(SEARCH("NO CUMPLE",H2538)))</formula>
    </cfRule>
    <cfRule type="containsText" dxfId="693" priority="584" stopIfTrue="1" operator="containsText" text="CUMPLE">
      <formula>NOT(ISERROR(SEARCH("CUMPLE",H2538)))</formula>
    </cfRule>
  </conditionalFormatting>
  <conditionalFormatting sqref="J2538">
    <cfRule type="containsText" dxfId="692" priority="581" stopIfTrue="1" operator="containsText" text="NO CUMPLE">
      <formula>NOT(ISERROR(SEARCH("NO CUMPLE",J2538)))</formula>
    </cfRule>
    <cfRule type="containsText" dxfId="691" priority="582" stopIfTrue="1" operator="containsText" text="CUMPLE">
      <formula>NOT(ISERROR(SEARCH("CUMPLE",J2538)))</formula>
    </cfRule>
  </conditionalFormatting>
  <conditionalFormatting sqref="K2538">
    <cfRule type="containsText" dxfId="690" priority="579" stopIfTrue="1" operator="containsText" text="NO CUMPLE">
      <formula>NOT(ISERROR(SEARCH("NO CUMPLE",K2538)))</formula>
    </cfRule>
    <cfRule type="containsText" dxfId="689" priority="580" stopIfTrue="1" operator="containsText" text="CUMPLE">
      <formula>NOT(ISERROR(SEARCH("CUMPLE",K2538)))</formula>
    </cfRule>
  </conditionalFormatting>
  <conditionalFormatting sqref="L2532:L2537">
    <cfRule type="containsText" dxfId="688" priority="577" stopIfTrue="1" operator="containsText" text="NO CUMPLE">
      <formula>NOT(ISERROR(SEARCH("NO CUMPLE",L2532)))</formula>
    </cfRule>
    <cfRule type="containsText" dxfId="687" priority="578" stopIfTrue="1" operator="containsText" text="CUMPLE">
      <formula>NOT(ISERROR(SEARCH("CUMPLE",L2532)))</formula>
    </cfRule>
  </conditionalFormatting>
  <conditionalFormatting sqref="O2537">
    <cfRule type="containsText" dxfId="686" priority="575" stopIfTrue="1" operator="containsText" text="NO CUMPLE">
      <formula>NOT(ISERROR(SEARCH("NO CUMPLE",O2537)))</formula>
    </cfRule>
    <cfRule type="containsText" dxfId="685" priority="576" stopIfTrue="1" operator="containsText" text="CUMPLE">
      <formula>NOT(ISERROR(SEARCH("CUMPLE",O2537)))</formula>
    </cfRule>
  </conditionalFormatting>
  <conditionalFormatting sqref="O2538:S2538">
    <cfRule type="cellIs" dxfId="684" priority="574" operator="equal">
      <formula>"EL PROPONENTE SE DEBE REQUERIR POR EXPERIENCIA MINIMA EXIGIDA"</formula>
    </cfRule>
  </conditionalFormatting>
  <conditionalFormatting sqref="X2526">
    <cfRule type="cellIs" dxfId="683" priority="571" stopIfTrue="1" operator="equal">
      <formula>"VERIFICAR"</formula>
    </cfRule>
    <cfRule type="cellIs" dxfId="682" priority="572" stopIfTrue="1" operator="equal">
      <formula>"NO CUMPLE"</formula>
    </cfRule>
    <cfRule type="cellIs" dxfId="681" priority="573" stopIfTrue="1" operator="equal">
      <formula>"CUMPLE"</formula>
    </cfRule>
  </conditionalFormatting>
  <conditionalFormatting sqref="X2515:Y2524 J2515:J2524">
    <cfRule type="cellIs" dxfId="680" priority="570" stopIfTrue="1" operator="greaterThan">
      <formula>0</formula>
    </cfRule>
  </conditionalFormatting>
  <conditionalFormatting sqref="X2515:Y2524">
    <cfRule type="cellIs" dxfId="679" priority="568" operator="equal">
      <formula>"NO CUMPLE"</formula>
    </cfRule>
    <cfRule type="cellIs" dxfId="678" priority="569" operator="equal">
      <formula>"CUMPLE"</formula>
    </cfRule>
  </conditionalFormatting>
  <conditionalFormatting sqref="N2532:N2537">
    <cfRule type="cellIs" dxfId="677" priority="566" operator="equal">
      <formula>"NO"</formula>
    </cfRule>
    <cfRule type="cellIs" dxfId="676" priority="567" operator="equal">
      <formula>"SI"</formula>
    </cfRule>
  </conditionalFormatting>
  <conditionalFormatting sqref="I2524">
    <cfRule type="cellIs" dxfId="675" priority="565" stopIfTrue="1" operator="greaterThan">
      <formula>0</formula>
    </cfRule>
  </conditionalFormatting>
  <conditionalFormatting sqref="K2518:L2524">
    <cfRule type="cellIs" dxfId="674" priority="563" operator="equal">
      <formula>0</formula>
    </cfRule>
    <cfRule type="cellIs" dxfId="673" priority="564" operator="notBetween">
      <formula>$Q$17</formula>
      <formula>$R$17</formula>
    </cfRule>
  </conditionalFormatting>
  <conditionalFormatting sqref="B2515:B2524">
    <cfRule type="cellIs" dxfId="672" priority="562" stopIfTrue="1" operator="greaterThan">
      <formula>0</formula>
    </cfRule>
  </conditionalFormatting>
  <conditionalFormatting sqref="C2515:D2515 D2516:D2517 C2516:C2524">
    <cfRule type="cellIs" dxfId="671" priority="561" stopIfTrue="1" operator="greaterThan">
      <formula>0</formula>
    </cfRule>
  </conditionalFormatting>
  <conditionalFormatting sqref="C2515:D2515 F2515:H2517 D2516:D2517 C2516:C2524">
    <cfRule type="cellIs" dxfId="670" priority="560" stopIfTrue="1" operator="greaterThan">
      <formula>0</formula>
    </cfRule>
  </conditionalFormatting>
  <conditionalFormatting sqref="T2515:V2517">
    <cfRule type="cellIs" dxfId="669" priority="558" stopIfTrue="1" operator="equal">
      <formula>"NO"</formula>
    </cfRule>
    <cfRule type="cellIs" dxfId="668" priority="559" stopIfTrue="1" operator="equal">
      <formula>"SI"</formula>
    </cfRule>
  </conditionalFormatting>
  <conditionalFormatting sqref="T2515:V2516">
    <cfRule type="cellIs" dxfId="667" priority="557" stopIfTrue="1" operator="equal">
      <formula>"NO APLICA"</formula>
    </cfRule>
  </conditionalFormatting>
  <conditionalFormatting sqref="T2517:U2517">
    <cfRule type="cellIs" dxfId="666" priority="556" stopIfTrue="1" operator="equal">
      <formula>"NO APLICA"</formula>
    </cfRule>
  </conditionalFormatting>
  <conditionalFormatting sqref="T2517:U2517">
    <cfRule type="cellIs" dxfId="665" priority="555" stopIfTrue="1" operator="equal">
      <formula>"NO APLICA"</formula>
    </cfRule>
  </conditionalFormatting>
  <conditionalFormatting sqref="V2517">
    <cfRule type="cellIs" dxfId="664" priority="554" stopIfTrue="1" operator="equal">
      <formula>"NO APLICA"</formula>
    </cfRule>
  </conditionalFormatting>
  <conditionalFormatting sqref="K2515:L2517">
    <cfRule type="cellIs" dxfId="663" priority="552" operator="equal">
      <formula>0</formula>
    </cfRule>
    <cfRule type="cellIs" dxfId="662" priority="553" operator="notBetween">
      <formula>$Q$17</formula>
      <formula>$R$17</formula>
    </cfRule>
  </conditionalFormatting>
  <conditionalFormatting sqref="F2548:H2553 D2554:H2554 I2548:I2554 C2545:D2545 K2545:O2554 F2545:I2547 D2546:D2553 C2546:C2554">
    <cfRule type="cellIs" dxfId="661" priority="551" stopIfTrue="1" operator="greaterThan">
      <formula>0</formula>
    </cfRule>
  </conditionalFormatting>
  <conditionalFormatting sqref="D2548:D2553">
    <cfRule type="cellIs" dxfId="660" priority="550" stopIfTrue="1" operator="greaterThan">
      <formula>0</formula>
    </cfRule>
  </conditionalFormatting>
  <conditionalFormatting sqref="D2548:D2553 F2548:H2553">
    <cfRule type="cellIs" dxfId="659" priority="549" stopIfTrue="1" operator="greaterThan">
      <formula>0</formula>
    </cfRule>
  </conditionalFormatting>
  <conditionalFormatting sqref="H2545:H2553">
    <cfRule type="cellIs" dxfId="658" priority="548" stopIfTrue="1" operator="greaterThan">
      <formula>0</formula>
    </cfRule>
  </conditionalFormatting>
  <conditionalFormatting sqref="E2545:E2553">
    <cfRule type="cellIs" dxfId="657" priority="547" stopIfTrue="1" operator="greaterThan">
      <formula>0</formula>
    </cfRule>
  </conditionalFormatting>
  <conditionalFormatting sqref="M2562:M2567 K2562:K2567">
    <cfRule type="containsText" dxfId="656" priority="545" stopIfTrue="1" operator="containsText" text="NO CUMPLE">
      <formula>NOT(ISERROR(SEARCH("NO CUMPLE",K2562)))</formula>
    </cfRule>
    <cfRule type="containsText" dxfId="655" priority="546" stopIfTrue="1" operator="containsText" text="CUMPLE">
      <formula>NOT(ISERROR(SEARCH("CUMPLE",K2562)))</formula>
    </cfRule>
  </conditionalFormatting>
  <conditionalFormatting sqref="S2561">
    <cfRule type="cellIs" dxfId="654" priority="543" operator="greaterThanOrEqual">
      <formula>NUMMINCONT</formula>
    </cfRule>
    <cfRule type="cellIs" dxfId="653" priority="544" operator="lessThan">
      <formula>NUMMINCONT</formula>
    </cfRule>
  </conditionalFormatting>
  <conditionalFormatting sqref="T2548:V2553">
    <cfRule type="cellIs" dxfId="652" priority="541" stopIfTrue="1" operator="equal">
      <formula>"NO"</formula>
    </cfRule>
    <cfRule type="cellIs" dxfId="651" priority="542" stopIfTrue="1" operator="equal">
      <formula>"SI"</formula>
    </cfRule>
  </conditionalFormatting>
  <conditionalFormatting sqref="T2548:V2549">
    <cfRule type="cellIs" dxfId="650" priority="540" stopIfTrue="1" operator="equal">
      <formula>"NO APLICA"</formula>
    </cfRule>
  </conditionalFormatting>
  <conditionalFormatting sqref="T2550:U2553">
    <cfRule type="cellIs" dxfId="649" priority="539" stopIfTrue="1" operator="equal">
      <formula>"NO APLICA"</formula>
    </cfRule>
  </conditionalFormatting>
  <conditionalFormatting sqref="T2550:U2550">
    <cfRule type="cellIs" dxfId="648" priority="538" stopIfTrue="1" operator="equal">
      <formula>"NO APLICA"</formula>
    </cfRule>
  </conditionalFormatting>
  <conditionalFormatting sqref="V2550:V2553">
    <cfRule type="cellIs" dxfId="647" priority="537" stopIfTrue="1" operator="equal">
      <formula>"NO APLICA"</formula>
    </cfRule>
  </conditionalFormatting>
  <conditionalFormatting sqref="V2559:W2559">
    <cfRule type="cellIs" dxfId="646" priority="535" operator="equal">
      <formula>"CUMPLE"</formula>
    </cfRule>
    <cfRule type="cellIs" dxfId="645" priority="536" operator="equal">
      <formula>"NO CUMPLE"</formula>
    </cfRule>
  </conditionalFormatting>
  <conditionalFormatting sqref="V2559:W2561">
    <cfRule type="cellIs" dxfId="644" priority="534" operator="equal">
      <formula>"VERIFICAR"</formula>
    </cfRule>
  </conditionalFormatting>
  <conditionalFormatting sqref="T2554:V2554">
    <cfRule type="cellIs" dxfId="643" priority="532" stopIfTrue="1" operator="equal">
      <formula>"NO"</formula>
    </cfRule>
    <cfRule type="cellIs" dxfId="642" priority="533" stopIfTrue="1" operator="equal">
      <formula>"SI"</formula>
    </cfRule>
  </conditionalFormatting>
  <conditionalFormatting sqref="T2554:U2554">
    <cfRule type="cellIs" dxfId="641" priority="531" stopIfTrue="1" operator="equal">
      <formula>"NO APLICA"</formula>
    </cfRule>
  </conditionalFormatting>
  <conditionalFormatting sqref="V2554">
    <cfRule type="cellIs" dxfId="640" priority="530" stopIfTrue="1" operator="equal">
      <formula>"NO APLICA"</formula>
    </cfRule>
  </conditionalFormatting>
  <conditionalFormatting sqref="T2564">
    <cfRule type="cellIs" dxfId="639" priority="528" operator="equal">
      <formula>"CUMPLE"</formula>
    </cfRule>
    <cfRule type="cellIs" dxfId="638" priority="529" operator="equal">
      <formula>"NO CUMPLE"</formula>
    </cfRule>
  </conditionalFormatting>
  <conditionalFormatting sqref="T2564">
    <cfRule type="cellIs" dxfId="637" priority="527" operator="equal">
      <formula>"VERIFICAR"</formula>
    </cfRule>
  </conditionalFormatting>
  <conditionalFormatting sqref="Y2562:Y2567">
    <cfRule type="cellIs" dxfId="636" priority="526" stopIfTrue="1" operator="equal">
      <formula>"NO APLICA"</formula>
    </cfRule>
  </conditionalFormatting>
  <conditionalFormatting sqref="Y2567">
    <cfRule type="cellIs" dxfId="635" priority="525" stopIfTrue="1" operator="equal">
      <formula>"NO APLICA"</formula>
    </cfRule>
  </conditionalFormatting>
  <conditionalFormatting sqref="X2562:Y2567">
    <cfRule type="cellIs" dxfId="634" priority="523" stopIfTrue="1" operator="equal">
      <formula>"NO"</formula>
    </cfRule>
    <cfRule type="cellIs" dxfId="633" priority="524" stopIfTrue="1" operator="equal">
      <formula>"SI"</formula>
    </cfRule>
  </conditionalFormatting>
  <conditionalFormatting sqref="X2562:X2567">
    <cfRule type="cellIs" dxfId="632" priority="522" stopIfTrue="1" operator="equal">
      <formula>"NO APLICA"</formula>
    </cfRule>
  </conditionalFormatting>
  <conditionalFormatting sqref="X2563:X2566">
    <cfRule type="cellIs" dxfId="631" priority="521" stopIfTrue="1" operator="equal">
      <formula>"NO APLICA"</formula>
    </cfRule>
  </conditionalFormatting>
  <conditionalFormatting sqref="X2563">
    <cfRule type="cellIs" dxfId="630" priority="520" stopIfTrue="1" operator="equal">
      <formula>"NO APLICA"</formula>
    </cfRule>
  </conditionalFormatting>
  <conditionalFormatting sqref="X2567">
    <cfRule type="cellIs" dxfId="629" priority="519" stopIfTrue="1" operator="equal">
      <formula>"NO APLICA"</formula>
    </cfRule>
  </conditionalFormatting>
  <conditionalFormatting sqref="X2567">
    <cfRule type="cellIs" dxfId="628" priority="518" stopIfTrue="1" operator="equal">
      <formula>"NO APLICA"</formula>
    </cfRule>
  </conditionalFormatting>
  <conditionalFormatting sqref="AA2562:AA2567">
    <cfRule type="cellIs" dxfId="627" priority="517" stopIfTrue="1" operator="equal">
      <formula>"NO APLICA"</formula>
    </cfRule>
  </conditionalFormatting>
  <conditionalFormatting sqref="AA2567">
    <cfRule type="cellIs" dxfId="626" priority="516" stopIfTrue="1" operator="equal">
      <formula>"NO APLICA"</formula>
    </cfRule>
  </conditionalFormatting>
  <conditionalFormatting sqref="AA2562:AA2567">
    <cfRule type="cellIs" dxfId="625" priority="514" stopIfTrue="1" operator="equal">
      <formula>"NO"</formula>
    </cfRule>
    <cfRule type="cellIs" dxfId="624" priority="515" stopIfTrue="1" operator="equal">
      <formula>"SI"</formula>
    </cfRule>
  </conditionalFormatting>
  <conditionalFormatting sqref="Y2562:Z2567">
    <cfRule type="cellIs" dxfId="623" priority="512" operator="equal">
      <formula>"NO APLICA"</formula>
    </cfRule>
    <cfRule type="cellIs" dxfId="622" priority="513" operator="equal">
      <formula>"SI APLICA"</formula>
    </cfRule>
  </conditionalFormatting>
  <conditionalFormatting sqref="AB2562:AB2568">
    <cfRule type="cellIs" dxfId="621" priority="510" operator="equal">
      <formula>"NO APLICA"</formula>
    </cfRule>
    <cfRule type="cellIs" dxfId="620" priority="511" operator="equal">
      <formula>"SI APLICA"</formula>
    </cfRule>
  </conditionalFormatting>
  <conditionalFormatting sqref="X2568">
    <cfRule type="cellIs" dxfId="619" priority="508" operator="equal">
      <formula>"PROPONENTE PLURAL"</formula>
    </cfRule>
    <cfRule type="cellIs" dxfId="618" priority="509" operator="equal">
      <formula>"PROPONENTE INDIVIDUAL"</formula>
    </cfRule>
  </conditionalFormatting>
  <conditionalFormatting sqref="Z2568:AA2568 AA2562:AA2567">
    <cfRule type="cellIs" dxfId="617" priority="506" operator="equal">
      <formula>"NO APLICA"</formula>
    </cfRule>
    <cfRule type="cellIs" dxfId="616" priority="507" operator="equal">
      <formula>"SI APLICA"</formula>
    </cfRule>
  </conditionalFormatting>
  <conditionalFormatting sqref="AB2562:AB2567 Y2562:Z2567">
    <cfRule type="cellIs" dxfId="615" priority="505" operator="equal">
      <formula>""</formula>
    </cfRule>
  </conditionalFormatting>
  <conditionalFormatting sqref="H2568">
    <cfRule type="containsText" dxfId="614" priority="503" stopIfTrue="1" operator="containsText" text="NO CUMPLE">
      <formula>NOT(ISERROR(SEARCH("NO CUMPLE",H2568)))</formula>
    </cfRule>
    <cfRule type="containsText" dxfId="613" priority="504" stopIfTrue="1" operator="containsText" text="CUMPLE">
      <formula>NOT(ISERROR(SEARCH("CUMPLE",H2568)))</formula>
    </cfRule>
  </conditionalFormatting>
  <conditionalFormatting sqref="J2568">
    <cfRule type="containsText" dxfId="612" priority="501" stopIfTrue="1" operator="containsText" text="NO CUMPLE">
      <formula>NOT(ISERROR(SEARCH("NO CUMPLE",J2568)))</formula>
    </cfRule>
    <cfRule type="containsText" dxfId="611" priority="502" stopIfTrue="1" operator="containsText" text="CUMPLE">
      <formula>NOT(ISERROR(SEARCH("CUMPLE",J2568)))</formula>
    </cfRule>
  </conditionalFormatting>
  <conditionalFormatting sqref="K2568">
    <cfRule type="containsText" dxfId="610" priority="499" stopIfTrue="1" operator="containsText" text="NO CUMPLE">
      <formula>NOT(ISERROR(SEARCH("NO CUMPLE",K2568)))</formula>
    </cfRule>
    <cfRule type="containsText" dxfId="609" priority="500" stopIfTrue="1" operator="containsText" text="CUMPLE">
      <formula>NOT(ISERROR(SEARCH("CUMPLE",K2568)))</formula>
    </cfRule>
  </conditionalFormatting>
  <conditionalFormatting sqref="L2562:L2567">
    <cfRule type="containsText" dxfId="608" priority="497" stopIfTrue="1" operator="containsText" text="NO CUMPLE">
      <formula>NOT(ISERROR(SEARCH("NO CUMPLE",L2562)))</formula>
    </cfRule>
    <cfRule type="containsText" dxfId="607" priority="498" stopIfTrue="1" operator="containsText" text="CUMPLE">
      <formula>NOT(ISERROR(SEARCH("CUMPLE",L2562)))</formula>
    </cfRule>
  </conditionalFormatting>
  <conditionalFormatting sqref="O2567">
    <cfRule type="containsText" dxfId="606" priority="495" stopIfTrue="1" operator="containsText" text="NO CUMPLE">
      <formula>NOT(ISERROR(SEARCH("NO CUMPLE",O2567)))</formula>
    </cfRule>
    <cfRule type="containsText" dxfId="605" priority="496" stopIfTrue="1" operator="containsText" text="CUMPLE">
      <formula>NOT(ISERROR(SEARCH("CUMPLE",O2567)))</formula>
    </cfRule>
  </conditionalFormatting>
  <conditionalFormatting sqref="O2568:S2568">
    <cfRule type="cellIs" dxfId="604" priority="494" operator="equal">
      <formula>"EL PROPONENTE SE DEBE REQUERIR POR EXPERIENCIA MINIMA EXIGIDA"</formula>
    </cfRule>
  </conditionalFormatting>
  <conditionalFormatting sqref="X2556">
    <cfRule type="cellIs" dxfId="603" priority="491" stopIfTrue="1" operator="equal">
      <formula>"VERIFICAR"</formula>
    </cfRule>
    <cfRule type="cellIs" dxfId="602" priority="492" stopIfTrue="1" operator="equal">
      <formula>"NO CUMPLE"</formula>
    </cfRule>
    <cfRule type="cellIs" dxfId="601" priority="493" stopIfTrue="1" operator="equal">
      <formula>"CUMPLE"</formula>
    </cfRule>
  </conditionalFormatting>
  <conditionalFormatting sqref="X2545:Y2554 J2545:J2554">
    <cfRule type="cellIs" dxfId="600" priority="490" stopIfTrue="1" operator="greaterThan">
      <formula>0</formula>
    </cfRule>
  </conditionalFormatting>
  <conditionalFormatting sqref="X2545:Y2554">
    <cfRule type="cellIs" dxfId="599" priority="488" operator="equal">
      <formula>"NO CUMPLE"</formula>
    </cfRule>
    <cfRule type="cellIs" dxfId="598" priority="489" operator="equal">
      <formula>"CUMPLE"</formula>
    </cfRule>
  </conditionalFormatting>
  <conditionalFormatting sqref="N2562:N2567">
    <cfRule type="cellIs" dxfId="597" priority="486" operator="equal">
      <formula>"NO"</formula>
    </cfRule>
    <cfRule type="cellIs" dxfId="596" priority="487" operator="equal">
      <formula>"SI"</formula>
    </cfRule>
  </conditionalFormatting>
  <conditionalFormatting sqref="I2554">
    <cfRule type="cellIs" dxfId="595" priority="485" stopIfTrue="1" operator="greaterThan">
      <formula>0</formula>
    </cfRule>
  </conditionalFormatting>
  <conditionalFormatting sqref="K2548:L2554">
    <cfRule type="cellIs" dxfId="594" priority="483" operator="equal">
      <formula>0</formula>
    </cfRule>
    <cfRule type="cellIs" dxfId="593" priority="484" operator="notBetween">
      <formula>$Q$17</formula>
      <formula>$R$17</formula>
    </cfRule>
  </conditionalFormatting>
  <conditionalFormatting sqref="B2545:B2554">
    <cfRule type="cellIs" dxfId="592" priority="482" stopIfTrue="1" operator="greaterThan">
      <formula>0</formula>
    </cfRule>
  </conditionalFormatting>
  <conditionalFormatting sqref="C2545:D2545 D2546:D2547 C2546:C2554">
    <cfRule type="cellIs" dxfId="591" priority="481" stopIfTrue="1" operator="greaterThan">
      <formula>0</formula>
    </cfRule>
  </conditionalFormatting>
  <conditionalFormatting sqref="C2545:D2545 F2545:H2547 D2546:D2547 C2546:C2554">
    <cfRule type="cellIs" dxfId="590" priority="480" stopIfTrue="1" operator="greaterThan">
      <formula>0</formula>
    </cfRule>
  </conditionalFormatting>
  <conditionalFormatting sqref="T2545:V2547">
    <cfRule type="cellIs" dxfId="589" priority="478" stopIfTrue="1" operator="equal">
      <formula>"NO"</formula>
    </cfRule>
    <cfRule type="cellIs" dxfId="588" priority="479" stopIfTrue="1" operator="equal">
      <formula>"SI"</formula>
    </cfRule>
  </conditionalFormatting>
  <conditionalFormatting sqref="T2545:V2546">
    <cfRule type="cellIs" dxfId="587" priority="477" stopIfTrue="1" operator="equal">
      <formula>"NO APLICA"</formula>
    </cfRule>
  </conditionalFormatting>
  <conditionalFormatting sqref="T2547:U2547">
    <cfRule type="cellIs" dxfId="586" priority="476" stopIfTrue="1" operator="equal">
      <formula>"NO APLICA"</formula>
    </cfRule>
  </conditionalFormatting>
  <conditionalFormatting sqref="T2547:U2547">
    <cfRule type="cellIs" dxfId="585" priority="475" stopIfTrue="1" operator="equal">
      <formula>"NO APLICA"</formula>
    </cfRule>
  </conditionalFormatting>
  <conditionalFormatting sqref="V2547">
    <cfRule type="cellIs" dxfId="584" priority="474" stopIfTrue="1" operator="equal">
      <formula>"NO APLICA"</formula>
    </cfRule>
  </conditionalFormatting>
  <conditionalFormatting sqref="K2545:L2547">
    <cfRule type="cellIs" dxfId="583" priority="472" operator="equal">
      <formula>0</formula>
    </cfRule>
    <cfRule type="cellIs" dxfId="582" priority="473" operator="notBetween">
      <formula>$Q$17</formula>
      <formula>$R$17</formula>
    </cfRule>
  </conditionalFormatting>
  <conditionalFormatting sqref="F2578:H2583 D2584:H2584 I2578:I2584 C2575:D2575 K2575:O2584 F2575:I2577 D2576:D2583 C2576:C2584">
    <cfRule type="cellIs" dxfId="581" priority="471" stopIfTrue="1" operator="greaterThan">
      <formula>0</formula>
    </cfRule>
  </conditionalFormatting>
  <conditionalFormatting sqref="D2578:D2583">
    <cfRule type="cellIs" dxfId="580" priority="470" stopIfTrue="1" operator="greaterThan">
      <formula>0</formula>
    </cfRule>
  </conditionalFormatting>
  <conditionalFormatting sqref="D2578:D2583 F2578:H2583">
    <cfRule type="cellIs" dxfId="579" priority="469" stopIfTrue="1" operator="greaterThan">
      <formula>0</formula>
    </cfRule>
  </conditionalFormatting>
  <conditionalFormatting sqref="H2575:H2583">
    <cfRule type="cellIs" dxfId="578" priority="468" stopIfTrue="1" operator="greaterThan">
      <formula>0</formula>
    </cfRule>
  </conditionalFormatting>
  <conditionalFormatting sqref="E2575:E2583">
    <cfRule type="cellIs" dxfId="577" priority="467" stopIfTrue="1" operator="greaterThan">
      <formula>0</formula>
    </cfRule>
  </conditionalFormatting>
  <conditionalFormatting sqref="M2592:M2597 K2592:K2597">
    <cfRule type="containsText" dxfId="576" priority="465" stopIfTrue="1" operator="containsText" text="NO CUMPLE">
      <formula>NOT(ISERROR(SEARCH("NO CUMPLE",K2592)))</formula>
    </cfRule>
    <cfRule type="containsText" dxfId="575" priority="466" stopIfTrue="1" operator="containsText" text="CUMPLE">
      <formula>NOT(ISERROR(SEARCH("CUMPLE",K2592)))</formula>
    </cfRule>
  </conditionalFormatting>
  <conditionalFormatting sqref="S2591">
    <cfRule type="cellIs" dxfId="574" priority="463" operator="greaterThanOrEqual">
      <formula>NUMMINCONT</formula>
    </cfRule>
    <cfRule type="cellIs" dxfId="573" priority="464" operator="lessThan">
      <formula>NUMMINCONT</formula>
    </cfRule>
  </conditionalFormatting>
  <conditionalFormatting sqref="T2578:V2583">
    <cfRule type="cellIs" dxfId="572" priority="461" stopIfTrue="1" operator="equal">
      <formula>"NO"</formula>
    </cfRule>
    <cfRule type="cellIs" dxfId="571" priority="462" stopIfTrue="1" operator="equal">
      <formula>"SI"</formula>
    </cfRule>
  </conditionalFormatting>
  <conditionalFormatting sqref="T2578:V2579">
    <cfRule type="cellIs" dxfId="570" priority="460" stopIfTrue="1" operator="equal">
      <formula>"NO APLICA"</formula>
    </cfRule>
  </conditionalFormatting>
  <conditionalFormatting sqref="T2580:U2583">
    <cfRule type="cellIs" dxfId="569" priority="459" stopIfTrue="1" operator="equal">
      <formula>"NO APLICA"</formula>
    </cfRule>
  </conditionalFormatting>
  <conditionalFormatting sqref="T2580:U2580">
    <cfRule type="cellIs" dxfId="568" priority="458" stopIfTrue="1" operator="equal">
      <formula>"NO APLICA"</formula>
    </cfRule>
  </conditionalFormatting>
  <conditionalFormatting sqref="V2580:V2583">
    <cfRule type="cellIs" dxfId="567" priority="457" stopIfTrue="1" operator="equal">
      <formula>"NO APLICA"</formula>
    </cfRule>
  </conditionalFormatting>
  <conditionalFormatting sqref="V2589:W2589">
    <cfRule type="cellIs" dxfId="566" priority="455" operator="equal">
      <formula>"CUMPLE"</formula>
    </cfRule>
    <cfRule type="cellIs" dxfId="565" priority="456" operator="equal">
      <formula>"NO CUMPLE"</formula>
    </cfRule>
  </conditionalFormatting>
  <conditionalFormatting sqref="V2589:W2591">
    <cfRule type="cellIs" dxfId="564" priority="454" operator="equal">
      <formula>"VERIFICAR"</formula>
    </cfRule>
  </conditionalFormatting>
  <conditionalFormatting sqref="T2584:V2584">
    <cfRule type="cellIs" dxfId="563" priority="452" stopIfTrue="1" operator="equal">
      <formula>"NO"</formula>
    </cfRule>
    <cfRule type="cellIs" dxfId="562" priority="453" stopIfTrue="1" operator="equal">
      <formula>"SI"</formula>
    </cfRule>
  </conditionalFormatting>
  <conditionalFormatting sqref="T2584:U2584">
    <cfRule type="cellIs" dxfId="561" priority="451" stopIfTrue="1" operator="equal">
      <formula>"NO APLICA"</formula>
    </cfRule>
  </conditionalFormatting>
  <conditionalFormatting sqref="V2584">
    <cfRule type="cellIs" dxfId="560" priority="450" stopIfTrue="1" operator="equal">
      <formula>"NO APLICA"</formula>
    </cfRule>
  </conditionalFormatting>
  <conditionalFormatting sqref="T2594">
    <cfRule type="cellIs" dxfId="559" priority="448" operator="equal">
      <formula>"CUMPLE"</formula>
    </cfRule>
    <cfRule type="cellIs" dxfId="558" priority="449" operator="equal">
      <formula>"NO CUMPLE"</formula>
    </cfRule>
  </conditionalFormatting>
  <conditionalFormatting sqref="T2594">
    <cfRule type="cellIs" dxfId="557" priority="447" operator="equal">
      <formula>"VERIFICAR"</formula>
    </cfRule>
  </conditionalFormatting>
  <conditionalFormatting sqref="Y2592:Y2597">
    <cfRule type="cellIs" dxfId="556" priority="446" stopIfTrue="1" operator="equal">
      <formula>"NO APLICA"</formula>
    </cfRule>
  </conditionalFormatting>
  <conditionalFormatting sqref="Y2597">
    <cfRule type="cellIs" dxfId="555" priority="445" stopIfTrue="1" operator="equal">
      <formula>"NO APLICA"</formula>
    </cfRule>
  </conditionalFormatting>
  <conditionalFormatting sqref="X2592:Y2597">
    <cfRule type="cellIs" dxfId="554" priority="443" stopIfTrue="1" operator="equal">
      <formula>"NO"</formula>
    </cfRule>
    <cfRule type="cellIs" dxfId="553" priority="444" stopIfTrue="1" operator="equal">
      <formula>"SI"</formula>
    </cfRule>
  </conditionalFormatting>
  <conditionalFormatting sqref="X2592:X2597">
    <cfRule type="cellIs" dxfId="552" priority="442" stopIfTrue="1" operator="equal">
      <formula>"NO APLICA"</formula>
    </cfRule>
  </conditionalFormatting>
  <conditionalFormatting sqref="X2593:X2596">
    <cfRule type="cellIs" dxfId="551" priority="441" stopIfTrue="1" operator="equal">
      <formula>"NO APLICA"</formula>
    </cfRule>
  </conditionalFormatting>
  <conditionalFormatting sqref="X2593">
    <cfRule type="cellIs" dxfId="550" priority="440" stopIfTrue="1" operator="equal">
      <formula>"NO APLICA"</formula>
    </cfRule>
  </conditionalFormatting>
  <conditionalFormatting sqref="X2597">
    <cfRule type="cellIs" dxfId="549" priority="439" stopIfTrue="1" operator="equal">
      <formula>"NO APLICA"</formula>
    </cfRule>
  </conditionalFormatting>
  <conditionalFormatting sqref="X2597">
    <cfRule type="cellIs" dxfId="548" priority="438" stopIfTrue="1" operator="equal">
      <formula>"NO APLICA"</formula>
    </cfRule>
  </conditionalFormatting>
  <conditionalFormatting sqref="AA2592:AA2597">
    <cfRule type="cellIs" dxfId="547" priority="437" stopIfTrue="1" operator="equal">
      <formula>"NO APLICA"</formula>
    </cfRule>
  </conditionalFormatting>
  <conditionalFormatting sqref="AA2597">
    <cfRule type="cellIs" dxfId="546" priority="436" stopIfTrue="1" operator="equal">
      <formula>"NO APLICA"</formula>
    </cfRule>
  </conditionalFormatting>
  <conditionalFormatting sqref="AA2592:AA2597">
    <cfRule type="cellIs" dxfId="545" priority="434" stopIfTrue="1" operator="equal">
      <formula>"NO"</formula>
    </cfRule>
    <cfRule type="cellIs" dxfId="544" priority="435" stopIfTrue="1" operator="equal">
      <formula>"SI"</formula>
    </cfRule>
  </conditionalFormatting>
  <conditionalFormatting sqref="Y2592:Z2597">
    <cfRule type="cellIs" dxfId="543" priority="432" operator="equal">
      <formula>"NO APLICA"</formula>
    </cfRule>
    <cfRule type="cellIs" dxfId="542" priority="433" operator="equal">
      <formula>"SI APLICA"</formula>
    </cfRule>
  </conditionalFormatting>
  <conditionalFormatting sqref="AB2592:AB2598">
    <cfRule type="cellIs" dxfId="541" priority="430" operator="equal">
      <formula>"NO APLICA"</formula>
    </cfRule>
    <cfRule type="cellIs" dxfId="540" priority="431" operator="equal">
      <formula>"SI APLICA"</formula>
    </cfRule>
  </conditionalFormatting>
  <conditionalFormatting sqref="X2598">
    <cfRule type="cellIs" dxfId="539" priority="428" operator="equal">
      <formula>"PROPONENTE PLURAL"</formula>
    </cfRule>
    <cfRule type="cellIs" dxfId="538" priority="429" operator="equal">
      <formula>"PROPONENTE INDIVIDUAL"</formula>
    </cfRule>
  </conditionalFormatting>
  <conditionalFormatting sqref="Z2598:AA2598 AA2592:AA2597">
    <cfRule type="cellIs" dxfId="537" priority="426" operator="equal">
      <formula>"NO APLICA"</formula>
    </cfRule>
    <cfRule type="cellIs" dxfId="536" priority="427" operator="equal">
      <formula>"SI APLICA"</formula>
    </cfRule>
  </conditionalFormatting>
  <conditionalFormatting sqref="AB2592:AB2597 Y2592:Z2597">
    <cfRule type="cellIs" dxfId="535" priority="425" operator="equal">
      <formula>""</formula>
    </cfRule>
  </conditionalFormatting>
  <conditionalFormatting sqref="H2598">
    <cfRule type="containsText" dxfId="534" priority="423" stopIfTrue="1" operator="containsText" text="NO CUMPLE">
      <formula>NOT(ISERROR(SEARCH("NO CUMPLE",H2598)))</formula>
    </cfRule>
    <cfRule type="containsText" dxfId="533" priority="424" stopIfTrue="1" operator="containsText" text="CUMPLE">
      <formula>NOT(ISERROR(SEARCH("CUMPLE",H2598)))</formula>
    </cfRule>
  </conditionalFormatting>
  <conditionalFormatting sqref="J2598">
    <cfRule type="containsText" dxfId="532" priority="421" stopIfTrue="1" operator="containsText" text="NO CUMPLE">
      <formula>NOT(ISERROR(SEARCH("NO CUMPLE",J2598)))</formula>
    </cfRule>
    <cfRule type="containsText" dxfId="531" priority="422" stopIfTrue="1" operator="containsText" text="CUMPLE">
      <formula>NOT(ISERROR(SEARCH("CUMPLE",J2598)))</formula>
    </cfRule>
  </conditionalFormatting>
  <conditionalFormatting sqref="K2598">
    <cfRule type="containsText" dxfId="530" priority="419" stopIfTrue="1" operator="containsText" text="NO CUMPLE">
      <formula>NOT(ISERROR(SEARCH("NO CUMPLE",K2598)))</formula>
    </cfRule>
    <cfRule type="containsText" dxfId="529" priority="420" stopIfTrue="1" operator="containsText" text="CUMPLE">
      <formula>NOT(ISERROR(SEARCH("CUMPLE",K2598)))</formula>
    </cfRule>
  </conditionalFormatting>
  <conditionalFormatting sqref="L2592:L2597">
    <cfRule type="containsText" dxfId="528" priority="417" stopIfTrue="1" operator="containsText" text="NO CUMPLE">
      <formula>NOT(ISERROR(SEARCH("NO CUMPLE",L2592)))</formula>
    </cfRule>
    <cfRule type="containsText" dxfId="527" priority="418" stopIfTrue="1" operator="containsText" text="CUMPLE">
      <formula>NOT(ISERROR(SEARCH("CUMPLE",L2592)))</formula>
    </cfRule>
  </conditionalFormatting>
  <conditionalFormatting sqref="O2597">
    <cfRule type="containsText" dxfId="526" priority="415" stopIfTrue="1" operator="containsText" text="NO CUMPLE">
      <formula>NOT(ISERROR(SEARCH("NO CUMPLE",O2597)))</formula>
    </cfRule>
    <cfRule type="containsText" dxfId="525" priority="416" stopIfTrue="1" operator="containsText" text="CUMPLE">
      <formula>NOT(ISERROR(SEARCH("CUMPLE",O2597)))</formula>
    </cfRule>
  </conditionalFormatting>
  <conditionalFormatting sqref="O2598:S2598">
    <cfRule type="cellIs" dxfId="524" priority="414" operator="equal">
      <formula>"EL PROPONENTE SE DEBE REQUERIR POR EXPERIENCIA MINIMA EXIGIDA"</formula>
    </cfRule>
  </conditionalFormatting>
  <conditionalFormatting sqref="X2586">
    <cfRule type="cellIs" dxfId="523" priority="411" stopIfTrue="1" operator="equal">
      <formula>"VERIFICAR"</formula>
    </cfRule>
    <cfRule type="cellIs" dxfId="522" priority="412" stopIfTrue="1" operator="equal">
      <formula>"NO CUMPLE"</formula>
    </cfRule>
    <cfRule type="cellIs" dxfId="521" priority="413" stopIfTrue="1" operator="equal">
      <formula>"CUMPLE"</formula>
    </cfRule>
  </conditionalFormatting>
  <conditionalFormatting sqref="X2575:Y2584 J2575:J2584">
    <cfRule type="cellIs" dxfId="520" priority="410" stopIfTrue="1" operator="greaterThan">
      <formula>0</formula>
    </cfRule>
  </conditionalFormatting>
  <conditionalFormatting sqref="X2575:Y2584">
    <cfRule type="cellIs" dxfId="519" priority="408" operator="equal">
      <formula>"NO CUMPLE"</formula>
    </cfRule>
    <cfRule type="cellIs" dxfId="518" priority="409" operator="equal">
      <formula>"CUMPLE"</formula>
    </cfRule>
  </conditionalFormatting>
  <conditionalFormatting sqref="N2592:N2597">
    <cfRule type="cellIs" dxfId="517" priority="406" operator="equal">
      <formula>"NO"</formula>
    </cfRule>
    <cfRule type="cellIs" dxfId="516" priority="407" operator="equal">
      <formula>"SI"</formula>
    </cfRule>
  </conditionalFormatting>
  <conditionalFormatting sqref="I2584">
    <cfRule type="cellIs" dxfId="515" priority="405" stopIfTrue="1" operator="greaterThan">
      <formula>0</formula>
    </cfRule>
  </conditionalFormatting>
  <conditionalFormatting sqref="K2578:L2584">
    <cfRule type="cellIs" dxfId="514" priority="403" operator="equal">
      <formula>0</formula>
    </cfRule>
    <cfRule type="cellIs" dxfId="513" priority="404" operator="notBetween">
      <formula>$Q$17</formula>
      <formula>$R$17</formula>
    </cfRule>
  </conditionalFormatting>
  <conditionalFormatting sqref="B2575:B2584">
    <cfRule type="cellIs" dxfId="512" priority="402" stopIfTrue="1" operator="greaterThan">
      <formula>0</formula>
    </cfRule>
  </conditionalFormatting>
  <conditionalFormatting sqref="C2575:D2575 D2576:D2577 C2576:C2584">
    <cfRule type="cellIs" dxfId="511" priority="401" stopIfTrue="1" operator="greaterThan">
      <formula>0</formula>
    </cfRule>
  </conditionalFormatting>
  <conditionalFormatting sqref="C2575:D2575 F2575:H2577 D2576:D2577 C2576:C2584">
    <cfRule type="cellIs" dxfId="510" priority="400" stopIfTrue="1" operator="greaterThan">
      <formula>0</formula>
    </cfRule>
  </conditionalFormatting>
  <conditionalFormatting sqref="T2575:V2577">
    <cfRule type="cellIs" dxfId="509" priority="398" stopIfTrue="1" operator="equal">
      <formula>"NO"</formula>
    </cfRule>
    <cfRule type="cellIs" dxfId="508" priority="399" stopIfTrue="1" operator="equal">
      <formula>"SI"</formula>
    </cfRule>
  </conditionalFormatting>
  <conditionalFormatting sqref="T2575:V2576">
    <cfRule type="cellIs" dxfId="507" priority="397" stopIfTrue="1" operator="equal">
      <formula>"NO APLICA"</formula>
    </cfRule>
  </conditionalFormatting>
  <conditionalFormatting sqref="T2577:U2577">
    <cfRule type="cellIs" dxfId="506" priority="396" stopIfTrue="1" operator="equal">
      <formula>"NO APLICA"</formula>
    </cfRule>
  </conditionalFormatting>
  <conditionalFormatting sqref="T2577:U2577">
    <cfRule type="cellIs" dxfId="505" priority="395" stopIfTrue="1" operator="equal">
      <formula>"NO APLICA"</formula>
    </cfRule>
  </conditionalFormatting>
  <conditionalFormatting sqref="V2577">
    <cfRule type="cellIs" dxfId="504" priority="394" stopIfTrue="1" operator="equal">
      <formula>"NO APLICA"</formula>
    </cfRule>
  </conditionalFormatting>
  <conditionalFormatting sqref="K2575:L2577">
    <cfRule type="cellIs" dxfId="503" priority="392" operator="equal">
      <formula>0</formula>
    </cfRule>
    <cfRule type="cellIs" dxfId="502" priority="393" operator="notBetween">
      <formula>$Q$17</formula>
      <formula>$R$17</formula>
    </cfRule>
  </conditionalFormatting>
  <conditionalFormatting sqref="F2608:H2613 D2614:H2614 I2608:I2614 C2605:D2605 K2605:O2614 F2605:I2607 D2606:D2613 C2606:C2614">
    <cfRule type="cellIs" dxfId="501" priority="391" stopIfTrue="1" operator="greaterThan">
      <formula>0</formula>
    </cfRule>
  </conditionalFormatting>
  <conditionalFormatting sqref="D2608:D2613">
    <cfRule type="cellIs" dxfId="500" priority="390" stopIfTrue="1" operator="greaterThan">
      <formula>0</formula>
    </cfRule>
  </conditionalFormatting>
  <conditionalFormatting sqref="D2608:D2613 F2608:H2613">
    <cfRule type="cellIs" dxfId="499" priority="389" stopIfTrue="1" operator="greaterThan">
      <formula>0</formula>
    </cfRule>
  </conditionalFormatting>
  <conditionalFormatting sqref="H2605:H2613">
    <cfRule type="cellIs" dxfId="498" priority="388" stopIfTrue="1" operator="greaterThan">
      <formula>0</formula>
    </cfRule>
  </conditionalFormatting>
  <conditionalFormatting sqref="E2605:E2613">
    <cfRule type="cellIs" dxfId="497" priority="387" stopIfTrue="1" operator="greaterThan">
      <formula>0</formula>
    </cfRule>
  </conditionalFormatting>
  <conditionalFormatting sqref="M2622:M2627 K2622:K2627">
    <cfRule type="containsText" dxfId="496" priority="385" stopIfTrue="1" operator="containsText" text="NO CUMPLE">
      <formula>NOT(ISERROR(SEARCH("NO CUMPLE",K2622)))</formula>
    </cfRule>
    <cfRule type="containsText" dxfId="495" priority="386" stopIfTrue="1" operator="containsText" text="CUMPLE">
      <formula>NOT(ISERROR(SEARCH("CUMPLE",K2622)))</formula>
    </cfRule>
  </conditionalFormatting>
  <conditionalFormatting sqref="S2621">
    <cfRule type="cellIs" dxfId="494" priority="383" operator="greaterThanOrEqual">
      <formula>NUMMINCONT</formula>
    </cfRule>
    <cfRule type="cellIs" dxfId="493" priority="384" operator="lessThan">
      <formula>NUMMINCONT</formula>
    </cfRule>
  </conditionalFormatting>
  <conditionalFormatting sqref="T2608:V2613">
    <cfRule type="cellIs" dxfId="492" priority="381" stopIfTrue="1" operator="equal">
      <formula>"NO"</formula>
    </cfRule>
    <cfRule type="cellIs" dxfId="491" priority="382" stopIfTrue="1" operator="equal">
      <formula>"SI"</formula>
    </cfRule>
  </conditionalFormatting>
  <conditionalFormatting sqref="T2608:V2609">
    <cfRule type="cellIs" dxfId="490" priority="380" stopIfTrue="1" operator="equal">
      <formula>"NO APLICA"</formula>
    </cfRule>
  </conditionalFormatting>
  <conditionalFormatting sqref="T2610:U2613">
    <cfRule type="cellIs" dxfId="489" priority="379" stopIfTrue="1" operator="equal">
      <formula>"NO APLICA"</formula>
    </cfRule>
  </conditionalFormatting>
  <conditionalFormatting sqref="T2610:U2610">
    <cfRule type="cellIs" dxfId="488" priority="378" stopIfTrue="1" operator="equal">
      <formula>"NO APLICA"</formula>
    </cfRule>
  </conditionalFormatting>
  <conditionalFormatting sqref="V2610:V2613">
    <cfRule type="cellIs" dxfId="487" priority="377" stopIfTrue="1" operator="equal">
      <formula>"NO APLICA"</formula>
    </cfRule>
  </conditionalFormatting>
  <conditionalFormatting sqref="V2619:W2619">
    <cfRule type="cellIs" dxfId="486" priority="375" operator="equal">
      <formula>"CUMPLE"</formula>
    </cfRule>
    <cfRule type="cellIs" dxfId="485" priority="376" operator="equal">
      <formula>"NO CUMPLE"</formula>
    </cfRule>
  </conditionalFormatting>
  <conditionalFormatting sqref="V2619:W2621">
    <cfRule type="cellIs" dxfId="484" priority="374" operator="equal">
      <formula>"VERIFICAR"</formula>
    </cfRule>
  </conditionalFormatting>
  <conditionalFormatting sqref="T2614:V2614">
    <cfRule type="cellIs" dxfId="483" priority="372" stopIfTrue="1" operator="equal">
      <formula>"NO"</formula>
    </cfRule>
    <cfRule type="cellIs" dxfId="482" priority="373" stopIfTrue="1" operator="equal">
      <formula>"SI"</formula>
    </cfRule>
  </conditionalFormatting>
  <conditionalFormatting sqref="T2614:U2614">
    <cfRule type="cellIs" dxfId="481" priority="371" stopIfTrue="1" operator="equal">
      <formula>"NO APLICA"</formula>
    </cfRule>
  </conditionalFormatting>
  <conditionalFormatting sqref="V2614">
    <cfRule type="cellIs" dxfId="480" priority="370" stopIfTrue="1" operator="equal">
      <formula>"NO APLICA"</formula>
    </cfRule>
  </conditionalFormatting>
  <conditionalFormatting sqref="T2624">
    <cfRule type="cellIs" dxfId="479" priority="368" operator="equal">
      <formula>"CUMPLE"</formula>
    </cfRule>
    <cfRule type="cellIs" dxfId="478" priority="369" operator="equal">
      <formula>"NO CUMPLE"</formula>
    </cfRule>
  </conditionalFormatting>
  <conditionalFormatting sqref="T2624">
    <cfRule type="cellIs" dxfId="477" priority="367" operator="equal">
      <formula>"VERIFICAR"</formula>
    </cfRule>
  </conditionalFormatting>
  <conditionalFormatting sqref="Y2622:Y2627">
    <cfRule type="cellIs" dxfId="476" priority="366" stopIfTrue="1" operator="equal">
      <formula>"NO APLICA"</formula>
    </cfRule>
  </conditionalFormatting>
  <conditionalFormatting sqref="Y2627">
    <cfRule type="cellIs" dxfId="475" priority="365" stopIfTrue="1" operator="equal">
      <formula>"NO APLICA"</formula>
    </cfRule>
  </conditionalFormatting>
  <conditionalFormatting sqref="X2622:Y2627">
    <cfRule type="cellIs" dxfId="474" priority="363" stopIfTrue="1" operator="equal">
      <formula>"NO"</formula>
    </cfRule>
    <cfRule type="cellIs" dxfId="473" priority="364" stopIfTrue="1" operator="equal">
      <formula>"SI"</formula>
    </cfRule>
  </conditionalFormatting>
  <conditionalFormatting sqref="X2622:X2627">
    <cfRule type="cellIs" dxfId="472" priority="362" stopIfTrue="1" operator="equal">
      <formula>"NO APLICA"</formula>
    </cfRule>
  </conditionalFormatting>
  <conditionalFormatting sqref="X2623:X2626">
    <cfRule type="cellIs" dxfId="471" priority="361" stopIfTrue="1" operator="equal">
      <formula>"NO APLICA"</formula>
    </cfRule>
  </conditionalFormatting>
  <conditionalFormatting sqref="X2623">
    <cfRule type="cellIs" dxfId="470" priority="360" stopIfTrue="1" operator="equal">
      <formula>"NO APLICA"</formula>
    </cfRule>
  </conditionalFormatting>
  <conditionalFormatting sqref="X2627">
    <cfRule type="cellIs" dxfId="469" priority="359" stopIfTrue="1" operator="equal">
      <formula>"NO APLICA"</formula>
    </cfRule>
  </conditionalFormatting>
  <conditionalFormatting sqref="X2627">
    <cfRule type="cellIs" dxfId="468" priority="358" stopIfTrue="1" operator="equal">
      <formula>"NO APLICA"</formula>
    </cfRule>
  </conditionalFormatting>
  <conditionalFormatting sqref="AA2622:AA2627">
    <cfRule type="cellIs" dxfId="467" priority="357" stopIfTrue="1" operator="equal">
      <formula>"NO APLICA"</formula>
    </cfRule>
  </conditionalFormatting>
  <conditionalFormatting sqref="AA2627">
    <cfRule type="cellIs" dxfId="466" priority="356" stopIfTrue="1" operator="equal">
      <formula>"NO APLICA"</formula>
    </cfRule>
  </conditionalFormatting>
  <conditionalFormatting sqref="AA2622:AA2627">
    <cfRule type="cellIs" dxfId="465" priority="354" stopIfTrue="1" operator="equal">
      <formula>"NO"</formula>
    </cfRule>
    <cfRule type="cellIs" dxfId="464" priority="355" stopIfTrue="1" operator="equal">
      <formula>"SI"</formula>
    </cfRule>
  </conditionalFormatting>
  <conditionalFormatting sqref="Y2622:Z2627">
    <cfRule type="cellIs" dxfId="463" priority="352" operator="equal">
      <formula>"NO APLICA"</formula>
    </cfRule>
    <cfRule type="cellIs" dxfId="462" priority="353" operator="equal">
      <formula>"SI APLICA"</formula>
    </cfRule>
  </conditionalFormatting>
  <conditionalFormatting sqref="AB2622:AB2628">
    <cfRule type="cellIs" dxfId="461" priority="350" operator="equal">
      <formula>"NO APLICA"</formula>
    </cfRule>
    <cfRule type="cellIs" dxfId="460" priority="351" operator="equal">
      <formula>"SI APLICA"</formula>
    </cfRule>
  </conditionalFormatting>
  <conditionalFormatting sqref="X2628">
    <cfRule type="cellIs" dxfId="459" priority="348" operator="equal">
      <formula>"PROPONENTE PLURAL"</formula>
    </cfRule>
    <cfRule type="cellIs" dxfId="458" priority="349" operator="equal">
      <formula>"PROPONENTE INDIVIDUAL"</formula>
    </cfRule>
  </conditionalFormatting>
  <conditionalFormatting sqref="Z2628:AA2628 AA2622:AA2627">
    <cfRule type="cellIs" dxfId="457" priority="346" operator="equal">
      <formula>"NO APLICA"</formula>
    </cfRule>
    <cfRule type="cellIs" dxfId="456" priority="347" operator="equal">
      <formula>"SI APLICA"</formula>
    </cfRule>
  </conditionalFormatting>
  <conditionalFormatting sqref="AB2622:AB2627 Y2622:Z2627">
    <cfRule type="cellIs" dxfId="455" priority="345" operator="equal">
      <formula>""</formula>
    </cfRule>
  </conditionalFormatting>
  <conditionalFormatting sqref="H2628">
    <cfRule type="containsText" dxfId="454" priority="343" stopIfTrue="1" operator="containsText" text="NO CUMPLE">
      <formula>NOT(ISERROR(SEARCH("NO CUMPLE",H2628)))</formula>
    </cfRule>
    <cfRule type="containsText" dxfId="453" priority="344" stopIfTrue="1" operator="containsText" text="CUMPLE">
      <formula>NOT(ISERROR(SEARCH("CUMPLE",H2628)))</formula>
    </cfRule>
  </conditionalFormatting>
  <conditionalFormatting sqref="J2628">
    <cfRule type="containsText" dxfId="452" priority="341" stopIfTrue="1" operator="containsText" text="NO CUMPLE">
      <formula>NOT(ISERROR(SEARCH("NO CUMPLE",J2628)))</formula>
    </cfRule>
    <cfRule type="containsText" dxfId="451" priority="342" stopIfTrue="1" operator="containsText" text="CUMPLE">
      <formula>NOT(ISERROR(SEARCH("CUMPLE",J2628)))</formula>
    </cfRule>
  </conditionalFormatting>
  <conditionalFormatting sqref="K2628">
    <cfRule type="containsText" dxfId="450" priority="339" stopIfTrue="1" operator="containsText" text="NO CUMPLE">
      <formula>NOT(ISERROR(SEARCH("NO CUMPLE",K2628)))</formula>
    </cfRule>
    <cfRule type="containsText" dxfId="449" priority="340" stopIfTrue="1" operator="containsText" text="CUMPLE">
      <formula>NOT(ISERROR(SEARCH("CUMPLE",K2628)))</formula>
    </cfRule>
  </conditionalFormatting>
  <conditionalFormatting sqref="L2622:L2627">
    <cfRule type="containsText" dxfId="448" priority="337" stopIfTrue="1" operator="containsText" text="NO CUMPLE">
      <formula>NOT(ISERROR(SEARCH("NO CUMPLE",L2622)))</formula>
    </cfRule>
    <cfRule type="containsText" dxfId="447" priority="338" stopIfTrue="1" operator="containsText" text="CUMPLE">
      <formula>NOT(ISERROR(SEARCH("CUMPLE",L2622)))</formula>
    </cfRule>
  </conditionalFormatting>
  <conditionalFormatting sqref="O2627">
    <cfRule type="containsText" dxfId="446" priority="335" stopIfTrue="1" operator="containsText" text="NO CUMPLE">
      <formula>NOT(ISERROR(SEARCH("NO CUMPLE",O2627)))</formula>
    </cfRule>
    <cfRule type="containsText" dxfId="445" priority="336" stopIfTrue="1" operator="containsText" text="CUMPLE">
      <formula>NOT(ISERROR(SEARCH("CUMPLE",O2627)))</formula>
    </cfRule>
  </conditionalFormatting>
  <conditionalFormatting sqref="O2628:S2628">
    <cfRule type="cellIs" dxfId="444" priority="334" operator="equal">
      <formula>"EL PROPONENTE SE DEBE REQUERIR POR EXPERIENCIA MINIMA EXIGIDA"</formula>
    </cfRule>
  </conditionalFormatting>
  <conditionalFormatting sqref="X2616">
    <cfRule type="cellIs" dxfId="443" priority="331" stopIfTrue="1" operator="equal">
      <formula>"VERIFICAR"</formula>
    </cfRule>
    <cfRule type="cellIs" dxfId="442" priority="332" stopIfTrue="1" operator="equal">
      <formula>"NO CUMPLE"</formula>
    </cfRule>
    <cfRule type="cellIs" dxfId="441" priority="333" stopIfTrue="1" operator="equal">
      <formula>"CUMPLE"</formula>
    </cfRule>
  </conditionalFormatting>
  <conditionalFormatting sqref="X2605:Y2614 J2605:J2614">
    <cfRule type="cellIs" dxfId="440" priority="330" stopIfTrue="1" operator="greaterThan">
      <formula>0</formula>
    </cfRule>
  </conditionalFormatting>
  <conditionalFormatting sqref="X2605:Y2614">
    <cfRule type="cellIs" dxfId="439" priority="328" operator="equal">
      <formula>"NO CUMPLE"</formula>
    </cfRule>
    <cfRule type="cellIs" dxfId="438" priority="329" operator="equal">
      <formula>"CUMPLE"</formula>
    </cfRule>
  </conditionalFormatting>
  <conditionalFormatting sqref="N2622:N2627">
    <cfRule type="cellIs" dxfId="437" priority="326" operator="equal">
      <formula>"NO"</formula>
    </cfRule>
    <cfRule type="cellIs" dxfId="436" priority="327" operator="equal">
      <formula>"SI"</formula>
    </cfRule>
  </conditionalFormatting>
  <conditionalFormatting sqref="I2614">
    <cfRule type="cellIs" dxfId="435" priority="325" stopIfTrue="1" operator="greaterThan">
      <formula>0</formula>
    </cfRule>
  </conditionalFormatting>
  <conditionalFormatting sqref="K2608:L2614">
    <cfRule type="cellIs" dxfId="434" priority="323" operator="equal">
      <formula>0</formula>
    </cfRule>
    <cfRule type="cellIs" dxfId="433" priority="324" operator="notBetween">
      <formula>$Q$17</formula>
      <formula>$R$17</formula>
    </cfRule>
  </conditionalFormatting>
  <conditionalFormatting sqref="B2605:B2614">
    <cfRule type="cellIs" dxfId="432" priority="322" stopIfTrue="1" operator="greaterThan">
      <formula>0</formula>
    </cfRule>
  </conditionalFormatting>
  <conditionalFormatting sqref="C2605:D2605 D2606:D2607 C2606:C2614">
    <cfRule type="cellIs" dxfId="431" priority="321" stopIfTrue="1" operator="greaterThan">
      <formula>0</formula>
    </cfRule>
  </conditionalFormatting>
  <conditionalFormatting sqref="C2605:D2605 F2605:H2607 D2606:D2607 C2606:C2614">
    <cfRule type="cellIs" dxfId="430" priority="320" stopIfTrue="1" operator="greaterThan">
      <formula>0</formula>
    </cfRule>
  </conditionalFormatting>
  <conditionalFormatting sqref="T2605:V2607">
    <cfRule type="cellIs" dxfId="429" priority="318" stopIfTrue="1" operator="equal">
      <formula>"NO"</formula>
    </cfRule>
    <cfRule type="cellIs" dxfId="428" priority="319" stopIfTrue="1" operator="equal">
      <formula>"SI"</formula>
    </cfRule>
  </conditionalFormatting>
  <conditionalFormatting sqref="T2605:V2606">
    <cfRule type="cellIs" dxfId="427" priority="317" stopIfTrue="1" operator="equal">
      <formula>"NO APLICA"</formula>
    </cfRule>
  </conditionalFormatting>
  <conditionalFormatting sqref="T2607:U2607">
    <cfRule type="cellIs" dxfId="426" priority="316" stopIfTrue="1" operator="equal">
      <formula>"NO APLICA"</formula>
    </cfRule>
  </conditionalFormatting>
  <conditionalFormatting sqref="T2607:U2607">
    <cfRule type="cellIs" dxfId="425" priority="315" stopIfTrue="1" operator="equal">
      <formula>"NO APLICA"</formula>
    </cfRule>
  </conditionalFormatting>
  <conditionalFormatting sqref="V2607">
    <cfRule type="cellIs" dxfId="424" priority="314" stopIfTrue="1" operator="equal">
      <formula>"NO APLICA"</formula>
    </cfRule>
  </conditionalFormatting>
  <conditionalFormatting sqref="K2605:L2607">
    <cfRule type="cellIs" dxfId="423" priority="312" operator="equal">
      <formula>0</formula>
    </cfRule>
    <cfRule type="cellIs" dxfId="422" priority="313" operator="notBetween">
      <formula>$Q$17</formula>
      <formula>$R$17</formula>
    </cfRule>
  </conditionalFormatting>
  <conditionalFormatting sqref="F2638:H2643 D2644:H2644 I2638:I2644 C2635:D2635 K2635:O2644 F2635:I2637 D2636:D2643 C2636:C2644">
    <cfRule type="cellIs" dxfId="421" priority="311" stopIfTrue="1" operator="greaterThan">
      <formula>0</formula>
    </cfRule>
  </conditionalFormatting>
  <conditionalFormatting sqref="D2638:D2643">
    <cfRule type="cellIs" dxfId="420" priority="310" stopIfTrue="1" operator="greaterThan">
      <formula>0</formula>
    </cfRule>
  </conditionalFormatting>
  <conditionalFormatting sqref="D2638:D2643 F2638:H2643">
    <cfRule type="cellIs" dxfId="419" priority="309" stopIfTrue="1" operator="greaterThan">
      <formula>0</formula>
    </cfRule>
  </conditionalFormatting>
  <conditionalFormatting sqref="H2635:H2643">
    <cfRule type="cellIs" dxfId="418" priority="308" stopIfTrue="1" operator="greaterThan">
      <formula>0</formula>
    </cfRule>
  </conditionalFormatting>
  <conditionalFormatting sqref="E2635:E2643">
    <cfRule type="cellIs" dxfId="417" priority="307" stopIfTrue="1" operator="greaterThan">
      <formula>0</formula>
    </cfRule>
  </conditionalFormatting>
  <conditionalFormatting sqref="M2652:M2657 K2652:K2657">
    <cfRule type="containsText" dxfId="416" priority="305" stopIfTrue="1" operator="containsText" text="NO CUMPLE">
      <formula>NOT(ISERROR(SEARCH("NO CUMPLE",K2652)))</formula>
    </cfRule>
    <cfRule type="containsText" dxfId="415" priority="306" stopIfTrue="1" operator="containsText" text="CUMPLE">
      <formula>NOT(ISERROR(SEARCH("CUMPLE",K2652)))</formula>
    </cfRule>
  </conditionalFormatting>
  <conditionalFormatting sqref="S2651">
    <cfRule type="cellIs" dxfId="414" priority="303" operator="greaterThanOrEqual">
      <formula>NUMMINCONT</formula>
    </cfRule>
    <cfRule type="cellIs" dxfId="413" priority="304" operator="lessThan">
      <formula>NUMMINCONT</formula>
    </cfRule>
  </conditionalFormatting>
  <conditionalFormatting sqref="T2638:V2643">
    <cfRule type="cellIs" dxfId="412" priority="301" stopIfTrue="1" operator="equal">
      <formula>"NO"</formula>
    </cfRule>
    <cfRule type="cellIs" dxfId="411" priority="302" stopIfTrue="1" operator="equal">
      <formula>"SI"</formula>
    </cfRule>
  </conditionalFormatting>
  <conditionalFormatting sqref="T2638:V2639">
    <cfRule type="cellIs" dxfId="410" priority="300" stopIfTrue="1" operator="equal">
      <formula>"NO APLICA"</formula>
    </cfRule>
  </conditionalFormatting>
  <conditionalFormatting sqref="T2640:U2643">
    <cfRule type="cellIs" dxfId="409" priority="299" stopIfTrue="1" operator="equal">
      <formula>"NO APLICA"</formula>
    </cfRule>
  </conditionalFormatting>
  <conditionalFormatting sqref="T2640:U2640">
    <cfRule type="cellIs" dxfId="408" priority="298" stopIfTrue="1" operator="equal">
      <formula>"NO APLICA"</formula>
    </cfRule>
  </conditionalFormatting>
  <conditionalFormatting sqref="V2640:V2643">
    <cfRule type="cellIs" dxfId="407" priority="297" stopIfTrue="1" operator="equal">
      <formula>"NO APLICA"</formula>
    </cfRule>
  </conditionalFormatting>
  <conditionalFormatting sqref="V2649:W2649">
    <cfRule type="cellIs" dxfId="406" priority="295" operator="equal">
      <formula>"CUMPLE"</formula>
    </cfRule>
    <cfRule type="cellIs" dxfId="405" priority="296" operator="equal">
      <formula>"NO CUMPLE"</formula>
    </cfRule>
  </conditionalFormatting>
  <conditionalFormatting sqref="V2649:W2651">
    <cfRule type="cellIs" dxfId="404" priority="294" operator="equal">
      <formula>"VERIFICAR"</formula>
    </cfRule>
  </conditionalFormatting>
  <conditionalFormatting sqref="T2644:V2644">
    <cfRule type="cellIs" dxfId="403" priority="292" stopIfTrue="1" operator="equal">
      <formula>"NO"</formula>
    </cfRule>
    <cfRule type="cellIs" dxfId="402" priority="293" stopIfTrue="1" operator="equal">
      <formula>"SI"</formula>
    </cfRule>
  </conditionalFormatting>
  <conditionalFormatting sqref="T2644:U2644">
    <cfRule type="cellIs" dxfId="401" priority="291" stopIfTrue="1" operator="equal">
      <formula>"NO APLICA"</formula>
    </cfRule>
  </conditionalFormatting>
  <conditionalFormatting sqref="V2644">
    <cfRule type="cellIs" dxfId="400" priority="290" stopIfTrue="1" operator="equal">
      <formula>"NO APLICA"</formula>
    </cfRule>
  </conditionalFormatting>
  <conditionalFormatting sqref="T2654">
    <cfRule type="cellIs" dxfId="399" priority="288" operator="equal">
      <formula>"CUMPLE"</formula>
    </cfRule>
    <cfRule type="cellIs" dxfId="398" priority="289" operator="equal">
      <formula>"NO CUMPLE"</formula>
    </cfRule>
  </conditionalFormatting>
  <conditionalFormatting sqref="T2654">
    <cfRule type="cellIs" dxfId="397" priority="287" operator="equal">
      <formula>"VERIFICAR"</formula>
    </cfRule>
  </conditionalFormatting>
  <conditionalFormatting sqref="Y2652:Y2657">
    <cfRule type="cellIs" dxfId="396" priority="286" stopIfTrue="1" operator="equal">
      <formula>"NO APLICA"</formula>
    </cfRule>
  </conditionalFormatting>
  <conditionalFormatting sqref="Y2657">
    <cfRule type="cellIs" dxfId="395" priority="285" stopIfTrue="1" operator="equal">
      <formula>"NO APLICA"</formula>
    </cfRule>
  </conditionalFormatting>
  <conditionalFormatting sqref="X2652:Y2657">
    <cfRule type="cellIs" dxfId="394" priority="283" stopIfTrue="1" operator="equal">
      <formula>"NO"</formula>
    </cfRule>
    <cfRule type="cellIs" dxfId="393" priority="284" stopIfTrue="1" operator="equal">
      <formula>"SI"</formula>
    </cfRule>
  </conditionalFormatting>
  <conditionalFormatting sqref="X2652:X2657">
    <cfRule type="cellIs" dxfId="392" priority="282" stopIfTrue="1" operator="equal">
      <formula>"NO APLICA"</formula>
    </cfRule>
  </conditionalFormatting>
  <conditionalFormatting sqref="X2653:X2656">
    <cfRule type="cellIs" dxfId="391" priority="281" stopIfTrue="1" operator="equal">
      <formula>"NO APLICA"</formula>
    </cfRule>
  </conditionalFormatting>
  <conditionalFormatting sqref="X2653">
    <cfRule type="cellIs" dxfId="390" priority="280" stopIfTrue="1" operator="equal">
      <formula>"NO APLICA"</formula>
    </cfRule>
  </conditionalFormatting>
  <conditionalFormatting sqref="X2657">
    <cfRule type="cellIs" dxfId="389" priority="279" stopIfTrue="1" operator="equal">
      <formula>"NO APLICA"</formula>
    </cfRule>
  </conditionalFormatting>
  <conditionalFormatting sqref="X2657">
    <cfRule type="cellIs" dxfId="388" priority="278" stopIfTrue="1" operator="equal">
      <formula>"NO APLICA"</formula>
    </cfRule>
  </conditionalFormatting>
  <conditionalFormatting sqref="AA2652:AA2657">
    <cfRule type="cellIs" dxfId="387" priority="277" stopIfTrue="1" operator="equal">
      <formula>"NO APLICA"</formula>
    </cfRule>
  </conditionalFormatting>
  <conditionalFormatting sqref="AA2657">
    <cfRule type="cellIs" dxfId="386" priority="276" stopIfTrue="1" operator="equal">
      <formula>"NO APLICA"</formula>
    </cfRule>
  </conditionalFormatting>
  <conditionalFormatting sqref="AA2652:AA2657">
    <cfRule type="cellIs" dxfId="385" priority="274" stopIfTrue="1" operator="equal">
      <formula>"NO"</formula>
    </cfRule>
    <cfRule type="cellIs" dxfId="384" priority="275" stopIfTrue="1" operator="equal">
      <formula>"SI"</formula>
    </cfRule>
  </conditionalFormatting>
  <conditionalFormatting sqref="Y2652:Z2657">
    <cfRule type="cellIs" dxfId="383" priority="272" operator="equal">
      <formula>"NO APLICA"</formula>
    </cfRule>
    <cfRule type="cellIs" dxfId="382" priority="273" operator="equal">
      <formula>"SI APLICA"</formula>
    </cfRule>
  </conditionalFormatting>
  <conditionalFormatting sqref="AB2652:AB2658">
    <cfRule type="cellIs" dxfId="381" priority="270" operator="equal">
      <formula>"NO APLICA"</formula>
    </cfRule>
    <cfRule type="cellIs" dxfId="380" priority="271" operator="equal">
      <formula>"SI APLICA"</formula>
    </cfRule>
  </conditionalFormatting>
  <conditionalFormatting sqref="X2658">
    <cfRule type="cellIs" dxfId="379" priority="268" operator="equal">
      <formula>"PROPONENTE PLURAL"</formula>
    </cfRule>
    <cfRule type="cellIs" dxfId="378" priority="269" operator="equal">
      <formula>"PROPONENTE INDIVIDUAL"</formula>
    </cfRule>
  </conditionalFormatting>
  <conditionalFormatting sqref="Z2658:AA2658 AA2652:AA2657">
    <cfRule type="cellIs" dxfId="377" priority="266" operator="equal">
      <formula>"NO APLICA"</formula>
    </cfRule>
    <cfRule type="cellIs" dxfId="376" priority="267" operator="equal">
      <formula>"SI APLICA"</formula>
    </cfRule>
  </conditionalFormatting>
  <conditionalFormatting sqref="AB2652:AB2657 Y2652:Z2657">
    <cfRule type="cellIs" dxfId="375" priority="265" operator="equal">
      <formula>""</formula>
    </cfRule>
  </conditionalFormatting>
  <conditionalFormatting sqref="H2658">
    <cfRule type="containsText" dxfId="374" priority="263" stopIfTrue="1" operator="containsText" text="NO CUMPLE">
      <formula>NOT(ISERROR(SEARCH("NO CUMPLE",H2658)))</formula>
    </cfRule>
    <cfRule type="containsText" dxfId="373" priority="264" stopIfTrue="1" operator="containsText" text="CUMPLE">
      <formula>NOT(ISERROR(SEARCH("CUMPLE",H2658)))</formula>
    </cfRule>
  </conditionalFormatting>
  <conditionalFormatting sqref="J2658">
    <cfRule type="containsText" dxfId="372" priority="261" stopIfTrue="1" operator="containsText" text="NO CUMPLE">
      <formula>NOT(ISERROR(SEARCH("NO CUMPLE",J2658)))</formula>
    </cfRule>
    <cfRule type="containsText" dxfId="371" priority="262" stopIfTrue="1" operator="containsText" text="CUMPLE">
      <formula>NOT(ISERROR(SEARCH("CUMPLE",J2658)))</formula>
    </cfRule>
  </conditionalFormatting>
  <conditionalFormatting sqref="K2658">
    <cfRule type="containsText" dxfId="370" priority="259" stopIfTrue="1" operator="containsText" text="NO CUMPLE">
      <formula>NOT(ISERROR(SEARCH("NO CUMPLE",K2658)))</formula>
    </cfRule>
    <cfRule type="containsText" dxfId="369" priority="260" stopIfTrue="1" operator="containsText" text="CUMPLE">
      <formula>NOT(ISERROR(SEARCH("CUMPLE",K2658)))</formula>
    </cfRule>
  </conditionalFormatting>
  <conditionalFormatting sqref="L2652:L2657">
    <cfRule type="containsText" dxfId="368" priority="257" stopIfTrue="1" operator="containsText" text="NO CUMPLE">
      <formula>NOT(ISERROR(SEARCH("NO CUMPLE",L2652)))</formula>
    </cfRule>
    <cfRule type="containsText" dxfId="367" priority="258" stopIfTrue="1" operator="containsText" text="CUMPLE">
      <formula>NOT(ISERROR(SEARCH("CUMPLE",L2652)))</formula>
    </cfRule>
  </conditionalFormatting>
  <conditionalFormatting sqref="O2657">
    <cfRule type="containsText" dxfId="366" priority="255" stopIfTrue="1" operator="containsText" text="NO CUMPLE">
      <formula>NOT(ISERROR(SEARCH("NO CUMPLE",O2657)))</formula>
    </cfRule>
    <cfRule type="containsText" dxfId="365" priority="256" stopIfTrue="1" operator="containsText" text="CUMPLE">
      <formula>NOT(ISERROR(SEARCH("CUMPLE",O2657)))</formula>
    </cfRule>
  </conditionalFormatting>
  <conditionalFormatting sqref="O2658:S2658">
    <cfRule type="cellIs" dxfId="364" priority="254" operator="equal">
      <formula>"EL PROPONENTE SE DEBE REQUERIR POR EXPERIENCIA MINIMA EXIGIDA"</formula>
    </cfRule>
  </conditionalFormatting>
  <conditionalFormatting sqref="X2646">
    <cfRule type="cellIs" dxfId="363" priority="251" stopIfTrue="1" operator="equal">
      <formula>"VERIFICAR"</formula>
    </cfRule>
    <cfRule type="cellIs" dxfId="362" priority="252" stopIfTrue="1" operator="equal">
      <formula>"NO CUMPLE"</formula>
    </cfRule>
    <cfRule type="cellIs" dxfId="361" priority="253" stopIfTrue="1" operator="equal">
      <formula>"CUMPLE"</formula>
    </cfRule>
  </conditionalFormatting>
  <conditionalFormatting sqref="X2635:Y2644 J2635:J2644">
    <cfRule type="cellIs" dxfId="360" priority="250" stopIfTrue="1" operator="greaterThan">
      <formula>0</formula>
    </cfRule>
  </conditionalFormatting>
  <conditionalFormatting sqref="X2635:Y2644">
    <cfRule type="cellIs" dxfId="359" priority="248" operator="equal">
      <formula>"NO CUMPLE"</formula>
    </cfRule>
    <cfRule type="cellIs" dxfId="358" priority="249" operator="equal">
      <formula>"CUMPLE"</formula>
    </cfRule>
  </conditionalFormatting>
  <conditionalFormatting sqref="N2652:N2657">
    <cfRule type="cellIs" dxfId="357" priority="246" operator="equal">
      <formula>"NO"</formula>
    </cfRule>
    <cfRule type="cellIs" dxfId="356" priority="247" operator="equal">
      <formula>"SI"</formula>
    </cfRule>
  </conditionalFormatting>
  <conditionalFormatting sqref="I2644">
    <cfRule type="cellIs" dxfId="355" priority="245" stopIfTrue="1" operator="greaterThan">
      <formula>0</formula>
    </cfRule>
  </conditionalFormatting>
  <conditionalFormatting sqref="K2638:L2644">
    <cfRule type="cellIs" dxfId="354" priority="243" operator="equal">
      <formula>0</formula>
    </cfRule>
    <cfRule type="cellIs" dxfId="353" priority="244" operator="notBetween">
      <formula>$Q$17</formula>
      <formula>$R$17</formula>
    </cfRule>
  </conditionalFormatting>
  <conditionalFormatting sqref="B2635:B2644">
    <cfRule type="cellIs" dxfId="352" priority="242" stopIfTrue="1" operator="greaterThan">
      <formula>0</formula>
    </cfRule>
  </conditionalFormatting>
  <conditionalFormatting sqref="C2635:D2635 D2636:D2637 C2636:C2644">
    <cfRule type="cellIs" dxfId="351" priority="241" stopIfTrue="1" operator="greaterThan">
      <formula>0</formula>
    </cfRule>
  </conditionalFormatting>
  <conditionalFormatting sqref="C2635:D2635 F2635:H2637 D2636:D2637 C2636:C2644">
    <cfRule type="cellIs" dxfId="350" priority="240" stopIfTrue="1" operator="greaterThan">
      <formula>0</formula>
    </cfRule>
  </conditionalFormatting>
  <conditionalFormatting sqref="T2635:V2637">
    <cfRule type="cellIs" dxfId="349" priority="238" stopIfTrue="1" operator="equal">
      <formula>"NO"</formula>
    </cfRule>
    <cfRule type="cellIs" dxfId="348" priority="239" stopIfTrue="1" operator="equal">
      <formula>"SI"</formula>
    </cfRule>
  </conditionalFormatting>
  <conditionalFormatting sqref="T2635:V2636">
    <cfRule type="cellIs" dxfId="347" priority="237" stopIfTrue="1" operator="equal">
      <formula>"NO APLICA"</formula>
    </cfRule>
  </conditionalFormatting>
  <conditionalFormatting sqref="T2637:U2637">
    <cfRule type="cellIs" dxfId="346" priority="236" stopIfTrue="1" operator="equal">
      <formula>"NO APLICA"</formula>
    </cfRule>
  </conditionalFormatting>
  <conditionalFormatting sqref="T2637:U2637">
    <cfRule type="cellIs" dxfId="345" priority="235" stopIfTrue="1" operator="equal">
      <formula>"NO APLICA"</formula>
    </cfRule>
  </conditionalFormatting>
  <conditionalFormatting sqref="V2637">
    <cfRule type="cellIs" dxfId="344" priority="234" stopIfTrue="1" operator="equal">
      <formula>"NO APLICA"</formula>
    </cfRule>
  </conditionalFormatting>
  <conditionalFormatting sqref="K2635:L2637">
    <cfRule type="cellIs" dxfId="343" priority="232" operator="equal">
      <formula>0</formula>
    </cfRule>
    <cfRule type="cellIs" dxfId="342" priority="233" operator="notBetween">
      <formula>$Q$17</formula>
      <formula>$R$17</formula>
    </cfRule>
  </conditionalFormatting>
  <conditionalFormatting sqref="F2668:H2673 D2674:H2674 I2668:I2674 C2665:D2665 K2665:O2674 F2665:I2667 D2666:D2673 C2666:C2674">
    <cfRule type="cellIs" dxfId="341" priority="231" stopIfTrue="1" operator="greaterThan">
      <formula>0</formula>
    </cfRule>
  </conditionalFormatting>
  <conditionalFormatting sqref="D2668:D2673">
    <cfRule type="cellIs" dxfId="340" priority="230" stopIfTrue="1" operator="greaterThan">
      <formula>0</formula>
    </cfRule>
  </conditionalFormatting>
  <conditionalFormatting sqref="D2668:D2673 F2668:H2673">
    <cfRule type="cellIs" dxfId="339" priority="229" stopIfTrue="1" operator="greaterThan">
      <formula>0</formula>
    </cfRule>
  </conditionalFormatting>
  <conditionalFormatting sqref="H2665:H2673">
    <cfRule type="cellIs" dxfId="338" priority="228" stopIfTrue="1" operator="greaterThan">
      <formula>0</formula>
    </cfRule>
  </conditionalFormatting>
  <conditionalFormatting sqref="E2665:E2673">
    <cfRule type="cellIs" dxfId="337" priority="227" stopIfTrue="1" operator="greaterThan">
      <formula>0</formula>
    </cfRule>
  </conditionalFormatting>
  <conditionalFormatting sqref="M2682:M2687 K2682:K2687">
    <cfRule type="containsText" dxfId="336" priority="225" stopIfTrue="1" operator="containsText" text="NO CUMPLE">
      <formula>NOT(ISERROR(SEARCH("NO CUMPLE",K2682)))</formula>
    </cfRule>
    <cfRule type="containsText" dxfId="335" priority="226" stopIfTrue="1" operator="containsText" text="CUMPLE">
      <formula>NOT(ISERROR(SEARCH("CUMPLE",K2682)))</formula>
    </cfRule>
  </conditionalFormatting>
  <conditionalFormatting sqref="S2681">
    <cfRule type="cellIs" dxfId="334" priority="223" operator="greaterThanOrEqual">
      <formula>NUMMINCONT</formula>
    </cfRule>
    <cfRule type="cellIs" dxfId="333" priority="224" operator="lessThan">
      <formula>NUMMINCONT</formula>
    </cfRule>
  </conditionalFormatting>
  <conditionalFormatting sqref="T2668:V2673">
    <cfRule type="cellIs" dxfId="332" priority="221" stopIfTrue="1" operator="equal">
      <formula>"NO"</formula>
    </cfRule>
    <cfRule type="cellIs" dxfId="331" priority="222" stopIfTrue="1" operator="equal">
      <formula>"SI"</formula>
    </cfRule>
  </conditionalFormatting>
  <conditionalFormatting sqref="T2668:V2669">
    <cfRule type="cellIs" dxfId="330" priority="220" stopIfTrue="1" operator="equal">
      <formula>"NO APLICA"</formula>
    </cfRule>
  </conditionalFormatting>
  <conditionalFormatting sqref="T2670:U2673">
    <cfRule type="cellIs" dxfId="329" priority="219" stopIfTrue="1" operator="equal">
      <formula>"NO APLICA"</formula>
    </cfRule>
  </conditionalFormatting>
  <conditionalFormatting sqref="T2670:U2670">
    <cfRule type="cellIs" dxfId="328" priority="218" stopIfTrue="1" operator="equal">
      <formula>"NO APLICA"</formula>
    </cfRule>
  </conditionalFormatting>
  <conditionalFormatting sqref="V2670:V2673">
    <cfRule type="cellIs" dxfId="327" priority="217" stopIfTrue="1" operator="equal">
      <formula>"NO APLICA"</formula>
    </cfRule>
  </conditionalFormatting>
  <conditionalFormatting sqref="V2679:W2679">
    <cfRule type="cellIs" dxfId="326" priority="215" operator="equal">
      <formula>"CUMPLE"</formula>
    </cfRule>
    <cfRule type="cellIs" dxfId="325" priority="216" operator="equal">
      <formula>"NO CUMPLE"</formula>
    </cfRule>
  </conditionalFormatting>
  <conditionalFormatting sqref="V2679:W2681">
    <cfRule type="cellIs" dxfId="324" priority="214" operator="equal">
      <formula>"VERIFICAR"</formula>
    </cfRule>
  </conditionalFormatting>
  <conditionalFormatting sqref="T2674:V2674">
    <cfRule type="cellIs" dxfId="323" priority="212" stopIfTrue="1" operator="equal">
      <formula>"NO"</formula>
    </cfRule>
    <cfRule type="cellIs" dxfId="322" priority="213" stopIfTrue="1" operator="equal">
      <formula>"SI"</formula>
    </cfRule>
  </conditionalFormatting>
  <conditionalFormatting sqref="T2674:U2674">
    <cfRule type="cellIs" dxfId="321" priority="211" stopIfTrue="1" operator="equal">
      <formula>"NO APLICA"</formula>
    </cfRule>
  </conditionalFormatting>
  <conditionalFormatting sqref="V2674">
    <cfRule type="cellIs" dxfId="320" priority="210" stopIfTrue="1" operator="equal">
      <formula>"NO APLICA"</formula>
    </cfRule>
  </conditionalFormatting>
  <conditionalFormatting sqref="T2684">
    <cfRule type="cellIs" dxfId="319" priority="208" operator="equal">
      <formula>"CUMPLE"</formula>
    </cfRule>
    <cfRule type="cellIs" dxfId="318" priority="209" operator="equal">
      <formula>"NO CUMPLE"</formula>
    </cfRule>
  </conditionalFormatting>
  <conditionalFormatting sqref="T2684">
    <cfRule type="cellIs" dxfId="317" priority="207" operator="equal">
      <formula>"VERIFICAR"</formula>
    </cfRule>
  </conditionalFormatting>
  <conditionalFormatting sqref="Y2682:Y2687">
    <cfRule type="cellIs" dxfId="316" priority="206" stopIfTrue="1" operator="equal">
      <formula>"NO APLICA"</formula>
    </cfRule>
  </conditionalFormatting>
  <conditionalFormatting sqref="Y2687">
    <cfRule type="cellIs" dxfId="315" priority="205" stopIfTrue="1" operator="equal">
      <formula>"NO APLICA"</formula>
    </cfRule>
  </conditionalFormatting>
  <conditionalFormatting sqref="X2682:Y2687">
    <cfRule type="cellIs" dxfId="314" priority="203" stopIfTrue="1" operator="equal">
      <formula>"NO"</formula>
    </cfRule>
    <cfRule type="cellIs" dxfId="313" priority="204" stopIfTrue="1" operator="equal">
      <formula>"SI"</formula>
    </cfRule>
  </conditionalFormatting>
  <conditionalFormatting sqref="X2682:X2687">
    <cfRule type="cellIs" dxfId="312" priority="202" stopIfTrue="1" operator="equal">
      <formula>"NO APLICA"</formula>
    </cfRule>
  </conditionalFormatting>
  <conditionalFormatting sqref="X2683:X2686">
    <cfRule type="cellIs" dxfId="311" priority="201" stopIfTrue="1" operator="equal">
      <formula>"NO APLICA"</formula>
    </cfRule>
  </conditionalFormatting>
  <conditionalFormatting sqref="X2683">
    <cfRule type="cellIs" dxfId="310" priority="200" stopIfTrue="1" operator="equal">
      <formula>"NO APLICA"</formula>
    </cfRule>
  </conditionalFormatting>
  <conditionalFormatting sqref="X2687">
    <cfRule type="cellIs" dxfId="309" priority="199" stopIfTrue="1" operator="equal">
      <formula>"NO APLICA"</formula>
    </cfRule>
  </conditionalFormatting>
  <conditionalFormatting sqref="X2687">
    <cfRule type="cellIs" dxfId="308" priority="198" stopIfTrue="1" operator="equal">
      <formula>"NO APLICA"</formula>
    </cfRule>
  </conditionalFormatting>
  <conditionalFormatting sqref="AA2682:AA2687">
    <cfRule type="cellIs" dxfId="307" priority="197" stopIfTrue="1" operator="equal">
      <formula>"NO APLICA"</formula>
    </cfRule>
  </conditionalFormatting>
  <conditionalFormatting sqref="AA2687">
    <cfRule type="cellIs" dxfId="306" priority="196" stopIfTrue="1" operator="equal">
      <formula>"NO APLICA"</formula>
    </cfRule>
  </conditionalFormatting>
  <conditionalFormatting sqref="AA2682:AA2687">
    <cfRule type="cellIs" dxfId="305" priority="194" stopIfTrue="1" operator="equal">
      <formula>"NO"</formula>
    </cfRule>
    <cfRule type="cellIs" dxfId="304" priority="195" stopIfTrue="1" operator="equal">
      <formula>"SI"</formula>
    </cfRule>
  </conditionalFormatting>
  <conditionalFormatting sqref="Y2682:Z2687">
    <cfRule type="cellIs" dxfId="303" priority="192" operator="equal">
      <formula>"NO APLICA"</formula>
    </cfRule>
    <cfRule type="cellIs" dxfId="302" priority="193" operator="equal">
      <formula>"SI APLICA"</formula>
    </cfRule>
  </conditionalFormatting>
  <conditionalFormatting sqref="AB2682:AB2688">
    <cfRule type="cellIs" dxfId="301" priority="190" operator="equal">
      <formula>"NO APLICA"</formula>
    </cfRule>
    <cfRule type="cellIs" dxfId="300" priority="191" operator="equal">
      <formula>"SI APLICA"</formula>
    </cfRule>
  </conditionalFormatting>
  <conditionalFormatting sqref="X2688">
    <cfRule type="cellIs" dxfId="299" priority="188" operator="equal">
      <formula>"PROPONENTE PLURAL"</formula>
    </cfRule>
    <cfRule type="cellIs" dxfId="298" priority="189" operator="equal">
      <formula>"PROPONENTE INDIVIDUAL"</formula>
    </cfRule>
  </conditionalFormatting>
  <conditionalFormatting sqref="Z2688:AA2688 AA2682:AA2687">
    <cfRule type="cellIs" dxfId="297" priority="186" operator="equal">
      <formula>"NO APLICA"</formula>
    </cfRule>
    <cfRule type="cellIs" dxfId="296" priority="187" operator="equal">
      <formula>"SI APLICA"</formula>
    </cfRule>
  </conditionalFormatting>
  <conditionalFormatting sqref="AB2682:AB2687 Y2682:Z2687">
    <cfRule type="cellIs" dxfId="295" priority="185" operator="equal">
      <formula>""</formula>
    </cfRule>
  </conditionalFormatting>
  <conditionalFormatting sqref="H2688">
    <cfRule type="containsText" dxfId="294" priority="183" stopIfTrue="1" operator="containsText" text="NO CUMPLE">
      <formula>NOT(ISERROR(SEARCH("NO CUMPLE",H2688)))</formula>
    </cfRule>
    <cfRule type="containsText" dxfId="293" priority="184" stopIfTrue="1" operator="containsText" text="CUMPLE">
      <formula>NOT(ISERROR(SEARCH("CUMPLE",H2688)))</formula>
    </cfRule>
  </conditionalFormatting>
  <conditionalFormatting sqref="J2688">
    <cfRule type="containsText" dxfId="292" priority="181" stopIfTrue="1" operator="containsText" text="NO CUMPLE">
      <formula>NOT(ISERROR(SEARCH("NO CUMPLE",J2688)))</formula>
    </cfRule>
    <cfRule type="containsText" dxfId="291" priority="182" stopIfTrue="1" operator="containsText" text="CUMPLE">
      <formula>NOT(ISERROR(SEARCH("CUMPLE",J2688)))</formula>
    </cfRule>
  </conditionalFormatting>
  <conditionalFormatting sqref="K2688">
    <cfRule type="containsText" dxfId="290" priority="179" stopIfTrue="1" operator="containsText" text="NO CUMPLE">
      <formula>NOT(ISERROR(SEARCH("NO CUMPLE",K2688)))</formula>
    </cfRule>
    <cfRule type="containsText" dxfId="289" priority="180" stopIfTrue="1" operator="containsText" text="CUMPLE">
      <formula>NOT(ISERROR(SEARCH("CUMPLE",K2688)))</formula>
    </cfRule>
  </conditionalFormatting>
  <conditionalFormatting sqref="L2682:L2687">
    <cfRule type="containsText" dxfId="288" priority="177" stopIfTrue="1" operator="containsText" text="NO CUMPLE">
      <formula>NOT(ISERROR(SEARCH("NO CUMPLE",L2682)))</formula>
    </cfRule>
    <cfRule type="containsText" dxfId="287" priority="178" stopIfTrue="1" operator="containsText" text="CUMPLE">
      <formula>NOT(ISERROR(SEARCH("CUMPLE",L2682)))</formula>
    </cfRule>
  </conditionalFormatting>
  <conditionalFormatting sqref="O2687">
    <cfRule type="containsText" dxfId="286" priority="175" stopIfTrue="1" operator="containsText" text="NO CUMPLE">
      <formula>NOT(ISERROR(SEARCH("NO CUMPLE",O2687)))</formula>
    </cfRule>
    <cfRule type="containsText" dxfId="285" priority="176" stopIfTrue="1" operator="containsText" text="CUMPLE">
      <formula>NOT(ISERROR(SEARCH("CUMPLE",O2687)))</formula>
    </cfRule>
  </conditionalFormatting>
  <conditionalFormatting sqref="O2688:S2688">
    <cfRule type="cellIs" dxfId="284" priority="174" operator="equal">
      <formula>"EL PROPONENTE SE DEBE REQUERIR POR EXPERIENCIA MINIMA EXIGIDA"</formula>
    </cfRule>
  </conditionalFormatting>
  <conditionalFormatting sqref="X2676">
    <cfRule type="cellIs" dxfId="283" priority="171" stopIfTrue="1" operator="equal">
      <formula>"VERIFICAR"</formula>
    </cfRule>
    <cfRule type="cellIs" dxfId="282" priority="172" stopIfTrue="1" operator="equal">
      <formula>"NO CUMPLE"</formula>
    </cfRule>
    <cfRule type="cellIs" dxfId="281" priority="173" stopIfTrue="1" operator="equal">
      <formula>"CUMPLE"</formula>
    </cfRule>
  </conditionalFormatting>
  <conditionalFormatting sqref="X2665:Y2674 J2665:J2674">
    <cfRule type="cellIs" dxfId="280" priority="170" stopIfTrue="1" operator="greaterThan">
      <formula>0</formula>
    </cfRule>
  </conditionalFormatting>
  <conditionalFormatting sqref="X2665:Y2674">
    <cfRule type="cellIs" dxfId="279" priority="168" operator="equal">
      <formula>"NO CUMPLE"</formula>
    </cfRule>
    <cfRule type="cellIs" dxfId="278" priority="169" operator="equal">
      <formula>"CUMPLE"</formula>
    </cfRule>
  </conditionalFormatting>
  <conditionalFormatting sqref="N2682:N2687">
    <cfRule type="cellIs" dxfId="277" priority="166" operator="equal">
      <formula>"NO"</formula>
    </cfRule>
    <cfRule type="cellIs" dxfId="276" priority="167" operator="equal">
      <formula>"SI"</formula>
    </cfRule>
  </conditionalFormatting>
  <conditionalFormatting sqref="I2674">
    <cfRule type="cellIs" dxfId="275" priority="165" stopIfTrue="1" operator="greaterThan">
      <formula>0</formula>
    </cfRule>
  </conditionalFormatting>
  <conditionalFormatting sqref="K2668:L2674">
    <cfRule type="cellIs" dxfId="274" priority="163" operator="equal">
      <formula>0</formula>
    </cfRule>
    <cfRule type="cellIs" dxfId="273" priority="164" operator="notBetween">
      <formula>$Q$17</formula>
      <formula>$R$17</formula>
    </cfRule>
  </conditionalFormatting>
  <conditionalFormatting sqref="B2665:B2674">
    <cfRule type="cellIs" dxfId="272" priority="162" stopIfTrue="1" operator="greaterThan">
      <formula>0</formula>
    </cfRule>
  </conditionalFormatting>
  <conditionalFormatting sqref="C2665:D2665 D2666:D2667 C2666:C2674">
    <cfRule type="cellIs" dxfId="271" priority="161" stopIfTrue="1" operator="greaterThan">
      <formula>0</formula>
    </cfRule>
  </conditionalFormatting>
  <conditionalFormatting sqref="C2665:D2665 F2665:H2667 D2666:D2667 C2666:C2674">
    <cfRule type="cellIs" dxfId="270" priority="160" stopIfTrue="1" operator="greaterThan">
      <formula>0</formula>
    </cfRule>
  </conditionalFormatting>
  <conditionalFormatting sqref="T2665:V2667">
    <cfRule type="cellIs" dxfId="269" priority="158" stopIfTrue="1" operator="equal">
      <formula>"NO"</formula>
    </cfRule>
    <cfRule type="cellIs" dxfId="268" priority="159" stopIfTrue="1" operator="equal">
      <formula>"SI"</formula>
    </cfRule>
  </conditionalFormatting>
  <conditionalFormatting sqref="T2665:V2666">
    <cfRule type="cellIs" dxfId="267" priority="157" stopIfTrue="1" operator="equal">
      <formula>"NO APLICA"</formula>
    </cfRule>
  </conditionalFormatting>
  <conditionalFormatting sqref="T2667:U2667">
    <cfRule type="cellIs" dxfId="266" priority="156" stopIfTrue="1" operator="equal">
      <formula>"NO APLICA"</formula>
    </cfRule>
  </conditionalFormatting>
  <conditionalFormatting sqref="T2667:U2667">
    <cfRule type="cellIs" dxfId="265" priority="155" stopIfTrue="1" operator="equal">
      <formula>"NO APLICA"</formula>
    </cfRule>
  </conditionalFormatting>
  <conditionalFormatting sqref="V2667">
    <cfRule type="cellIs" dxfId="264" priority="154" stopIfTrue="1" operator="equal">
      <formula>"NO APLICA"</formula>
    </cfRule>
  </conditionalFormatting>
  <conditionalFormatting sqref="K2665:L2667">
    <cfRule type="cellIs" dxfId="263" priority="152" operator="equal">
      <formula>0</formula>
    </cfRule>
    <cfRule type="cellIs" dxfId="262" priority="153" operator="notBetween">
      <formula>$Q$17</formula>
      <formula>$R$17</formula>
    </cfRule>
  </conditionalFormatting>
  <conditionalFormatting sqref="F2698:H2703 D2704:H2704 I2698:I2704 C2695:D2695 K2695:O2704 F2695:I2697 D2696:D2703 C2696:C2704">
    <cfRule type="cellIs" dxfId="261" priority="151" stopIfTrue="1" operator="greaterThan">
      <formula>0</formula>
    </cfRule>
  </conditionalFormatting>
  <conditionalFormatting sqref="D2698:D2703">
    <cfRule type="cellIs" dxfId="260" priority="150" stopIfTrue="1" operator="greaterThan">
      <formula>0</formula>
    </cfRule>
  </conditionalFormatting>
  <conditionalFormatting sqref="D2698:D2703 F2698:H2703">
    <cfRule type="cellIs" dxfId="259" priority="149" stopIfTrue="1" operator="greaterThan">
      <formula>0</formula>
    </cfRule>
  </conditionalFormatting>
  <conditionalFormatting sqref="H2695:H2703">
    <cfRule type="cellIs" dxfId="258" priority="148" stopIfTrue="1" operator="greaterThan">
      <formula>0</formula>
    </cfRule>
  </conditionalFormatting>
  <conditionalFormatting sqref="E2695:E2703">
    <cfRule type="cellIs" dxfId="257" priority="147" stopIfTrue="1" operator="greaterThan">
      <formula>0</formula>
    </cfRule>
  </conditionalFormatting>
  <conditionalFormatting sqref="M2712:M2717 K2712:K2717">
    <cfRule type="containsText" dxfId="256" priority="145" stopIfTrue="1" operator="containsText" text="NO CUMPLE">
      <formula>NOT(ISERROR(SEARCH("NO CUMPLE",K2712)))</formula>
    </cfRule>
    <cfRule type="containsText" dxfId="255" priority="146" stopIfTrue="1" operator="containsText" text="CUMPLE">
      <formula>NOT(ISERROR(SEARCH("CUMPLE",K2712)))</formula>
    </cfRule>
  </conditionalFormatting>
  <conditionalFormatting sqref="S2711">
    <cfRule type="cellIs" dxfId="254" priority="143" operator="greaterThanOrEqual">
      <formula>NUMMINCONT</formula>
    </cfRule>
    <cfRule type="cellIs" dxfId="253" priority="144" operator="lessThan">
      <formula>NUMMINCONT</formula>
    </cfRule>
  </conditionalFormatting>
  <conditionalFormatting sqref="T2698:V2703">
    <cfRule type="cellIs" dxfId="252" priority="141" stopIfTrue="1" operator="equal">
      <formula>"NO"</formula>
    </cfRule>
    <cfRule type="cellIs" dxfId="251" priority="142" stopIfTrue="1" operator="equal">
      <formula>"SI"</formula>
    </cfRule>
  </conditionalFormatting>
  <conditionalFormatting sqref="T2698:V2699">
    <cfRule type="cellIs" dxfId="250" priority="140" stopIfTrue="1" operator="equal">
      <formula>"NO APLICA"</formula>
    </cfRule>
  </conditionalFormatting>
  <conditionalFormatting sqref="T2700:U2703">
    <cfRule type="cellIs" dxfId="249" priority="139" stopIfTrue="1" operator="equal">
      <formula>"NO APLICA"</formula>
    </cfRule>
  </conditionalFormatting>
  <conditionalFormatting sqref="T2700:U2700">
    <cfRule type="cellIs" dxfId="248" priority="138" stopIfTrue="1" operator="equal">
      <formula>"NO APLICA"</formula>
    </cfRule>
  </conditionalFormatting>
  <conditionalFormatting sqref="V2700:V2703">
    <cfRule type="cellIs" dxfId="247" priority="137" stopIfTrue="1" operator="equal">
      <formula>"NO APLICA"</formula>
    </cfRule>
  </conditionalFormatting>
  <conditionalFormatting sqref="V2709:W2709">
    <cfRule type="cellIs" dxfId="246" priority="135" operator="equal">
      <formula>"CUMPLE"</formula>
    </cfRule>
    <cfRule type="cellIs" dxfId="245" priority="136" operator="equal">
      <formula>"NO CUMPLE"</formula>
    </cfRule>
  </conditionalFormatting>
  <conditionalFormatting sqref="V2709:W2711">
    <cfRule type="cellIs" dxfId="244" priority="134" operator="equal">
      <formula>"VERIFICAR"</formula>
    </cfRule>
  </conditionalFormatting>
  <conditionalFormatting sqref="T2704:V2704">
    <cfRule type="cellIs" dxfId="243" priority="132" stopIfTrue="1" operator="equal">
      <formula>"NO"</formula>
    </cfRule>
    <cfRule type="cellIs" dxfId="242" priority="133" stopIfTrue="1" operator="equal">
      <formula>"SI"</formula>
    </cfRule>
  </conditionalFormatting>
  <conditionalFormatting sqref="T2704:U2704">
    <cfRule type="cellIs" dxfId="241" priority="131" stopIfTrue="1" operator="equal">
      <formula>"NO APLICA"</formula>
    </cfRule>
  </conditionalFormatting>
  <conditionalFormatting sqref="V2704">
    <cfRule type="cellIs" dxfId="240" priority="130" stopIfTrue="1" operator="equal">
      <formula>"NO APLICA"</formula>
    </cfRule>
  </conditionalFormatting>
  <conditionalFormatting sqref="T2714">
    <cfRule type="cellIs" dxfId="239" priority="128" operator="equal">
      <formula>"CUMPLE"</formula>
    </cfRule>
    <cfRule type="cellIs" dxfId="238" priority="129" operator="equal">
      <formula>"NO CUMPLE"</formula>
    </cfRule>
  </conditionalFormatting>
  <conditionalFormatting sqref="T2714">
    <cfRule type="cellIs" dxfId="237" priority="127" operator="equal">
      <formula>"VERIFICAR"</formula>
    </cfRule>
  </conditionalFormatting>
  <conditionalFormatting sqref="Y2712:Y2717">
    <cfRule type="cellIs" dxfId="236" priority="126" stopIfTrue="1" operator="equal">
      <formula>"NO APLICA"</formula>
    </cfRule>
  </conditionalFormatting>
  <conditionalFormatting sqref="Y2717">
    <cfRule type="cellIs" dxfId="235" priority="125" stopIfTrue="1" operator="equal">
      <formula>"NO APLICA"</formula>
    </cfRule>
  </conditionalFormatting>
  <conditionalFormatting sqref="X2712:Y2717">
    <cfRule type="cellIs" dxfId="234" priority="123" stopIfTrue="1" operator="equal">
      <formula>"NO"</formula>
    </cfRule>
    <cfRule type="cellIs" dxfId="233" priority="124" stopIfTrue="1" operator="equal">
      <formula>"SI"</formula>
    </cfRule>
  </conditionalFormatting>
  <conditionalFormatting sqref="X2712:X2717">
    <cfRule type="cellIs" dxfId="232" priority="122" stopIfTrue="1" operator="equal">
      <formula>"NO APLICA"</formula>
    </cfRule>
  </conditionalFormatting>
  <conditionalFormatting sqref="X2713:X2716">
    <cfRule type="cellIs" dxfId="231" priority="121" stopIfTrue="1" operator="equal">
      <formula>"NO APLICA"</formula>
    </cfRule>
  </conditionalFormatting>
  <conditionalFormatting sqref="X2713">
    <cfRule type="cellIs" dxfId="230" priority="120" stopIfTrue="1" operator="equal">
      <formula>"NO APLICA"</formula>
    </cfRule>
  </conditionalFormatting>
  <conditionalFormatting sqref="X2717">
    <cfRule type="cellIs" dxfId="229" priority="119" stopIfTrue="1" operator="equal">
      <formula>"NO APLICA"</formula>
    </cfRule>
  </conditionalFormatting>
  <conditionalFormatting sqref="X2717">
    <cfRule type="cellIs" dxfId="228" priority="118" stopIfTrue="1" operator="equal">
      <formula>"NO APLICA"</formula>
    </cfRule>
  </conditionalFormatting>
  <conditionalFormatting sqref="AA2712:AA2717">
    <cfRule type="cellIs" dxfId="227" priority="117" stopIfTrue="1" operator="equal">
      <formula>"NO APLICA"</formula>
    </cfRule>
  </conditionalFormatting>
  <conditionalFormatting sqref="AA2717">
    <cfRule type="cellIs" dxfId="226" priority="116" stopIfTrue="1" operator="equal">
      <formula>"NO APLICA"</formula>
    </cfRule>
  </conditionalFormatting>
  <conditionalFormatting sqref="AA2712:AA2717">
    <cfRule type="cellIs" dxfId="225" priority="114" stopIfTrue="1" operator="equal">
      <formula>"NO"</formula>
    </cfRule>
    <cfRule type="cellIs" dxfId="224" priority="115" stopIfTrue="1" operator="equal">
      <formula>"SI"</formula>
    </cfRule>
  </conditionalFormatting>
  <conditionalFormatting sqref="Y2712:Z2717">
    <cfRule type="cellIs" dxfId="223" priority="112" operator="equal">
      <formula>"NO APLICA"</formula>
    </cfRule>
    <cfRule type="cellIs" dxfId="222" priority="113" operator="equal">
      <formula>"SI APLICA"</formula>
    </cfRule>
  </conditionalFormatting>
  <conditionalFormatting sqref="AB2712:AB2718">
    <cfRule type="cellIs" dxfId="221" priority="110" operator="equal">
      <formula>"NO APLICA"</formula>
    </cfRule>
    <cfRule type="cellIs" dxfId="220" priority="111" operator="equal">
      <formula>"SI APLICA"</formula>
    </cfRule>
  </conditionalFormatting>
  <conditionalFormatting sqref="X2718">
    <cfRule type="cellIs" dxfId="219" priority="108" operator="equal">
      <formula>"PROPONENTE PLURAL"</formula>
    </cfRule>
    <cfRule type="cellIs" dxfId="218" priority="109" operator="equal">
      <formula>"PROPONENTE INDIVIDUAL"</formula>
    </cfRule>
  </conditionalFormatting>
  <conditionalFormatting sqref="Z2718:AA2718 AA2712:AA2717">
    <cfRule type="cellIs" dxfId="217" priority="106" operator="equal">
      <formula>"NO APLICA"</formula>
    </cfRule>
    <cfRule type="cellIs" dxfId="216" priority="107" operator="equal">
      <formula>"SI APLICA"</formula>
    </cfRule>
  </conditionalFormatting>
  <conditionalFormatting sqref="AB2712:AB2717 Y2712:Z2717">
    <cfRule type="cellIs" dxfId="215" priority="105" operator="equal">
      <formula>""</formula>
    </cfRule>
  </conditionalFormatting>
  <conditionalFormatting sqref="H2718">
    <cfRule type="containsText" dxfId="214" priority="103" stopIfTrue="1" operator="containsText" text="NO CUMPLE">
      <formula>NOT(ISERROR(SEARCH("NO CUMPLE",H2718)))</formula>
    </cfRule>
    <cfRule type="containsText" dxfId="213" priority="104" stopIfTrue="1" operator="containsText" text="CUMPLE">
      <formula>NOT(ISERROR(SEARCH("CUMPLE",H2718)))</formula>
    </cfRule>
  </conditionalFormatting>
  <conditionalFormatting sqref="J2718">
    <cfRule type="containsText" dxfId="212" priority="101" stopIfTrue="1" operator="containsText" text="NO CUMPLE">
      <formula>NOT(ISERROR(SEARCH("NO CUMPLE",J2718)))</formula>
    </cfRule>
    <cfRule type="containsText" dxfId="211" priority="102" stopIfTrue="1" operator="containsText" text="CUMPLE">
      <formula>NOT(ISERROR(SEARCH("CUMPLE",J2718)))</formula>
    </cfRule>
  </conditionalFormatting>
  <conditionalFormatting sqref="K2718">
    <cfRule type="containsText" dxfId="210" priority="99" stopIfTrue="1" operator="containsText" text="NO CUMPLE">
      <formula>NOT(ISERROR(SEARCH("NO CUMPLE",K2718)))</formula>
    </cfRule>
    <cfRule type="containsText" dxfId="209" priority="100" stopIfTrue="1" operator="containsText" text="CUMPLE">
      <formula>NOT(ISERROR(SEARCH("CUMPLE",K2718)))</formula>
    </cfRule>
  </conditionalFormatting>
  <conditionalFormatting sqref="L2712:L2717">
    <cfRule type="containsText" dxfId="208" priority="97" stopIfTrue="1" operator="containsText" text="NO CUMPLE">
      <formula>NOT(ISERROR(SEARCH("NO CUMPLE",L2712)))</formula>
    </cfRule>
    <cfRule type="containsText" dxfId="207" priority="98" stopIfTrue="1" operator="containsText" text="CUMPLE">
      <formula>NOT(ISERROR(SEARCH("CUMPLE",L2712)))</formula>
    </cfRule>
  </conditionalFormatting>
  <conditionalFormatting sqref="O2717">
    <cfRule type="containsText" dxfId="206" priority="95" stopIfTrue="1" operator="containsText" text="NO CUMPLE">
      <formula>NOT(ISERROR(SEARCH("NO CUMPLE",O2717)))</formula>
    </cfRule>
    <cfRule type="containsText" dxfId="205" priority="96" stopIfTrue="1" operator="containsText" text="CUMPLE">
      <formula>NOT(ISERROR(SEARCH("CUMPLE",O2717)))</formula>
    </cfRule>
  </conditionalFormatting>
  <conditionalFormatting sqref="O2718:S2718">
    <cfRule type="cellIs" dxfId="204" priority="94" operator="equal">
      <formula>"EL PROPONENTE SE DEBE REQUERIR POR EXPERIENCIA MINIMA EXIGIDA"</formula>
    </cfRule>
  </conditionalFormatting>
  <conditionalFormatting sqref="X2706">
    <cfRule type="cellIs" dxfId="203" priority="91" stopIfTrue="1" operator="equal">
      <formula>"VERIFICAR"</formula>
    </cfRule>
    <cfRule type="cellIs" dxfId="202" priority="92" stopIfTrue="1" operator="equal">
      <formula>"NO CUMPLE"</formula>
    </cfRule>
    <cfRule type="cellIs" dxfId="201" priority="93" stopIfTrue="1" operator="equal">
      <formula>"CUMPLE"</formula>
    </cfRule>
  </conditionalFormatting>
  <conditionalFormatting sqref="X2695:Y2704 J2695:J2704">
    <cfRule type="cellIs" dxfId="200" priority="90" stopIfTrue="1" operator="greaterThan">
      <formula>0</formula>
    </cfRule>
  </conditionalFormatting>
  <conditionalFormatting sqref="X2695:Y2704">
    <cfRule type="cellIs" dxfId="199" priority="88" operator="equal">
      <formula>"NO CUMPLE"</formula>
    </cfRule>
    <cfRule type="cellIs" dxfId="198" priority="89" operator="equal">
      <formula>"CUMPLE"</formula>
    </cfRule>
  </conditionalFormatting>
  <conditionalFormatting sqref="N2712:N2717">
    <cfRule type="cellIs" dxfId="197" priority="86" operator="equal">
      <formula>"NO"</formula>
    </cfRule>
    <cfRule type="cellIs" dxfId="196" priority="87" operator="equal">
      <formula>"SI"</formula>
    </cfRule>
  </conditionalFormatting>
  <conditionalFormatting sqref="I2704">
    <cfRule type="cellIs" dxfId="195" priority="85" stopIfTrue="1" operator="greaterThan">
      <formula>0</formula>
    </cfRule>
  </conditionalFormatting>
  <conditionalFormatting sqref="K2698:L2704">
    <cfRule type="cellIs" dxfId="194" priority="83" operator="equal">
      <formula>0</formula>
    </cfRule>
    <cfRule type="cellIs" dxfId="193" priority="84" operator="notBetween">
      <formula>$Q$17</formula>
      <formula>$R$17</formula>
    </cfRule>
  </conditionalFormatting>
  <conditionalFormatting sqref="B2695:B2704">
    <cfRule type="cellIs" dxfId="192" priority="82" stopIfTrue="1" operator="greaterThan">
      <formula>0</formula>
    </cfRule>
  </conditionalFormatting>
  <conditionalFormatting sqref="C2695:D2695 D2696:D2697 C2696:C2704">
    <cfRule type="cellIs" dxfId="191" priority="81" stopIfTrue="1" operator="greaterThan">
      <formula>0</formula>
    </cfRule>
  </conditionalFormatting>
  <conditionalFormatting sqref="C2695:D2695 F2695:H2697 D2696:D2697 C2696:C2704">
    <cfRule type="cellIs" dxfId="190" priority="80" stopIfTrue="1" operator="greaterThan">
      <formula>0</formula>
    </cfRule>
  </conditionalFormatting>
  <conditionalFormatting sqref="T2695:V2697">
    <cfRule type="cellIs" dxfId="189" priority="78" stopIfTrue="1" operator="equal">
      <formula>"NO"</formula>
    </cfRule>
    <cfRule type="cellIs" dxfId="188" priority="79" stopIfTrue="1" operator="equal">
      <formula>"SI"</formula>
    </cfRule>
  </conditionalFormatting>
  <conditionalFormatting sqref="T2695:V2696">
    <cfRule type="cellIs" dxfId="187" priority="77" stopIfTrue="1" operator="equal">
      <formula>"NO APLICA"</formula>
    </cfRule>
  </conditionalFormatting>
  <conditionalFormatting sqref="T2697:U2697">
    <cfRule type="cellIs" dxfId="186" priority="76" stopIfTrue="1" operator="equal">
      <formula>"NO APLICA"</formula>
    </cfRule>
  </conditionalFormatting>
  <conditionalFormatting sqref="T2697:U2697">
    <cfRule type="cellIs" dxfId="185" priority="75" stopIfTrue="1" operator="equal">
      <formula>"NO APLICA"</formula>
    </cfRule>
  </conditionalFormatting>
  <conditionalFormatting sqref="V2697">
    <cfRule type="cellIs" dxfId="184" priority="74" stopIfTrue="1" operator="equal">
      <formula>"NO APLICA"</formula>
    </cfRule>
  </conditionalFormatting>
  <conditionalFormatting sqref="K2695:L2697">
    <cfRule type="cellIs" dxfId="183" priority="72" operator="equal">
      <formula>0</formula>
    </cfRule>
    <cfRule type="cellIs" dxfId="182" priority="73" operator="notBetween">
      <formula>$Q$17</formula>
      <formula>$R$17</formula>
    </cfRule>
  </conditionalFormatting>
  <conditionalFormatting sqref="D144">
    <cfRule type="cellIs" dxfId="181" priority="71" stopIfTrue="1" operator="greaterThan">
      <formula>0</formula>
    </cfRule>
  </conditionalFormatting>
  <conditionalFormatting sqref="D145">
    <cfRule type="cellIs" dxfId="180" priority="70" stopIfTrue="1" operator="greaterThan">
      <formula>0</formula>
    </cfRule>
  </conditionalFormatting>
  <conditionalFormatting sqref="M2065:M2068">
    <cfRule type="cellIs" dxfId="179" priority="69" stopIfTrue="1" operator="greaterThan">
      <formula>0</formula>
    </cfRule>
  </conditionalFormatting>
  <conditionalFormatting sqref="C264:C268">
    <cfRule type="cellIs" dxfId="178" priority="68" stopIfTrue="1" operator="greaterThan">
      <formula>0</formula>
    </cfRule>
  </conditionalFormatting>
  <conditionalFormatting sqref="F864:I868 K864:L868 C864:D868">
    <cfRule type="cellIs" dxfId="177" priority="67" stopIfTrue="1" operator="greaterThan">
      <formula>0</formula>
    </cfRule>
  </conditionalFormatting>
  <conditionalFormatting sqref="D867:D868">
    <cfRule type="cellIs" dxfId="176" priority="66" stopIfTrue="1" operator="greaterThan">
      <formula>0</formula>
    </cfRule>
  </conditionalFormatting>
  <conditionalFormatting sqref="D867:D868 F867:H868">
    <cfRule type="cellIs" dxfId="175" priority="65" stopIfTrue="1" operator="greaterThan">
      <formula>0</formula>
    </cfRule>
  </conditionalFormatting>
  <conditionalFormatting sqref="H864:H868">
    <cfRule type="cellIs" dxfId="174" priority="64" stopIfTrue="1" operator="greaterThan">
      <formula>0</formula>
    </cfRule>
  </conditionalFormatting>
  <conditionalFormatting sqref="E864:E868">
    <cfRule type="cellIs" dxfId="173" priority="63" stopIfTrue="1" operator="greaterThan">
      <formula>0</formula>
    </cfRule>
  </conditionalFormatting>
  <conditionalFormatting sqref="J864:J868">
    <cfRule type="cellIs" dxfId="172" priority="62" stopIfTrue="1" operator="greaterThan">
      <formula>0</formula>
    </cfRule>
  </conditionalFormatting>
  <conditionalFormatting sqref="K867:L868">
    <cfRule type="cellIs" dxfId="171" priority="60" operator="equal">
      <formula>0</formula>
    </cfRule>
    <cfRule type="cellIs" dxfId="170" priority="61" operator="notBetween">
      <formula>$Q$17</formula>
      <formula>$R$17</formula>
    </cfRule>
  </conditionalFormatting>
  <conditionalFormatting sqref="C864:D864 D865:D866 C865:C868">
    <cfRule type="cellIs" dxfId="169" priority="59" stopIfTrue="1" operator="greaterThan">
      <formula>0</formula>
    </cfRule>
  </conditionalFormatting>
  <conditionalFormatting sqref="C864:D864 F864:H866 D865:D866 C865:C868">
    <cfRule type="cellIs" dxfId="168" priority="58" stopIfTrue="1" operator="greaterThan">
      <formula>0</formula>
    </cfRule>
  </conditionalFormatting>
  <conditionalFormatting sqref="K864:L866">
    <cfRule type="cellIs" dxfId="167" priority="56" operator="equal">
      <formula>0</formula>
    </cfRule>
    <cfRule type="cellIs" dxfId="166" priority="57" operator="notBetween">
      <formula>$Q$17</formula>
      <formula>$R$17</formula>
    </cfRule>
  </conditionalFormatting>
  <conditionalFormatting sqref="E834:I834 C835:I835 K834:O835">
    <cfRule type="cellIs" dxfId="165" priority="55" stopIfTrue="1" operator="greaterThan">
      <formula>0</formula>
    </cfRule>
  </conditionalFormatting>
  <conditionalFormatting sqref="J834:J835">
    <cfRule type="cellIs" dxfId="164" priority="54" stopIfTrue="1" operator="greaterThan">
      <formula>0</formula>
    </cfRule>
  </conditionalFormatting>
  <conditionalFormatting sqref="K834:L834">
    <cfRule type="cellIs" dxfId="163" priority="52" operator="equal">
      <formula>0</formula>
    </cfRule>
    <cfRule type="cellIs" dxfId="162" priority="53" operator="notBetween">
      <formula>$Q$17</formula>
      <formula>$R$17</formula>
    </cfRule>
  </conditionalFormatting>
  <conditionalFormatting sqref="C834:D834">
    <cfRule type="cellIs" dxfId="161" priority="51" stopIfTrue="1" operator="greaterThan">
      <formula>0</formula>
    </cfRule>
  </conditionalFormatting>
  <conditionalFormatting sqref="C834:D834">
    <cfRule type="cellIs" dxfId="160" priority="50" stopIfTrue="1" operator="greaterThan">
      <formula>0</formula>
    </cfRule>
  </conditionalFormatting>
  <conditionalFormatting sqref="C834:D834">
    <cfRule type="cellIs" dxfId="159" priority="49" stopIfTrue="1" operator="greaterThan">
      <formula>0</formula>
    </cfRule>
  </conditionalFormatting>
  <conditionalFormatting sqref="T834:V835">
    <cfRule type="cellIs" dxfId="158" priority="47" stopIfTrue="1" operator="equal">
      <formula>"NO"</formula>
    </cfRule>
    <cfRule type="cellIs" dxfId="157" priority="48" stopIfTrue="1" operator="equal">
      <formula>"SI"</formula>
    </cfRule>
  </conditionalFormatting>
  <conditionalFormatting sqref="T834:V835">
    <cfRule type="cellIs" dxfId="156" priority="46" stopIfTrue="1" operator="equal">
      <formula>"NO APLICA"</formula>
    </cfRule>
  </conditionalFormatting>
  <conditionalFormatting sqref="K835:L835">
    <cfRule type="cellIs" dxfId="155" priority="44" operator="equal">
      <formula>0</formula>
    </cfRule>
    <cfRule type="cellIs" dxfId="154" priority="45" operator="notBetween">
      <formula>$Q$17</formula>
      <formula>$R$17</formula>
    </cfRule>
  </conditionalFormatting>
  <conditionalFormatting sqref="J1408:J1414">
    <cfRule type="cellIs" dxfId="153" priority="42" stopIfTrue="1" operator="greaterThan">
      <formula>0</formula>
    </cfRule>
  </conditionalFormatting>
  <conditionalFormatting sqref="J2069:J2074">
    <cfRule type="cellIs" dxfId="152" priority="41" stopIfTrue="1" operator="greaterThan">
      <formula>0</formula>
    </cfRule>
  </conditionalFormatting>
  <conditionalFormatting sqref="J2069:J2073">
    <cfRule type="cellIs" dxfId="151" priority="40" stopIfTrue="1" operator="greaterThan">
      <formula>0</formula>
    </cfRule>
  </conditionalFormatting>
  <conditionalFormatting sqref="J2069:J2073">
    <cfRule type="cellIs" dxfId="150" priority="39" stopIfTrue="1" operator="greaterThan">
      <formula>0</formula>
    </cfRule>
  </conditionalFormatting>
  <conditionalFormatting sqref="C324">
    <cfRule type="cellIs" dxfId="149" priority="38" stopIfTrue="1" operator="greaterThan">
      <formula>0</formula>
    </cfRule>
  </conditionalFormatting>
  <conditionalFormatting sqref="AB1728">
    <cfRule type="cellIs" dxfId="148" priority="36" operator="equal">
      <formula>"NO APLICA"</formula>
    </cfRule>
    <cfRule type="cellIs" dxfId="147" priority="37" operator="equal">
      <formula>"SI APLICA"</formula>
    </cfRule>
  </conditionalFormatting>
  <conditionalFormatting sqref="Z1728:AA1728">
    <cfRule type="cellIs" dxfId="146" priority="34" operator="equal">
      <formula>"NO APLICA"</formula>
    </cfRule>
    <cfRule type="cellIs" dxfId="145" priority="35" operator="equal">
      <formula>"SI APLICA"</formula>
    </cfRule>
  </conditionalFormatting>
  <conditionalFormatting sqref="N534">
    <cfRule type="cellIs" dxfId="144" priority="33" stopIfTrue="1" operator="greaterThan">
      <formula>0</formula>
    </cfRule>
  </conditionalFormatting>
  <conditionalFormatting sqref="H1938">
    <cfRule type="containsText" dxfId="143" priority="31" stopIfTrue="1" operator="containsText" text="NO CUMPLE">
      <formula>NOT(ISERROR(SEARCH("NO CUMPLE",H1938)))</formula>
    </cfRule>
    <cfRule type="containsText" dxfId="142" priority="32" stopIfTrue="1" operator="containsText" text="CUMPLE">
      <formula>NOT(ISERROR(SEARCH("CUMPLE",H1938)))</formula>
    </cfRule>
  </conditionalFormatting>
  <conditionalFormatting sqref="J1938">
    <cfRule type="containsText" dxfId="141" priority="29" stopIfTrue="1" operator="containsText" text="NO CUMPLE">
      <formula>NOT(ISERROR(SEARCH("NO CUMPLE",J1938)))</formula>
    </cfRule>
    <cfRule type="containsText" dxfId="140" priority="30" stopIfTrue="1" operator="containsText" text="CUMPLE">
      <formula>NOT(ISERROR(SEARCH("CUMPLE",J1938)))</formula>
    </cfRule>
  </conditionalFormatting>
  <conditionalFormatting sqref="K1938">
    <cfRule type="containsText" dxfId="139" priority="27" stopIfTrue="1" operator="containsText" text="NO CUMPLE">
      <formula>NOT(ISERROR(SEARCH("NO CUMPLE",K1938)))</formula>
    </cfRule>
    <cfRule type="containsText" dxfId="138" priority="28" stopIfTrue="1" operator="containsText" text="CUMPLE">
      <formula>NOT(ISERROR(SEARCH("CUMPLE",K1938)))</formula>
    </cfRule>
  </conditionalFormatting>
  <conditionalFormatting sqref="C1945:D1945 F1945:G1945">
    <cfRule type="cellIs" dxfId="137" priority="26" stopIfTrue="1" operator="greaterThan">
      <formula>0</formula>
    </cfRule>
  </conditionalFormatting>
  <conditionalFormatting sqref="E1945">
    <cfRule type="cellIs" dxfId="136" priority="25" stopIfTrue="1" operator="greaterThan">
      <formula>0</formula>
    </cfRule>
  </conditionalFormatting>
  <conditionalFormatting sqref="C1945:D1945">
    <cfRule type="cellIs" dxfId="135" priority="24" stopIfTrue="1" operator="greaterThan">
      <formula>0</formula>
    </cfRule>
  </conditionalFormatting>
  <conditionalFormatting sqref="C1945:D1945 F1945:G1945">
    <cfRule type="cellIs" dxfId="134" priority="23" stopIfTrue="1" operator="greaterThan">
      <formula>0</formula>
    </cfRule>
  </conditionalFormatting>
  <conditionalFormatting sqref="T1287">
    <cfRule type="cellIs" dxfId="133" priority="18" stopIfTrue="1" operator="equal">
      <formula>"NO APLICA"</formula>
    </cfRule>
  </conditionalFormatting>
  <conditionalFormatting sqref="T1288">
    <cfRule type="cellIs" dxfId="132" priority="16" stopIfTrue="1" operator="equal">
      <formula>"NO"</formula>
    </cfRule>
    <cfRule type="cellIs" dxfId="131" priority="17" stopIfTrue="1" operator="equal">
      <formula>"SI"</formula>
    </cfRule>
  </conditionalFormatting>
  <conditionalFormatting sqref="T1288">
    <cfRule type="cellIs" dxfId="130" priority="15" stopIfTrue="1" operator="equal">
      <formula>"NO APLICA"</formula>
    </cfRule>
  </conditionalFormatting>
  <conditionalFormatting sqref="T1289">
    <cfRule type="cellIs" dxfId="129" priority="13" stopIfTrue="1" operator="equal">
      <formula>"NO"</formula>
    </cfRule>
    <cfRule type="cellIs" dxfId="128" priority="14" stopIfTrue="1" operator="equal">
      <formula>"SI"</formula>
    </cfRule>
  </conditionalFormatting>
  <conditionalFormatting sqref="T1289">
    <cfRule type="cellIs" dxfId="127" priority="12" stopIfTrue="1" operator="equal">
      <formula>"NO APLICA"</formula>
    </cfRule>
  </conditionalFormatting>
  <conditionalFormatting sqref="V1287">
    <cfRule type="cellIs" dxfId="126" priority="11" stopIfTrue="1" operator="equal">
      <formula>"NO APLICA"</formula>
    </cfRule>
  </conditionalFormatting>
  <conditionalFormatting sqref="V1288">
    <cfRule type="cellIs" dxfId="125" priority="9" stopIfTrue="1" operator="equal">
      <formula>"NO"</formula>
    </cfRule>
    <cfRule type="cellIs" dxfId="124" priority="10" stopIfTrue="1" operator="equal">
      <formula>"SI"</formula>
    </cfRule>
  </conditionalFormatting>
  <conditionalFormatting sqref="V1288">
    <cfRule type="cellIs" dxfId="123" priority="8" stopIfTrue="1" operator="equal">
      <formula>"NO APLICA"</formula>
    </cfRule>
  </conditionalFormatting>
  <conditionalFormatting sqref="V1289">
    <cfRule type="cellIs" dxfId="122" priority="6" stopIfTrue="1" operator="equal">
      <formula>"NO"</formula>
    </cfRule>
    <cfRule type="cellIs" dxfId="121" priority="7" stopIfTrue="1" operator="equal">
      <formula>"SI"</formula>
    </cfRule>
  </conditionalFormatting>
  <conditionalFormatting sqref="V1289">
    <cfRule type="cellIs" dxfId="120" priority="5" stopIfTrue="1" operator="equal">
      <formula>"NO APLICA"</formula>
    </cfRule>
  </conditionalFormatting>
  <conditionalFormatting sqref="T1856:U1856">
    <cfRule type="cellIs" dxfId="119" priority="4" stopIfTrue="1" operator="equal">
      <formula>"NO APLICA"</formula>
    </cfRule>
  </conditionalFormatting>
  <conditionalFormatting sqref="T1856:U1856">
    <cfRule type="cellIs" dxfId="118" priority="3" stopIfTrue="1" operator="equal">
      <formula>"NO APLICA"</formula>
    </cfRule>
  </conditionalFormatting>
  <conditionalFormatting sqref="T896:V896">
    <cfRule type="cellIs" dxfId="117" priority="2" stopIfTrue="1" operator="equal">
      <formula>"NO APLICA"</formula>
    </cfRule>
  </conditionalFormatting>
  <conditionalFormatting sqref="T896:V896">
    <cfRule type="cellIs" dxfId="116" priority="1" stopIfTrue="1" operator="equal">
      <formula>"NO APLICA"</formula>
    </cfRule>
  </conditionalFormatting>
  <dataValidations xWindow="537" yWindow="570" count="6">
    <dataValidation type="list" allowBlank="1" showInputMessage="1" showErrorMessage="1" sqref="AA41:AA46 AA71:AA76 AA101:AA106 AA131:AA136 AA161:AA166 AA191:AA196 AA221:AA226 AA251:AA256 AA281:AA286 AA311:AA316 AA341:AA346 AA371:AA376 AA401:AA406 AA431:AA436 AA461:AA466 AA491:AA496 AA521:AA526 AA551:AA556 AA581:AA586 AA611:AA616 AA641:AA646 AA671:AA676 AA701:AA706 AA731:AA736 AA761:AA766 AA791:AA796 AA821:AA826 AA851:AA856 AA881:AA886 AA912:AA917 AA942:AA947 AA972:AA977 AA1002:AA1007 AA1032:AA1037 AA1062:AA1067 AA1092:AA1097 AA1122:AA1127 AA1152:AA1157 AA1182:AA1187 AA1212:AA1217 AA1242:AA1247 AA1272:AA1277 AA1302:AA1307 AA1332:AA1337 AA1362:AA1367 AA1392:AA1397 AA1422:AA1427 AA1452:AA1457 AA1482:AA1487 AA1512:AA1517 AA1542:AA1547 AA1572:AA1577 AA1602:AA1607 AA1632:AA1637 AA1662:AA1667 AA1692:AA1697 AA1722:AA1727 AA1752:AA1757 AA1782:AA1787 AA1812:AA1817 AA1842:AA1847 AA2712:AA2717 AA1902:AA1907 AA1872:AA1877 AA1962:AA1967 AA1992:AA1997 AA2022:AA2027 AA2052:AA2057 AA2082:AA2087 AA2112:AA2117 AA2142:AA2147 AA2172:AA2177 AA2202:AA2207 AA2232:AA2237 AA2262:AA2267 AA2292:AA2297 AA2322:AA2327 AA2352:AA2357 AA2382:AA2387 AA2412:AA2417 AA2442:AA2447 AA2472:AA2477 AA2502:AA2507 AA2532:AA2537 AA2562:AA2567 AA2592:AA2597 AA2622:AA2627 AA2652:AA2657 AA2682:AA2687 AA1932:AA1937" xr:uid="{500F2007-4B29-4FD9-949F-A4D10F1F98C7}">
      <formula1>DISCAPACITADOS</formula1>
    </dataValidation>
    <dataValidation type="decimal" allowBlank="1" showInputMessage="1" showErrorMessage="1" sqref="X41 X71 X101 X131 X161 X191 X221 X251 X281 X311 X341 X371 X401 X431 X461 X491 X521 X551 X581 X611 X641 X671 X701 X731 X761 X791 X821 X851 X881 X912 X942 X972 X1002 X1032 X1062 X1092 X1122 X1152 X1182 X1212 X1242 X1272 X1302 X1332 X1362 X1392 X1422 X1452 X1482 X1512 X1542 X1572 X1602 X1632 X1662 X1692 X1722 X1752 X1782 X1812 X1842 X1872 X1902 X1932 X1962 X1992 X2022 X2052 X2082 X2112 X2142 X2172 X2202 X2232 X2262 X2292 X2322 X2352 X2382 X2412 X2442 X2472 X2502 X2532 X2562 X2592 X2622 X2652 X2682 X2712" xr:uid="{53706660-F454-4062-9AD2-7D5E38308DBE}">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2712:N2717 N791:N796 N821:N826 N851:N856 N881:N886 N912:N917 N942:N947 N972:N977 N1002:N1007 N1032:N1037 N1062:N1067 N1092:N1097 N1122:N1127 N1152:N1157 N1182:N1187 N1212:N1217 N1242:N1247 N1272:N1277 N1302:N1307 N1332:N1337 N1362:N1367 N1392:N1397 N1422:N1427 N1452:N1457 N1482:N1487 N1512:N1517 N1542:N1547 N1572:N1577 N1602:N1607 N1632:N1637 N1662:N1667 N1692:N1697 N1722:N1727 N1752:N1757 N1782:N1787 N1812:N1817 N1842:N1847 N1872:N1877 N1902:N1907 N1932:N1937 N1962:N1967 N1992:N1997 N2022:N2027 N2052:N2057 N2082:N2087 N2112:N2117 N2142:N2147 N2172:N2177 N2202:N2207 N2232:N2237 N2262:N2267 N2292:N2297 N2322:N2327 N2352:N2357 N2382:N2387 N2412:N2417 N2442:N2447 N2472:N2477 N2502:N2507 N2532:N2537 N2562:N2567 N2592:N2597 N2622:N2627 N2652:N2657 N2682:N2687 N761:N766" xr:uid="{4AD37633-42ED-40C0-B7D7-D54BAB734E5B}">
      <formula1>CONDCUMEXP</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9:V911 V939:V941 V969:V971 V999:V1001 V1029:V1031 V1059:V1061 V1089:V1091 V1119:V1121 V1149:V1151 V1179:V1181 V1209:V1211 V1239:V1241 V1269:V1271 V1299:V1301 V1329:V1331 V1359:V1361 V1389:V1391 V1419:V1421 V1449:V1451 V1479:V1481 V1509:V1511 V1539:V1541 V1569:V1571 V1599:V1601 V1629:V1631 V1659:V1661 V1689:V1691 V1719:V1721 V1749:V1751 V1779:V1781 V1809:V1811 V1839:V1841 V1869:V1871 V1899:V1901 V1929:V1931 V1959:V1961 V1989:V1991 V2019:V2021 V2049:V2051 V2079:V2081 V2109:V2111 V2139:V2141 V2169:V2171 V2199:V2201 V2229:V2231 V2259:V2261 V2289:V2291 V2319:V2321 V2349:V2351 V2379:V2381 V2409:V2411 V2439:V2441 V2469:V2471 V2499:V2501 V2529:V2531 V2559:V2561 V2589:V2591 V2619:V2621 V2649:V2651 V2679:V2681 V2709:V2711" xr:uid="{5F2516F8-64D6-4B89-856A-E20F040A9861}">
      <formula1>-0.0000007</formula1>
      <formula2>0.0000007</formula2>
    </dataValidation>
    <dataValidation type="list" allowBlank="1" showInputMessage="1" showErrorMessage="1" sqref="X24:X33 X54:X63 X84:X93 X114:X123 X144:X153 X174:X183 X204:X213 X234:X243 X264:X273 X294:X303 X324:X333 X354:X363 X384:X393 X414:X423 X444:X453 X474:X483 X504:X513 X534:X543 X564:X573 X594:X603 X624:X633 X654:X663 X684:X693 X714:X723 X744:X753 X774:X783 X804:X813 X834:X843 X864:X873 X1855:X1864 X925:X934 X955:X964 X985:X994 X1015:X1024 X1045:X1054 X1075:X1084 X1105:X1114 X1135:X1144 X1165:X1174 X1195:X1204 X1225:X1234 X1255:X1264 X1285:X1294 X1315:X1324 X1345:X1354 X1375:X1384 X2695:X2704 X1435:X1444 X1465:X1474 X1495:X1504 X1525:X1534 X1555:X1564 X1585:X1594 X1615:X1624 X1645:X1654 X1675:X1684 X1705:X1714 X1735:X1744 X1765:X1774 X1795:X1804 X1825:X1834 X1405:X1414 X1885:X1894 X1915:X1924 X1945:X1954 X1975:X1984 X2005:X2014 X2035:X2044 X2065:X2074 X2095:X2104 X2125:X2134 X2155:X2164 X2185:X2194 X2215:X2224 X2245:X2254 X2275:X2284 X2305:X2314 X2335:X2344 X2365:X2374 X2395:X2404 X2425:X2434 X2455:X2464 X2485:X2494 X2515:X2524 X2545:X2554 X2575:X2584 X2605:X2614 X2635:X2644 X2665:X2674 X894:X904" xr:uid="{E95FB528-3854-43C8-AE45-1F91ED43B71C}">
      <formula1>TIPODEVIA</formula1>
    </dataValidation>
    <dataValidation type="list" allowBlank="1" showInputMessage="1" showErrorMessage="1" sqref="Y24:Y33 Y54:Y63 Y84:Y93 Y114:Y123 Y144:Y153 Y174:Y183 Y204:Y213 Y234:Y243 Y264:Y273 Y294:Y303 Y324:Y333 Y354:Y363 Y384:Y393 Y414:Y423 Y444:Y453 Y474:Y483 Y504:Y513 Y534:Y543 Y564:Y573 Y594:Y603 Y624:Y633 Y654:Y663 Y684:Y693 Y714:Y723 Y744:Y753 Y774:Y783 Y804:Y813 Y834:Y843 Y864:Y873 Y1855:Y1864 Y925:Y934 Y955:Y964 Y985:Y994 Y1015:Y1024 Y1045:Y1054 Y1075:Y1084 Y1105:Y1114 Y1135:Y1144 Y1165:Y1174 Y1195:Y1204 Y1225:Y1234 Y1255:Y1264 Y1285:Y1294 Y1315:Y1324 Y1345:Y1354 Y1375:Y1384 Y2695:Y2704 Y1435:Y1444 Y1465:Y1474 Y1495:Y1504 Y1525:Y1534 Y1555:Y1564 Y1585:Y1594 Y1615:Y1624 Y1645:Y1654 Y1675:Y1684 Y1705:Y1714 Y1735:Y1744 Y1765:Y1774 Y1795:Y1804 Y1825:Y1834 Y1405:Y1414 Y1885:Y1894 Y1915:Y1924 Y1945:Y1954 Y1975:Y1984 Y2005:Y2014 Y2035:Y2044 Y2065:Y2074 Y2095:Y2104 Y2125:Y2134 Y2155:Y2164 Y2185:Y2194 Y2215:Y2224 Y2245:Y2254 Y2275:Y2284 Y2305:Y2314 Y2335:Y2344 Y2365:Y2374 Y2395:Y2404 Y2425:Y2434 Y2455:Y2464 Y2485:Y2494 Y2515:Y2524 Y2545:Y2554 Y2575:Y2584 Y2605:Y2614 Y2635:Y2644 Y2665:Y2674 Y894:Y904" xr:uid="{D4D39B2B-DCAF-49EA-9185-FCA98E310598}">
      <formula1>TIPOPAVIMENTO</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rgb="FFFF0000"/>
    <pageSetUpPr fitToPage="1"/>
  </sheetPr>
  <dimension ref="A1:H411"/>
  <sheetViews>
    <sheetView showGridLines="0" zoomScale="112" zoomScaleNormal="112" workbookViewId="0">
      <selection activeCell="F102" sqref="F102"/>
    </sheetView>
  </sheetViews>
  <sheetFormatPr baseColWidth="10" defaultColWidth="0" defaultRowHeight="15" zeroHeight="1"/>
  <cols>
    <col min="1" max="1" width="3.85546875" style="128" customWidth="1"/>
    <col min="2" max="2" width="6.7109375" style="128" customWidth="1"/>
    <col min="3" max="3" width="12" style="128" bestFit="1" customWidth="1"/>
    <col min="4" max="4" width="65.7109375" style="128" bestFit="1" customWidth="1"/>
    <col min="5" max="5" width="17" style="128" bestFit="1" customWidth="1"/>
    <col min="6" max="6" width="13.42578125" style="128" bestFit="1" customWidth="1"/>
    <col min="7" max="7" width="8.85546875" style="128" bestFit="1" customWidth="1"/>
    <col min="8" max="8" width="11.42578125" style="128" customWidth="1"/>
    <col min="9" max="16384" width="11.42578125" style="128" hidden="1"/>
  </cols>
  <sheetData>
    <row r="1" spans="1:7" s="4" customFormat="1" ht="15" customHeight="1">
      <c r="A1" s="121"/>
      <c r="B1" s="121"/>
      <c r="C1" s="850" t="str">
        <f>PROPONENTES!B1</f>
        <v>INSTITUTO NACIONAL DE VÍAS</v>
      </c>
      <c r="D1" s="850"/>
      <c r="E1" s="850"/>
      <c r="F1" s="850"/>
    </row>
    <row r="2" spans="1:7" s="2" customFormat="1" ht="15" customHeight="1">
      <c r="A2" s="123"/>
      <c r="B2" s="123"/>
      <c r="C2" s="850" t="str">
        <f>PROPONENTES!B2</f>
        <v>DIRECCIÓN GENERAL</v>
      </c>
      <c r="D2" s="850"/>
      <c r="E2" s="850"/>
      <c r="F2" s="850"/>
    </row>
    <row r="3" spans="1:7" s="2" customFormat="1" ht="15" customHeight="1">
      <c r="A3" s="123"/>
      <c r="B3" s="123"/>
      <c r="C3" s="850" t="str">
        <f>PROPONENTES!B3</f>
        <v>DIRECCION JURIDICA</v>
      </c>
      <c r="D3" s="850"/>
      <c r="E3" s="850"/>
      <c r="F3" s="850"/>
    </row>
    <row r="4" spans="1:7" s="2" customFormat="1" ht="12.75" customHeight="1">
      <c r="A4" s="123"/>
      <c r="B4" s="123"/>
      <c r="C4" s="850" t="str">
        <f>PROPONENTES!B4</f>
        <v>TERRITORIAL TOLIMA</v>
      </c>
      <c r="D4" s="850"/>
      <c r="E4" s="850"/>
      <c r="F4" s="850"/>
    </row>
    <row r="5" spans="1:7" s="2" customFormat="1" ht="12.75">
      <c r="A5" s="123"/>
      <c r="B5" s="122"/>
      <c r="C5" s="122"/>
      <c r="D5" s="3"/>
      <c r="E5" s="57"/>
      <c r="F5" s="57"/>
    </row>
    <row r="6" spans="1:7" s="2" customFormat="1" ht="12.75">
      <c r="A6" s="123"/>
      <c r="B6" s="123"/>
      <c r="C6" s="850" t="str">
        <f>+PROPONENTES!B6</f>
        <v>CONCURSO DE MÉRITOS ABIERTO</v>
      </c>
      <c r="D6" s="850"/>
      <c r="E6" s="850"/>
      <c r="F6" s="850"/>
    </row>
    <row r="7" spans="1:7" s="2" customFormat="1" ht="12.75">
      <c r="A7" s="123"/>
      <c r="B7" s="123"/>
      <c r="C7" s="850" t="str">
        <f>PROPONENTES!B7</f>
        <v>CMA-DT-TOL-001-2022</v>
      </c>
      <c r="D7" s="850"/>
      <c r="E7" s="850"/>
      <c r="F7" s="850"/>
    </row>
    <row r="8" spans="1:7" s="2" customFormat="1" ht="12.75" customHeight="1">
      <c r="A8" s="123"/>
      <c r="B8" s="122"/>
      <c r="C8" s="122"/>
      <c r="D8" s="3"/>
      <c r="E8" s="57"/>
      <c r="F8" s="57"/>
    </row>
    <row r="9" spans="1:7"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c r="F9" s="850"/>
    </row>
    <row r="10" spans="1:7" s="2" customFormat="1" ht="12.75" customHeight="1">
      <c r="A10" s="123"/>
      <c r="B10" s="122"/>
      <c r="C10" s="122"/>
      <c r="D10" s="3"/>
      <c r="E10" s="57"/>
      <c r="F10" s="57"/>
    </row>
    <row r="11" spans="1:7" s="2" customFormat="1" ht="12.75">
      <c r="A11" s="123"/>
      <c r="B11" s="123"/>
      <c r="C11" s="851"/>
      <c r="D11" s="851"/>
      <c r="E11" s="851"/>
      <c r="F11" s="851"/>
    </row>
    <row r="12" spans="1:7" s="2" customFormat="1" ht="15.75">
      <c r="A12" s="123"/>
      <c r="B12" s="124"/>
      <c r="C12" s="124"/>
      <c r="D12" s="125"/>
      <c r="E12" s="57"/>
      <c r="F12" s="57"/>
    </row>
    <row r="13" spans="1:7" s="2" customFormat="1" ht="12.75">
      <c r="A13" s="123"/>
      <c r="B13" s="123"/>
      <c r="C13" s="693" t="s">
        <v>1098</v>
      </c>
      <c r="D13" s="693"/>
      <c r="E13" s="693"/>
      <c r="F13" s="693"/>
    </row>
    <row r="14" spans="1:7">
      <c r="A14" s="126"/>
      <c r="B14" s="126"/>
      <c r="C14" s="693" t="s">
        <v>1099</v>
      </c>
      <c r="D14" s="693"/>
      <c r="E14" s="693"/>
      <c r="F14" s="693"/>
    </row>
    <row r="15" spans="1:7" ht="15.75" thickBot="1"/>
    <row r="16" spans="1:7" ht="24" customHeight="1" thickTop="1">
      <c r="B16" s="848" t="s">
        <v>37</v>
      </c>
      <c r="C16" s="848" t="s">
        <v>1100</v>
      </c>
      <c r="D16" s="852" t="s">
        <v>139</v>
      </c>
      <c r="E16" s="569" t="s">
        <v>1101</v>
      </c>
      <c r="F16" s="655" t="s">
        <v>1102</v>
      </c>
      <c r="G16" s="666" t="s">
        <v>1103</v>
      </c>
    </row>
    <row r="17" spans="2:7" ht="24" customHeight="1" thickBot="1">
      <c r="B17" s="849"/>
      <c r="C17" s="849"/>
      <c r="D17" s="853"/>
      <c r="E17" s="570" t="s">
        <v>1104</v>
      </c>
      <c r="F17" s="656" t="s">
        <v>29</v>
      </c>
      <c r="G17" s="667"/>
    </row>
    <row r="18" spans="2:7" ht="15.75" thickBot="1">
      <c r="B18" s="129"/>
      <c r="C18" s="129"/>
      <c r="D18" s="130"/>
      <c r="E18" s="131"/>
      <c r="F18" s="131"/>
      <c r="G18" s="570">
        <v>10</v>
      </c>
    </row>
    <row r="19" spans="2:7">
      <c r="B19" s="132">
        <f>ROW()-18</f>
        <v>1</v>
      </c>
      <c r="C19" s="132">
        <f>IF(VLOOKUP(B19,PROPONENTES!$B$19:$E$109,2,0)="","",VLOOKUP(B19,PROPONENTES!$B$19:$E$109,2,0))</f>
        <v>1</v>
      </c>
      <c r="D19" s="133" t="str">
        <f>VLOOKUP(B19,PROPONENTES!$B$19:$D$108,3,FALSE)</f>
        <v>PROYECTOS URBANOS &amp; CONSTRUCCIONES DEL CARIBE S.A.S</v>
      </c>
      <c r="E19" s="435" t="s">
        <v>1105</v>
      </c>
      <c r="F19" s="652" t="s">
        <v>1105</v>
      </c>
      <c r="G19" s="657">
        <v>10</v>
      </c>
    </row>
    <row r="20" spans="2:7">
      <c r="B20" s="132">
        <f t="shared" ref="B20:B83" si="0">ROW()-18</f>
        <v>2</v>
      </c>
      <c r="C20" s="132">
        <f>IF(VLOOKUP(B20,PROPONENTES!$B$19:$E$109,2,0)="","",VLOOKUP(B20,PROPONENTES!$B$19:$E$109,2,0))</f>
        <v>2</v>
      </c>
      <c r="D20" s="133" t="str">
        <f>VLOOKUP(B20,PROPONENTES!$B$19:$D$108,3,FALSE)</f>
        <v>MIGUEL MORALES INGENIERIA SAS</v>
      </c>
      <c r="E20" s="435" t="s">
        <v>1105</v>
      </c>
      <c r="F20" s="652" t="s">
        <v>1105</v>
      </c>
      <c r="G20" s="657">
        <v>10</v>
      </c>
    </row>
    <row r="21" spans="2:7">
      <c r="B21" s="132">
        <f t="shared" si="0"/>
        <v>3</v>
      </c>
      <c r="C21" s="132">
        <f>IF(VLOOKUP(B21,PROPONENTES!$B$19:$E$109,2,0)="","",VLOOKUP(B21,PROPONENTES!$B$19:$E$109,2,0))</f>
        <v>3</v>
      </c>
      <c r="D21" s="133" t="str">
        <f>VLOOKUP(B21,PROPONENTES!$B$19:$D$108,3,FALSE)</f>
        <v>CONSULTORES DONOVAN SAS</v>
      </c>
      <c r="E21" s="435" t="s">
        <v>1105</v>
      </c>
      <c r="F21" s="652" t="s">
        <v>1105</v>
      </c>
      <c r="G21" s="657">
        <v>10</v>
      </c>
    </row>
    <row r="22" spans="2:7">
      <c r="B22" s="132">
        <f t="shared" si="0"/>
        <v>4</v>
      </c>
      <c r="C22" s="132">
        <f>IF(VLOOKUP(B22,PROPONENTES!$B$19:$E$109,2,0)="","",VLOOKUP(B22,PROPONENTES!$B$19:$E$109,2,0))</f>
        <v>4</v>
      </c>
      <c r="D22" s="133" t="str">
        <f>VLOOKUP(B22,PROPONENTES!$B$19:$D$108,3,FALSE)</f>
        <v>COMPAÑIA DE PROYECTOS TÉCNICOS CPT S.A</v>
      </c>
      <c r="E22" s="435" t="s">
        <v>1105</v>
      </c>
      <c r="F22" s="652" t="s">
        <v>1105</v>
      </c>
      <c r="G22" s="657">
        <v>10</v>
      </c>
    </row>
    <row r="23" spans="2:7">
      <c r="B23" s="132">
        <f t="shared" si="0"/>
        <v>5</v>
      </c>
      <c r="C23" s="132">
        <f>IF(VLOOKUP(B23,PROPONENTES!$B$19:$E$109,2,0)="","",VLOOKUP(B23,PROPONENTES!$B$19:$E$109,2,0))</f>
        <v>5</v>
      </c>
      <c r="D23" s="133" t="str">
        <f>VLOOKUP(B23,PROPONENTES!$B$19:$D$108,3,FALSE)</f>
        <v>GAVINCO INGENIEROS CONSULTORES SAS</v>
      </c>
      <c r="E23" s="435" t="s">
        <v>1105</v>
      </c>
      <c r="F23" s="652" t="s">
        <v>1105</v>
      </c>
      <c r="G23" s="657">
        <v>10</v>
      </c>
    </row>
    <row r="24" spans="2:7">
      <c r="B24" s="132">
        <f t="shared" si="0"/>
        <v>6</v>
      </c>
      <c r="C24" s="132">
        <f>IF(VLOOKUP(B24,PROPONENTES!$B$19:$E$109,2,0)="","",VLOOKUP(B24,PROPONENTES!$B$19:$E$109,2,0))</f>
        <v>6</v>
      </c>
      <c r="D24" s="133" t="str">
        <f>VLOOKUP(B24,PROPONENTES!$B$19:$D$108,3,FALSE)</f>
        <v>RD INGENIEROS CIVILES SAS</v>
      </c>
      <c r="E24" s="435" t="s">
        <v>1105</v>
      </c>
      <c r="F24" s="652" t="s">
        <v>1105</v>
      </c>
      <c r="G24" s="657">
        <v>10</v>
      </c>
    </row>
    <row r="25" spans="2:7">
      <c r="B25" s="132">
        <f t="shared" si="0"/>
        <v>7</v>
      </c>
      <c r="C25" s="132">
        <f>IF(VLOOKUP(B25,PROPONENTES!$B$19:$E$109,2,0)="","",VLOOKUP(B25,PROPONENTES!$B$19:$E$109,2,0))</f>
        <v>7</v>
      </c>
      <c r="D25" s="133" t="str">
        <f>VLOOKUP(B25,PROPONENTES!$B$19:$D$108,3,FALSE)</f>
        <v>CONSORCIO FEEC TOLIMA</v>
      </c>
      <c r="E25" s="435" t="s">
        <v>1105</v>
      </c>
      <c r="F25" s="652" t="s">
        <v>1105</v>
      </c>
      <c r="G25" s="657">
        <v>10</v>
      </c>
    </row>
    <row r="26" spans="2:7">
      <c r="B26" s="132">
        <f t="shared" si="0"/>
        <v>8</v>
      </c>
      <c r="C26" s="132">
        <f>IF(VLOOKUP(B26,PROPONENTES!$B$19:$E$109,2,0)="","",VLOOKUP(B26,PROPONENTES!$B$19:$E$109,2,0))</f>
        <v>8</v>
      </c>
      <c r="D26" s="133" t="str">
        <f>VLOOKUP(B26,PROPONENTES!$B$19:$D$108,3,FALSE)</f>
        <v>CARLOS ALBERTO PALTA MUÑOZ</v>
      </c>
      <c r="E26" s="435" t="s">
        <v>1105</v>
      </c>
      <c r="F26" s="652" t="s">
        <v>1105</v>
      </c>
      <c r="G26" s="657">
        <v>10</v>
      </c>
    </row>
    <row r="27" spans="2:7">
      <c r="B27" s="132">
        <f t="shared" si="0"/>
        <v>9</v>
      </c>
      <c r="C27" s="132">
        <f>IF(VLOOKUP(B27,PROPONENTES!$B$19:$E$109,2,0)="","",VLOOKUP(B27,PROPONENTES!$B$19:$E$109,2,0))</f>
        <v>9</v>
      </c>
      <c r="D27" s="133" t="str">
        <f>VLOOKUP(B27,PROPONENTES!$B$19:$D$108,3,FALSE)</f>
        <v>CONSORCIO GMC</v>
      </c>
      <c r="E27" s="435" t="s">
        <v>1105</v>
      </c>
      <c r="F27" s="652" t="s">
        <v>1105</v>
      </c>
      <c r="G27" s="657">
        <v>10</v>
      </c>
    </row>
    <row r="28" spans="2:7">
      <c r="B28" s="132">
        <f t="shared" si="0"/>
        <v>10</v>
      </c>
      <c r="C28" s="132">
        <f>IF(VLOOKUP(B28,PROPONENTES!$B$19:$E$109,2,0)="","",VLOOKUP(B28,PROPONENTES!$B$19:$E$109,2,0))</f>
        <v>10</v>
      </c>
      <c r="D28" s="133" t="str">
        <f>VLOOKUP(B28,PROPONENTES!$B$19:$D$108,3,FALSE)</f>
        <v>R&amp;M CONSTRUCCIONES E INTERVENTORIAS S.A.S</v>
      </c>
      <c r="E28" s="435" t="s">
        <v>1105</v>
      </c>
      <c r="F28" s="652" t="s">
        <v>1105</v>
      </c>
      <c r="G28" s="657">
        <v>10</v>
      </c>
    </row>
    <row r="29" spans="2:7">
      <c r="B29" s="132">
        <f t="shared" si="0"/>
        <v>11</v>
      </c>
      <c r="C29" s="132">
        <f>IF(VLOOKUP(B29,PROPONENTES!$B$19:$E$109,2,0)="","",VLOOKUP(B29,PROPONENTES!$B$19:$E$109,2,0))</f>
        <v>11</v>
      </c>
      <c r="D29" s="133" t="str">
        <f>VLOOKUP(B29,PROPONENTES!$B$19:$D$108,3,FALSE)</f>
        <v>CUBIKO OBRAS Y CONSULTORÍAS SAS</v>
      </c>
      <c r="E29" s="435" t="s">
        <v>1105</v>
      </c>
      <c r="F29" s="652" t="s">
        <v>1105</v>
      </c>
      <c r="G29" s="657">
        <v>10</v>
      </c>
    </row>
    <row r="30" spans="2:7">
      <c r="B30" s="132">
        <f t="shared" si="0"/>
        <v>12</v>
      </c>
      <c r="C30" s="132">
        <f>IF(VLOOKUP(B30,PROPONENTES!$B$19:$E$109,2,0)="","",VLOOKUP(B30,PROPONENTES!$B$19:$E$109,2,0))</f>
        <v>12</v>
      </c>
      <c r="D30" s="133" t="str">
        <f>VLOOKUP(B30,PROPONENTES!$B$19:$D$108,3,FALSE)</f>
        <v>CONSTRUCTORES DEL DESARROLLO TERRITORIAL CONSTRUDET Y COMPAÑÍA LTDA</v>
      </c>
      <c r="E30" s="435" t="s">
        <v>1105</v>
      </c>
      <c r="F30" s="652" t="s">
        <v>1105</v>
      </c>
      <c r="G30" s="657">
        <v>10</v>
      </c>
    </row>
    <row r="31" spans="2:7">
      <c r="B31" s="132">
        <f t="shared" si="0"/>
        <v>13</v>
      </c>
      <c r="C31" s="132">
        <f>IF(VLOOKUP(B31,PROPONENTES!$B$19:$E$109,2,0)="","",VLOOKUP(B31,PROPONENTES!$B$19:$E$109,2,0))</f>
        <v>13</v>
      </c>
      <c r="D31" s="133" t="str">
        <f>VLOOKUP(B31,PROPONENTES!$B$19:$D$108,3,FALSE)</f>
        <v>NICOLAS REDONDO MOLINA</v>
      </c>
      <c r="E31" s="435" t="s">
        <v>1105</v>
      </c>
      <c r="F31" s="652" t="s">
        <v>1105</v>
      </c>
      <c r="G31" s="657">
        <v>10</v>
      </c>
    </row>
    <row r="32" spans="2:7">
      <c r="B32" s="132">
        <f t="shared" si="0"/>
        <v>14</v>
      </c>
      <c r="C32" s="132">
        <f>IF(VLOOKUP(B32,PROPONENTES!$B$19:$E$109,2,0)="","",VLOOKUP(B32,PROPONENTES!$B$19:$E$109,2,0))</f>
        <v>14</v>
      </c>
      <c r="D32" s="133" t="str">
        <f>VLOOKUP(B32,PROPONENTES!$B$19:$D$108,3,FALSE)</f>
        <v>CONSORCIO INTER CB 2022</v>
      </c>
      <c r="E32" s="435" t="s">
        <v>1105</v>
      </c>
      <c r="F32" s="652" t="s">
        <v>1105</v>
      </c>
      <c r="G32" s="657">
        <v>10</v>
      </c>
    </row>
    <row r="33" spans="2:7">
      <c r="B33" s="132">
        <f t="shared" si="0"/>
        <v>15</v>
      </c>
      <c r="C33" s="132">
        <f>IF(VLOOKUP(B33,PROPONENTES!$B$19:$E$109,2,0)="","",VLOOKUP(B33,PROPONENTES!$B$19:$E$109,2,0))</f>
        <v>15</v>
      </c>
      <c r="D33" s="133" t="str">
        <f>VLOOKUP(B33,PROPONENTES!$B$19:$D$108,3,FALSE)</f>
        <v>EMPROCIV SAS</v>
      </c>
      <c r="E33" s="435" t="s">
        <v>1105</v>
      </c>
      <c r="F33" s="652" t="s">
        <v>1105</v>
      </c>
      <c r="G33" s="657">
        <v>10</v>
      </c>
    </row>
    <row r="34" spans="2:7">
      <c r="B34" s="132">
        <f t="shared" si="0"/>
        <v>16</v>
      </c>
      <c r="C34" s="132">
        <f>IF(VLOOKUP(B34,PROPONENTES!$B$19:$E$109,2,0)="","",VLOOKUP(B34,PROPONENTES!$B$19:$E$109,2,0))</f>
        <v>16</v>
      </c>
      <c r="D34" s="133" t="str">
        <f>VLOOKUP(B34,PROPONENTES!$B$19:$D$108,3,FALSE)</f>
        <v>CONSORCIO CAMCO</v>
      </c>
      <c r="E34" s="435" t="s">
        <v>1105</v>
      </c>
      <c r="F34" s="652" t="s">
        <v>1105</v>
      </c>
      <c r="G34" s="657">
        <v>10</v>
      </c>
    </row>
    <row r="35" spans="2:7">
      <c r="B35" s="132">
        <f t="shared" si="0"/>
        <v>17</v>
      </c>
      <c r="C35" s="132">
        <f>IF(VLOOKUP(B35,PROPONENTES!$B$19:$E$109,2,0)="","",VLOOKUP(B35,PROPONENTES!$B$19:$E$109,2,0))</f>
        <v>17</v>
      </c>
      <c r="D35" s="133" t="str">
        <f>VLOOKUP(B35,PROPONENTES!$B$19:$D$108,3,FALSE)</f>
        <v>ARCA AQUITECTURA E INGENIERÍA S.A</v>
      </c>
      <c r="E35" s="435" t="s">
        <v>1105</v>
      </c>
      <c r="F35" s="652" t="s">
        <v>1105</v>
      </c>
      <c r="G35" s="657">
        <v>10</v>
      </c>
    </row>
    <row r="36" spans="2:7">
      <c r="B36" s="132">
        <f t="shared" si="0"/>
        <v>18</v>
      </c>
      <c r="C36" s="132">
        <f>IF(VLOOKUP(B36,PROPONENTES!$B$19:$E$109,2,0)="","",VLOOKUP(B36,PROPONENTES!$B$19:$E$109,2,0))</f>
        <v>18</v>
      </c>
      <c r="D36" s="133" t="str">
        <f>VLOOKUP(B36,PROPONENTES!$B$19:$D$108,3,FALSE)</f>
        <v>ALPHA INGENIERIA INTEGRAL SAS</v>
      </c>
      <c r="E36" s="435" t="s">
        <v>1105</v>
      </c>
      <c r="F36" s="652" t="s">
        <v>1105</v>
      </c>
      <c r="G36" s="657">
        <v>10</v>
      </c>
    </row>
    <row r="37" spans="2:7">
      <c r="B37" s="132">
        <f t="shared" si="0"/>
        <v>19</v>
      </c>
      <c r="C37" s="132">
        <f>IF(VLOOKUP(B37,PROPONENTES!$B$19:$E$109,2,0)="","",VLOOKUP(B37,PROPONENTES!$B$19:$E$109,2,0))</f>
        <v>19</v>
      </c>
      <c r="D37" s="133" t="str">
        <f>VLOOKUP(B37,PROPONENTES!$B$19:$D$108,3,FALSE)</f>
        <v>ELSA MARIA RUEDA LANDINEZ INGENIERIA SAS</v>
      </c>
      <c r="E37" s="435" t="s">
        <v>1105</v>
      </c>
      <c r="F37" s="652" t="s">
        <v>1105</v>
      </c>
      <c r="G37" s="657">
        <v>10</v>
      </c>
    </row>
    <row r="38" spans="2:7">
      <c r="B38" s="132">
        <f t="shared" si="0"/>
        <v>20</v>
      </c>
      <c r="C38" s="132">
        <f>IF(VLOOKUP(B38,PROPONENTES!$B$19:$E$109,2,0)="","",VLOOKUP(B38,PROPONENTES!$B$19:$E$109,2,0))</f>
        <v>20</v>
      </c>
      <c r="D38" s="133" t="str">
        <f>VLOOKUP(B38,PROPONENTES!$B$19:$D$108,3,FALSE)</f>
        <v>PROES INGENIERÍA S.A.S</v>
      </c>
      <c r="E38" s="435" t="s">
        <v>1105</v>
      </c>
      <c r="F38" s="652" t="s">
        <v>1105</v>
      </c>
      <c r="G38" s="657">
        <v>10</v>
      </c>
    </row>
    <row r="39" spans="2:7">
      <c r="B39" s="132">
        <f t="shared" si="0"/>
        <v>21</v>
      </c>
      <c r="C39" s="132">
        <f>IF(VLOOKUP(B39,PROPONENTES!$B$19:$E$109,2,0)="","",VLOOKUP(B39,PROPONENTES!$B$19:$E$109,2,0))</f>
        <v>21</v>
      </c>
      <c r="D39" s="133" t="str">
        <f>VLOOKUP(B39,PROPONENTES!$B$19:$D$108,3,FALSE)</f>
        <v>INGENIEROS CONSULTORES Y CONSTRUCTORES ARG SAS</v>
      </c>
      <c r="E39" s="435" t="s">
        <v>1105</v>
      </c>
      <c r="F39" s="652" t="s">
        <v>1105</v>
      </c>
      <c r="G39" s="657">
        <v>10</v>
      </c>
    </row>
    <row r="40" spans="2:7">
      <c r="B40" s="132">
        <f t="shared" si="0"/>
        <v>22</v>
      </c>
      <c r="C40" s="132">
        <f>IF(VLOOKUP(B40,PROPONENTES!$B$19:$E$109,2,0)="","",VLOOKUP(B40,PROPONENTES!$B$19:$E$109,2,0))</f>
        <v>22</v>
      </c>
      <c r="D40" s="133" t="str">
        <f>VLOOKUP(B40,PROPONENTES!$B$19:$D$108,3,FALSE)</f>
        <v>CONSORCIO GABRIELA TOLIMA</v>
      </c>
      <c r="E40" s="435" t="s">
        <v>1105</v>
      </c>
      <c r="F40" s="652" t="s">
        <v>1105</v>
      </c>
      <c r="G40" s="657">
        <v>10</v>
      </c>
    </row>
    <row r="41" spans="2:7">
      <c r="B41" s="132">
        <f t="shared" si="0"/>
        <v>23</v>
      </c>
      <c r="C41" s="132">
        <f>IF(VLOOKUP(B41,PROPONENTES!$B$19:$E$109,2,0)="","",VLOOKUP(B41,PROPONENTES!$B$19:$E$109,2,0))</f>
        <v>23</v>
      </c>
      <c r="D41" s="133" t="str">
        <f>VLOOKUP(B41,PROPONENTES!$B$19:$D$108,3,FALSE)</f>
        <v>VELNEC S.A</v>
      </c>
      <c r="E41" s="435" t="s">
        <v>1105</v>
      </c>
      <c r="F41" s="652" t="s">
        <v>1105</v>
      </c>
      <c r="G41" s="657">
        <v>10</v>
      </c>
    </row>
    <row r="42" spans="2:7">
      <c r="B42" s="132">
        <f t="shared" si="0"/>
        <v>24</v>
      </c>
      <c r="C42" s="132">
        <f>IF(VLOOKUP(B42,PROPONENTES!$B$19:$E$109,2,0)="","",VLOOKUP(B42,PROPONENTES!$B$19:$E$109,2,0))</f>
        <v>24</v>
      </c>
      <c r="D42" s="133" t="str">
        <f>VLOOKUP(B42,PROPONENTES!$B$19:$D$108,3,FALSE)</f>
        <v>ARQUITECTOS  INGENIEROS CONSTRUCTORES S.A.S</v>
      </c>
      <c r="E42" s="435" t="s">
        <v>1105</v>
      </c>
      <c r="F42" s="652" t="s">
        <v>1105</v>
      </c>
      <c r="G42" s="657">
        <v>10</v>
      </c>
    </row>
    <row r="43" spans="2:7">
      <c r="B43" s="132">
        <f t="shared" si="0"/>
        <v>25</v>
      </c>
      <c r="C43" s="132">
        <f>IF(VLOOKUP(B43,PROPONENTES!$B$19:$E$109,2,0)="","",VLOOKUP(B43,PROPONENTES!$B$19:$E$109,2,0))</f>
        <v>25</v>
      </c>
      <c r="D43" s="133" t="str">
        <f>VLOOKUP(B43,PROPONENTES!$B$19:$D$108,3,FALSE)</f>
        <v>CONSORCIO RUTA TOLIMA 1</v>
      </c>
      <c r="E43" s="435" t="s">
        <v>1105</v>
      </c>
      <c r="F43" s="652" t="s">
        <v>1105</v>
      </c>
      <c r="G43" s="657">
        <v>10</v>
      </c>
    </row>
    <row r="44" spans="2:7">
      <c r="B44" s="132">
        <f t="shared" si="0"/>
        <v>26</v>
      </c>
      <c r="C44" s="132">
        <f>IF(VLOOKUP(B44,PROPONENTES!$B$19:$E$109,2,0)="","",VLOOKUP(B44,PROPONENTES!$B$19:$E$109,2,0))</f>
        <v>26</v>
      </c>
      <c r="D44" s="133" t="str">
        <f>VLOOKUP(B44,PROPONENTES!$B$19:$D$108,3,FALSE)</f>
        <v>INGENIEROS CONSTRUCTORES Y ASESORES SAS</v>
      </c>
      <c r="E44" s="435" t="s">
        <v>1105</v>
      </c>
      <c r="F44" s="652" t="s">
        <v>1105</v>
      </c>
      <c r="G44" s="657">
        <v>10</v>
      </c>
    </row>
    <row r="45" spans="2:7">
      <c r="B45" s="132">
        <f t="shared" si="0"/>
        <v>27</v>
      </c>
      <c r="C45" s="132">
        <f>IF(VLOOKUP(B45,PROPONENTES!$B$19:$E$109,2,0)="","",VLOOKUP(B45,PROPONENTES!$B$19:$E$109,2,0))</f>
        <v>27</v>
      </c>
      <c r="D45" s="133" t="str">
        <f>VLOOKUP(B45,PROPONENTES!$B$19:$D$108,3,FALSE)</f>
        <v>CONSULTORIA Y CONSTRUCCIONES DARLEV SAS</v>
      </c>
      <c r="E45" s="435" t="s">
        <v>1105</v>
      </c>
      <c r="F45" s="652" t="s">
        <v>1105</v>
      </c>
      <c r="G45" s="657">
        <v>10</v>
      </c>
    </row>
    <row r="46" spans="2:7">
      <c r="B46" s="132">
        <f t="shared" si="0"/>
        <v>28</v>
      </c>
      <c r="C46" s="132">
        <f>IF(VLOOKUP(B46,PROPONENTES!$B$19:$E$109,2,0)="","",VLOOKUP(B46,PROPONENTES!$B$19:$E$109,2,0))</f>
        <v>28</v>
      </c>
      <c r="D46" s="133" t="str">
        <f>VLOOKUP(B46,PROPONENTES!$B$19:$D$108,3,FALSE)</f>
        <v>CONSORCIO TOLIMA</v>
      </c>
      <c r="E46" s="435" t="s">
        <v>1105</v>
      </c>
      <c r="F46" s="652" t="s">
        <v>1105</v>
      </c>
      <c r="G46" s="657">
        <v>10</v>
      </c>
    </row>
    <row r="47" spans="2:7">
      <c r="B47" s="132">
        <f t="shared" si="0"/>
        <v>29</v>
      </c>
      <c r="C47" s="132">
        <f>IF(VLOOKUP(B47,PROPONENTES!$B$19:$E$109,2,0)="","",VLOOKUP(B47,PROPONENTES!$B$19:$E$109,2,0))</f>
        <v>29</v>
      </c>
      <c r="D47" s="133" t="str">
        <f>VLOOKUP(B47,PROPONENTES!$B$19:$D$108,3,FALSE)</f>
        <v>CONSORCIO MT 2022 TOLIMA</v>
      </c>
      <c r="E47" s="435" t="s">
        <v>1105</v>
      </c>
      <c r="F47" s="652" t="s">
        <v>1105</v>
      </c>
      <c r="G47" s="657">
        <v>10</v>
      </c>
    </row>
    <row r="48" spans="2:7">
      <c r="B48" s="132">
        <f t="shared" si="0"/>
        <v>30</v>
      </c>
      <c r="C48" s="132">
        <f>IF(VLOOKUP(B48,PROPONENTES!$B$19:$E$109,2,0)="","",VLOOKUP(B48,PROPONENTES!$B$19:$E$109,2,0))</f>
        <v>30</v>
      </c>
      <c r="D48" s="133" t="str">
        <f>VLOOKUP(B48,PROPONENTES!$B$19:$D$108,3,FALSE)</f>
        <v>CONSORCIO INTER TOLIMA</v>
      </c>
      <c r="E48" s="435" t="s">
        <v>1105</v>
      </c>
      <c r="F48" s="652" t="s">
        <v>1105</v>
      </c>
      <c r="G48" s="657">
        <v>10</v>
      </c>
    </row>
    <row r="49" spans="2:7">
      <c r="B49" s="132">
        <f t="shared" si="0"/>
        <v>31</v>
      </c>
      <c r="C49" s="132">
        <f>IF(VLOOKUP(B49,PROPONENTES!$B$19:$E$109,2,0)="","",VLOOKUP(B49,PROPONENTES!$B$19:$E$109,2,0))</f>
        <v>31</v>
      </c>
      <c r="D49" s="133" t="str">
        <f>VLOOKUP(B49,PROPONENTES!$B$19:$D$108,3,FALSE)</f>
        <v>INGENIERIA MASTER S.A.S.</v>
      </c>
      <c r="E49" s="435" t="s">
        <v>1105</v>
      </c>
      <c r="F49" s="652" t="s">
        <v>1105</v>
      </c>
      <c r="G49" s="657">
        <v>10</v>
      </c>
    </row>
    <row r="50" spans="2:7">
      <c r="B50" s="132">
        <f t="shared" si="0"/>
        <v>32</v>
      </c>
      <c r="C50" s="132">
        <f>IF(VLOOKUP(B50,PROPONENTES!$B$19:$E$109,2,0)="","",VLOOKUP(B50,PROPONENTES!$B$19:$E$109,2,0))</f>
        <v>32</v>
      </c>
      <c r="D50" s="133" t="str">
        <f>VLOOKUP(B50,PROPONENTES!$B$19:$D$108,3,FALSE)</f>
        <v xml:space="preserve">GYG CONSTRUCCIONES S.A.S. </v>
      </c>
      <c r="E50" s="435" t="s">
        <v>1105</v>
      </c>
      <c r="F50" s="652" t="s">
        <v>1105</v>
      </c>
      <c r="G50" s="657">
        <v>10</v>
      </c>
    </row>
    <row r="51" spans="2:7">
      <c r="B51" s="132">
        <f t="shared" si="0"/>
        <v>33</v>
      </c>
      <c r="C51" s="132">
        <f>IF(VLOOKUP(B51,PROPONENTES!$B$19:$E$109,2,0)="","",VLOOKUP(B51,PROPONENTES!$B$19:$E$109,2,0))</f>
        <v>33</v>
      </c>
      <c r="D51" s="133" t="str">
        <f>VLOOKUP(B51,PROPONENTES!$B$19:$D$108,3,FALSE)</f>
        <v>CONSORCIO TOLIMA RURAL</v>
      </c>
      <c r="E51" s="435" t="s">
        <v>1105</v>
      </c>
      <c r="F51" s="652" t="s">
        <v>1105</v>
      </c>
      <c r="G51" s="657">
        <v>10</v>
      </c>
    </row>
    <row r="52" spans="2:7">
      <c r="B52" s="132">
        <f t="shared" si="0"/>
        <v>34</v>
      </c>
      <c r="C52" s="132">
        <f>IF(VLOOKUP(B52,PROPONENTES!$B$19:$E$109,2,0)="","",VLOOKUP(B52,PROPONENTES!$B$19:$E$109,2,0))</f>
        <v>34</v>
      </c>
      <c r="D52" s="133" t="str">
        <f>VLOOKUP(B52,PROPONENTES!$B$19:$D$108,3,FALSE)</f>
        <v>CONSORCIO OPHAIH 2022</v>
      </c>
      <c r="E52" s="435" t="s">
        <v>1105</v>
      </c>
      <c r="F52" s="652" t="s">
        <v>1105</v>
      </c>
      <c r="G52" s="657">
        <v>10</v>
      </c>
    </row>
    <row r="53" spans="2:7">
      <c r="B53" s="132">
        <f t="shared" si="0"/>
        <v>35</v>
      </c>
      <c r="C53" s="132">
        <f>IF(VLOOKUP(B53,PROPONENTES!$B$19:$E$109,2,0)="","",VLOOKUP(B53,PROPONENTES!$B$19:$E$109,2,0))</f>
        <v>35</v>
      </c>
      <c r="D53" s="133" t="str">
        <f>VLOOKUP(B53,PROPONENTES!$B$19:$D$108,3,FALSE)</f>
        <v xml:space="preserve">ING INGENIERIA SAS </v>
      </c>
      <c r="E53" s="435" t="s">
        <v>1105</v>
      </c>
      <c r="F53" s="652" t="s">
        <v>1105</v>
      </c>
      <c r="G53" s="657">
        <v>10</v>
      </c>
    </row>
    <row r="54" spans="2:7">
      <c r="B54" s="132">
        <f t="shared" si="0"/>
        <v>36</v>
      </c>
      <c r="C54" s="132">
        <f>IF(VLOOKUP(B54,PROPONENTES!$B$19:$E$109,2,0)="","",VLOOKUP(B54,PROPONENTES!$B$19:$E$109,2,0))</f>
        <v>36</v>
      </c>
      <c r="D54" s="133" t="str">
        <f>VLOOKUP(B54,PROPONENTES!$B$19:$D$108,3,FALSE)</f>
        <v>EJE GROUP S.A.S</v>
      </c>
      <c r="E54" s="435" t="s">
        <v>1105</v>
      </c>
      <c r="F54" s="652" t="s">
        <v>1105</v>
      </c>
      <c r="G54" s="657">
        <v>10</v>
      </c>
    </row>
    <row r="55" spans="2:7">
      <c r="B55" s="132">
        <f t="shared" si="0"/>
        <v>37</v>
      </c>
      <c r="C55" s="132">
        <f>IF(VLOOKUP(B55,PROPONENTES!$B$19:$E$109,2,0)="","",VLOOKUP(B55,PROPONENTES!$B$19:$E$109,2,0))</f>
        <v>37</v>
      </c>
      <c r="D55" s="133" t="str">
        <f>VLOOKUP(B55,PROPONENTES!$B$19:$D$108,3,FALSE)</f>
        <v>JORES INGENIERIA LTDA. JORES LTDA</v>
      </c>
      <c r="E55" s="435" t="s">
        <v>1105</v>
      </c>
      <c r="F55" s="652" t="s">
        <v>1105</v>
      </c>
      <c r="G55" s="657">
        <v>10</v>
      </c>
    </row>
    <row r="56" spans="2:7">
      <c r="B56" s="132">
        <f t="shared" si="0"/>
        <v>38</v>
      </c>
      <c r="C56" s="132">
        <f>IF(VLOOKUP(B56,PROPONENTES!$B$19:$E$109,2,0)="","",VLOOKUP(B56,PROPONENTES!$B$19:$E$109,2,0))</f>
        <v>38</v>
      </c>
      <c r="D56" s="133" t="str">
        <f>VLOOKUP(B56,PROPONENTES!$B$19:$D$108,3,FALSE)</f>
        <v>CONSORCIO INTERTOLIMA CR</v>
      </c>
      <c r="E56" s="435" t="s">
        <v>1105</v>
      </c>
      <c r="F56" s="652" t="s">
        <v>1105</v>
      </c>
      <c r="G56" s="657">
        <v>10</v>
      </c>
    </row>
    <row r="57" spans="2:7">
      <c r="B57" s="132">
        <f t="shared" si="0"/>
        <v>39</v>
      </c>
      <c r="C57" s="132">
        <f>IF(VLOOKUP(B57,PROPONENTES!$B$19:$E$109,2,0)="","",VLOOKUP(B57,PROPONENTES!$B$19:$E$109,2,0))</f>
        <v>39</v>
      </c>
      <c r="D57" s="133" t="str">
        <f>VLOOKUP(B57,PROPONENTES!$B$19:$D$108,3,FALSE)</f>
        <v>CONSORCIO TOLIMA G2</v>
      </c>
      <c r="E57" s="435" t="s">
        <v>1105</v>
      </c>
      <c r="F57" s="652" t="s">
        <v>1105</v>
      </c>
      <c r="G57" s="657">
        <v>10</v>
      </c>
    </row>
    <row r="58" spans="2:7">
      <c r="B58" s="132">
        <f t="shared" si="0"/>
        <v>40</v>
      </c>
      <c r="C58" s="132">
        <f>IF(VLOOKUP(B58,PROPONENTES!$B$19:$E$109,2,0)="","",VLOOKUP(B58,PROPONENTES!$B$19:$E$109,2,0))</f>
        <v>40</v>
      </c>
      <c r="D58" s="133" t="str">
        <f>VLOOKUP(B58,PROPONENTES!$B$19:$D$108,3,FALSE)</f>
        <v>CONSORCIO INVIAS 001</v>
      </c>
      <c r="E58" s="435" t="s">
        <v>1105</v>
      </c>
      <c r="F58" s="652" t="s">
        <v>1105</v>
      </c>
      <c r="G58" s="657">
        <v>10</v>
      </c>
    </row>
    <row r="59" spans="2:7">
      <c r="B59" s="132">
        <f t="shared" si="0"/>
        <v>41</v>
      </c>
      <c r="C59" s="132">
        <f>IF(VLOOKUP(B59,PROPONENTES!$B$19:$E$109,2,0)="","",VLOOKUP(B59,PROPONENTES!$B$19:$E$109,2,0))</f>
        <v>41</v>
      </c>
      <c r="D59" s="133" t="str">
        <f>VLOOKUP(B59,PROPONENTES!$B$19:$D$108,3,FALSE)</f>
        <v>CONSORCIO SF</v>
      </c>
      <c r="E59" s="435" t="s">
        <v>1105</v>
      </c>
      <c r="F59" s="652" t="s">
        <v>1105</v>
      </c>
      <c r="G59" s="657">
        <v>10</v>
      </c>
    </row>
    <row r="60" spans="2:7">
      <c r="B60" s="132">
        <f t="shared" si="0"/>
        <v>42</v>
      </c>
      <c r="C60" s="132">
        <f>IF(VLOOKUP(B60,PROPONENTES!$B$19:$E$109,2,0)="","",VLOOKUP(B60,PROPONENTES!$B$19:$E$109,2,0))</f>
        <v>42</v>
      </c>
      <c r="D60" s="133" t="str">
        <f>VLOOKUP(B60,PROPONENTES!$B$19:$D$108,3,FALSE)</f>
        <v>CONSORCIO VIAL ORIEMH”</v>
      </c>
      <c r="E60" s="435" t="s">
        <v>1105</v>
      </c>
      <c r="F60" s="652" t="s">
        <v>1105</v>
      </c>
      <c r="G60" s="657">
        <v>10</v>
      </c>
    </row>
    <row r="61" spans="2:7">
      <c r="B61" s="132">
        <f t="shared" si="0"/>
        <v>43</v>
      </c>
      <c r="C61" s="132">
        <f>IF(VLOOKUP(B61,PROPONENTES!$B$19:$E$109,2,0)="","",VLOOKUP(B61,PROPONENTES!$B$19:$E$109,2,0))</f>
        <v>43</v>
      </c>
      <c r="D61" s="133" t="str">
        <f>VLOOKUP(B61,PROPONENTES!$B$19:$D$108,3,FALSE)</f>
        <v>CONSORCIO INTERFEDCO TOLIMA</v>
      </c>
      <c r="E61" s="435" t="s">
        <v>1105</v>
      </c>
      <c r="F61" s="652" t="s">
        <v>1105</v>
      </c>
      <c r="G61" s="657">
        <v>10</v>
      </c>
    </row>
    <row r="62" spans="2:7">
      <c r="B62" s="132">
        <f t="shared" si="0"/>
        <v>44</v>
      </c>
      <c r="C62" s="132">
        <f>IF(VLOOKUP(B62,PROPONENTES!$B$19:$E$109,2,0)="","",VLOOKUP(B62,PROPONENTES!$B$19:$E$109,2,0))</f>
        <v>44</v>
      </c>
      <c r="D62" s="133" t="str">
        <f>VLOOKUP(B62,PROPONENTES!$B$19:$D$108,3,FALSE)</f>
        <v>CONSORCIO VIAS RURALES TOL</v>
      </c>
      <c r="E62" s="435" t="s">
        <v>1105</v>
      </c>
      <c r="F62" s="652" t="s">
        <v>1105</v>
      </c>
      <c r="G62" s="657">
        <v>10</v>
      </c>
    </row>
    <row r="63" spans="2:7">
      <c r="B63" s="132">
        <f t="shared" si="0"/>
        <v>45</v>
      </c>
      <c r="C63" s="132">
        <f>IF(VLOOKUP(B63,PROPONENTES!$B$19:$E$109,2,0)="","",VLOOKUP(B63,PROPONENTES!$B$19:$E$109,2,0))</f>
        <v>45</v>
      </c>
      <c r="D63" s="133" t="str">
        <f>VLOOKUP(B63,PROPONENTES!$B$19:$D$108,3,FALSE)</f>
        <v>TECNOLOGÍA DE NUEVAS MEDICIONES COLOMBIA S.A.S. – TECNUMEC S.A.S.</v>
      </c>
      <c r="E63" s="435" t="s">
        <v>1105</v>
      </c>
      <c r="F63" s="652" t="s">
        <v>1105</v>
      </c>
      <c r="G63" s="657">
        <v>10</v>
      </c>
    </row>
    <row r="64" spans="2:7">
      <c r="B64" s="132">
        <f t="shared" si="0"/>
        <v>46</v>
      </c>
      <c r="C64" s="132">
        <f>IF(VLOOKUP(B64,PROPONENTES!$B$19:$E$109,2,0)="","",VLOOKUP(B64,PROPONENTES!$B$19:$E$109,2,0))</f>
        <v>46</v>
      </c>
      <c r="D64" s="133" t="str">
        <f>VLOOKUP(B64,PROPONENTES!$B$19:$D$108,3,FALSE)</f>
        <v>CONSULTORES SOLANO NAVAS LTDA</v>
      </c>
      <c r="E64" s="435" t="s">
        <v>1105</v>
      </c>
      <c r="F64" s="652" t="s">
        <v>1105</v>
      </c>
      <c r="G64" s="657">
        <v>10</v>
      </c>
    </row>
    <row r="65" spans="2:7">
      <c r="B65" s="132">
        <f t="shared" si="0"/>
        <v>47</v>
      </c>
      <c r="C65" s="132">
        <f>IF(VLOOKUP(B65,PROPONENTES!$B$19:$E$109,2,0)="","",VLOOKUP(B65,PROPONENTES!$B$19:$E$109,2,0))</f>
        <v>47</v>
      </c>
      <c r="D65" s="133" t="str">
        <f>VLOOKUP(B65,PROPONENTES!$B$19:$D$108,3,FALSE)</f>
        <v>CONSORCIO VIAS TOLIMA 22</v>
      </c>
      <c r="E65" s="435" t="s">
        <v>1105</v>
      </c>
      <c r="F65" s="652" t="s">
        <v>1105</v>
      </c>
      <c r="G65" s="657">
        <v>10</v>
      </c>
    </row>
    <row r="66" spans="2:7">
      <c r="B66" s="132">
        <f t="shared" si="0"/>
        <v>48</v>
      </c>
      <c r="C66" s="132">
        <f>IF(VLOOKUP(B66,PROPONENTES!$B$19:$E$109,2,0)="","",VLOOKUP(B66,PROPONENTES!$B$19:$E$109,2,0))</f>
        <v>48</v>
      </c>
      <c r="D66" s="133" t="str">
        <f>VLOOKUP(B66,PROPONENTES!$B$19:$D$108,3,FALSE)</f>
        <v>BRAIN INGENIERIA VIAL SAS</v>
      </c>
      <c r="E66" s="435" t="s">
        <v>1105</v>
      </c>
      <c r="F66" s="652" t="s">
        <v>1105</v>
      </c>
      <c r="G66" s="657">
        <v>10</v>
      </c>
    </row>
    <row r="67" spans="2:7">
      <c r="B67" s="132">
        <f t="shared" si="0"/>
        <v>49</v>
      </c>
      <c r="C67" s="132">
        <f>IF(VLOOKUP(B67,PROPONENTES!$B$19:$E$109,2,0)="","",VLOOKUP(B67,PROPONENTES!$B$19:$E$109,2,0))</f>
        <v>49</v>
      </c>
      <c r="D67" s="133" t="str">
        <f>VLOOKUP(B67,PROPONENTES!$B$19:$D$108,3,FALSE)</f>
        <v>CONSORCIO LAPP</v>
      </c>
      <c r="E67" s="435" t="s">
        <v>1105</v>
      </c>
      <c r="F67" s="652" t="s">
        <v>1105</v>
      </c>
      <c r="G67" s="657">
        <v>10</v>
      </c>
    </row>
    <row r="68" spans="2:7">
      <c r="B68" s="132">
        <f t="shared" si="0"/>
        <v>50</v>
      </c>
      <c r="C68" s="132">
        <f>IF(VLOOKUP(B68,PROPONENTES!$B$19:$E$109,2,0)="","",VLOOKUP(B68,PROPONENTES!$B$19:$E$109,2,0))</f>
        <v>50</v>
      </c>
      <c r="D68" s="133" t="str">
        <f>VLOOKUP(B68,PROPONENTES!$B$19:$D$108,3,FALSE)</f>
        <v>PROYECTISTAS ASOCIADOS SAS</v>
      </c>
      <c r="E68" s="435" t="s">
        <v>1105</v>
      </c>
      <c r="F68" s="652" t="s">
        <v>1105</v>
      </c>
      <c r="G68" s="657">
        <v>10</v>
      </c>
    </row>
    <row r="69" spans="2:7">
      <c r="B69" s="132">
        <f t="shared" si="0"/>
        <v>51</v>
      </c>
      <c r="C69" s="132">
        <f>IF(VLOOKUP(B69,PROPONENTES!$B$19:$E$109,2,0)="","",VLOOKUP(B69,PROPONENTES!$B$19:$E$109,2,0))</f>
        <v>51</v>
      </c>
      <c r="D69" s="133" t="str">
        <f>VLOOKUP(B69,PROPONENTES!$B$19:$D$108,3,FALSE)</f>
        <v>DAM SOLUCIONES E INGENIERIA SAS</v>
      </c>
      <c r="E69" s="435" t="s">
        <v>1105</v>
      </c>
      <c r="F69" s="652" t="s">
        <v>1105</v>
      </c>
      <c r="G69" s="657">
        <v>10</v>
      </c>
    </row>
    <row r="70" spans="2:7">
      <c r="B70" s="132">
        <f t="shared" si="0"/>
        <v>52</v>
      </c>
      <c r="C70" s="132">
        <f>IF(VLOOKUP(B70,PROPONENTES!$B$19:$E$109,2,0)="","",VLOOKUP(B70,PROPONENTES!$B$19:$E$109,2,0))</f>
        <v>52</v>
      </c>
      <c r="D70" s="133" t="str">
        <f>VLOOKUP(B70,PROPONENTES!$B$19:$D$108,3,FALSE)</f>
        <v>COINZA ING SAS</v>
      </c>
      <c r="E70" s="435" t="s">
        <v>1105</v>
      </c>
      <c r="F70" s="652" t="s">
        <v>1105</v>
      </c>
      <c r="G70" s="657">
        <v>10</v>
      </c>
    </row>
    <row r="71" spans="2:7">
      <c r="B71" s="132">
        <f t="shared" si="0"/>
        <v>53</v>
      </c>
      <c r="C71" s="132">
        <f>IF(VLOOKUP(B71,PROPONENTES!$B$19:$E$109,2,0)="","",VLOOKUP(B71,PROPONENTES!$B$19:$E$109,2,0))</f>
        <v>53</v>
      </c>
      <c r="D71" s="133" t="str">
        <f>VLOOKUP(B71,PROPONENTES!$B$19:$D$108,3,FALSE)</f>
        <v>NORBERTO BAYONA ESPITIA</v>
      </c>
      <c r="E71" s="435" t="s">
        <v>1105</v>
      </c>
      <c r="F71" s="652" t="s">
        <v>1105</v>
      </c>
      <c r="G71" s="657">
        <v>10</v>
      </c>
    </row>
    <row r="72" spans="2:7">
      <c r="B72" s="132">
        <f t="shared" si="0"/>
        <v>54</v>
      </c>
      <c r="C72" s="132">
        <f>IF(VLOOKUP(B72,PROPONENTES!$B$19:$E$109,2,0)="","",VLOOKUP(B72,PROPONENTES!$B$19:$E$109,2,0))</f>
        <v>54</v>
      </c>
      <c r="D72" s="133" t="str">
        <f>VLOOKUP(B72,PROPONENTES!$B$19:$D$108,3,FALSE)</f>
        <v>CONSORCIO HC INTERVENTORES 2022</v>
      </c>
      <c r="E72" s="435" t="s">
        <v>1105</v>
      </c>
      <c r="F72" s="652" t="s">
        <v>1105</v>
      </c>
      <c r="G72" s="657">
        <v>10</v>
      </c>
    </row>
    <row r="73" spans="2:7">
      <c r="B73" s="132">
        <f t="shared" si="0"/>
        <v>55</v>
      </c>
      <c r="C73" s="132">
        <f>IF(VLOOKUP(B73,PROPONENTES!$B$19:$E$109,2,0)="","",VLOOKUP(B73,PROPONENTES!$B$19:$E$109,2,0))</f>
        <v>55</v>
      </c>
      <c r="D73" s="133" t="str">
        <f>VLOOKUP(B73,PROPONENTES!$B$19:$D$108,3,FALSE)</f>
        <v>MARIO DE JESUS GIL CARDONA</v>
      </c>
      <c r="E73" s="435" t="s">
        <v>1105</v>
      </c>
      <c r="F73" s="652" t="s">
        <v>1105</v>
      </c>
      <c r="G73" s="657">
        <v>10</v>
      </c>
    </row>
    <row r="74" spans="2:7">
      <c r="B74" s="132">
        <f t="shared" si="0"/>
        <v>56</v>
      </c>
      <c r="C74" s="132">
        <f>IF(VLOOKUP(B74,PROPONENTES!$B$19:$E$109,2,0)="","",VLOOKUP(B74,PROPONENTES!$B$19:$E$109,2,0))</f>
        <v>56</v>
      </c>
      <c r="D74" s="133" t="str">
        <f>VLOOKUP(B74,PROPONENTES!$B$19:$D$108,3,FALSE)</f>
        <v>CONSORCIO COLOMBIA RURAL ET</v>
      </c>
      <c r="E74" s="435" t="s">
        <v>1105</v>
      </c>
      <c r="F74" s="652" t="s">
        <v>1105</v>
      </c>
      <c r="G74" s="657">
        <v>10</v>
      </c>
    </row>
    <row r="75" spans="2:7">
      <c r="B75" s="132">
        <f t="shared" si="0"/>
        <v>57</v>
      </c>
      <c r="C75" s="132">
        <f>IF(VLOOKUP(B75,PROPONENTES!$B$19:$E$109,2,0)="","",VLOOKUP(B75,PROPONENTES!$B$19:$E$109,2,0))</f>
        <v>57</v>
      </c>
      <c r="D75" s="133" t="str">
        <f>VLOOKUP(B75,PROPONENTES!$B$19:$D$108,3,FALSE)</f>
        <v>CONSORCIO ROGER 20</v>
      </c>
      <c r="E75" s="435" t="s">
        <v>1105</v>
      </c>
      <c r="F75" s="652" t="s">
        <v>1105</v>
      </c>
      <c r="G75" s="657">
        <v>10</v>
      </c>
    </row>
    <row r="76" spans="2:7">
      <c r="B76" s="132">
        <f t="shared" si="0"/>
        <v>58</v>
      </c>
      <c r="C76" s="132">
        <f>IF(VLOOKUP(B76,PROPONENTES!$B$19:$E$109,2,0)="","",VLOOKUP(B76,PROPONENTES!$B$19:$E$109,2,0))</f>
        <v>58</v>
      </c>
      <c r="D76" s="133" t="str">
        <f>VLOOKUP(B76,PROPONENTES!$B$19:$D$108,3,FALSE)</f>
        <v>VALLEJO H INGENIEROS CONSULTORES CONSTRUCTORES C S.A.S -BIC</v>
      </c>
      <c r="E76" s="435" t="s">
        <v>1105</v>
      </c>
      <c r="F76" s="652" t="s">
        <v>1105</v>
      </c>
      <c r="G76" s="657">
        <v>10</v>
      </c>
    </row>
    <row r="77" spans="2:7">
      <c r="B77" s="132">
        <f t="shared" si="0"/>
        <v>59</v>
      </c>
      <c r="C77" s="132">
        <f>IF(VLOOKUP(B77,PROPONENTES!$B$19:$E$109,2,0)="","",VLOOKUP(B77,PROPONENTES!$B$19:$E$109,2,0))</f>
        <v>59</v>
      </c>
      <c r="D77" s="133" t="str">
        <f>VLOOKUP(B77,PROPONENTES!$B$19:$D$108,3,FALSE)</f>
        <v>Consorcio JR</v>
      </c>
      <c r="E77" s="435" t="s">
        <v>1105</v>
      </c>
      <c r="F77" s="652" t="s">
        <v>1105</v>
      </c>
      <c r="G77" s="657">
        <v>10</v>
      </c>
    </row>
    <row r="78" spans="2:7">
      <c r="B78" s="132">
        <f t="shared" si="0"/>
        <v>60</v>
      </c>
      <c r="C78" s="132">
        <f>IF(VLOOKUP(B78,PROPONENTES!$B$19:$E$109,2,0)="","",VLOOKUP(B78,PROPONENTES!$B$19:$E$109,2,0))</f>
        <v>60</v>
      </c>
      <c r="D78" s="133" t="str">
        <f>VLOOKUP(B78,PROPONENTES!$B$19:$D$108,3,FALSE)</f>
        <v>ARA INGENIERIA S.A.S</v>
      </c>
      <c r="E78" s="435" t="s">
        <v>1105</v>
      </c>
      <c r="F78" s="652" t="s">
        <v>1105</v>
      </c>
      <c r="G78" s="657">
        <v>10</v>
      </c>
    </row>
    <row r="79" spans="2:7">
      <c r="B79" s="132">
        <f t="shared" si="0"/>
        <v>61</v>
      </c>
      <c r="C79" s="132">
        <f>IF(VLOOKUP(B79,PROPONENTES!$B$19:$E$109,2,0)="","",VLOOKUP(B79,PROPONENTES!$B$19:$E$109,2,0))</f>
        <v>61</v>
      </c>
      <c r="D79" s="133" t="str">
        <f>VLOOKUP(B79,PROPONENTES!$B$19:$D$108,3,FALSE)</f>
        <v>CONSORCIO INVITOL 2022</v>
      </c>
      <c r="E79" s="435" t="s">
        <v>1105</v>
      </c>
      <c r="F79" s="652" t="s">
        <v>1105</v>
      </c>
      <c r="G79" s="657">
        <v>10</v>
      </c>
    </row>
    <row r="80" spans="2:7">
      <c r="B80" s="132">
        <f t="shared" si="0"/>
        <v>62</v>
      </c>
      <c r="C80" s="132">
        <f>IF(VLOOKUP(B80,PROPONENTES!$B$19:$E$109,2,0)="","",VLOOKUP(B80,PROPONENTES!$B$19:$E$109,2,0))</f>
        <v>62</v>
      </c>
      <c r="D80" s="133" t="str">
        <f>VLOOKUP(B80,PROPONENTES!$B$19:$D$108,3,FALSE)</f>
        <v>CONSORCIO INTERVIAL TOL 001</v>
      </c>
      <c r="E80" s="435" t="s">
        <v>1105</v>
      </c>
      <c r="F80" s="652" t="s">
        <v>1105</v>
      </c>
      <c r="G80" s="657">
        <v>10</v>
      </c>
    </row>
    <row r="81" spans="2:7">
      <c r="B81" s="132">
        <f t="shared" si="0"/>
        <v>63</v>
      </c>
      <c r="C81" s="132">
        <f>IF(VLOOKUP(B81,PROPONENTES!$B$19:$E$109,2,0)="","",VLOOKUP(B81,PROPONENTES!$B$19:$E$109,2,0))</f>
        <v>63</v>
      </c>
      <c r="D81" s="133" t="str">
        <f>VLOOKUP(B81,PROPONENTES!$B$19:$D$108,3,FALSE)</f>
        <v>COMPAÑIA CONSULTORA COLOMBIANA TRIPLE C BIC SAS</v>
      </c>
      <c r="E81" s="435" t="s">
        <v>1105</v>
      </c>
      <c r="F81" s="652" t="s">
        <v>1105</v>
      </c>
      <c r="G81" s="657">
        <v>10</v>
      </c>
    </row>
    <row r="82" spans="2:7">
      <c r="B82" s="132">
        <f t="shared" si="0"/>
        <v>64</v>
      </c>
      <c r="C82" s="132">
        <f>IF(VLOOKUP(B82,PROPONENTES!$B$19:$E$109,2,0)="","",VLOOKUP(B82,PROPONENTES!$B$19:$E$109,2,0))</f>
        <v>64</v>
      </c>
      <c r="D82" s="133" t="str">
        <f>VLOOKUP(B82,PROPONENTES!$B$19:$D$108,3,FALSE)</f>
        <v>UNION TEMPORAL INTERTOL 001 2022</v>
      </c>
      <c r="E82" s="435" t="s">
        <v>1105</v>
      </c>
      <c r="F82" s="652" t="s">
        <v>1105</v>
      </c>
      <c r="G82" s="657">
        <v>10</v>
      </c>
    </row>
    <row r="83" spans="2:7">
      <c r="B83" s="132">
        <f t="shared" si="0"/>
        <v>65</v>
      </c>
      <c r="C83" s="132">
        <f>IF(VLOOKUP(B83,PROPONENTES!$B$19:$E$109,2,0)="","",VLOOKUP(B83,PROPONENTES!$B$19:$E$109,2,0))</f>
        <v>65</v>
      </c>
      <c r="D83" s="133" t="str">
        <f>VLOOKUP(B83,PROPONENTES!$B$19:$D$108,3,FALSE)</f>
        <v>PROYECTISTAS DE COLOMBIA &amp; CIA SAS</v>
      </c>
      <c r="E83" s="435" t="s">
        <v>1105</v>
      </c>
      <c r="F83" s="652" t="s">
        <v>1105</v>
      </c>
      <c r="G83" s="657">
        <v>10</v>
      </c>
    </row>
    <row r="84" spans="2:7">
      <c r="B84" s="132">
        <f t="shared" ref="B84:B108" si="1">ROW()-18</f>
        <v>66</v>
      </c>
      <c r="C84" s="132">
        <f>IF(VLOOKUP(B84,PROPONENTES!$B$19:$E$109,2,0)="","",VLOOKUP(B84,PROPONENTES!$B$19:$E$109,2,0))</f>
        <v>66</v>
      </c>
      <c r="D84" s="133" t="str">
        <f>VLOOKUP(B84,PROPONENTES!$B$19:$D$108,3,FALSE)</f>
        <v>CONSORCIO VIAL INGENIERIA 2022</v>
      </c>
      <c r="E84" s="435" t="s">
        <v>1105</v>
      </c>
      <c r="F84" s="652" t="s">
        <v>1105</v>
      </c>
      <c r="G84" s="657">
        <v>10</v>
      </c>
    </row>
    <row r="85" spans="2:7">
      <c r="B85" s="132">
        <f t="shared" si="1"/>
        <v>67</v>
      </c>
      <c r="C85" s="132">
        <f>IF(VLOOKUP(B85,PROPONENTES!$B$19:$E$109,2,0)="","",VLOOKUP(B85,PROPONENTES!$B$19:$E$109,2,0))</f>
        <v>67</v>
      </c>
      <c r="D85" s="133" t="str">
        <f>VLOOKUP(B85,PROPONENTES!$B$19:$D$108,3,FALSE)</f>
        <v>CONSORCIO AV</v>
      </c>
      <c r="E85" s="435" t="s">
        <v>1105</v>
      </c>
      <c r="F85" s="652" t="s">
        <v>1105</v>
      </c>
      <c r="G85" s="657">
        <v>10</v>
      </c>
    </row>
    <row r="86" spans="2:7">
      <c r="B86" s="132">
        <f t="shared" si="1"/>
        <v>68</v>
      </c>
      <c r="C86" s="132">
        <f>IF(VLOOKUP(B86,PROPONENTES!$B$19:$E$109,2,0)="","",VLOOKUP(B86,PROPONENTES!$B$19:$E$109,2,0))</f>
        <v>68</v>
      </c>
      <c r="D86" s="133" t="str">
        <f>VLOOKUP(B86,PROPONENTES!$B$19:$D$108,3,FALSE)</f>
        <v>SOLUCIONES PARA LA INGENIERÍA S.A.S.</v>
      </c>
      <c r="E86" s="435" t="s">
        <v>1105</v>
      </c>
      <c r="F86" s="652" t="s">
        <v>1105</v>
      </c>
      <c r="G86" s="657">
        <v>10</v>
      </c>
    </row>
    <row r="87" spans="2:7">
      <c r="B87" s="132">
        <f t="shared" si="1"/>
        <v>69</v>
      </c>
      <c r="C87" s="132">
        <f>IF(VLOOKUP(B87,PROPONENTES!$B$19:$E$109,2,0)="","",VLOOKUP(B87,PROPONENTES!$B$19:$E$109,2,0))</f>
        <v>69</v>
      </c>
      <c r="D87" s="133" t="str">
        <f>VLOOKUP(B87,PROPONENTES!$B$19:$D$108,3,FALSE)</f>
        <v>Unión Temporal Intervías Tolima</v>
      </c>
      <c r="E87" s="435" t="s">
        <v>1105</v>
      </c>
      <c r="F87" s="652" t="s">
        <v>1105</v>
      </c>
      <c r="G87" s="657">
        <v>10</v>
      </c>
    </row>
    <row r="88" spans="2:7">
      <c r="B88" s="132">
        <f t="shared" si="1"/>
        <v>70</v>
      </c>
      <c r="C88" s="132">
        <f>IF(VLOOKUP(B88,PROPONENTES!$B$19:$E$109,2,0)="","",VLOOKUP(B88,PROPONENTES!$B$19:$E$109,2,0))</f>
        <v>70</v>
      </c>
      <c r="D88" s="133" t="str">
        <f>VLOOKUP(B88,PROPONENTES!$B$19:$D$108,3,FALSE)</f>
        <v>CONSORCIO DT TOLIMA ZP</v>
      </c>
      <c r="E88" s="435" t="s">
        <v>1105</v>
      </c>
      <c r="F88" s="652" t="s">
        <v>1105</v>
      </c>
      <c r="G88" s="657">
        <v>10</v>
      </c>
    </row>
    <row r="89" spans="2:7">
      <c r="B89" s="132">
        <f t="shared" si="1"/>
        <v>71</v>
      </c>
      <c r="C89" s="132">
        <f>IF(VLOOKUP(B89,PROPONENTES!$B$19:$E$109,2,0)="","",VLOOKUP(B89,PROPONENTES!$B$19:$E$109,2,0))</f>
        <v>71</v>
      </c>
      <c r="D89" s="133" t="str">
        <f>VLOOKUP(B89,PROPONENTES!$B$19:$D$108,3,FALSE)</f>
        <v>INGENIEROS CIVILES ESPECIALISTAS S.A.S.</v>
      </c>
      <c r="E89" s="435" t="s">
        <v>1105</v>
      </c>
      <c r="F89" s="652" t="s">
        <v>1105</v>
      </c>
      <c r="G89" s="657">
        <v>10</v>
      </c>
    </row>
    <row r="90" spans="2:7">
      <c r="B90" s="132">
        <f t="shared" si="1"/>
        <v>72</v>
      </c>
      <c r="C90" s="132">
        <f>IF(VLOOKUP(B90,PROPONENTES!$B$19:$E$109,2,0)="","",VLOOKUP(B90,PROPONENTES!$B$19:$E$109,2,0))</f>
        <v>72</v>
      </c>
      <c r="D90" s="133" t="str">
        <f>VLOOKUP(B90,PROPONENTES!$B$19:$D$108,3,FALSE)</f>
        <v>GRUPO QUIMBAYA S.A.S.</v>
      </c>
      <c r="E90" s="435" t="s">
        <v>1105</v>
      </c>
      <c r="F90" s="652" t="s">
        <v>1105</v>
      </c>
      <c r="G90" s="657">
        <v>10</v>
      </c>
    </row>
    <row r="91" spans="2:7">
      <c r="B91" s="132">
        <f t="shared" si="1"/>
        <v>73</v>
      </c>
      <c r="C91" s="132">
        <f>IF(VLOOKUP(B91,PROPONENTES!$B$19:$E$109,2,0)="","",VLOOKUP(B91,PROPONENTES!$B$19:$E$109,2,0))</f>
        <v>73</v>
      </c>
      <c r="D91" s="133" t="str">
        <f>VLOOKUP(B91,PROPONENTES!$B$19:$D$108,3,FALSE)</f>
        <v>CONSORCIO TOLIMA JI 001</v>
      </c>
      <c r="E91" s="435" t="s">
        <v>1105</v>
      </c>
      <c r="F91" s="652" t="s">
        <v>1105</v>
      </c>
      <c r="G91" s="657">
        <v>10</v>
      </c>
    </row>
    <row r="92" spans="2:7">
      <c r="B92" s="132">
        <f t="shared" si="1"/>
        <v>74</v>
      </c>
      <c r="C92" s="132">
        <f>IF(VLOOKUP(B92,PROPONENTES!$B$19:$E$109,2,0)="","",VLOOKUP(B92,PROPONENTES!$B$19:$E$109,2,0))</f>
        <v>74</v>
      </c>
      <c r="D92" s="133" t="str">
        <f>VLOOKUP(B92,PROPONENTES!$B$19:$D$108,3,FALSE)</f>
        <v>INGENIERIA CONUSLTORIA Y PLANEACION S.A – INCOPLAN S.A</v>
      </c>
      <c r="E92" s="435" t="s">
        <v>1105</v>
      </c>
      <c r="F92" s="652" t="s">
        <v>1105</v>
      </c>
      <c r="G92" s="657">
        <v>10</v>
      </c>
    </row>
    <row r="93" spans="2:7">
      <c r="B93" s="132">
        <f t="shared" si="1"/>
        <v>75</v>
      </c>
      <c r="C93" s="132">
        <f>IF(VLOOKUP(B93,PROPONENTES!$B$19:$E$109,2,0)="","",VLOOKUP(B93,PROPONENTES!$B$19:$E$109,2,0))</f>
        <v>75</v>
      </c>
      <c r="D93" s="133" t="str">
        <f>VLOOKUP(B93,PROPONENTES!$B$19:$D$108,3,FALSE)</f>
        <v>JAIME MORENO ESPAÑA</v>
      </c>
      <c r="E93" s="435" t="s">
        <v>1105</v>
      </c>
      <c r="F93" s="652" t="s">
        <v>1105</v>
      </c>
      <c r="G93" s="657">
        <v>10</v>
      </c>
    </row>
    <row r="94" spans="2:7">
      <c r="B94" s="132">
        <f t="shared" si="1"/>
        <v>76</v>
      </c>
      <c r="C94" s="132">
        <f>IF(VLOOKUP(B94,PROPONENTES!$B$19:$E$109,2,0)="","",VLOOKUP(B94,PROPONENTES!$B$19:$E$109,2,0))</f>
        <v>76</v>
      </c>
      <c r="D94" s="133" t="str">
        <f>VLOOKUP(B94,PROPONENTES!$B$19:$D$108,3,FALSE)</f>
        <v>CONSORCIO DIN ISUTECH</v>
      </c>
      <c r="E94" s="435" t="s">
        <v>1105</v>
      </c>
      <c r="F94" s="652" t="s">
        <v>1105</v>
      </c>
      <c r="G94" s="657">
        <v>10</v>
      </c>
    </row>
    <row r="95" spans="2:7">
      <c r="B95" s="132">
        <f t="shared" si="1"/>
        <v>77</v>
      </c>
      <c r="C95" s="132">
        <f>IF(VLOOKUP(B95,PROPONENTES!$B$19:$E$109,2,0)="","",VLOOKUP(B95,PROPONENTES!$B$19:$E$109,2,0))</f>
        <v>77</v>
      </c>
      <c r="D95" s="133" t="str">
        <f>VLOOKUP(B95,PROPONENTES!$B$19:$D$108,3,FALSE)</f>
        <v>CONSORCIO CASTORES – INGES INVIAS 2022</v>
      </c>
      <c r="E95" s="435" t="s">
        <v>1105</v>
      </c>
      <c r="F95" s="652" t="s">
        <v>1105</v>
      </c>
      <c r="G95" s="657">
        <v>10</v>
      </c>
    </row>
    <row r="96" spans="2:7">
      <c r="B96" s="132">
        <f t="shared" si="1"/>
        <v>78</v>
      </c>
      <c r="C96" s="132">
        <f>IF(VLOOKUP(B96,PROPONENTES!$B$19:$E$109,2,0)="","",VLOOKUP(B96,PROPONENTES!$B$19:$E$109,2,0))</f>
        <v>78</v>
      </c>
      <c r="D96" s="133" t="str">
        <f>VLOOKUP(B96,PROPONENTES!$B$19:$D$108,3,FALSE)</f>
        <v>NUBIA ISABEL QUEVEDO ÁNGEL</v>
      </c>
      <c r="E96" s="435" t="s">
        <v>1105</v>
      </c>
      <c r="F96" s="652" t="s">
        <v>1105</v>
      </c>
      <c r="G96" s="657">
        <v>10</v>
      </c>
    </row>
    <row r="97" spans="2:7">
      <c r="B97" s="132">
        <f t="shared" si="1"/>
        <v>79</v>
      </c>
      <c r="C97" s="132">
        <f>IF(VLOOKUP(B97,PROPONENTES!$B$19:$E$109,2,0)="","",VLOOKUP(B97,PROPONENTES!$B$19:$E$109,2,0))</f>
        <v>79</v>
      </c>
      <c r="D97" s="133" t="str">
        <f>VLOOKUP(B97,PROPONENTES!$B$19:$D$108,3,FALSE)</f>
        <v>CONSORCIO TOLIMA BD</v>
      </c>
      <c r="E97" s="435" t="s">
        <v>1105</v>
      </c>
      <c r="F97" s="652" t="s">
        <v>1105</v>
      </c>
      <c r="G97" s="657">
        <v>10</v>
      </c>
    </row>
    <row r="98" spans="2:7">
      <c r="B98" s="132">
        <f t="shared" si="1"/>
        <v>80</v>
      </c>
      <c r="C98" s="132">
        <f>IF(VLOOKUP(B98,PROPONENTES!$B$19:$E$109,2,0)="","",VLOOKUP(B98,PROPONENTES!$B$19:$E$109,2,0))</f>
        <v>80</v>
      </c>
      <c r="D98" s="133" t="str">
        <f>VLOOKUP(B98,PROPONENTES!$B$19:$D$108,3,FALSE)</f>
        <v>CB INGENIEROS S.A.S</v>
      </c>
      <c r="E98" s="435" t="s">
        <v>1105</v>
      </c>
      <c r="F98" s="652" t="s">
        <v>1105</v>
      </c>
      <c r="G98" s="657">
        <v>10</v>
      </c>
    </row>
    <row r="99" spans="2:7">
      <c r="B99" s="132">
        <f t="shared" si="1"/>
        <v>81</v>
      </c>
      <c r="C99" s="132">
        <f>IF(VLOOKUP(B99,PROPONENTES!$B$19:$E$109,2,0)="","",VLOOKUP(B99,PROPONENTES!$B$19:$E$109,2,0))</f>
        <v>81</v>
      </c>
      <c r="D99" s="133" t="str">
        <f>VLOOKUP(B99,PROPONENTES!$B$19:$D$108,3,FALSE)</f>
        <v>CONSORCIO INVIAS JP 2022</v>
      </c>
      <c r="E99" s="435" t="s">
        <v>1105</v>
      </c>
      <c r="F99" s="652" t="s">
        <v>1105</v>
      </c>
      <c r="G99" s="657">
        <v>10</v>
      </c>
    </row>
    <row r="100" spans="2:7">
      <c r="B100" s="132">
        <f t="shared" si="1"/>
        <v>82</v>
      </c>
      <c r="C100" s="132">
        <f>IF(VLOOKUP(B100,PROPONENTES!$B$19:$E$109,2,0)="","",VLOOKUP(B100,PROPONENTES!$B$19:$E$109,2,0))</f>
        <v>82</v>
      </c>
      <c r="D100" s="133" t="str">
        <f>VLOOKUP(B100,PROPONENTES!$B$19:$D$108,3,FALSE)</f>
        <v>SOCIEDAD TECNICA SOTA LTDA</v>
      </c>
      <c r="E100" s="435" t="s">
        <v>1105</v>
      </c>
      <c r="F100" s="652" t="s">
        <v>1105</v>
      </c>
      <c r="G100" s="657">
        <v>10</v>
      </c>
    </row>
    <row r="101" spans="2:7">
      <c r="B101" s="132">
        <f t="shared" si="1"/>
        <v>83</v>
      </c>
      <c r="C101" s="132">
        <f>IF(VLOOKUP(B101,PROPONENTES!$B$19:$E$109,2,0)="","",VLOOKUP(B101,PROPONENTES!$B$19:$E$109,2,0))</f>
        <v>83</v>
      </c>
      <c r="D101" s="133" t="str">
        <f>VLOOKUP(B101,PROPONENTES!$B$19:$D$108,3,FALSE)</f>
        <v>CONSORCIO INTERVENTORES ASOCIADOS DEL TOLIMA</v>
      </c>
      <c r="E101" s="435" t="s">
        <v>1105</v>
      </c>
      <c r="F101" s="652" t="s">
        <v>1105</v>
      </c>
      <c r="G101" s="657">
        <v>10</v>
      </c>
    </row>
    <row r="102" spans="2:7">
      <c r="B102" s="132">
        <f t="shared" si="1"/>
        <v>84</v>
      </c>
      <c r="C102" s="132">
        <f>IF(VLOOKUP(B102,PROPONENTES!$B$19:$E$109,2,0)="","",VLOOKUP(B102,PROPONENTES!$B$19:$E$109,2,0))</f>
        <v>84</v>
      </c>
      <c r="D102" s="133" t="str">
        <f>VLOOKUP(B102,PROPONENTES!$B$19:$D$108,3,FALSE)</f>
        <v>GRUPO EMPRESARIAL DE INFRAESTRUCTURA COLOMBIANO S.A.S.</v>
      </c>
      <c r="E102" s="435" t="s">
        <v>1105</v>
      </c>
      <c r="F102" s="652" t="s">
        <v>1106</v>
      </c>
      <c r="G102" s="657">
        <v>0</v>
      </c>
    </row>
    <row r="103" spans="2:7">
      <c r="B103" s="132">
        <f t="shared" si="1"/>
        <v>85</v>
      </c>
      <c r="C103" s="132">
        <f>IF(VLOOKUP(B103,PROPONENTES!$B$19:$E$109,2,0)="","",VLOOKUP(B103,PROPONENTES!$B$19:$E$109,2,0))</f>
        <v>85</v>
      </c>
      <c r="D103" s="133" t="str">
        <f>VLOOKUP(B103,PROPONENTES!$B$19:$D$108,3,FALSE)</f>
        <v>DBB INGENIERÍA S.A.S.</v>
      </c>
      <c r="E103" s="435" t="s">
        <v>1105</v>
      </c>
      <c r="F103" s="652" t="s">
        <v>1105</v>
      </c>
      <c r="G103" s="657">
        <v>10</v>
      </c>
    </row>
    <row r="104" spans="2:7">
      <c r="B104" s="132">
        <f t="shared" si="1"/>
        <v>86</v>
      </c>
      <c r="C104" s="132">
        <f>IF(VLOOKUP(B104,PROPONENTES!$B$19:$E$109,2,0)="","",VLOOKUP(B104,PROPONENTES!$B$19:$E$109,2,0))</f>
        <v>86</v>
      </c>
      <c r="D104" s="133" t="str">
        <f>VLOOKUP(B104,PROPONENTES!$B$19:$D$108,3,FALSE)</f>
        <v>CARLOS ANDRES CHAVARRO CASTRO</v>
      </c>
      <c r="E104" s="435" t="s">
        <v>1105</v>
      </c>
      <c r="F104" s="652" t="s">
        <v>1105</v>
      </c>
      <c r="G104" s="657">
        <v>10</v>
      </c>
    </row>
    <row r="105" spans="2:7">
      <c r="B105" s="132">
        <f t="shared" si="1"/>
        <v>87</v>
      </c>
      <c r="C105" s="132">
        <f>IF(VLOOKUP(B105,PROPONENTES!$B$19:$E$109,2,0)="","",VLOOKUP(B105,PROPONENTES!$B$19:$E$109,2,0))</f>
        <v>87</v>
      </c>
      <c r="D105" s="133" t="str">
        <f>VLOOKUP(B105,PROPONENTES!$B$19:$D$108,3,FALSE)</f>
        <v>CONSORCIO INTERVÍAS TOLIMA 22</v>
      </c>
      <c r="E105" s="435" t="s">
        <v>1105</v>
      </c>
      <c r="F105" s="652" t="s">
        <v>1105</v>
      </c>
      <c r="G105" s="657">
        <v>10</v>
      </c>
    </row>
    <row r="106" spans="2:7">
      <c r="B106" s="132">
        <f t="shared" si="1"/>
        <v>88</v>
      </c>
      <c r="C106" s="132">
        <f>IF(VLOOKUP(B106,PROPONENTES!$B$19:$E$109,2,0)="","",VLOOKUP(B106,PROPONENTES!$B$19:$E$109,2,0))</f>
        <v>88</v>
      </c>
      <c r="D106" s="133" t="str">
        <f>VLOOKUP(B106,PROPONENTES!$B$19:$D$108,3,FALSE)</f>
        <v>INGENIERÍA Y CONSULTORÍA INGECON SAS</v>
      </c>
      <c r="E106" s="435" t="s">
        <v>1105</v>
      </c>
      <c r="F106" s="652" t="s">
        <v>1105</v>
      </c>
      <c r="G106" s="657">
        <v>10</v>
      </c>
    </row>
    <row r="107" spans="2:7">
      <c r="B107" s="132">
        <f t="shared" si="1"/>
        <v>89</v>
      </c>
      <c r="C107" s="132">
        <f>IF(VLOOKUP(B107,PROPONENTES!$B$19:$E$109,2,0)="","",VLOOKUP(B107,PROPONENTES!$B$19:$E$109,2,0))</f>
        <v>89</v>
      </c>
      <c r="D107" s="133" t="str">
        <f>VLOOKUP(B107,PROPONENTES!$B$19:$D$108,3,FALSE)</f>
        <v>CONSORCIO INTER C&amp;R</v>
      </c>
      <c r="E107" s="435" t="s">
        <v>1105</v>
      </c>
      <c r="F107" s="652" t="s">
        <v>1105</v>
      </c>
      <c r="G107" s="657">
        <v>10</v>
      </c>
    </row>
    <row r="108" spans="2:7">
      <c r="B108" s="132">
        <f t="shared" si="1"/>
        <v>90</v>
      </c>
      <c r="C108" s="132">
        <f>IF(VLOOKUP(B108,PROPONENTES!$B$19:$E$109,2,0)="","",VLOOKUP(B108,PROPONENTES!$B$19:$E$109,2,0))</f>
        <v>90</v>
      </c>
      <c r="D108" s="133" t="str">
        <f>VLOOKUP(B108,PROPONENTES!$B$19:$D$108,3,FALSE)</f>
        <v>GM SOLUTIONS S.A.S</v>
      </c>
      <c r="E108" s="435" t="s">
        <v>1105</v>
      </c>
      <c r="F108" s="652" t="s">
        <v>1105</v>
      </c>
      <c r="G108" s="657">
        <v>10</v>
      </c>
    </row>
    <row r="109" spans="2:7" ht="3" customHeight="1" thickBot="1">
      <c r="B109" s="449" t="s">
        <v>134</v>
      </c>
      <c r="C109" s="449" t="s">
        <v>134</v>
      </c>
      <c r="D109" s="135"/>
      <c r="E109" s="135"/>
      <c r="F109" s="136"/>
      <c r="G109" s="166"/>
    </row>
    <row r="110" spans="2:7" ht="15.75" thickTop="1"/>
    <row r="111" spans="2:7"/>
    <row r="112" spans="2:7"/>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4">
    <mergeCell ref="G16:G17"/>
    <mergeCell ref="B16:B17"/>
    <mergeCell ref="C7:F7"/>
    <mergeCell ref="C1:F1"/>
    <mergeCell ref="C2:F2"/>
    <mergeCell ref="C3:F3"/>
    <mergeCell ref="C4:F4"/>
    <mergeCell ref="C6:F6"/>
    <mergeCell ref="C9:F9"/>
    <mergeCell ref="C11:F11"/>
    <mergeCell ref="C13:F13"/>
    <mergeCell ref="C14:F14"/>
    <mergeCell ref="C16:C17"/>
    <mergeCell ref="D16:D17"/>
  </mergeCells>
  <phoneticPr fontId="118" type="noConversion"/>
  <conditionalFormatting sqref="C19:F108">
    <cfRule type="expression" dxfId="115" priority="9" stopIfTrue="1">
      <formula>MOD(ROW(),2)</formula>
    </cfRule>
  </conditionalFormatting>
  <conditionalFormatting sqref="E19:E108">
    <cfRule type="cellIs" dxfId="114" priority="6" operator="equal">
      <formula>"NO CUMPLE-2"</formula>
    </cfRule>
    <cfRule type="cellIs" dxfId="113" priority="7" operator="equal">
      <formula>"NO CUMPLE-1"</formula>
    </cfRule>
    <cfRule type="cellIs" dxfId="112" priority="8" operator="equal">
      <formula>"CUMPLE"</formula>
    </cfRule>
  </conditionalFormatting>
  <conditionalFormatting sqref="B19:B108">
    <cfRule type="expression" dxfId="111" priority="5" stopIfTrue="1">
      <formula>MOD(ROW(),2)</formula>
    </cfRule>
  </conditionalFormatting>
  <conditionalFormatting sqref="F19:F108">
    <cfRule type="cellIs" dxfId="110" priority="2" operator="equal">
      <formula>"NO CUMPLE-2"</formula>
    </cfRule>
    <cfRule type="cellIs" dxfId="109" priority="3" operator="equal">
      <formula>"NO CUMPLE-1"</formula>
    </cfRule>
    <cfRule type="cellIs" dxfId="108" priority="4" operator="equal">
      <formula>"CUMPLE"</formula>
    </cfRule>
  </conditionalFormatting>
  <conditionalFormatting sqref="G19:G108">
    <cfRule type="expression" dxfId="107" priority="1" stopIfTrue="1">
      <formula>MOD(ROW(),2)</formula>
    </cfRule>
  </conditionalFormatting>
  <dataValidations count="2">
    <dataValidation type="list" allowBlank="1" showInputMessage="1" showErrorMessage="1" sqref="E109" xr:uid="{D24E4E84-66FC-4175-9E2D-F283869F9AF0}">
      <formula1>CUMPLIMIENTO</formula1>
    </dataValidation>
    <dataValidation type="list" allowBlank="1" showInputMessage="1" showErrorMessage="1" sqref="E19:F108" xr:uid="{5B9984CB-D617-435A-9A25-02E62195AEEB}">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tabColor rgb="FFFF0000"/>
    <pageSetUpPr fitToPage="1"/>
  </sheetPr>
  <dimension ref="A1:G423"/>
  <sheetViews>
    <sheetView showGridLines="0" topLeftCell="A69" zoomScaleNormal="100" workbookViewId="0">
      <selection activeCell="E104" sqref="E104"/>
    </sheetView>
  </sheetViews>
  <sheetFormatPr baseColWidth="10" defaultColWidth="0" defaultRowHeight="15" zeroHeight="1"/>
  <cols>
    <col min="1" max="1" width="3.85546875" style="128" customWidth="1"/>
    <col min="2" max="2" width="6.7109375" style="128" customWidth="1"/>
    <col min="3" max="3" width="14" style="128" customWidth="1"/>
    <col min="4" max="4" width="67.42578125" style="128" customWidth="1"/>
    <col min="5" max="5" width="14.42578125" style="128" customWidth="1"/>
    <col min="6" max="7" width="11.42578125" style="128" customWidth="1"/>
    <col min="8" max="16384" width="11.42578125" style="128" hidden="1"/>
  </cols>
  <sheetData>
    <row r="1" spans="1:5" s="4" customFormat="1" ht="15" customHeight="1">
      <c r="A1" s="121"/>
      <c r="B1" s="121"/>
      <c r="C1" s="850" t="str">
        <f>PROPONENTES!B1</f>
        <v>INSTITUTO NACIONAL DE VÍAS</v>
      </c>
      <c r="D1" s="850"/>
      <c r="E1" s="850"/>
    </row>
    <row r="2" spans="1:5" s="2" customFormat="1" ht="15" customHeight="1">
      <c r="A2" s="123"/>
      <c r="B2" s="123"/>
      <c r="C2" s="850" t="str">
        <f>PROPONENTES!B2</f>
        <v>DIRECCIÓN GENERAL</v>
      </c>
      <c r="D2" s="850"/>
      <c r="E2" s="850"/>
    </row>
    <row r="3" spans="1:5" s="2" customFormat="1" ht="15" customHeight="1">
      <c r="A3" s="123"/>
      <c r="B3" s="123"/>
      <c r="C3" s="850" t="str">
        <f>PROPONENTES!B3</f>
        <v>DIRECCION JURIDICA</v>
      </c>
      <c r="D3" s="850"/>
      <c r="E3" s="850"/>
    </row>
    <row r="4" spans="1:5" s="2" customFormat="1" ht="12.75" customHeight="1">
      <c r="A4" s="123"/>
      <c r="B4" s="123"/>
      <c r="C4" s="850" t="str">
        <f>PROPONENTES!B4</f>
        <v>TERRITORIAL TOLIMA</v>
      </c>
      <c r="D4" s="850"/>
      <c r="E4" s="850"/>
    </row>
    <row r="5" spans="1:5" s="2" customFormat="1" ht="12.75">
      <c r="A5" s="123"/>
      <c r="B5" s="122"/>
      <c r="C5" s="122"/>
      <c r="D5" s="3"/>
      <c r="E5" s="57"/>
    </row>
    <row r="6" spans="1:5" s="2" customFormat="1" ht="12.75">
      <c r="A6" s="123"/>
      <c r="B6" s="123"/>
      <c r="C6" s="850" t="str">
        <f>+PROPONENTES!B6</f>
        <v>CONCURSO DE MÉRITOS ABIERTO</v>
      </c>
      <c r="D6" s="850"/>
      <c r="E6" s="850"/>
    </row>
    <row r="7" spans="1:5" s="2" customFormat="1" ht="12.75">
      <c r="A7" s="123"/>
      <c r="B7" s="123"/>
      <c r="C7" s="850" t="str">
        <f>PROPONENTES!B7</f>
        <v>CMA-DT-TOL-001-2022</v>
      </c>
      <c r="D7" s="850"/>
      <c r="E7" s="850"/>
    </row>
    <row r="8" spans="1:5" s="2" customFormat="1" ht="12.75" customHeight="1">
      <c r="A8" s="123"/>
      <c r="B8" s="122"/>
      <c r="C8" s="122"/>
      <c r="D8" s="3"/>
      <c r="E8" s="57"/>
    </row>
    <row r="9" spans="1:5"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row>
    <row r="10" spans="1:5" s="2" customFormat="1" ht="12.75" customHeight="1">
      <c r="A10" s="123"/>
      <c r="B10" s="122"/>
      <c r="C10" s="122"/>
      <c r="D10" s="3"/>
      <c r="E10" s="57"/>
    </row>
    <row r="11" spans="1:5" s="2" customFormat="1" ht="12.75">
      <c r="A11" s="123"/>
      <c r="B11" s="123"/>
      <c r="C11" s="851"/>
      <c r="D11" s="851"/>
      <c r="E11" s="851"/>
    </row>
    <row r="12" spans="1:5" s="2" customFormat="1" ht="15.75">
      <c r="A12" s="123"/>
      <c r="B12" s="124"/>
      <c r="C12" s="124"/>
      <c r="D12" s="125"/>
      <c r="E12" s="57"/>
    </row>
    <row r="13" spans="1:5" s="2" customFormat="1" ht="12.75">
      <c r="A13" s="123"/>
      <c r="B13" s="123"/>
      <c r="C13" s="693" t="s">
        <v>1098</v>
      </c>
      <c r="D13" s="693"/>
      <c r="E13" s="693"/>
    </row>
    <row r="14" spans="1:5">
      <c r="A14" s="126"/>
      <c r="B14" s="126"/>
      <c r="C14" s="693" t="s">
        <v>1107</v>
      </c>
      <c r="D14" s="693"/>
      <c r="E14" s="693"/>
    </row>
    <row r="15" spans="1:5" ht="15.75" thickBot="1"/>
    <row r="16" spans="1:5" ht="24" customHeight="1" thickTop="1">
      <c r="B16" s="848" t="s">
        <v>37</v>
      </c>
      <c r="C16" s="848" t="s">
        <v>1100</v>
      </c>
      <c r="D16" s="852" t="s">
        <v>139</v>
      </c>
      <c r="E16" s="854" t="s">
        <v>29</v>
      </c>
    </row>
    <row r="17" spans="2:5" ht="24" customHeight="1" thickBot="1">
      <c r="B17" s="849"/>
      <c r="C17" s="849"/>
      <c r="D17" s="853"/>
      <c r="E17" s="855"/>
    </row>
    <row r="18" spans="2:5" ht="4.5" customHeight="1">
      <c r="B18" s="129"/>
      <c r="C18" s="129"/>
      <c r="D18" s="130"/>
      <c r="E18" s="131"/>
    </row>
    <row r="19" spans="2:5">
      <c r="B19" s="132">
        <f>ROW()-18</f>
        <v>1</v>
      </c>
      <c r="C19" s="132">
        <f>IF(VLOOKUP(B19,PROPONENTES!$B$19:$E$109,2,0)="","",VLOOKUP(B19,PROPONENTES!$B$19:$E$109,2,0))</f>
        <v>1</v>
      </c>
      <c r="D19" s="133" t="str">
        <f>VLOOKUP(B19,PROPONENTES!$B$19:$D$108,3,FALSE)</f>
        <v>PROYECTOS URBANOS &amp; CONSTRUCCIONES DEL CARIBE S.A.S</v>
      </c>
      <c r="E19" s="134">
        <v>20</v>
      </c>
    </row>
    <row r="20" spans="2:5">
      <c r="B20" s="132">
        <f t="shared" ref="B20:B83" si="0">ROW()-18</f>
        <v>2</v>
      </c>
      <c r="C20" s="132">
        <f>IF(VLOOKUP(B20,PROPONENTES!$B$19:$E$109,2,0)="","",VLOOKUP(B20,PROPONENTES!$B$19:$E$109,2,0))</f>
        <v>2</v>
      </c>
      <c r="D20" s="133" t="str">
        <f>VLOOKUP(B20,PROPONENTES!$B$19:$D$108,3,FALSE)</f>
        <v>MIGUEL MORALES INGENIERIA SAS</v>
      </c>
      <c r="E20" s="134">
        <v>20</v>
      </c>
    </row>
    <row r="21" spans="2:5">
      <c r="B21" s="132">
        <f t="shared" si="0"/>
        <v>3</v>
      </c>
      <c r="C21" s="132">
        <f>IF(VLOOKUP(B21,PROPONENTES!$B$19:$E$109,2,0)="","",VLOOKUP(B21,PROPONENTES!$B$19:$E$109,2,0))</f>
        <v>3</v>
      </c>
      <c r="D21" s="133" t="str">
        <f>VLOOKUP(B21,PROPONENTES!$B$19:$D$108,3,FALSE)</f>
        <v>CONSULTORES DONOVAN SAS</v>
      </c>
      <c r="E21" s="134">
        <v>20</v>
      </c>
    </row>
    <row r="22" spans="2:5">
      <c r="B22" s="132">
        <f t="shared" si="0"/>
        <v>4</v>
      </c>
      <c r="C22" s="132">
        <f>IF(VLOOKUP(B22,PROPONENTES!$B$19:$E$109,2,0)="","",VLOOKUP(B22,PROPONENTES!$B$19:$E$109,2,0))</f>
        <v>4</v>
      </c>
      <c r="D22" s="133" t="str">
        <f>VLOOKUP(B22,PROPONENTES!$B$19:$D$108,3,FALSE)</f>
        <v>COMPAÑIA DE PROYECTOS TÉCNICOS CPT S.A</v>
      </c>
      <c r="E22" s="134">
        <v>20</v>
      </c>
    </row>
    <row r="23" spans="2:5">
      <c r="B23" s="132">
        <f t="shared" si="0"/>
        <v>5</v>
      </c>
      <c r="C23" s="132">
        <f>IF(VLOOKUP(B23,PROPONENTES!$B$19:$E$109,2,0)="","",VLOOKUP(B23,PROPONENTES!$B$19:$E$109,2,0))</f>
        <v>5</v>
      </c>
      <c r="D23" s="133" t="str">
        <f>VLOOKUP(B23,PROPONENTES!$B$19:$D$108,3,FALSE)</f>
        <v>GAVINCO INGENIEROS CONSULTORES SAS</v>
      </c>
      <c r="E23" s="134">
        <v>20</v>
      </c>
    </row>
    <row r="24" spans="2:5">
      <c r="B24" s="132">
        <f t="shared" si="0"/>
        <v>6</v>
      </c>
      <c r="C24" s="132">
        <f>IF(VLOOKUP(B24,PROPONENTES!$B$19:$E$109,2,0)="","",VLOOKUP(B24,PROPONENTES!$B$19:$E$109,2,0))</f>
        <v>6</v>
      </c>
      <c r="D24" s="133" t="str">
        <f>VLOOKUP(B24,PROPONENTES!$B$19:$D$108,3,FALSE)</f>
        <v>RD INGENIEROS CIVILES SAS</v>
      </c>
      <c r="E24" s="134">
        <v>20</v>
      </c>
    </row>
    <row r="25" spans="2:5">
      <c r="B25" s="132">
        <f t="shared" si="0"/>
        <v>7</v>
      </c>
      <c r="C25" s="132">
        <f>IF(VLOOKUP(B25,PROPONENTES!$B$19:$E$109,2,0)="","",VLOOKUP(B25,PROPONENTES!$B$19:$E$109,2,0))</f>
        <v>7</v>
      </c>
      <c r="D25" s="133" t="str">
        <f>VLOOKUP(B25,PROPONENTES!$B$19:$D$108,3,FALSE)</f>
        <v>CONSORCIO FEEC TOLIMA</v>
      </c>
      <c r="E25" s="134">
        <v>20</v>
      </c>
    </row>
    <row r="26" spans="2:5">
      <c r="B26" s="132">
        <f t="shared" si="0"/>
        <v>8</v>
      </c>
      <c r="C26" s="132">
        <f>IF(VLOOKUP(B26,PROPONENTES!$B$19:$E$109,2,0)="","",VLOOKUP(B26,PROPONENTES!$B$19:$E$109,2,0))</f>
        <v>8</v>
      </c>
      <c r="D26" s="133" t="str">
        <f>VLOOKUP(B26,PROPONENTES!$B$19:$D$108,3,FALSE)</f>
        <v>CARLOS ALBERTO PALTA MUÑOZ</v>
      </c>
      <c r="E26" s="134">
        <v>20</v>
      </c>
    </row>
    <row r="27" spans="2:5">
      <c r="B27" s="132">
        <f t="shared" si="0"/>
        <v>9</v>
      </c>
      <c r="C27" s="132">
        <f>IF(VLOOKUP(B27,PROPONENTES!$B$19:$E$109,2,0)="","",VLOOKUP(B27,PROPONENTES!$B$19:$E$109,2,0))</f>
        <v>9</v>
      </c>
      <c r="D27" s="133" t="str">
        <f>VLOOKUP(B27,PROPONENTES!$B$19:$D$108,3,FALSE)</f>
        <v>CONSORCIO GMC</v>
      </c>
      <c r="E27" s="134">
        <v>20</v>
      </c>
    </row>
    <row r="28" spans="2:5">
      <c r="B28" s="132">
        <f t="shared" si="0"/>
        <v>10</v>
      </c>
      <c r="C28" s="132">
        <f>IF(VLOOKUP(B28,PROPONENTES!$B$19:$E$109,2,0)="","",VLOOKUP(B28,PROPONENTES!$B$19:$E$109,2,0))</f>
        <v>10</v>
      </c>
      <c r="D28" s="133" t="str">
        <f>VLOOKUP(B28,PROPONENTES!$B$19:$D$108,3,FALSE)</f>
        <v>R&amp;M CONSTRUCCIONES E INTERVENTORIAS S.A.S</v>
      </c>
      <c r="E28" s="134">
        <v>20</v>
      </c>
    </row>
    <row r="29" spans="2:5">
      <c r="B29" s="132">
        <f t="shared" si="0"/>
        <v>11</v>
      </c>
      <c r="C29" s="132">
        <f>IF(VLOOKUP(B29,PROPONENTES!$B$19:$E$109,2,0)="","",VLOOKUP(B29,PROPONENTES!$B$19:$E$109,2,0))</f>
        <v>11</v>
      </c>
      <c r="D29" s="133" t="str">
        <f>VLOOKUP(B29,PROPONENTES!$B$19:$D$108,3,FALSE)</f>
        <v>CUBIKO OBRAS Y CONSULTORÍAS SAS</v>
      </c>
      <c r="E29" s="134">
        <v>20</v>
      </c>
    </row>
    <row r="30" spans="2:5">
      <c r="B30" s="132">
        <f t="shared" si="0"/>
        <v>12</v>
      </c>
      <c r="C30" s="132">
        <f>IF(VLOOKUP(B30,PROPONENTES!$B$19:$E$109,2,0)="","",VLOOKUP(B30,PROPONENTES!$B$19:$E$109,2,0))</f>
        <v>12</v>
      </c>
      <c r="D30" s="133" t="str">
        <f>VLOOKUP(B30,PROPONENTES!$B$19:$D$108,3,FALSE)</f>
        <v>CONSTRUCTORES DEL DESARROLLO TERRITORIAL CONSTRUDET Y COMPAÑÍA LTDA</v>
      </c>
      <c r="E30" s="134">
        <v>20</v>
      </c>
    </row>
    <row r="31" spans="2:5">
      <c r="B31" s="132">
        <f t="shared" si="0"/>
        <v>13</v>
      </c>
      <c r="C31" s="132">
        <f>IF(VLOOKUP(B31,PROPONENTES!$B$19:$E$109,2,0)="","",VLOOKUP(B31,PROPONENTES!$B$19:$E$109,2,0))</f>
        <v>13</v>
      </c>
      <c r="D31" s="133" t="str">
        <f>VLOOKUP(B31,PROPONENTES!$B$19:$D$108,3,FALSE)</f>
        <v>NICOLAS REDONDO MOLINA</v>
      </c>
      <c r="E31" s="134">
        <v>20</v>
      </c>
    </row>
    <row r="32" spans="2:5">
      <c r="B32" s="132">
        <f t="shared" si="0"/>
        <v>14</v>
      </c>
      <c r="C32" s="132">
        <f>IF(VLOOKUP(B32,PROPONENTES!$B$19:$E$109,2,0)="","",VLOOKUP(B32,PROPONENTES!$B$19:$E$109,2,0))</f>
        <v>14</v>
      </c>
      <c r="D32" s="133" t="str">
        <f>VLOOKUP(B32,PROPONENTES!$B$19:$D$108,3,FALSE)</f>
        <v>CONSORCIO INTER CB 2022</v>
      </c>
      <c r="E32" s="134">
        <v>20</v>
      </c>
    </row>
    <row r="33" spans="2:5">
      <c r="B33" s="132">
        <f t="shared" si="0"/>
        <v>15</v>
      </c>
      <c r="C33" s="132">
        <f>IF(VLOOKUP(B33,PROPONENTES!$B$19:$E$109,2,0)="","",VLOOKUP(B33,PROPONENTES!$B$19:$E$109,2,0))</f>
        <v>15</v>
      </c>
      <c r="D33" s="133" t="str">
        <f>VLOOKUP(B33,PROPONENTES!$B$19:$D$108,3,FALSE)</f>
        <v>EMPROCIV SAS</v>
      </c>
      <c r="E33" s="134">
        <v>20</v>
      </c>
    </row>
    <row r="34" spans="2:5">
      <c r="B34" s="132">
        <f t="shared" si="0"/>
        <v>16</v>
      </c>
      <c r="C34" s="132">
        <f>IF(VLOOKUP(B34,PROPONENTES!$B$19:$E$109,2,0)="","",VLOOKUP(B34,PROPONENTES!$B$19:$E$109,2,0))</f>
        <v>16</v>
      </c>
      <c r="D34" s="133" t="str">
        <f>VLOOKUP(B34,PROPONENTES!$B$19:$D$108,3,FALSE)</f>
        <v>CONSORCIO CAMCO</v>
      </c>
      <c r="E34" s="134">
        <v>20</v>
      </c>
    </row>
    <row r="35" spans="2:5">
      <c r="B35" s="132">
        <f t="shared" si="0"/>
        <v>17</v>
      </c>
      <c r="C35" s="132">
        <f>IF(VLOOKUP(B35,PROPONENTES!$B$19:$E$109,2,0)="","",VLOOKUP(B35,PROPONENTES!$B$19:$E$109,2,0))</f>
        <v>17</v>
      </c>
      <c r="D35" s="133" t="str">
        <f>VLOOKUP(B35,PROPONENTES!$B$19:$D$108,3,FALSE)</f>
        <v>ARCA AQUITECTURA E INGENIERÍA S.A</v>
      </c>
      <c r="E35" s="134">
        <v>20</v>
      </c>
    </row>
    <row r="36" spans="2:5">
      <c r="B36" s="132">
        <f t="shared" si="0"/>
        <v>18</v>
      </c>
      <c r="C36" s="132">
        <f>IF(VLOOKUP(B36,PROPONENTES!$B$19:$E$109,2,0)="","",VLOOKUP(B36,PROPONENTES!$B$19:$E$109,2,0))</f>
        <v>18</v>
      </c>
      <c r="D36" s="133" t="str">
        <f>VLOOKUP(B36,PROPONENTES!$B$19:$D$108,3,FALSE)</f>
        <v>ALPHA INGENIERIA INTEGRAL SAS</v>
      </c>
      <c r="E36" s="134">
        <v>20</v>
      </c>
    </row>
    <row r="37" spans="2:5">
      <c r="B37" s="132">
        <f t="shared" si="0"/>
        <v>19</v>
      </c>
      <c r="C37" s="132">
        <f>IF(VLOOKUP(B37,PROPONENTES!$B$19:$E$109,2,0)="","",VLOOKUP(B37,PROPONENTES!$B$19:$E$109,2,0))</f>
        <v>19</v>
      </c>
      <c r="D37" s="133" t="str">
        <f>VLOOKUP(B37,PROPONENTES!$B$19:$D$108,3,FALSE)</f>
        <v>ELSA MARIA RUEDA LANDINEZ INGENIERIA SAS</v>
      </c>
      <c r="E37" s="134">
        <v>20</v>
      </c>
    </row>
    <row r="38" spans="2:5">
      <c r="B38" s="132">
        <f t="shared" si="0"/>
        <v>20</v>
      </c>
      <c r="C38" s="132">
        <f>IF(VLOOKUP(B38,PROPONENTES!$B$19:$E$109,2,0)="","",VLOOKUP(B38,PROPONENTES!$B$19:$E$109,2,0))</f>
        <v>20</v>
      </c>
      <c r="D38" s="133" t="str">
        <f>VLOOKUP(B38,PROPONENTES!$B$19:$D$108,3,FALSE)</f>
        <v>PROES INGENIERÍA S.A.S</v>
      </c>
      <c r="E38" s="134">
        <v>20</v>
      </c>
    </row>
    <row r="39" spans="2:5">
      <c r="B39" s="132">
        <f t="shared" si="0"/>
        <v>21</v>
      </c>
      <c r="C39" s="132">
        <f>IF(VLOOKUP(B39,PROPONENTES!$B$19:$E$109,2,0)="","",VLOOKUP(B39,PROPONENTES!$B$19:$E$109,2,0))</f>
        <v>21</v>
      </c>
      <c r="D39" s="133" t="str">
        <f>VLOOKUP(B39,PROPONENTES!$B$19:$D$108,3,FALSE)</f>
        <v>INGENIEROS CONSULTORES Y CONSTRUCTORES ARG SAS</v>
      </c>
      <c r="E39" s="134">
        <v>20</v>
      </c>
    </row>
    <row r="40" spans="2:5">
      <c r="B40" s="132">
        <f t="shared" si="0"/>
        <v>22</v>
      </c>
      <c r="C40" s="132">
        <f>IF(VLOOKUP(B40,PROPONENTES!$B$19:$E$109,2,0)="","",VLOOKUP(B40,PROPONENTES!$B$19:$E$109,2,0))</f>
        <v>22</v>
      </c>
      <c r="D40" s="133" t="str">
        <f>VLOOKUP(B40,PROPONENTES!$B$19:$D$108,3,FALSE)</f>
        <v>CONSORCIO GABRIELA TOLIMA</v>
      </c>
      <c r="E40" s="134">
        <v>20</v>
      </c>
    </row>
    <row r="41" spans="2:5">
      <c r="B41" s="132">
        <f t="shared" si="0"/>
        <v>23</v>
      </c>
      <c r="C41" s="132">
        <f>IF(VLOOKUP(B41,PROPONENTES!$B$19:$E$109,2,0)="","",VLOOKUP(B41,PROPONENTES!$B$19:$E$109,2,0))</f>
        <v>23</v>
      </c>
      <c r="D41" s="133" t="str">
        <f>VLOOKUP(B41,PROPONENTES!$B$19:$D$108,3,FALSE)</f>
        <v>VELNEC S.A</v>
      </c>
      <c r="E41" s="134">
        <v>20</v>
      </c>
    </row>
    <row r="42" spans="2:5">
      <c r="B42" s="132">
        <f t="shared" si="0"/>
        <v>24</v>
      </c>
      <c r="C42" s="132">
        <f>IF(VLOOKUP(B42,PROPONENTES!$B$19:$E$109,2,0)="","",VLOOKUP(B42,PROPONENTES!$B$19:$E$109,2,0))</f>
        <v>24</v>
      </c>
      <c r="D42" s="133" t="str">
        <f>VLOOKUP(B42,PROPONENTES!$B$19:$D$108,3,FALSE)</f>
        <v>ARQUITECTOS  INGENIEROS CONSTRUCTORES S.A.S</v>
      </c>
      <c r="E42" s="134">
        <v>20</v>
      </c>
    </row>
    <row r="43" spans="2:5">
      <c r="B43" s="132">
        <f t="shared" si="0"/>
        <v>25</v>
      </c>
      <c r="C43" s="132">
        <f>IF(VLOOKUP(B43,PROPONENTES!$B$19:$E$109,2,0)="","",VLOOKUP(B43,PROPONENTES!$B$19:$E$109,2,0))</f>
        <v>25</v>
      </c>
      <c r="D43" s="133" t="str">
        <f>VLOOKUP(B43,PROPONENTES!$B$19:$D$108,3,FALSE)</f>
        <v>CONSORCIO RUTA TOLIMA 1</v>
      </c>
      <c r="E43" s="134">
        <v>20</v>
      </c>
    </row>
    <row r="44" spans="2:5">
      <c r="B44" s="132">
        <f t="shared" si="0"/>
        <v>26</v>
      </c>
      <c r="C44" s="132">
        <f>IF(VLOOKUP(B44,PROPONENTES!$B$19:$E$109,2,0)="","",VLOOKUP(B44,PROPONENTES!$B$19:$E$109,2,0))</f>
        <v>26</v>
      </c>
      <c r="D44" s="133" t="str">
        <f>VLOOKUP(B44,PROPONENTES!$B$19:$D$108,3,FALSE)</f>
        <v>INGENIEROS CONSTRUCTORES Y ASESORES SAS</v>
      </c>
      <c r="E44" s="134">
        <v>20</v>
      </c>
    </row>
    <row r="45" spans="2:5">
      <c r="B45" s="132">
        <f t="shared" si="0"/>
        <v>27</v>
      </c>
      <c r="C45" s="132">
        <f>IF(VLOOKUP(B45,PROPONENTES!$B$19:$E$109,2,0)="","",VLOOKUP(B45,PROPONENTES!$B$19:$E$109,2,0))</f>
        <v>27</v>
      </c>
      <c r="D45" s="133" t="str">
        <f>VLOOKUP(B45,PROPONENTES!$B$19:$D$108,3,FALSE)</f>
        <v>CONSULTORIA Y CONSTRUCCIONES DARLEV SAS</v>
      </c>
      <c r="E45" s="134">
        <v>20</v>
      </c>
    </row>
    <row r="46" spans="2:5">
      <c r="B46" s="132">
        <f t="shared" si="0"/>
        <v>28</v>
      </c>
      <c r="C46" s="132">
        <f>IF(VLOOKUP(B46,PROPONENTES!$B$19:$E$109,2,0)="","",VLOOKUP(B46,PROPONENTES!$B$19:$E$109,2,0))</f>
        <v>28</v>
      </c>
      <c r="D46" s="133" t="str">
        <f>VLOOKUP(B46,PROPONENTES!$B$19:$D$108,3,FALSE)</f>
        <v>CONSORCIO TOLIMA</v>
      </c>
      <c r="E46" s="134">
        <v>0</v>
      </c>
    </row>
    <row r="47" spans="2:5">
      <c r="B47" s="132">
        <f t="shared" si="0"/>
        <v>29</v>
      </c>
      <c r="C47" s="132">
        <f>IF(VLOOKUP(B47,PROPONENTES!$B$19:$E$109,2,0)="","",VLOOKUP(B47,PROPONENTES!$B$19:$E$109,2,0))</f>
        <v>29</v>
      </c>
      <c r="D47" s="133" t="str">
        <f>VLOOKUP(B47,PROPONENTES!$B$19:$D$108,3,FALSE)</f>
        <v>CONSORCIO MT 2022 TOLIMA</v>
      </c>
      <c r="E47" s="134">
        <v>20</v>
      </c>
    </row>
    <row r="48" spans="2:5">
      <c r="B48" s="132">
        <f t="shared" si="0"/>
        <v>30</v>
      </c>
      <c r="C48" s="132">
        <f>IF(VLOOKUP(B48,PROPONENTES!$B$19:$E$109,2,0)="","",VLOOKUP(B48,PROPONENTES!$B$19:$E$109,2,0))</f>
        <v>30</v>
      </c>
      <c r="D48" s="133" t="str">
        <f>VLOOKUP(B48,PROPONENTES!$B$19:$D$108,3,FALSE)</f>
        <v>CONSORCIO INTER TOLIMA</v>
      </c>
      <c r="E48" s="134">
        <v>20</v>
      </c>
    </row>
    <row r="49" spans="2:5">
      <c r="B49" s="132">
        <f t="shared" si="0"/>
        <v>31</v>
      </c>
      <c r="C49" s="132">
        <f>IF(VLOOKUP(B49,PROPONENTES!$B$19:$E$109,2,0)="","",VLOOKUP(B49,PROPONENTES!$B$19:$E$109,2,0))</f>
        <v>31</v>
      </c>
      <c r="D49" s="133" t="str">
        <f>VLOOKUP(B49,PROPONENTES!$B$19:$D$108,3,FALSE)</f>
        <v>INGENIERIA MASTER S.A.S.</v>
      </c>
      <c r="E49" s="134">
        <v>20</v>
      </c>
    </row>
    <row r="50" spans="2:5">
      <c r="B50" s="132">
        <f t="shared" si="0"/>
        <v>32</v>
      </c>
      <c r="C50" s="132">
        <f>IF(VLOOKUP(B50,PROPONENTES!$B$19:$E$109,2,0)="","",VLOOKUP(B50,PROPONENTES!$B$19:$E$109,2,0))</f>
        <v>32</v>
      </c>
      <c r="D50" s="133" t="str">
        <f>VLOOKUP(B50,PROPONENTES!$B$19:$D$108,3,FALSE)</f>
        <v xml:space="preserve">GYG CONSTRUCCIONES S.A.S. </v>
      </c>
      <c r="E50" s="134">
        <v>20</v>
      </c>
    </row>
    <row r="51" spans="2:5">
      <c r="B51" s="132">
        <f t="shared" si="0"/>
        <v>33</v>
      </c>
      <c r="C51" s="132">
        <f>IF(VLOOKUP(B51,PROPONENTES!$B$19:$E$109,2,0)="","",VLOOKUP(B51,PROPONENTES!$B$19:$E$109,2,0))</f>
        <v>33</v>
      </c>
      <c r="D51" s="133" t="str">
        <f>VLOOKUP(B51,PROPONENTES!$B$19:$D$108,3,FALSE)</f>
        <v>CONSORCIO TOLIMA RURAL</v>
      </c>
      <c r="E51" s="134">
        <v>0</v>
      </c>
    </row>
    <row r="52" spans="2:5">
      <c r="B52" s="132">
        <f t="shared" si="0"/>
        <v>34</v>
      </c>
      <c r="C52" s="132">
        <f>IF(VLOOKUP(B52,PROPONENTES!$B$19:$E$109,2,0)="","",VLOOKUP(B52,PROPONENTES!$B$19:$E$109,2,0))</f>
        <v>34</v>
      </c>
      <c r="D52" s="133" t="str">
        <f>VLOOKUP(B52,PROPONENTES!$B$19:$D$108,3,FALSE)</f>
        <v>CONSORCIO OPHAIH 2022</v>
      </c>
      <c r="E52" s="134">
        <v>20</v>
      </c>
    </row>
    <row r="53" spans="2:5">
      <c r="B53" s="132">
        <f t="shared" si="0"/>
        <v>35</v>
      </c>
      <c r="C53" s="132">
        <f>IF(VLOOKUP(B53,PROPONENTES!$B$19:$E$109,2,0)="","",VLOOKUP(B53,PROPONENTES!$B$19:$E$109,2,0))</f>
        <v>35</v>
      </c>
      <c r="D53" s="133" t="str">
        <f>VLOOKUP(B53,PROPONENTES!$B$19:$D$108,3,FALSE)</f>
        <v xml:space="preserve">ING INGENIERIA SAS </v>
      </c>
      <c r="E53" s="134">
        <v>20</v>
      </c>
    </row>
    <row r="54" spans="2:5">
      <c r="B54" s="132">
        <f t="shared" si="0"/>
        <v>36</v>
      </c>
      <c r="C54" s="132">
        <f>IF(VLOOKUP(B54,PROPONENTES!$B$19:$E$109,2,0)="","",VLOOKUP(B54,PROPONENTES!$B$19:$E$109,2,0))</f>
        <v>36</v>
      </c>
      <c r="D54" s="133" t="str">
        <f>VLOOKUP(B54,PROPONENTES!$B$19:$D$108,3,FALSE)</f>
        <v>EJE GROUP S.A.S</v>
      </c>
      <c r="E54" s="134">
        <v>20</v>
      </c>
    </row>
    <row r="55" spans="2:5">
      <c r="B55" s="132">
        <f t="shared" si="0"/>
        <v>37</v>
      </c>
      <c r="C55" s="132">
        <f>IF(VLOOKUP(B55,PROPONENTES!$B$19:$E$109,2,0)="","",VLOOKUP(B55,PROPONENTES!$B$19:$E$109,2,0))</f>
        <v>37</v>
      </c>
      <c r="D55" s="133" t="str">
        <f>VLOOKUP(B55,PROPONENTES!$B$19:$D$108,3,FALSE)</f>
        <v>JORES INGENIERIA LTDA. JORES LTDA</v>
      </c>
      <c r="E55" s="134">
        <v>20</v>
      </c>
    </row>
    <row r="56" spans="2:5">
      <c r="B56" s="132">
        <f t="shared" si="0"/>
        <v>38</v>
      </c>
      <c r="C56" s="132">
        <f>IF(VLOOKUP(B56,PROPONENTES!$B$19:$E$109,2,0)="","",VLOOKUP(B56,PROPONENTES!$B$19:$E$109,2,0))</f>
        <v>38</v>
      </c>
      <c r="D56" s="133" t="str">
        <f>VLOOKUP(B56,PROPONENTES!$B$19:$D$108,3,FALSE)</f>
        <v>CONSORCIO INTERTOLIMA CR</v>
      </c>
      <c r="E56" s="134">
        <v>20</v>
      </c>
    </row>
    <row r="57" spans="2:5">
      <c r="B57" s="132">
        <f t="shared" si="0"/>
        <v>39</v>
      </c>
      <c r="C57" s="132">
        <f>IF(VLOOKUP(B57,PROPONENTES!$B$19:$E$109,2,0)="","",VLOOKUP(B57,PROPONENTES!$B$19:$E$109,2,0))</f>
        <v>39</v>
      </c>
      <c r="D57" s="133" t="str">
        <f>VLOOKUP(B57,PROPONENTES!$B$19:$D$108,3,FALSE)</f>
        <v>CONSORCIO TOLIMA G2</v>
      </c>
      <c r="E57" s="134">
        <v>20</v>
      </c>
    </row>
    <row r="58" spans="2:5">
      <c r="B58" s="132">
        <f t="shared" si="0"/>
        <v>40</v>
      </c>
      <c r="C58" s="132">
        <f>IF(VLOOKUP(B58,PROPONENTES!$B$19:$E$109,2,0)="","",VLOOKUP(B58,PROPONENTES!$B$19:$E$109,2,0))</f>
        <v>40</v>
      </c>
      <c r="D58" s="133" t="str">
        <f>VLOOKUP(B58,PROPONENTES!$B$19:$D$108,3,FALSE)</f>
        <v>CONSORCIO INVIAS 001</v>
      </c>
      <c r="E58" s="134">
        <v>20</v>
      </c>
    </row>
    <row r="59" spans="2:5">
      <c r="B59" s="132">
        <f t="shared" si="0"/>
        <v>41</v>
      </c>
      <c r="C59" s="132">
        <f>IF(VLOOKUP(B59,PROPONENTES!$B$19:$E$109,2,0)="","",VLOOKUP(B59,PROPONENTES!$B$19:$E$109,2,0))</f>
        <v>41</v>
      </c>
      <c r="D59" s="133" t="str">
        <f>VLOOKUP(B59,PROPONENTES!$B$19:$D$108,3,FALSE)</f>
        <v>CONSORCIO SF</v>
      </c>
      <c r="E59" s="134">
        <v>20</v>
      </c>
    </row>
    <row r="60" spans="2:5">
      <c r="B60" s="132">
        <f t="shared" si="0"/>
        <v>42</v>
      </c>
      <c r="C60" s="132">
        <f>IF(VLOOKUP(B60,PROPONENTES!$B$19:$E$109,2,0)="","",VLOOKUP(B60,PROPONENTES!$B$19:$E$109,2,0))</f>
        <v>42</v>
      </c>
      <c r="D60" s="133" t="str">
        <f>VLOOKUP(B60,PROPONENTES!$B$19:$D$108,3,FALSE)</f>
        <v>CONSORCIO VIAL ORIEMH”</v>
      </c>
      <c r="E60" s="134">
        <v>20</v>
      </c>
    </row>
    <row r="61" spans="2:5">
      <c r="B61" s="132">
        <f t="shared" si="0"/>
        <v>43</v>
      </c>
      <c r="C61" s="132">
        <f>IF(VLOOKUP(B61,PROPONENTES!$B$19:$E$109,2,0)="","",VLOOKUP(B61,PROPONENTES!$B$19:$E$109,2,0))</f>
        <v>43</v>
      </c>
      <c r="D61" s="133" t="str">
        <f>VLOOKUP(B61,PROPONENTES!$B$19:$D$108,3,FALSE)</f>
        <v>CONSORCIO INTERFEDCO TOLIMA</v>
      </c>
      <c r="E61" s="134">
        <v>20</v>
      </c>
    </row>
    <row r="62" spans="2:5">
      <c r="B62" s="132">
        <f t="shared" si="0"/>
        <v>44</v>
      </c>
      <c r="C62" s="132">
        <f>IF(VLOOKUP(B62,PROPONENTES!$B$19:$E$109,2,0)="","",VLOOKUP(B62,PROPONENTES!$B$19:$E$109,2,0))</f>
        <v>44</v>
      </c>
      <c r="D62" s="133" t="str">
        <f>VLOOKUP(B62,PROPONENTES!$B$19:$D$108,3,FALSE)</f>
        <v>CONSORCIO VIAS RURALES TOL</v>
      </c>
      <c r="E62" s="134">
        <v>20</v>
      </c>
    </row>
    <row r="63" spans="2:5">
      <c r="B63" s="132">
        <f t="shared" si="0"/>
        <v>45</v>
      </c>
      <c r="C63" s="132">
        <f>IF(VLOOKUP(B63,PROPONENTES!$B$19:$E$109,2,0)="","",VLOOKUP(B63,PROPONENTES!$B$19:$E$109,2,0))</f>
        <v>45</v>
      </c>
      <c r="D63" s="133" t="str">
        <f>VLOOKUP(B63,PROPONENTES!$B$19:$D$108,3,FALSE)</f>
        <v>TECNOLOGÍA DE NUEVAS MEDICIONES COLOMBIA S.A.S. – TECNUMEC S.A.S.</v>
      </c>
      <c r="E63" s="134">
        <v>20</v>
      </c>
    </row>
    <row r="64" spans="2:5">
      <c r="B64" s="132">
        <f t="shared" si="0"/>
        <v>46</v>
      </c>
      <c r="C64" s="132">
        <f>IF(VLOOKUP(B64,PROPONENTES!$B$19:$E$109,2,0)="","",VLOOKUP(B64,PROPONENTES!$B$19:$E$109,2,0))</f>
        <v>46</v>
      </c>
      <c r="D64" s="133" t="str">
        <f>VLOOKUP(B64,PROPONENTES!$B$19:$D$108,3,FALSE)</f>
        <v>CONSULTORES SOLANO NAVAS LTDA</v>
      </c>
      <c r="E64" s="134">
        <v>20</v>
      </c>
    </row>
    <row r="65" spans="2:5">
      <c r="B65" s="132">
        <f t="shared" si="0"/>
        <v>47</v>
      </c>
      <c r="C65" s="132">
        <f>IF(VLOOKUP(B65,PROPONENTES!$B$19:$E$109,2,0)="","",VLOOKUP(B65,PROPONENTES!$B$19:$E$109,2,0))</f>
        <v>47</v>
      </c>
      <c r="D65" s="133" t="str">
        <f>VLOOKUP(B65,PROPONENTES!$B$19:$D$108,3,FALSE)</f>
        <v>CONSORCIO VIAS TOLIMA 22</v>
      </c>
      <c r="E65" s="134">
        <v>20</v>
      </c>
    </row>
    <row r="66" spans="2:5">
      <c r="B66" s="132">
        <f t="shared" si="0"/>
        <v>48</v>
      </c>
      <c r="C66" s="132">
        <f>IF(VLOOKUP(B66,PROPONENTES!$B$19:$E$109,2,0)="","",VLOOKUP(B66,PROPONENTES!$B$19:$E$109,2,0))</f>
        <v>48</v>
      </c>
      <c r="D66" s="133" t="str">
        <f>VLOOKUP(B66,PROPONENTES!$B$19:$D$108,3,FALSE)</f>
        <v>BRAIN INGENIERIA VIAL SAS</v>
      </c>
      <c r="E66" s="134">
        <v>20</v>
      </c>
    </row>
    <row r="67" spans="2:5">
      <c r="B67" s="132">
        <f t="shared" si="0"/>
        <v>49</v>
      </c>
      <c r="C67" s="132">
        <f>IF(VLOOKUP(B67,PROPONENTES!$B$19:$E$109,2,0)="","",VLOOKUP(B67,PROPONENTES!$B$19:$E$109,2,0))</f>
        <v>49</v>
      </c>
      <c r="D67" s="133" t="str">
        <f>VLOOKUP(B67,PROPONENTES!$B$19:$D$108,3,FALSE)</f>
        <v>CONSORCIO LAPP</v>
      </c>
      <c r="E67" s="134">
        <v>20</v>
      </c>
    </row>
    <row r="68" spans="2:5">
      <c r="B68" s="132">
        <f t="shared" si="0"/>
        <v>50</v>
      </c>
      <c r="C68" s="132">
        <f>IF(VLOOKUP(B68,PROPONENTES!$B$19:$E$109,2,0)="","",VLOOKUP(B68,PROPONENTES!$B$19:$E$109,2,0))</f>
        <v>50</v>
      </c>
      <c r="D68" s="133" t="str">
        <f>VLOOKUP(B68,PROPONENTES!$B$19:$D$108,3,FALSE)</f>
        <v>PROYECTISTAS ASOCIADOS SAS</v>
      </c>
      <c r="E68" s="134">
        <v>20</v>
      </c>
    </row>
    <row r="69" spans="2:5">
      <c r="B69" s="132">
        <f t="shared" si="0"/>
        <v>51</v>
      </c>
      <c r="C69" s="132">
        <f>IF(VLOOKUP(B69,PROPONENTES!$B$19:$E$109,2,0)="","",VLOOKUP(B69,PROPONENTES!$B$19:$E$109,2,0))</f>
        <v>51</v>
      </c>
      <c r="D69" s="133" t="str">
        <f>VLOOKUP(B69,PROPONENTES!$B$19:$D$108,3,FALSE)</f>
        <v>DAM SOLUCIONES E INGENIERIA SAS</v>
      </c>
      <c r="E69" s="134">
        <v>20</v>
      </c>
    </row>
    <row r="70" spans="2:5">
      <c r="B70" s="132">
        <f t="shared" si="0"/>
        <v>52</v>
      </c>
      <c r="C70" s="132">
        <f>IF(VLOOKUP(B70,PROPONENTES!$B$19:$E$109,2,0)="","",VLOOKUP(B70,PROPONENTES!$B$19:$E$109,2,0))</f>
        <v>52</v>
      </c>
      <c r="D70" s="133" t="str">
        <f>VLOOKUP(B70,PROPONENTES!$B$19:$D$108,3,FALSE)</f>
        <v>COINZA ING SAS</v>
      </c>
      <c r="E70" s="134">
        <v>20</v>
      </c>
    </row>
    <row r="71" spans="2:5">
      <c r="B71" s="132">
        <f t="shared" si="0"/>
        <v>53</v>
      </c>
      <c r="C71" s="132">
        <f>IF(VLOOKUP(B71,PROPONENTES!$B$19:$E$109,2,0)="","",VLOOKUP(B71,PROPONENTES!$B$19:$E$109,2,0))</f>
        <v>53</v>
      </c>
      <c r="D71" s="133" t="str">
        <f>VLOOKUP(B71,PROPONENTES!$B$19:$D$108,3,FALSE)</f>
        <v>NORBERTO BAYONA ESPITIA</v>
      </c>
      <c r="E71" s="134">
        <v>20</v>
      </c>
    </row>
    <row r="72" spans="2:5">
      <c r="B72" s="132">
        <f t="shared" si="0"/>
        <v>54</v>
      </c>
      <c r="C72" s="132">
        <f>IF(VLOOKUP(B72,PROPONENTES!$B$19:$E$109,2,0)="","",VLOOKUP(B72,PROPONENTES!$B$19:$E$109,2,0))</f>
        <v>54</v>
      </c>
      <c r="D72" s="133" t="str">
        <f>VLOOKUP(B72,PROPONENTES!$B$19:$D$108,3,FALSE)</f>
        <v>CONSORCIO HC INTERVENTORES 2022</v>
      </c>
      <c r="E72" s="134">
        <v>20</v>
      </c>
    </row>
    <row r="73" spans="2:5">
      <c r="B73" s="132">
        <f t="shared" si="0"/>
        <v>55</v>
      </c>
      <c r="C73" s="132">
        <f>IF(VLOOKUP(B73,PROPONENTES!$B$19:$E$109,2,0)="","",VLOOKUP(B73,PROPONENTES!$B$19:$E$109,2,0))</f>
        <v>55</v>
      </c>
      <c r="D73" s="133" t="str">
        <f>VLOOKUP(B73,PROPONENTES!$B$19:$D$108,3,FALSE)</f>
        <v>MARIO DE JESUS GIL CARDONA</v>
      </c>
      <c r="E73" s="134">
        <v>20</v>
      </c>
    </row>
    <row r="74" spans="2:5">
      <c r="B74" s="132">
        <f t="shared" si="0"/>
        <v>56</v>
      </c>
      <c r="C74" s="132">
        <f>IF(VLOOKUP(B74,PROPONENTES!$B$19:$E$109,2,0)="","",VLOOKUP(B74,PROPONENTES!$B$19:$E$109,2,0))</f>
        <v>56</v>
      </c>
      <c r="D74" s="133" t="str">
        <f>VLOOKUP(B74,PROPONENTES!$B$19:$D$108,3,FALSE)</f>
        <v>CONSORCIO COLOMBIA RURAL ET</v>
      </c>
      <c r="E74" s="134">
        <v>0</v>
      </c>
    </row>
    <row r="75" spans="2:5">
      <c r="B75" s="132">
        <f t="shared" si="0"/>
        <v>57</v>
      </c>
      <c r="C75" s="132">
        <f>IF(VLOOKUP(B75,PROPONENTES!$B$19:$E$109,2,0)="","",VLOOKUP(B75,PROPONENTES!$B$19:$E$109,2,0))</f>
        <v>57</v>
      </c>
      <c r="D75" s="133" t="str">
        <f>VLOOKUP(B75,PROPONENTES!$B$19:$D$108,3,FALSE)</f>
        <v>CONSORCIO ROGER 20</v>
      </c>
      <c r="E75" s="134">
        <v>20</v>
      </c>
    </row>
    <row r="76" spans="2:5">
      <c r="B76" s="132">
        <f t="shared" si="0"/>
        <v>58</v>
      </c>
      <c r="C76" s="132">
        <f>IF(VLOOKUP(B76,PROPONENTES!$B$19:$E$109,2,0)="","",VLOOKUP(B76,PROPONENTES!$B$19:$E$109,2,0))</f>
        <v>58</v>
      </c>
      <c r="D76" s="133" t="str">
        <f>VLOOKUP(B76,PROPONENTES!$B$19:$D$108,3,FALSE)</f>
        <v>VALLEJO H INGENIEROS CONSULTORES CONSTRUCTORES C S.A.S -BIC</v>
      </c>
      <c r="E76" s="134">
        <v>20</v>
      </c>
    </row>
    <row r="77" spans="2:5">
      <c r="B77" s="132">
        <f t="shared" si="0"/>
        <v>59</v>
      </c>
      <c r="C77" s="132">
        <f>IF(VLOOKUP(B77,PROPONENTES!$B$19:$E$109,2,0)="","",VLOOKUP(B77,PROPONENTES!$B$19:$E$109,2,0))</f>
        <v>59</v>
      </c>
      <c r="D77" s="133" t="str">
        <f>VLOOKUP(B77,PROPONENTES!$B$19:$D$108,3,FALSE)</f>
        <v>Consorcio JR</v>
      </c>
      <c r="E77" s="134">
        <v>20</v>
      </c>
    </row>
    <row r="78" spans="2:5">
      <c r="B78" s="132">
        <f t="shared" si="0"/>
        <v>60</v>
      </c>
      <c r="C78" s="132">
        <f>IF(VLOOKUP(B78,PROPONENTES!$B$19:$E$109,2,0)="","",VLOOKUP(B78,PROPONENTES!$B$19:$E$109,2,0))</f>
        <v>60</v>
      </c>
      <c r="D78" s="133" t="str">
        <f>VLOOKUP(B78,PROPONENTES!$B$19:$D$108,3,FALSE)</f>
        <v>ARA INGENIERIA S.A.S</v>
      </c>
      <c r="E78" s="134">
        <v>20</v>
      </c>
    </row>
    <row r="79" spans="2:5">
      <c r="B79" s="132">
        <f t="shared" si="0"/>
        <v>61</v>
      </c>
      <c r="C79" s="132">
        <f>IF(VLOOKUP(B79,PROPONENTES!$B$19:$E$109,2,0)="","",VLOOKUP(B79,PROPONENTES!$B$19:$E$109,2,0))</f>
        <v>61</v>
      </c>
      <c r="D79" s="133" t="str">
        <f>VLOOKUP(B79,PROPONENTES!$B$19:$D$108,3,FALSE)</f>
        <v>CONSORCIO INVITOL 2022</v>
      </c>
      <c r="E79" s="134">
        <v>20</v>
      </c>
    </row>
    <row r="80" spans="2:5">
      <c r="B80" s="132">
        <f t="shared" si="0"/>
        <v>62</v>
      </c>
      <c r="C80" s="132">
        <f>IF(VLOOKUP(B80,PROPONENTES!$B$19:$E$109,2,0)="","",VLOOKUP(B80,PROPONENTES!$B$19:$E$109,2,0))</f>
        <v>62</v>
      </c>
      <c r="D80" s="133" t="str">
        <f>VLOOKUP(B80,PROPONENTES!$B$19:$D$108,3,FALSE)</f>
        <v>CONSORCIO INTERVIAL TOL 001</v>
      </c>
      <c r="E80" s="134">
        <v>20</v>
      </c>
    </row>
    <row r="81" spans="2:5">
      <c r="B81" s="132">
        <f t="shared" si="0"/>
        <v>63</v>
      </c>
      <c r="C81" s="132">
        <f>IF(VLOOKUP(B81,PROPONENTES!$B$19:$E$109,2,0)="","",VLOOKUP(B81,PROPONENTES!$B$19:$E$109,2,0))</f>
        <v>63</v>
      </c>
      <c r="D81" s="133" t="str">
        <f>VLOOKUP(B81,PROPONENTES!$B$19:$D$108,3,FALSE)</f>
        <v>COMPAÑIA CONSULTORA COLOMBIANA TRIPLE C BIC SAS</v>
      </c>
      <c r="E81" s="134">
        <v>20</v>
      </c>
    </row>
    <row r="82" spans="2:5">
      <c r="B82" s="132">
        <f t="shared" si="0"/>
        <v>64</v>
      </c>
      <c r="C82" s="132">
        <f>IF(VLOOKUP(B82,PROPONENTES!$B$19:$E$109,2,0)="","",VLOOKUP(B82,PROPONENTES!$B$19:$E$109,2,0))</f>
        <v>64</v>
      </c>
      <c r="D82" s="133" t="str">
        <f>VLOOKUP(B82,PROPONENTES!$B$19:$D$108,3,FALSE)</f>
        <v>UNION TEMPORAL INTERTOL 001 2022</v>
      </c>
      <c r="E82" s="134">
        <v>20</v>
      </c>
    </row>
    <row r="83" spans="2:5">
      <c r="B83" s="132">
        <f t="shared" si="0"/>
        <v>65</v>
      </c>
      <c r="C83" s="132">
        <f>IF(VLOOKUP(B83,PROPONENTES!$B$19:$E$109,2,0)="","",VLOOKUP(B83,PROPONENTES!$B$19:$E$109,2,0))</f>
        <v>65</v>
      </c>
      <c r="D83" s="133" t="str">
        <f>VLOOKUP(B83,PROPONENTES!$B$19:$D$108,3,FALSE)</f>
        <v>PROYECTISTAS DE COLOMBIA &amp; CIA SAS</v>
      </c>
      <c r="E83" s="134">
        <v>20</v>
      </c>
    </row>
    <row r="84" spans="2:5">
      <c r="B84" s="132">
        <f t="shared" ref="B84:B108" si="1">ROW()-18</f>
        <v>66</v>
      </c>
      <c r="C84" s="132">
        <f>IF(VLOOKUP(B84,PROPONENTES!$B$19:$E$109,2,0)="","",VLOOKUP(B84,PROPONENTES!$B$19:$E$109,2,0))</f>
        <v>66</v>
      </c>
      <c r="D84" s="133" t="str">
        <f>VLOOKUP(B84,PROPONENTES!$B$19:$D$108,3,FALSE)</f>
        <v>CONSORCIO VIAL INGENIERIA 2022</v>
      </c>
      <c r="E84" s="134">
        <v>20</v>
      </c>
    </row>
    <row r="85" spans="2:5">
      <c r="B85" s="132">
        <f t="shared" si="1"/>
        <v>67</v>
      </c>
      <c r="C85" s="132">
        <f>IF(VLOOKUP(B85,PROPONENTES!$B$19:$E$109,2,0)="","",VLOOKUP(B85,PROPONENTES!$B$19:$E$109,2,0))</f>
        <v>67</v>
      </c>
      <c r="D85" s="133" t="str">
        <f>VLOOKUP(B85,PROPONENTES!$B$19:$D$108,3,FALSE)</f>
        <v>CONSORCIO AV</v>
      </c>
      <c r="E85" s="134">
        <v>20</v>
      </c>
    </row>
    <row r="86" spans="2:5">
      <c r="B86" s="132">
        <f t="shared" si="1"/>
        <v>68</v>
      </c>
      <c r="C86" s="132">
        <f>IF(VLOOKUP(B86,PROPONENTES!$B$19:$E$109,2,0)="","",VLOOKUP(B86,PROPONENTES!$B$19:$E$109,2,0))</f>
        <v>68</v>
      </c>
      <c r="D86" s="133" t="str">
        <f>VLOOKUP(B86,PROPONENTES!$B$19:$D$108,3,FALSE)</f>
        <v>SOLUCIONES PARA LA INGENIERÍA S.A.S.</v>
      </c>
      <c r="E86" s="134">
        <v>20</v>
      </c>
    </row>
    <row r="87" spans="2:5">
      <c r="B87" s="132">
        <f t="shared" si="1"/>
        <v>69</v>
      </c>
      <c r="C87" s="132">
        <f>IF(VLOOKUP(B87,PROPONENTES!$B$19:$E$109,2,0)="","",VLOOKUP(B87,PROPONENTES!$B$19:$E$109,2,0))</f>
        <v>69</v>
      </c>
      <c r="D87" s="133" t="str">
        <f>VLOOKUP(B87,PROPONENTES!$B$19:$D$108,3,FALSE)</f>
        <v>Unión Temporal Intervías Tolima</v>
      </c>
      <c r="E87" s="134">
        <v>20</v>
      </c>
    </row>
    <row r="88" spans="2:5">
      <c r="B88" s="132">
        <f t="shared" si="1"/>
        <v>70</v>
      </c>
      <c r="C88" s="132">
        <f>IF(VLOOKUP(B88,PROPONENTES!$B$19:$E$109,2,0)="","",VLOOKUP(B88,PROPONENTES!$B$19:$E$109,2,0))</f>
        <v>70</v>
      </c>
      <c r="D88" s="133" t="str">
        <f>VLOOKUP(B88,PROPONENTES!$B$19:$D$108,3,FALSE)</f>
        <v>CONSORCIO DT TOLIMA ZP</v>
      </c>
      <c r="E88" s="134">
        <v>20</v>
      </c>
    </row>
    <row r="89" spans="2:5">
      <c r="B89" s="132">
        <f t="shared" si="1"/>
        <v>71</v>
      </c>
      <c r="C89" s="132">
        <f>IF(VLOOKUP(B89,PROPONENTES!$B$19:$E$109,2,0)="","",VLOOKUP(B89,PROPONENTES!$B$19:$E$109,2,0))</f>
        <v>71</v>
      </c>
      <c r="D89" s="133" t="str">
        <f>VLOOKUP(B89,PROPONENTES!$B$19:$D$108,3,FALSE)</f>
        <v>INGENIEROS CIVILES ESPECIALISTAS S.A.S.</v>
      </c>
      <c r="E89" s="134">
        <v>20</v>
      </c>
    </row>
    <row r="90" spans="2:5">
      <c r="B90" s="132">
        <f t="shared" si="1"/>
        <v>72</v>
      </c>
      <c r="C90" s="132">
        <f>IF(VLOOKUP(B90,PROPONENTES!$B$19:$E$109,2,0)="","",VLOOKUP(B90,PROPONENTES!$B$19:$E$109,2,0))</f>
        <v>72</v>
      </c>
      <c r="D90" s="133" t="str">
        <f>VLOOKUP(B90,PROPONENTES!$B$19:$D$108,3,FALSE)</f>
        <v>GRUPO QUIMBAYA S.A.S.</v>
      </c>
      <c r="E90" s="134">
        <v>20</v>
      </c>
    </row>
    <row r="91" spans="2:5">
      <c r="B91" s="132">
        <f t="shared" si="1"/>
        <v>73</v>
      </c>
      <c r="C91" s="132">
        <f>IF(VLOOKUP(B91,PROPONENTES!$B$19:$E$109,2,0)="","",VLOOKUP(B91,PROPONENTES!$B$19:$E$109,2,0))</f>
        <v>73</v>
      </c>
      <c r="D91" s="133" t="str">
        <f>VLOOKUP(B91,PROPONENTES!$B$19:$D$108,3,FALSE)</f>
        <v>CONSORCIO TOLIMA JI 001</v>
      </c>
      <c r="E91" s="134">
        <v>20</v>
      </c>
    </row>
    <row r="92" spans="2:5">
      <c r="B92" s="132">
        <f t="shared" si="1"/>
        <v>74</v>
      </c>
      <c r="C92" s="132">
        <f>IF(VLOOKUP(B92,PROPONENTES!$B$19:$E$109,2,0)="","",VLOOKUP(B92,PROPONENTES!$B$19:$E$109,2,0))</f>
        <v>74</v>
      </c>
      <c r="D92" s="133" t="str">
        <f>VLOOKUP(B92,PROPONENTES!$B$19:$D$108,3,FALSE)</f>
        <v>INGENIERIA CONUSLTORIA Y PLANEACION S.A – INCOPLAN S.A</v>
      </c>
      <c r="E92" s="134">
        <v>20</v>
      </c>
    </row>
    <row r="93" spans="2:5">
      <c r="B93" s="132">
        <f t="shared" si="1"/>
        <v>75</v>
      </c>
      <c r="C93" s="132">
        <f>IF(VLOOKUP(B93,PROPONENTES!$B$19:$E$109,2,0)="","",VLOOKUP(B93,PROPONENTES!$B$19:$E$109,2,0))</f>
        <v>75</v>
      </c>
      <c r="D93" s="133" t="str">
        <f>VLOOKUP(B93,PROPONENTES!$B$19:$D$108,3,FALSE)</f>
        <v>JAIME MORENO ESPAÑA</v>
      </c>
      <c r="E93" s="134">
        <v>20</v>
      </c>
    </row>
    <row r="94" spans="2:5">
      <c r="B94" s="132">
        <f t="shared" si="1"/>
        <v>76</v>
      </c>
      <c r="C94" s="132">
        <f>IF(VLOOKUP(B94,PROPONENTES!$B$19:$E$109,2,0)="","",VLOOKUP(B94,PROPONENTES!$B$19:$E$109,2,0))</f>
        <v>76</v>
      </c>
      <c r="D94" s="133" t="str">
        <f>VLOOKUP(B94,PROPONENTES!$B$19:$D$108,3,FALSE)</f>
        <v>CONSORCIO DIN ISUTECH</v>
      </c>
      <c r="E94" s="134">
        <v>20</v>
      </c>
    </row>
    <row r="95" spans="2:5">
      <c r="B95" s="132">
        <f t="shared" si="1"/>
        <v>77</v>
      </c>
      <c r="C95" s="132">
        <f>IF(VLOOKUP(B95,PROPONENTES!$B$19:$E$109,2,0)="","",VLOOKUP(B95,PROPONENTES!$B$19:$E$109,2,0))</f>
        <v>77</v>
      </c>
      <c r="D95" s="133" t="str">
        <f>VLOOKUP(B95,PROPONENTES!$B$19:$D$108,3,FALSE)</f>
        <v>CONSORCIO CASTORES – INGES INVIAS 2022</v>
      </c>
      <c r="E95" s="134">
        <v>20</v>
      </c>
    </row>
    <row r="96" spans="2:5">
      <c r="B96" s="132">
        <f t="shared" si="1"/>
        <v>78</v>
      </c>
      <c r="C96" s="132">
        <f>IF(VLOOKUP(B96,PROPONENTES!$B$19:$E$109,2,0)="","",VLOOKUP(B96,PROPONENTES!$B$19:$E$109,2,0))</f>
        <v>78</v>
      </c>
      <c r="D96" s="133" t="str">
        <f>VLOOKUP(B96,PROPONENTES!$B$19:$D$108,3,FALSE)</f>
        <v>NUBIA ISABEL QUEVEDO ÁNGEL</v>
      </c>
      <c r="E96" s="134">
        <v>20</v>
      </c>
    </row>
    <row r="97" spans="2:5">
      <c r="B97" s="132">
        <f t="shared" si="1"/>
        <v>79</v>
      </c>
      <c r="C97" s="132">
        <f>IF(VLOOKUP(B97,PROPONENTES!$B$19:$E$109,2,0)="","",VLOOKUP(B97,PROPONENTES!$B$19:$E$109,2,0))</f>
        <v>79</v>
      </c>
      <c r="D97" s="133" t="str">
        <f>VLOOKUP(B97,PROPONENTES!$B$19:$D$108,3,FALSE)</f>
        <v>CONSORCIO TOLIMA BD</v>
      </c>
      <c r="E97" s="134">
        <v>20</v>
      </c>
    </row>
    <row r="98" spans="2:5">
      <c r="B98" s="132">
        <f t="shared" si="1"/>
        <v>80</v>
      </c>
      <c r="C98" s="132">
        <f>IF(VLOOKUP(B98,PROPONENTES!$B$19:$E$109,2,0)="","",VLOOKUP(B98,PROPONENTES!$B$19:$E$109,2,0))</f>
        <v>80</v>
      </c>
      <c r="D98" s="133" t="str">
        <f>VLOOKUP(B98,PROPONENTES!$B$19:$D$108,3,FALSE)</f>
        <v>CB INGENIEROS S.A.S</v>
      </c>
      <c r="E98" s="134">
        <v>20</v>
      </c>
    </row>
    <row r="99" spans="2:5">
      <c r="B99" s="132">
        <f t="shared" si="1"/>
        <v>81</v>
      </c>
      <c r="C99" s="132">
        <f>IF(VLOOKUP(B99,PROPONENTES!$B$19:$E$109,2,0)="","",VLOOKUP(B99,PROPONENTES!$B$19:$E$109,2,0))</f>
        <v>81</v>
      </c>
      <c r="D99" s="133" t="str">
        <f>VLOOKUP(B99,PROPONENTES!$B$19:$D$108,3,FALSE)</f>
        <v>CONSORCIO INVIAS JP 2022</v>
      </c>
      <c r="E99" s="134">
        <v>20</v>
      </c>
    </row>
    <row r="100" spans="2:5">
      <c r="B100" s="132">
        <f t="shared" si="1"/>
        <v>82</v>
      </c>
      <c r="C100" s="132">
        <f>IF(VLOOKUP(B100,PROPONENTES!$B$19:$E$109,2,0)="","",VLOOKUP(B100,PROPONENTES!$B$19:$E$109,2,0))</f>
        <v>82</v>
      </c>
      <c r="D100" s="133" t="str">
        <f>VLOOKUP(B100,PROPONENTES!$B$19:$D$108,3,FALSE)</f>
        <v>SOCIEDAD TECNICA SOTA LTDA</v>
      </c>
      <c r="E100" s="134">
        <v>20</v>
      </c>
    </row>
    <row r="101" spans="2:5">
      <c r="B101" s="132">
        <f t="shared" si="1"/>
        <v>83</v>
      </c>
      <c r="C101" s="132">
        <f>IF(VLOOKUP(B101,PROPONENTES!$B$19:$E$109,2,0)="","",VLOOKUP(B101,PROPONENTES!$B$19:$E$109,2,0))</f>
        <v>83</v>
      </c>
      <c r="D101" s="133" t="str">
        <f>VLOOKUP(B101,PROPONENTES!$B$19:$D$108,3,FALSE)</f>
        <v>CONSORCIO INTERVENTORES ASOCIADOS DEL TOLIMA</v>
      </c>
      <c r="E101" s="134">
        <v>20</v>
      </c>
    </row>
    <row r="102" spans="2:5">
      <c r="B102" s="132">
        <f t="shared" si="1"/>
        <v>84</v>
      </c>
      <c r="C102" s="132">
        <f>IF(VLOOKUP(B102,PROPONENTES!$B$19:$E$109,2,0)="","",VLOOKUP(B102,PROPONENTES!$B$19:$E$109,2,0))</f>
        <v>84</v>
      </c>
      <c r="D102" s="133" t="str">
        <f>VLOOKUP(B102,PROPONENTES!$B$19:$D$108,3,FALSE)</f>
        <v>GRUPO EMPRESARIAL DE INFRAESTRUCTURA COLOMBIANO S.A.S.</v>
      </c>
      <c r="E102" s="134">
        <v>0</v>
      </c>
    </row>
    <row r="103" spans="2:5">
      <c r="B103" s="132">
        <f t="shared" si="1"/>
        <v>85</v>
      </c>
      <c r="C103" s="132">
        <f>IF(VLOOKUP(B103,PROPONENTES!$B$19:$E$109,2,0)="","",VLOOKUP(B103,PROPONENTES!$B$19:$E$109,2,0))</f>
        <v>85</v>
      </c>
      <c r="D103" s="133" t="str">
        <f>VLOOKUP(B103,PROPONENTES!$B$19:$D$108,3,FALSE)</f>
        <v>DBB INGENIERÍA S.A.S.</v>
      </c>
      <c r="E103" s="134">
        <v>20</v>
      </c>
    </row>
    <row r="104" spans="2:5">
      <c r="B104" s="132">
        <f t="shared" si="1"/>
        <v>86</v>
      </c>
      <c r="C104" s="132">
        <f>IF(VLOOKUP(B104,PROPONENTES!$B$19:$E$109,2,0)="","",VLOOKUP(B104,PROPONENTES!$B$19:$E$109,2,0))</f>
        <v>86</v>
      </c>
      <c r="D104" s="133" t="str">
        <f>VLOOKUP(B104,PROPONENTES!$B$19:$D$108,3,FALSE)</f>
        <v>CARLOS ANDRES CHAVARRO CASTRO</v>
      </c>
      <c r="E104" s="134">
        <v>0</v>
      </c>
    </row>
    <row r="105" spans="2:5">
      <c r="B105" s="132">
        <f t="shared" si="1"/>
        <v>87</v>
      </c>
      <c r="C105" s="132">
        <f>IF(VLOOKUP(B105,PROPONENTES!$B$19:$E$109,2,0)="","",VLOOKUP(B105,PROPONENTES!$B$19:$E$109,2,0))</f>
        <v>87</v>
      </c>
      <c r="D105" s="133" t="str">
        <f>VLOOKUP(B105,PROPONENTES!$B$19:$D$108,3,FALSE)</f>
        <v>CONSORCIO INTERVÍAS TOLIMA 22</v>
      </c>
      <c r="E105" s="134">
        <v>20</v>
      </c>
    </row>
    <row r="106" spans="2:5">
      <c r="B106" s="132">
        <f t="shared" si="1"/>
        <v>88</v>
      </c>
      <c r="C106" s="132">
        <f>IF(VLOOKUP(B106,PROPONENTES!$B$19:$E$109,2,0)="","",VLOOKUP(B106,PROPONENTES!$B$19:$E$109,2,0))</f>
        <v>88</v>
      </c>
      <c r="D106" s="133" t="str">
        <f>VLOOKUP(B106,PROPONENTES!$B$19:$D$108,3,FALSE)</f>
        <v>INGENIERÍA Y CONSULTORÍA INGECON SAS</v>
      </c>
      <c r="E106" s="134">
        <v>20</v>
      </c>
    </row>
    <row r="107" spans="2:5">
      <c r="B107" s="132">
        <f t="shared" si="1"/>
        <v>89</v>
      </c>
      <c r="C107" s="132">
        <f>IF(VLOOKUP(B107,PROPONENTES!$B$19:$E$109,2,0)="","",VLOOKUP(B107,PROPONENTES!$B$19:$E$109,2,0))</f>
        <v>89</v>
      </c>
      <c r="D107" s="133" t="str">
        <f>VLOOKUP(B107,PROPONENTES!$B$19:$D$108,3,FALSE)</f>
        <v>CONSORCIO INTER C&amp;R</v>
      </c>
      <c r="E107" s="134">
        <v>20</v>
      </c>
    </row>
    <row r="108" spans="2:5">
      <c r="B108" s="132">
        <f t="shared" si="1"/>
        <v>90</v>
      </c>
      <c r="C108" s="132">
        <f>IF(VLOOKUP(B108,PROPONENTES!$B$19:$E$109,2,0)="","",VLOOKUP(B108,PROPONENTES!$B$19:$E$109,2,0))</f>
        <v>90</v>
      </c>
      <c r="D108" s="133" t="str">
        <f>VLOOKUP(B108,PROPONENTES!$B$19:$D$108,3,FALSE)</f>
        <v>GM SOLUTIONS S.A.S</v>
      </c>
      <c r="E108" s="134">
        <v>20</v>
      </c>
    </row>
    <row r="109" spans="2:5" ht="3" customHeight="1" thickBot="1">
      <c r="B109" s="449" t="s">
        <v>134</v>
      </c>
      <c r="C109" s="449" t="s">
        <v>134</v>
      </c>
      <c r="D109" s="135"/>
      <c r="E109" s="136"/>
    </row>
    <row r="110" spans="2:5" ht="15.75" thickTop="1"/>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C19:E108">
    <cfRule type="expression" dxfId="106" priority="21" stopIfTrue="1">
      <formula>MOD(ROW(),2)</formula>
    </cfRule>
  </conditionalFormatting>
  <conditionalFormatting sqref="B19:B108">
    <cfRule type="expression" dxfId="105"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5">
    <tabColor rgb="FFFF0000"/>
    <pageSetUpPr fitToPage="1"/>
  </sheetPr>
  <dimension ref="A1:I409"/>
  <sheetViews>
    <sheetView showGridLines="0" tabSelected="1" topLeftCell="A75" zoomScaleNormal="100" workbookViewId="0">
      <selection activeCell="G79" sqref="G79"/>
    </sheetView>
  </sheetViews>
  <sheetFormatPr baseColWidth="10" defaultColWidth="0" defaultRowHeight="15" zeroHeight="1"/>
  <cols>
    <col min="1" max="1" width="3.85546875" style="128" customWidth="1"/>
    <col min="2" max="2" width="6.7109375" style="128" customWidth="1"/>
    <col min="3" max="3" width="14" style="128" customWidth="1"/>
    <col min="4" max="4" width="66.140625" style="128" customWidth="1"/>
    <col min="5" max="6" width="18.85546875" style="128" customWidth="1"/>
    <col min="7" max="7" width="14.42578125" style="128" customWidth="1"/>
    <col min="8" max="9" width="11.42578125" style="128" customWidth="1"/>
    <col min="10" max="16384" width="11.42578125" style="128" hidden="1"/>
  </cols>
  <sheetData>
    <row r="1" spans="1:7" s="4" customFormat="1" ht="15" customHeight="1">
      <c r="A1" s="121"/>
      <c r="B1" s="121"/>
      <c r="C1" s="850" t="str">
        <f>PROPONENTES!B1</f>
        <v>INSTITUTO NACIONAL DE VÍAS</v>
      </c>
      <c r="D1" s="850"/>
      <c r="E1" s="850"/>
      <c r="F1" s="850"/>
      <c r="G1" s="850"/>
    </row>
    <row r="2" spans="1:7" s="2" customFormat="1" ht="15" customHeight="1">
      <c r="A2" s="123"/>
      <c r="B2" s="123"/>
      <c r="C2" s="850" t="str">
        <f>PROPONENTES!B2</f>
        <v>DIRECCIÓN GENERAL</v>
      </c>
      <c r="D2" s="850"/>
      <c r="E2" s="850"/>
      <c r="F2" s="850"/>
      <c r="G2" s="850"/>
    </row>
    <row r="3" spans="1:7" s="2" customFormat="1" ht="15" customHeight="1">
      <c r="A3" s="123"/>
      <c r="B3" s="123"/>
      <c r="C3" s="850" t="str">
        <f>PROPONENTES!B3</f>
        <v>DIRECCION JURIDICA</v>
      </c>
      <c r="D3" s="850"/>
      <c r="E3" s="850"/>
      <c r="F3" s="850"/>
      <c r="G3" s="850"/>
    </row>
    <row r="4" spans="1:7" s="2" customFormat="1" ht="12.75" customHeight="1">
      <c r="A4" s="123"/>
      <c r="B4" s="123"/>
      <c r="C4" s="850" t="str">
        <f>PROPONENTES!B4</f>
        <v>TERRITORIAL TOLIMA</v>
      </c>
      <c r="D4" s="850"/>
      <c r="E4" s="850"/>
      <c r="F4" s="850"/>
      <c r="G4" s="850"/>
    </row>
    <row r="5" spans="1:7" s="2" customFormat="1" ht="12.75">
      <c r="A5" s="123"/>
      <c r="B5" s="122"/>
      <c r="C5" s="122"/>
      <c r="D5" s="3"/>
      <c r="E5" s="57"/>
      <c r="F5" s="57"/>
      <c r="G5" s="57"/>
    </row>
    <row r="6" spans="1:7" s="2" customFormat="1" ht="12.75">
      <c r="A6" s="123"/>
      <c r="B6" s="123"/>
      <c r="C6" s="850" t="str">
        <f>+PROPONENTES!B6</f>
        <v>CONCURSO DE MÉRITOS ABIERTO</v>
      </c>
      <c r="D6" s="850"/>
      <c r="E6" s="850"/>
      <c r="F6" s="850"/>
      <c r="G6" s="850"/>
    </row>
    <row r="7" spans="1:7" s="2" customFormat="1" ht="12.75">
      <c r="A7" s="123"/>
      <c r="B7" s="123"/>
      <c r="C7" s="850" t="str">
        <f>PROPONENTES!B7</f>
        <v>CMA-DT-TOL-001-2022</v>
      </c>
      <c r="D7" s="850"/>
      <c r="E7" s="850"/>
      <c r="F7" s="850"/>
      <c r="G7" s="850"/>
    </row>
    <row r="8" spans="1:7" s="2" customFormat="1" ht="12.75" customHeight="1">
      <c r="A8" s="123"/>
      <c r="B8" s="122"/>
      <c r="C8" s="122"/>
      <c r="D8" s="3"/>
      <c r="E8" s="57"/>
      <c r="F8" s="57"/>
      <c r="G8" s="57"/>
    </row>
    <row r="9" spans="1:7"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c r="F9" s="850"/>
      <c r="G9" s="850"/>
    </row>
    <row r="10" spans="1:7" s="2" customFormat="1" ht="12.75" customHeight="1">
      <c r="A10" s="123"/>
      <c r="B10" s="122"/>
      <c r="C10" s="122"/>
      <c r="D10" s="3"/>
      <c r="E10" s="57"/>
      <c r="F10" s="57"/>
      <c r="G10" s="57"/>
    </row>
    <row r="11" spans="1:7" s="2" customFormat="1" ht="12.75">
      <c r="A11" s="123"/>
      <c r="B11" s="123"/>
      <c r="C11" s="851"/>
      <c r="D11" s="851"/>
      <c r="E11" s="851"/>
      <c r="F11" s="851"/>
      <c r="G11" s="851"/>
    </row>
    <row r="12" spans="1:7" s="2" customFormat="1" ht="15.75">
      <c r="A12" s="123"/>
      <c r="B12" s="124"/>
      <c r="C12" s="124"/>
      <c r="D12" s="125"/>
      <c r="E12" s="57"/>
      <c r="F12" s="57"/>
      <c r="G12" s="57"/>
    </row>
    <row r="13" spans="1:7" s="2" customFormat="1" ht="12.75">
      <c r="A13" s="123"/>
      <c r="B13" s="123"/>
      <c r="C13" s="693" t="s">
        <v>1108</v>
      </c>
      <c r="D13" s="693"/>
      <c r="E13" s="693"/>
      <c r="F13" s="693"/>
      <c r="G13" s="693"/>
    </row>
    <row r="14" spans="1:7">
      <c r="A14" s="126"/>
      <c r="B14" s="126"/>
      <c r="C14" s="693" t="s">
        <v>1109</v>
      </c>
      <c r="D14" s="693"/>
      <c r="E14" s="693"/>
      <c r="F14" s="693"/>
      <c r="G14" s="693"/>
    </row>
    <row r="15" spans="1:7" ht="15.75" thickBot="1"/>
    <row r="16" spans="1:7" ht="24" customHeight="1" thickTop="1">
      <c r="B16" s="848" t="s">
        <v>37</v>
      </c>
      <c r="C16" s="848" t="s">
        <v>1100</v>
      </c>
      <c r="D16" s="852" t="s">
        <v>139</v>
      </c>
      <c r="E16" s="856" t="s">
        <v>1110</v>
      </c>
      <c r="F16" s="856" t="s">
        <v>1111</v>
      </c>
      <c r="G16" s="854" t="s">
        <v>29</v>
      </c>
    </row>
    <row r="17" spans="2:7" ht="24" customHeight="1" thickBot="1">
      <c r="B17" s="849"/>
      <c r="C17" s="849"/>
      <c r="D17" s="853"/>
      <c r="E17" s="857"/>
      <c r="F17" s="857"/>
      <c r="G17" s="855"/>
    </row>
    <row r="18" spans="2:7" ht="4.5" customHeight="1">
      <c r="B18" s="129"/>
      <c r="C18" s="129"/>
      <c r="D18" s="130"/>
      <c r="E18" s="131"/>
      <c r="F18" s="131"/>
      <c r="G18" s="131"/>
    </row>
    <row r="19" spans="2:7">
      <c r="B19" s="132">
        <f>ROW()-18</f>
        <v>1</v>
      </c>
      <c r="C19" s="132">
        <f>IF(VLOOKUP(B19,PROPONENTES!$B$19:$E$109,2,0)="","",VLOOKUP(B19,PROPONENTES!$B$19:$E$109,2,0))</f>
        <v>1</v>
      </c>
      <c r="D19" s="133" t="str">
        <f>VLOOKUP(B19,PROPONENTES!$B$19:$D$108,3,FALSE)</f>
        <v>PROYECTOS URBANOS &amp; CONSTRUCCIONES DEL CARIBE S.A.S</v>
      </c>
      <c r="E19" s="290" t="str">
        <f>IF(ISNUMBER(D19),"",IF(VLOOKUP("T"&amp;C19,EXPERIENCIA!$A$20:$AC$9193,25,FALSE)=1,"SI APLICA",VLOOKUP("T"&amp;C19,EXPERIENCIA!$A$20:$AC$9193,26,FALSE)))</f>
        <v>SI APLICA</v>
      </c>
      <c r="F19" s="134" t="str">
        <f>IF(ISNUMBER(D19),"",VLOOKUP("T"&amp;C19,EXPERIENCIA!$A$20:$AC$9193,27,FALSE))</f>
        <v>SI APLICA</v>
      </c>
      <c r="G19" s="134">
        <f>IF(ISNUMBER(D19),"",IF(COUNTIF(E19:F19,"SI APLICA")=2,1,0))</f>
        <v>1</v>
      </c>
    </row>
    <row r="20" spans="2:7">
      <c r="B20" s="132">
        <f t="shared" ref="B20:B83" si="0">ROW()-18</f>
        <v>2</v>
      </c>
      <c r="C20" s="132">
        <f>IF(VLOOKUP(B20,PROPONENTES!$B$19:$E$109,2,0)="","",VLOOKUP(B20,PROPONENTES!$B$19:$E$109,2,0))</f>
        <v>2</v>
      </c>
      <c r="D20" s="133" t="str">
        <f>VLOOKUP(B20,PROPONENTES!$B$19:$D$108,3,FALSE)</f>
        <v>MIGUEL MORALES INGENIERIA SAS</v>
      </c>
      <c r="E20" s="290" t="str">
        <f>IF(ISNUMBER(D20),"",IF(VLOOKUP("T"&amp;C20,EXPERIENCIA!$A$20:$AC$9193,25,FALSE)=1,"SI APLICA",VLOOKUP("T"&amp;C20,EXPERIENCIA!$A$20:$AC$9193,26,FALSE)))</f>
        <v>SI APLICA</v>
      </c>
      <c r="F20" s="134" t="str">
        <f>IF(ISNUMBER(D20),"",VLOOKUP("T"&amp;C20,EXPERIENCIA!$A$20:$AC$9193,27,FALSE))</f>
        <v>SI APLICA</v>
      </c>
      <c r="G20" s="134">
        <f t="shared" ref="G20:G83" si="1">IF(ISNUMBER(D20),"",IF(COUNTIF(E20:F20,"SI APLICA")=2,1,0))</f>
        <v>1</v>
      </c>
    </row>
    <row r="21" spans="2:7" ht="18.75" customHeight="1">
      <c r="B21" s="132">
        <f t="shared" si="0"/>
        <v>3</v>
      </c>
      <c r="C21" s="132">
        <f>IF(VLOOKUP(B21,PROPONENTES!$B$19:$E$109,2,0)="","",VLOOKUP(B21,PROPONENTES!$B$19:$E$109,2,0))</f>
        <v>3</v>
      </c>
      <c r="D21" s="133" t="str">
        <f>VLOOKUP(B21,PROPONENTES!$B$19:$D$108,3,FALSE)</f>
        <v>CONSULTORES DONOVAN SAS</v>
      </c>
      <c r="E21" s="290" t="str">
        <f>IF(ISNUMBER(D21),"",IF(VLOOKUP("T"&amp;C21,EXPERIENCIA!$A$20:$AC$9193,25,FALSE)=1,"SI APLICA",VLOOKUP("T"&amp;C21,EXPERIENCIA!$A$20:$AC$9193,26,FALSE)))</f>
        <v>SI APLICA</v>
      </c>
      <c r="F21" s="134" t="str">
        <f>IF(ISNUMBER(D21),"",VLOOKUP("T"&amp;C21,EXPERIENCIA!$A$20:$AC$9193,27,FALSE))</f>
        <v>SI APLICA</v>
      </c>
      <c r="G21" s="134">
        <f t="shared" si="1"/>
        <v>1</v>
      </c>
    </row>
    <row r="22" spans="2:7">
      <c r="B22" s="132">
        <f t="shared" si="0"/>
        <v>4</v>
      </c>
      <c r="C22" s="132">
        <f>IF(VLOOKUP(B22,PROPONENTES!$B$19:$E$109,2,0)="","",VLOOKUP(B22,PROPONENTES!$B$19:$E$109,2,0))</f>
        <v>4</v>
      </c>
      <c r="D22" s="133" t="str">
        <f>VLOOKUP(B22,PROPONENTES!$B$19:$D$108,3,FALSE)</f>
        <v>COMPAÑIA DE PROYECTOS TÉCNICOS CPT S.A</v>
      </c>
      <c r="E22" s="290" t="str">
        <f>IF(ISNUMBER(D22),"",IF(VLOOKUP("T"&amp;C22,EXPERIENCIA!$A$20:$AC$9193,25,FALSE)=1,"SI APLICA",VLOOKUP("T"&amp;C22,EXPERIENCIA!$A$20:$AC$9193,26,FALSE)))</f>
        <v>SI APLICA</v>
      </c>
      <c r="F22" s="134" t="str">
        <f>IF(ISNUMBER(D22),"",VLOOKUP("T"&amp;C22,EXPERIENCIA!$A$20:$AC$9193,27,FALSE))</f>
        <v>SI APLICA</v>
      </c>
      <c r="G22" s="134">
        <f t="shared" si="1"/>
        <v>1</v>
      </c>
    </row>
    <row r="23" spans="2:7">
      <c r="B23" s="132">
        <f t="shared" si="0"/>
        <v>5</v>
      </c>
      <c r="C23" s="132">
        <f>IF(VLOOKUP(B23,PROPONENTES!$B$19:$E$109,2,0)="","",VLOOKUP(B23,PROPONENTES!$B$19:$E$109,2,0))</f>
        <v>5</v>
      </c>
      <c r="D23" s="133" t="str">
        <f>VLOOKUP(B23,PROPONENTES!$B$19:$D$108,3,FALSE)</f>
        <v>GAVINCO INGENIEROS CONSULTORES SAS</v>
      </c>
      <c r="E23" s="290" t="str">
        <f>IF(ISNUMBER(D23),"",IF(VLOOKUP("T"&amp;C23,EXPERIENCIA!$A$20:$AC$9193,25,FALSE)=1,"SI APLICA",VLOOKUP("T"&amp;C23,EXPERIENCIA!$A$20:$AC$9193,26,FALSE)))</f>
        <v>SI APLICA</v>
      </c>
      <c r="F23" s="134" t="str">
        <f>IF(ISNUMBER(D23),"",VLOOKUP("T"&amp;C23,EXPERIENCIA!$A$20:$AC$9193,27,FALSE))</f>
        <v>SI APLICA</v>
      </c>
      <c r="G23" s="134">
        <f t="shared" si="1"/>
        <v>1</v>
      </c>
    </row>
    <row r="24" spans="2:7">
      <c r="B24" s="132">
        <f t="shared" si="0"/>
        <v>6</v>
      </c>
      <c r="C24" s="132">
        <f>IF(VLOOKUP(B24,PROPONENTES!$B$19:$E$109,2,0)="","",VLOOKUP(B24,PROPONENTES!$B$19:$E$109,2,0))</f>
        <v>6</v>
      </c>
      <c r="D24" s="133" t="str">
        <f>VLOOKUP(B24,PROPONENTES!$B$19:$D$108,3,FALSE)</f>
        <v>RD INGENIEROS CIVILES SAS</v>
      </c>
      <c r="E24" s="290" t="str">
        <f>IF(ISNUMBER(D24),"",IF(VLOOKUP("T"&amp;C24,EXPERIENCIA!$A$20:$AC$9193,25,FALSE)=1,"SI APLICA",VLOOKUP("T"&amp;C24,EXPERIENCIA!$A$20:$AC$9193,26,FALSE)))</f>
        <v>SI APLICA</v>
      </c>
      <c r="F24" s="134" t="str">
        <f>IF(ISNUMBER(D24),"",VLOOKUP("T"&amp;C24,EXPERIENCIA!$A$20:$AC$9193,27,FALSE))</f>
        <v>SI APLICA</v>
      </c>
      <c r="G24" s="134">
        <f t="shared" si="1"/>
        <v>1</v>
      </c>
    </row>
    <row r="25" spans="2:7">
      <c r="B25" s="132">
        <f t="shared" si="0"/>
        <v>7</v>
      </c>
      <c r="C25" s="132">
        <f>IF(VLOOKUP(B25,PROPONENTES!$B$19:$E$109,2,0)="","",VLOOKUP(B25,PROPONENTES!$B$19:$E$109,2,0))</f>
        <v>7</v>
      </c>
      <c r="D25" s="133" t="str">
        <f>VLOOKUP(B25,PROPONENTES!$B$19:$D$108,3,FALSE)</f>
        <v>CONSORCIO FEEC TOLIMA</v>
      </c>
      <c r="E25" s="290" t="str">
        <f ca="1">IF(ISNUMBER(D25),"",IF(VLOOKUP("T"&amp;C25,EXPERIENCIA!$A$20:$AC$9193,25,FALSE)=1,"SI APLICA",VLOOKUP("T"&amp;C25,EXPERIENCIA!$A$20:$AC$9193,26,FALSE)))</f>
        <v>SI APLICA</v>
      </c>
      <c r="F25" s="134" t="str">
        <f ca="1">IF(ISNUMBER(D25),"",VLOOKUP("T"&amp;C25,EXPERIENCIA!$A$20:$AC$9193,27,FALSE))</f>
        <v>SI APLICA</v>
      </c>
      <c r="G25" s="134">
        <f t="shared" ca="1" si="1"/>
        <v>1</v>
      </c>
    </row>
    <row r="26" spans="2:7">
      <c r="B26" s="132">
        <f t="shared" si="0"/>
        <v>8</v>
      </c>
      <c r="C26" s="132">
        <f>IF(VLOOKUP(B26,PROPONENTES!$B$19:$E$109,2,0)="","",VLOOKUP(B26,PROPONENTES!$B$19:$E$109,2,0))</f>
        <v>8</v>
      </c>
      <c r="D26" s="133" t="str">
        <f>VLOOKUP(B26,PROPONENTES!$B$19:$D$108,3,FALSE)</f>
        <v>CARLOS ALBERTO PALTA MUÑOZ</v>
      </c>
      <c r="E26" s="290" t="str">
        <f>IF(ISNUMBER(D26),"",IF(VLOOKUP("T"&amp;C26,EXPERIENCIA!$A$20:$AC$9193,25,FALSE)=1,"SI APLICA",VLOOKUP("T"&amp;C26,EXPERIENCIA!$A$20:$AC$9193,26,FALSE)))</f>
        <v>SI APLICA</v>
      </c>
      <c r="F26" s="134" t="str">
        <f>IF(ISNUMBER(D26),"",VLOOKUP("T"&amp;C26,EXPERIENCIA!$A$20:$AC$9193,27,FALSE))</f>
        <v>SI APLICA</v>
      </c>
      <c r="G26" s="134">
        <f t="shared" si="1"/>
        <v>1</v>
      </c>
    </row>
    <row r="27" spans="2:7">
      <c r="B27" s="132">
        <f t="shared" si="0"/>
        <v>9</v>
      </c>
      <c r="C27" s="132">
        <f>IF(VLOOKUP(B27,PROPONENTES!$B$19:$E$109,2,0)="","",VLOOKUP(B27,PROPONENTES!$B$19:$E$109,2,0))</f>
        <v>9</v>
      </c>
      <c r="D27" s="133" t="str">
        <f>VLOOKUP(B27,PROPONENTES!$B$19:$D$108,3,FALSE)</f>
        <v>CONSORCIO GMC</v>
      </c>
      <c r="E27" s="290" t="str">
        <f ca="1">IF(ISNUMBER(D27),"",IF(VLOOKUP("T"&amp;C27,EXPERIENCIA!$A$20:$AC$9193,25,FALSE)=1,"SI APLICA",VLOOKUP("T"&amp;C27,EXPERIENCIA!$A$20:$AC$9193,26,FALSE)))</f>
        <v>SI APLICA</v>
      </c>
      <c r="F27" s="134" t="str">
        <f ca="1">IF(ISNUMBER(D27),"",VLOOKUP("T"&amp;C27,EXPERIENCIA!$A$20:$AC$9193,27,FALSE))</f>
        <v>SI APLICA</v>
      </c>
      <c r="G27" s="134">
        <f t="shared" ca="1" si="1"/>
        <v>1</v>
      </c>
    </row>
    <row r="28" spans="2:7">
      <c r="B28" s="132">
        <f t="shared" si="0"/>
        <v>10</v>
      </c>
      <c r="C28" s="132">
        <f>IF(VLOOKUP(B28,PROPONENTES!$B$19:$E$109,2,0)="","",VLOOKUP(B28,PROPONENTES!$B$19:$E$109,2,0))</f>
        <v>10</v>
      </c>
      <c r="D28" s="133" t="str">
        <f>VLOOKUP(B28,PROPONENTES!$B$19:$D$108,3,FALSE)</f>
        <v>R&amp;M CONSTRUCCIONES E INTERVENTORIAS S.A.S</v>
      </c>
      <c r="E28" s="290" t="str">
        <f>IF(ISNUMBER(D28),"",IF(VLOOKUP("T"&amp;C28,EXPERIENCIA!$A$20:$AC$9193,25,FALSE)=1,"SI APLICA",VLOOKUP("T"&amp;C28,EXPERIENCIA!$A$20:$AC$9193,26,FALSE)))</f>
        <v>SI APLICA</v>
      </c>
      <c r="F28" s="134" t="str">
        <f>IF(ISNUMBER(D28),"",VLOOKUP("T"&amp;C28,EXPERIENCIA!$A$20:$AC$9193,27,FALSE))</f>
        <v>SI APLICA</v>
      </c>
      <c r="G28" s="134">
        <f t="shared" si="1"/>
        <v>1</v>
      </c>
    </row>
    <row r="29" spans="2:7">
      <c r="B29" s="132">
        <f t="shared" si="0"/>
        <v>11</v>
      </c>
      <c r="C29" s="132">
        <f>IF(VLOOKUP(B29,PROPONENTES!$B$19:$E$109,2,0)="","",VLOOKUP(B29,PROPONENTES!$B$19:$E$109,2,0))</f>
        <v>11</v>
      </c>
      <c r="D29" s="133" t="str">
        <f>VLOOKUP(B29,PROPONENTES!$B$19:$D$108,3,FALSE)</f>
        <v>CUBIKO OBRAS Y CONSULTORÍAS SAS</v>
      </c>
      <c r="E29" s="290" t="str">
        <f>IF(ISNUMBER(D29),"",IF(VLOOKUP("T"&amp;C29,EXPERIENCIA!$A$20:$AC$9193,25,FALSE)=1,"SI APLICA",VLOOKUP("T"&amp;C29,EXPERIENCIA!$A$20:$AC$9193,26,FALSE)))</f>
        <v>SI APLICA</v>
      </c>
      <c r="F29" s="134" t="str">
        <f>IF(ISNUMBER(D29),"",VLOOKUP("T"&amp;C29,EXPERIENCIA!$A$20:$AC$9193,27,FALSE))</f>
        <v>SI APLICA</v>
      </c>
      <c r="G29" s="134">
        <f t="shared" si="1"/>
        <v>1</v>
      </c>
    </row>
    <row r="30" spans="2:7">
      <c r="B30" s="132">
        <f t="shared" si="0"/>
        <v>12</v>
      </c>
      <c r="C30" s="132">
        <f>IF(VLOOKUP(B30,PROPONENTES!$B$19:$E$109,2,0)="","",VLOOKUP(B30,PROPONENTES!$B$19:$E$109,2,0))</f>
        <v>12</v>
      </c>
      <c r="D30" s="133" t="str">
        <f>VLOOKUP(B30,PROPONENTES!$B$19:$D$108,3,FALSE)</f>
        <v>CONSTRUCTORES DEL DESARROLLO TERRITORIAL CONSTRUDET Y COMPAÑÍA LTDA</v>
      </c>
      <c r="E30" s="290" t="str">
        <f>IF(ISNUMBER(D30),"",IF(VLOOKUP("T"&amp;C30,EXPERIENCIA!$A$20:$AC$9193,25,FALSE)=1,"SI APLICA",VLOOKUP("T"&amp;C30,EXPERIENCIA!$A$20:$AC$9193,26,FALSE)))</f>
        <v>SI APLICA</v>
      </c>
      <c r="F30" s="134" t="str">
        <f>IF(ISNUMBER(D30),"",VLOOKUP("T"&amp;C30,EXPERIENCIA!$A$20:$AC$9193,27,FALSE))</f>
        <v>SI APLICA</v>
      </c>
      <c r="G30" s="134">
        <f t="shared" si="1"/>
        <v>1</v>
      </c>
    </row>
    <row r="31" spans="2:7">
      <c r="B31" s="132">
        <f t="shared" si="0"/>
        <v>13</v>
      </c>
      <c r="C31" s="132">
        <f>IF(VLOOKUP(B31,PROPONENTES!$B$19:$E$109,2,0)="","",VLOOKUP(B31,PROPONENTES!$B$19:$E$109,2,0))</f>
        <v>13</v>
      </c>
      <c r="D31" s="133" t="str">
        <f>VLOOKUP(B31,PROPONENTES!$B$19:$D$108,3,FALSE)</f>
        <v>NICOLAS REDONDO MOLINA</v>
      </c>
      <c r="E31" s="290" t="str">
        <f>IF(ISNUMBER(D31),"",IF(VLOOKUP("T"&amp;C31,EXPERIENCIA!$A$20:$AC$9193,25,FALSE)=1,"SI APLICA",VLOOKUP("T"&amp;C31,EXPERIENCIA!$A$20:$AC$9193,26,FALSE)))</f>
        <v>SI APLICA</v>
      </c>
      <c r="F31" s="134" t="str">
        <f>IF(ISNUMBER(D31),"",VLOOKUP("T"&amp;C31,EXPERIENCIA!$A$20:$AC$9193,27,FALSE))</f>
        <v>SI APLICA</v>
      </c>
      <c r="G31" s="134">
        <f t="shared" si="1"/>
        <v>1</v>
      </c>
    </row>
    <row r="32" spans="2:7">
      <c r="B32" s="132">
        <f t="shared" si="0"/>
        <v>14</v>
      </c>
      <c r="C32" s="132">
        <f>IF(VLOOKUP(B32,PROPONENTES!$B$19:$E$109,2,0)="","",VLOOKUP(B32,PROPONENTES!$B$19:$E$109,2,0))</f>
        <v>14</v>
      </c>
      <c r="D32" s="133" t="str">
        <f>VLOOKUP(B32,PROPONENTES!$B$19:$D$108,3,FALSE)</f>
        <v>CONSORCIO INTER CB 2022</v>
      </c>
      <c r="E32" s="290" t="str">
        <f ca="1">IF(ISNUMBER(D32),"",IF(VLOOKUP("T"&amp;C32,EXPERIENCIA!$A$20:$AC$9193,25,FALSE)=1,"SI APLICA",VLOOKUP("T"&amp;C32,EXPERIENCIA!$A$20:$AC$9193,26,FALSE)))</f>
        <v>SI APLICA</v>
      </c>
      <c r="F32" s="134" t="str">
        <f ca="1">IF(ISNUMBER(D32),"",VLOOKUP("T"&amp;C32,EXPERIENCIA!$A$20:$AC$9193,27,FALSE))</f>
        <v>SI APLICA</v>
      </c>
      <c r="G32" s="134">
        <f t="shared" ca="1" si="1"/>
        <v>1</v>
      </c>
    </row>
    <row r="33" spans="2:7">
      <c r="B33" s="132">
        <f t="shared" si="0"/>
        <v>15</v>
      </c>
      <c r="C33" s="132">
        <f>IF(VLOOKUP(B33,PROPONENTES!$B$19:$E$109,2,0)="","",VLOOKUP(B33,PROPONENTES!$B$19:$E$109,2,0))</f>
        <v>15</v>
      </c>
      <c r="D33" s="133" t="str">
        <f>VLOOKUP(B33,PROPONENTES!$B$19:$D$108,3,FALSE)</f>
        <v>EMPROCIV SAS</v>
      </c>
      <c r="E33" s="290" t="str">
        <f>IF(ISNUMBER(D33),"",IF(VLOOKUP("T"&amp;C33,EXPERIENCIA!$A$20:$AC$9193,25,FALSE)=1,"SI APLICA",VLOOKUP("T"&amp;C33,EXPERIENCIA!$A$20:$AC$9193,26,FALSE)))</f>
        <v>SI APLICA</v>
      </c>
      <c r="F33" s="134" t="str">
        <f>IF(ISNUMBER(D33),"",VLOOKUP("T"&amp;C33,EXPERIENCIA!$A$20:$AC$9193,27,FALSE))</f>
        <v>SI APLICA</v>
      </c>
      <c r="G33" s="134">
        <f t="shared" si="1"/>
        <v>1</v>
      </c>
    </row>
    <row r="34" spans="2:7">
      <c r="B34" s="132">
        <f t="shared" si="0"/>
        <v>16</v>
      </c>
      <c r="C34" s="132">
        <f>IF(VLOOKUP(B34,PROPONENTES!$B$19:$E$109,2,0)="","",VLOOKUP(B34,PROPONENTES!$B$19:$E$109,2,0))</f>
        <v>16</v>
      </c>
      <c r="D34" s="133" t="str">
        <f>VLOOKUP(B34,PROPONENTES!$B$19:$D$108,3,FALSE)</f>
        <v>CONSORCIO CAMCO</v>
      </c>
      <c r="E34" s="290" t="str">
        <f ca="1">IF(ISNUMBER(D34),"",IF(VLOOKUP("T"&amp;C34,EXPERIENCIA!$A$20:$AC$9193,25,FALSE)=1,"SI APLICA",VLOOKUP("T"&amp;C34,EXPERIENCIA!$A$20:$AC$9193,26,FALSE)))</f>
        <v>SI APLICA</v>
      </c>
      <c r="F34" s="134" t="str">
        <f ca="1">IF(ISNUMBER(D34),"",VLOOKUP("T"&amp;C34,EXPERIENCIA!$A$20:$AC$9193,27,FALSE))</f>
        <v>SI APLICA</v>
      </c>
      <c r="G34" s="134">
        <f t="shared" ca="1" si="1"/>
        <v>1</v>
      </c>
    </row>
    <row r="35" spans="2:7">
      <c r="B35" s="132">
        <f t="shared" si="0"/>
        <v>17</v>
      </c>
      <c r="C35" s="132">
        <f>IF(VLOOKUP(B35,PROPONENTES!$B$19:$E$109,2,0)="","",VLOOKUP(B35,PROPONENTES!$B$19:$E$109,2,0))</f>
        <v>17</v>
      </c>
      <c r="D35" s="133" t="str">
        <f>VLOOKUP(B35,PROPONENTES!$B$19:$D$108,3,FALSE)</f>
        <v>ARCA AQUITECTURA E INGENIERÍA S.A</v>
      </c>
      <c r="E35" s="290" t="str">
        <f>IF(ISNUMBER(D35),"",IF(VLOOKUP("T"&amp;C35,EXPERIENCIA!$A$20:$AC$9193,25,FALSE)=1,"SI APLICA",VLOOKUP("T"&amp;C35,EXPERIENCIA!$A$20:$AC$9193,26,FALSE)))</f>
        <v>SI APLICA</v>
      </c>
      <c r="F35" s="134" t="str">
        <f>IF(ISNUMBER(D35),"",VLOOKUP("T"&amp;C35,EXPERIENCIA!$A$20:$AC$9193,27,FALSE))</f>
        <v>SI APLICA</v>
      </c>
      <c r="G35" s="134">
        <f t="shared" si="1"/>
        <v>1</v>
      </c>
    </row>
    <row r="36" spans="2:7">
      <c r="B36" s="132">
        <f t="shared" si="0"/>
        <v>18</v>
      </c>
      <c r="C36" s="132">
        <f>IF(VLOOKUP(B36,PROPONENTES!$B$19:$E$109,2,0)="","",VLOOKUP(B36,PROPONENTES!$B$19:$E$109,2,0))</f>
        <v>18</v>
      </c>
      <c r="D36" s="133" t="str">
        <f>VLOOKUP(B36,PROPONENTES!$B$19:$D$108,3,FALSE)</f>
        <v>ALPHA INGENIERIA INTEGRAL SAS</v>
      </c>
      <c r="E36" s="290" t="str">
        <f>IF(ISNUMBER(D36),"",IF(VLOOKUP("T"&amp;C36,EXPERIENCIA!$A$20:$AC$9193,25,FALSE)=1,"SI APLICA",VLOOKUP("T"&amp;C36,EXPERIENCIA!$A$20:$AC$9193,26,FALSE)))</f>
        <v>SI APLICA</v>
      </c>
      <c r="F36" s="134" t="str">
        <f>IF(ISNUMBER(D36),"",VLOOKUP("T"&amp;C36,EXPERIENCIA!$A$20:$AC$9193,27,FALSE))</f>
        <v>SI APLICA</v>
      </c>
      <c r="G36" s="134">
        <f t="shared" si="1"/>
        <v>1</v>
      </c>
    </row>
    <row r="37" spans="2:7">
      <c r="B37" s="132">
        <f t="shared" si="0"/>
        <v>19</v>
      </c>
      <c r="C37" s="132">
        <f>IF(VLOOKUP(B37,PROPONENTES!$B$19:$E$109,2,0)="","",VLOOKUP(B37,PROPONENTES!$B$19:$E$109,2,0))</f>
        <v>19</v>
      </c>
      <c r="D37" s="133" t="str">
        <f>VLOOKUP(B37,PROPONENTES!$B$19:$D$108,3,FALSE)</f>
        <v>ELSA MARIA RUEDA LANDINEZ INGENIERIA SAS</v>
      </c>
      <c r="E37" s="290" t="str">
        <f>IF(ISNUMBER(D37),"",IF(VLOOKUP("T"&amp;C37,EXPERIENCIA!$A$20:$AC$9193,25,FALSE)=1,"SI APLICA",VLOOKUP("T"&amp;C37,EXPERIENCIA!$A$20:$AC$9193,26,FALSE)))</f>
        <v>SI APLICA</v>
      </c>
      <c r="F37" s="134" t="str">
        <f>IF(ISNUMBER(D37),"",VLOOKUP("T"&amp;C37,EXPERIENCIA!$A$20:$AC$9193,27,FALSE))</f>
        <v>SI APLICA</v>
      </c>
      <c r="G37" s="134">
        <f t="shared" si="1"/>
        <v>1</v>
      </c>
    </row>
    <row r="38" spans="2:7">
      <c r="B38" s="132">
        <f t="shared" si="0"/>
        <v>20</v>
      </c>
      <c r="C38" s="132">
        <f>IF(VLOOKUP(B38,PROPONENTES!$B$19:$E$109,2,0)="","",VLOOKUP(B38,PROPONENTES!$B$19:$E$109,2,0))</f>
        <v>20</v>
      </c>
      <c r="D38" s="133" t="str">
        <f>VLOOKUP(B38,PROPONENTES!$B$19:$D$108,3,FALSE)</f>
        <v>PROES INGENIERÍA S.A.S</v>
      </c>
      <c r="E38" s="290" t="str">
        <f>IF(ISNUMBER(D38),"",IF(VLOOKUP("T"&amp;C38,EXPERIENCIA!$A$20:$AC$9193,25,FALSE)=1,"SI APLICA",VLOOKUP("T"&amp;C38,EXPERIENCIA!$A$20:$AC$9193,26,FALSE)))</f>
        <v>SI APLICA</v>
      </c>
      <c r="F38" s="134" t="str">
        <f>IF(ISNUMBER(D38),"",VLOOKUP("T"&amp;C38,EXPERIENCIA!$A$20:$AC$9193,27,FALSE))</f>
        <v>SI APLICA</v>
      </c>
      <c r="G38" s="134">
        <f t="shared" si="1"/>
        <v>1</v>
      </c>
    </row>
    <row r="39" spans="2:7">
      <c r="B39" s="132">
        <f t="shared" si="0"/>
        <v>21</v>
      </c>
      <c r="C39" s="132">
        <f>IF(VLOOKUP(B39,PROPONENTES!$B$19:$E$109,2,0)="","",VLOOKUP(B39,PROPONENTES!$B$19:$E$109,2,0))</f>
        <v>21</v>
      </c>
      <c r="D39" s="133" t="str">
        <f>VLOOKUP(B39,PROPONENTES!$B$19:$D$108,3,FALSE)</f>
        <v>INGENIEROS CONSULTORES Y CONSTRUCTORES ARG SAS</v>
      </c>
      <c r="E39" s="290" t="str">
        <f>IF(ISNUMBER(D39),"",IF(VLOOKUP("T"&amp;C39,EXPERIENCIA!$A$20:$AC$9193,25,FALSE)=1,"SI APLICA",VLOOKUP("T"&amp;C39,EXPERIENCIA!$A$20:$AC$9193,26,FALSE)))</f>
        <v>SI APLICA</v>
      </c>
      <c r="F39" s="134" t="str">
        <f>IF(ISNUMBER(D39),"",VLOOKUP("T"&amp;C39,EXPERIENCIA!$A$20:$AC$9193,27,FALSE))</f>
        <v>SI APLICA</v>
      </c>
      <c r="G39" s="134">
        <f t="shared" si="1"/>
        <v>1</v>
      </c>
    </row>
    <row r="40" spans="2:7">
      <c r="B40" s="132">
        <f t="shared" si="0"/>
        <v>22</v>
      </c>
      <c r="C40" s="132">
        <f>IF(VLOOKUP(B40,PROPONENTES!$B$19:$E$109,2,0)="","",VLOOKUP(B40,PROPONENTES!$B$19:$E$109,2,0))</f>
        <v>22</v>
      </c>
      <c r="D40" s="133" t="str">
        <f>VLOOKUP(B40,PROPONENTES!$B$19:$D$108,3,FALSE)</f>
        <v>CONSORCIO GABRIELA TOLIMA</v>
      </c>
      <c r="E40" s="290" t="str">
        <f ca="1">IF(ISNUMBER(D40),"",IF(VLOOKUP("T"&amp;C40,EXPERIENCIA!$A$20:$AC$9193,25,FALSE)=1,"SI APLICA",VLOOKUP("T"&amp;C40,EXPERIENCIA!$A$20:$AC$9193,26,FALSE)))</f>
        <v>SI APLICA</v>
      </c>
      <c r="F40" s="134" t="str">
        <f ca="1">IF(ISNUMBER(D40),"",VLOOKUP("T"&amp;C40,EXPERIENCIA!$A$20:$AC$9193,27,FALSE))</f>
        <v>SI APLICA</v>
      </c>
      <c r="G40" s="134">
        <f t="shared" ca="1" si="1"/>
        <v>1</v>
      </c>
    </row>
    <row r="41" spans="2:7">
      <c r="B41" s="132">
        <f t="shared" si="0"/>
        <v>23</v>
      </c>
      <c r="C41" s="132">
        <f>IF(VLOOKUP(B41,PROPONENTES!$B$19:$E$109,2,0)="","",VLOOKUP(B41,PROPONENTES!$B$19:$E$109,2,0))</f>
        <v>23</v>
      </c>
      <c r="D41" s="133" t="str">
        <f>VLOOKUP(B41,PROPONENTES!$B$19:$D$108,3,FALSE)</f>
        <v>VELNEC S.A</v>
      </c>
      <c r="E41" s="290" t="str">
        <f>IF(ISNUMBER(D41),"",IF(VLOOKUP("T"&amp;C41,EXPERIENCIA!$A$20:$AC$9193,25,FALSE)=1,"SI APLICA",VLOOKUP("T"&amp;C41,EXPERIENCIA!$A$20:$AC$9193,26,FALSE)))</f>
        <v>SI APLICA</v>
      </c>
      <c r="F41" s="134" t="str">
        <f>IF(ISNUMBER(D41),"",VLOOKUP("T"&amp;C41,EXPERIENCIA!$A$20:$AC$9193,27,FALSE))</f>
        <v>SI APLICA</v>
      </c>
      <c r="G41" s="134">
        <f t="shared" si="1"/>
        <v>1</v>
      </c>
    </row>
    <row r="42" spans="2:7">
      <c r="B42" s="132">
        <f t="shared" si="0"/>
        <v>24</v>
      </c>
      <c r="C42" s="132">
        <f>IF(VLOOKUP(B42,PROPONENTES!$B$19:$E$109,2,0)="","",VLOOKUP(B42,PROPONENTES!$B$19:$E$109,2,0))</f>
        <v>24</v>
      </c>
      <c r="D42" s="133" t="str">
        <f>VLOOKUP(B42,PROPONENTES!$B$19:$D$108,3,FALSE)</f>
        <v>ARQUITECTOS  INGENIEROS CONSTRUCTORES S.A.S</v>
      </c>
      <c r="E42" s="290" t="str">
        <f>IF(ISNUMBER(D42),"",IF(VLOOKUP("T"&amp;C42,EXPERIENCIA!$A$20:$AC$9193,25,FALSE)=1,"SI APLICA",VLOOKUP("T"&amp;C42,EXPERIENCIA!$A$20:$AC$9193,26,FALSE)))</f>
        <v>SI APLICA</v>
      </c>
      <c r="F42" s="134" t="str">
        <f>IF(ISNUMBER(D42),"",VLOOKUP("T"&amp;C42,EXPERIENCIA!$A$20:$AC$9193,27,FALSE))</f>
        <v>SI APLICA</v>
      </c>
      <c r="G42" s="134">
        <f t="shared" si="1"/>
        <v>1</v>
      </c>
    </row>
    <row r="43" spans="2:7">
      <c r="B43" s="132">
        <f t="shared" si="0"/>
        <v>25</v>
      </c>
      <c r="C43" s="132">
        <f>IF(VLOOKUP(B43,PROPONENTES!$B$19:$E$109,2,0)="","",VLOOKUP(B43,PROPONENTES!$B$19:$E$109,2,0))</f>
        <v>25</v>
      </c>
      <c r="D43" s="133" t="str">
        <f>VLOOKUP(B43,PROPONENTES!$B$19:$D$108,3,FALSE)</f>
        <v>CONSORCIO RUTA TOLIMA 1</v>
      </c>
      <c r="E43" s="290" t="str">
        <f ca="1">IF(ISNUMBER(D43),"",IF(VLOOKUP("T"&amp;C43,EXPERIENCIA!$A$20:$AC$9193,25,FALSE)=1,"SI APLICA",VLOOKUP("T"&amp;C43,EXPERIENCIA!$A$20:$AC$9193,26,FALSE)))</f>
        <v>SI APLICA</v>
      </c>
      <c r="F43" s="134" t="str">
        <f ca="1">IF(ISNUMBER(D43),"",VLOOKUP("T"&amp;C43,EXPERIENCIA!$A$20:$AC$9193,27,FALSE))</f>
        <v>SI APLICA</v>
      </c>
      <c r="G43" s="134">
        <f t="shared" ca="1" si="1"/>
        <v>1</v>
      </c>
    </row>
    <row r="44" spans="2:7">
      <c r="B44" s="132">
        <f t="shared" si="0"/>
        <v>26</v>
      </c>
      <c r="C44" s="132">
        <f>IF(VLOOKUP(B44,PROPONENTES!$B$19:$E$109,2,0)="","",VLOOKUP(B44,PROPONENTES!$B$19:$E$109,2,0))</f>
        <v>26</v>
      </c>
      <c r="D44" s="133" t="str">
        <f>VLOOKUP(B44,PROPONENTES!$B$19:$D$108,3,FALSE)</f>
        <v>INGENIEROS CONSTRUCTORES Y ASESORES SAS</v>
      </c>
      <c r="E44" s="290" t="str">
        <f>IF(ISNUMBER(D44),"",IF(VLOOKUP("T"&amp;C44,EXPERIENCIA!$A$20:$AC$9193,25,FALSE)=1,"SI APLICA",VLOOKUP("T"&amp;C44,EXPERIENCIA!$A$20:$AC$9193,26,FALSE)))</f>
        <v>SI APLICA</v>
      </c>
      <c r="F44" s="134" t="str">
        <f>IF(ISNUMBER(D44),"",VLOOKUP("T"&amp;C44,EXPERIENCIA!$A$20:$AC$9193,27,FALSE))</f>
        <v>SI APLICA</v>
      </c>
      <c r="G44" s="134">
        <f t="shared" si="1"/>
        <v>1</v>
      </c>
    </row>
    <row r="45" spans="2:7">
      <c r="B45" s="132">
        <f t="shared" si="0"/>
        <v>27</v>
      </c>
      <c r="C45" s="132">
        <f>IF(VLOOKUP(B45,PROPONENTES!$B$19:$E$109,2,0)="","",VLOOKUP(B45,PROPONENTES!$B$19:$E$109,2,0))</f>
        <v>27</v>
      </c>
      <c r="D45" s="133" t="str">
        <f>VLOOKUP(B45,PROPONENTES!$B$19:$D$108,3,FALSE)</f>
        <v>CONSULTORIA Y CONSTRUCCIONES DARLEV SAS</v>
      </c>
      <c r="E45" s="290" t="str">
        <f>IF(ISNUMBER(D45),"",IF(VLOOKUP("T"&amp;C45,EXPERIENCIA!$A$20:$AC$9193,25,FALSE)=1,"SI APLICA",VLOOKUP("T"&amp;C45,EXPERIENCIA!$A$20:$AC$9193,26,FALSE)))</f>
        <v>SI APLICA</v>
      </c>
      <c r="F45" s="134" t="str">
        <f>IF(ISNUMBER(D45),"",VLOOKUP("T"&amp;C45,EXPERIENCIA!$A$20:$AC$9193,27,FALSE))</f>
        <v>SI APLICA</v>
      </c>
      <c r="G45" s="134">
        <f>IF(ISNUMBER(D45),"",IF(COUNTIF(E45:F45,"SI APLICA")=2,1,0))</f>
        <v>1</v>
      </c>
    </row>
    <row r="46" spans="2:7">
      <c r="B46" s="132">
        <f t="shared" si="0"/>
        <v>28</v>
      </c>
      <c r="C46" s="132">
        <f>IF(VLOOKUP(B46,PROPONENTES!$B$19:$E$109,2,0)="","",VLOOKUP(B46,PROPONENTES!$B$19:$E$109,2,0))</f>
        <v>28</v>
      </c>
      <c r="D46" s="133" t="str">
        <f>VLOOKUP(B46,PROPONENTES!$B$19:$D$108,3,FALSE)</f>
        <v>CONSORCIO TOLIMA</v>
      </c>
      <c r="E46" s="290" t="s">
        <v>413</v>
      </c>
      <c r="F46" s="134" t="str">
        <f ca="1">IF(ISNUMBER(D46),"",VLOOKUP("T"&amp;C46,EXPERIENCIA!$A$20:$AC$9193,27,FALSE))</f>
        <v>NO APLICA</v>
      </c>
      <c r="G46" s="134">
        <v>0</v>
      </c>
    </row>
    <row r="47" spans="2:7">
      <c r="B47" s="132">
        <f t="shared" si="0"/>
        <v>29</v>
      </c>
      <c r="C47" s="132">
        <f>IF(VLOOKUP(B47,PROPONENTES!$B$19:$E$109,2,0)="","",VLOOKUP(B47,PROPONENTES!$B$19:$E$109,2,0))</f>
        <v>29</v>
      </c>
      <c r="D47" s="133" t="str">
        <f>VLOOKUP(B47,PROPONENTES!$B$19:$D$108,3,FALSE)</f>
        <v>CONSORCIO MT 2022 TOLIMA</v>
      </c>
      <c r="E47" s="290" t="str">
        <f ca="1">IF(ISNUMBER(D47),"",IF(VLOOKUP("T"&amp;C47,EXPERIENCIA!$A$20:$AC$9193,25,FALSE)=1,"SI APLICA",VLOOKUP("T"&amp;C47,EXPERIENCIA!$A$20:$AC$9193,26,FALSE)))</f>
        <v>SI APLICA</v>
      </c>
      <c r="F47" s="134" t="str">
        <f ca="1">IF(ISNUMBER(D47),"",VLOOKUP("T"&amp;C47,EXPERIENCIA!$A$20:$AC$9193,27,FALSE))</f>
        <v>SI APLICA</v>
      </c>
      <c r="G47" s="134">
        <f t="shared" ca="1" si="1"/>
        <v>1</v>
      </c>
    </row>
    <row r="48" spans="2:7">
      <c r="B48" s="132">
        <f t="shared" si="0"/>
        <v>30</v>
      </c>
      <c r="C48" s="132">
        <f>IF(VLOOKUP(B48,PROPONENTES!$B$19:$E$109,2,0)="","",VLOOKUP(B48,PROPONENTES!$B$19:$E$109,2,0))</f>
        <v>30</v>
      </c>
      <c r="D48" s="133" t="str">
        <f>VLOOKUP(B48,PROPONENTES!$B$19:$D$108,3,FALSE)</f>
        <v>CONSORCIO INTER TOLIMA</v>
      </c>
      <c r="E48" s="290" t="str">
        <f ca="1">IF(ISNUMBER(D48),"",IF(VLOOKUP("T"&amp;C48,EXPERIENCIA!$A$20:$AC$9193,25,FALSE)=1,"SI APLICA",VLOOKUP("T"&amp;C48,EXPERIENCIA!$A$20:$AC$9193,26,FALSE)))</f>
        <v>SI APLICA</v>
      </c>
      <c r="F48" s="134" t="str">
        <f ca="1">IF(ISNUMBER(D48),"",VLOOKUP("T"&amp;C48,EXPERIENCIA!$A$20:$AC$9193,27,FALSE))</f>
        <v>SI APLICA</v>
      </c>
      <c r="G48" s="134">
        <f t="shared" ca="1" si="1"/>
        <v>1</v>
      </c>
    </row>
    <row r="49" spans="2:7">
      <c r="B49" s="132">
        <f t="shared" si="0"/>
        <v>31</v>
      </c>
      <c r="C49" s="132">
        <f>IF(VLOOKUP(B49,PROPONENTES!$B$19:$E$109,2,0)="","",VLOOKUP(B49,PROPONENTES!$B$19:$E$109,2,0))</f>
        <v>31</v>
      </c>
      <c r="D49" s="133" t="str">
        <f>VLOOKUP(B49,PROPONENTES!$B$19:$D$108,3,FALSE)</f>
        <v>INGENIERIA MASTER S.A.S.</v>
      </c>
      <c r="E49" s="290" t="str">
        <f>IF(ISNUMBER(D49),"",IF(VLOOKUP("T"&amp;C49,EXPERIENCIA!$A$20:$AC$9193,25,FALSE)=1,"SI APLICA",VLOOKUP("T"&amp;C49,EXPERIENCIA!$A$20:$AC$9193,26,FALSE)))</f>
        <v>SI APLICA</v>
      </c>
      <c r="F49" s="134" t="str">
        <f>IF(ISNUMBER(D49),"",VLOOKUP("T"&amp;C49,EXPERIENCIA!$A$20:$AC$9193,27,FALSE))</f>
        <v>SI APLICA</v>
      </c>
      <c r="G49" s="134">
        <f t="shared" si="1"/>
        <v>1</v>
      </c>
    </row>
    <row r="50" spans="2:7" ht="18.75" customHeight="1">
      <c r="B50" s="132">
        <f t="shared" si="0"/>
        <v>32</v>
      </c>
      <c r="C50" s="132">
        <f>IF(VLOOKUP(B50,PROPONENTES!$B$19:$E$109,2,0)="","",VLOOKUP(B50,PROPONENTES!$B$19:$E$109,2,0))</f>
        <v>32</v>
      </c>
      <c r="D50" s="133" t="str">
        <f>VLOOKUP(B50,PROPONENTES!$B$19:$D$108,3,FALSE)</f>
        <v xml:space="preserve">GYG CONSTRUCCIONES S.A.S. </v>
      </c>
      <c r="E50" s="290" t="str">
        <f>IF(ISNUMBER(D50),"",IF(VLOOKUP("T"&amp;C50,EXPERIENCIA!$A$20:$AC$9193,25,FALSE)=1,"SI APLICA",VLOOKUP("T"&amp;C50,EXPERIENCIA!$A$20:$AC$9193,26,FALSE)))</f>
        <v>SI APLICA</v>
      </c>
      <c r="F50" s="134" t="str">
        <f>IF(ISNUMBER(D50),"",VLOOKUP("T"&amp;C50,EXPERIENCIA!$A$20:$AC$9193,27,FALSE))</f>
        <v>SI APLICA</v>
      </c>
      <c r="G50" s="134">
        <f t="shared" si="1"/>
        <v>1</v>
      </c>
    </row>
    <row r="51" spans="2:7">
      <c r="B51" s="132">
        <f t="shared" si="0"/>
        <v>33</v>
      </c>
      <c r="C51" s="132">
        <f>IF(VLOOKUP(B51,PROPONENTES!$B$19:$E$109,2,0)="","",VLOOKUP(B51,PROPONENTES!$B$19:$E$109,2,0))</f>
        <v>33</v>
      </c>
      <c r="D51" s="133" t="str">
        <f>VLOOKUP(B51,PROPONENTES!$B$19:$D$108,3,FALSE)</f>
        <v>CONSORCIO TOLIMA RURAL</v>
      </c>
      <c r="E51" s="290" t="str">
        <f ca="1">IF(ISNUMBER(D51),"",IF(VLOOKUP("T"&amp;C51,EXPERIENCIA!$A$20:$AC$9193,25,FALSE)=1,"SI APLICA",VLOOKUP("T"&amp;C51,EXPERIENCIA!$A$20:$AC$9193,26,FALSE)))</f>
        <v>SI APLICA</v>
      </c>
      <c r="F51" s="134" t="str">
        <f ca="1">IF(ISNUMBER(D51),"",VLOOKUP("T"&amp;C51,EXPERIENCIA!$A$20:$AC$9193,27,FALSE))</f>
        <v>SI APLICA</v>
      </c>
      <c r="G51" s="134">
        <f t="shared" ca="1" si="1"/>
        <v>1</v>
      </c>
    </row>
    <row r="52" spans="2:7">
      <c r="B52" s="132">
        <f t="shared" si="0"/>
        <v>34</v>
      </c>
      <c r="C52" s="132">
        <f>IF(VLOOKUP(B52,PROPONENTES!$B$19:$E$109,2,0)="","",VLOOKUP(B52,PROPONENTES!$B$19:$E$109,2,0))</f>
        <v>34</v>
      </c>
      <c r="D52" s="133" t="str">
        <f>VLOOKUP(B52,PROPONENTES!$B$19:$D$108,3,FALSE)</f>
        <v>CONSORCIO OPHAIH 2022</v>
      </c>
      <c r="E52" s="290" t="str">
        <f ca="1">IF(ISNUMBER(D52),"",IF(VLOOKUP("T"&amp;C52,EXPERIENCIA!$A$20:$AC$9193,25,FALSE)=1,"SI APLICA",VLOOKUP("T"&amp;C52,EXPERIENCIA!$A$20:$AC$9193,26,FALSE)))</f>
        <v>SI APLICA</v>
      </c>
      <c r="F52" s="134" t="str">
        <f ca="1">IF(ISNUMBER(D52),"",VLOOKUP("T"&amp;C52,EXPERIENCIA!$A$20:$AC$9193,27,FALSE))</f>
        <v>SI APLICA</v>
      </c>
      <c r="G52" s="134">
        <f t="shared" ca="1" si="1"/>
        <v>1</v>
      </c>
    </row>
    <row r="53" spans="2:7">
      <c r="B53" s="132">
        <f t="shared" si="0"/>
        <v>35</v>
      </c>
      <c r="C53" s="132">
        <f>IF(VLOOKUP(B53,PROPONENTES!$B$19:$E$109,2,0)="","",VLOOKUP(B53,PROPONENTES!$B$19:$E$109,2,0))</f>
        <v>35</v>
      </c>
      <c r="D53" s="133" t="str">
        <f>VLOOKUP(B53,PROPONENTES!$B$19:$D$108,3,FALSE)</f>
        <v xml:space="preserve">ING INGENIERIA SAS </v>
      </c>
      <c r="E53" s="290" t="str">
        <f>IF(ISNUMBER(D53),"",IF(VLOOKUP("T"&amp;C53,EXPERIENCIA!$A$20:$AC$9193,25,FALSE)=1,"SI APLICA",VLOOKUP("T"&amp;C53,EXPERIENCIA!$A$20:$AC$9193,26,FALSE)))</f>
        <v>SI APLICA</v>
      </c>
      <c r="F53" s="134" t="str">
        <f>IF(ISNUMBER(D53),"",VLOOKUP("T"&amp;C53,EXPERIENCIA!$A$20:$AC$9193,27,FALSE))</f>
        <v>SI APLICA</v>
      </c>
      <c r="G53" s="134">
        <f t="shared" si="1"/>
        <v>1</v>
      </c>
    </row>
    <row r="54" spans="2:7">
      <c r="B54" s="132">
        <f t="shared" si="0"/>
        <v>36</v>
      </c>
      <c r="C54" s="132">
        <f>IF(VLOOKUP(B54,PROPONENTES!$B$19:$E$109,2,0)="","",VLOOKUP(B54,PROPONENTES!$B$19:$E$109,2,0))</f>
        <v>36</v>
      </c>
      <c r="D54" s="133" t="str">
        <f>VLOOKUP(B54,PROPONENTES!$B$19:$D$108,3,FALSE)</f>
        <v>EJE GROUP S.A.S</v>
      </c>
      <c r="E54" s="290" t="str">
        <f>IF(ISNUMBER(D54),"",IF(VLOOKUP("T"&amp;C54,EXPERIENCIA!$A$20:$AC$9193,25,FALSE)=1,"SI APLICA",VLOOKUP("T"&amp;C54,EXPERIENCIA!$A$20:$AC$9193,26,FALSE)))</f>
        <v>SI APLICA</v>
      </c>
      <c r="F54" s="134" t="str">
        <f>IF(ISNUMBER(D54),"",VLOOKUP("T"&amp;C54,EXPERIENCIA!$A$20:$AC$9193,27,FALSE))</f>
        <v>SI APLICA</v>
      </c>
      <c r="G54" s="134">
        <f t="shared" si="1"/>
        <v>1</v>
      </c>
    </row>
    <row r="55" spans="2:7">
      <c r="B55" s="132">
        <f t="shared" si="0"/>
        <v>37</v>
      </c>
      <c r="C55" s="132">
        <f>IF(VLOOKUP(B55,PROPONENTES!$B$19:$E$109,2,0)="","",VLOOKUP(B55,PROPONENTES!$B$19:$E$109,2,0))</f>
        <v>37</v>
      </c>
      <c r="D55" s="133" t="str">
        <f>VLOOKUP(B55,PROPONENTES!$B$19:$D$108,3,FALSE)</f>
        <v>JORES INGENIERIA LTDA. JORES LTDA</v>
      </c>
      <c r="E55" s="290" t="str">
        <f>IF(ISNUMBER(D55),"",IF(VLOOKUP("T"&amp;C55,EXPERIENCIA!$A$20:$AC$9193,25,FALSE)=1,"SI APLICA",VLOOKUP("T"&amp;C55,EXPERIENCIA!$A$20:$AC$9193,26,FALSE)))</f>
        <v>SI APLICA</v>
      </c>
      <c r="F55" s="134" t="str">
        <f>IF(ISNUMBER(D55),"",VLOOKUP("T"&amp;C55,EXPERIENCIA!$A$20:$AC$9193,27,FALSE))</f>
        <v>SI APLICA</v>
      </c>
      <c r="G55" s="134">
        <f t="shared" si="1"/>
        <v>1</v>
      </c>
    </row>
    <row r="56" spans="2:7">
      <c r="B56" s="132">
        <f t="shared" si="0"/>
        <v>38</v>
      </c>
      <c r="C56" s="132">
        <f>IF(VLOOKUP(B56,PROPONENTES!$B$19:$E$109,2,0)="","",VLOOKUP(B56,PROPONENTES!$B$19:$E$109,2,0))</f>
        <v>38</v>
      </c>
      <c r="D56" s="133" t="str">
        <f>VLOOKUP(B56,PROPONENTES!$B$19:$D$108,3,FALSE)</f>
        <v>CONSORCIO INTERTOLIMA CR</v>
      </c>
      <c r="E56" s="290" t="str">
        <f ca="1">IF(ISNUMBER(D56),"",IF(VLOOKUP("T"&amp;C56,EXPERIENCIA!$A$20:$AC$9193,25,FALSE)=1,"SI APLICA",VLOOKUP("T"&amp;C56,EXPERIENCIA!$A$20:$AC$9193,26,FALSE)))</f>
        <v>SI APLICA</v>
      </c>
      <c r="F56" s="134" t="str">
        <f ca="1">IF(ISNUMBER(D56),"",VLOOKUP("T"&amp;C56,EXPERIENCIA!$A$20:$AC$9193,27,FALSE))</f>
        <v>SI APLICA</v>
      </c>
      <c r="G56" s="134">
        <f t="shared" ca="1" si="1"/>
        <v>1</v>
      </c>
    </row>
    <row r="57" spans="2:7">
      <c r="B57" s="132">
        <f t="shared" si="0"/>
        <v>39</v>
      </c>
      <c r="C57" s="132">
        <f>IF(VLOOKUP(B57,PROPONENTES!$B$19:$E$109,2,0)="","",VLOOKUP(B57,PROPONENTES!$B$19:$E$109,2,0))</f>
        <v>39</v>
      </c>
      <c r="D57" s="133" t="str">
        <f>VLOOKUP(B57,PROPONENTES!$B$19:$D$108,3,FALSE)</f>
        <v>CONSORCIO TOLIMA G2</v>
      </c>
      <c r="E57" s="290" t="str">
        <f ca="1">IF(ISNUMBER(D57),"",IF(VLOOKUP("T"&amp;C57,EXPERIENCIA!$A$20:$AC$9193,25,FALSE)=1,"SI APLICA",VLOOKUP("T"&amp;C57,EXPERIENCIA!$A$20:$AC$9193,26,FALSE)))</f>
        <v>SI APLICA</v>
      </c>
      <c r="F57" s="134" t="str">
        <f ca="1">IF(ISNUMBER(D57),"",VLOOKUP("T"&amp;C57,EXPERIENCIA!$A$20:$AC$9193,27,FALSE))</f>
        <v>SI APLICA</v>
      </c>
      <c r="G57" s="134">
        <f t="shared" ca="1" si="1"/>
        <v>1</v>
      </c>
    </row>
    <row r="58" spans="2:7">
      <c r="B58" s="132">
        <f t="shared" si="0"/>
        <v>40</v>
      </c>
      <c r="C58" s="132">
        <f>IF(VLOOKUP(B58,PROPONENTES!$B$19:$E$109,2,0)="","",VLOOKUP(B58,PROPONENTES!$B$19:$E$109,2,0))</f>
        <v>40</v>
      </c>
      <c r="D58" s="133" t="str">
        <f>VLOOKUP(B58,PROPONENTES!$B$19:$D$108,3,FALSE)</f>
        <v>CONSORCIO INVIAS 001</v>
      </c>
      <c r="E58" s="290" t="str">
        <f ca="1">IF(ISNUMBER(D58),"",IF(VLOOKUP("T"&amp;C58,EXPERIENCIA!$A$20:$AC$9193,25,FALSE)=1,"SI APLICA",VLOOKUP("T"&amp;C58,EXPERIENCIA!$A$20:$AC$9193,26,FALSE)))</f>
        <v>SI APLICA</v>
      </c>
      <c r="F58" s="134" t="str">
        <f ca="1">IF(ISNUMBER(D58),"",VLOOKUP("T"&amp;C58,EXPERIENCIA!$A$20:$AC$9193,27,FALSE))</f>
        <v>SI APLICA</v>
      </c>
      <c r="G58" s="134">
        <f t="shared" ca="1" si="1"/>
        <v>1</v>
      </c>
    </row>
    <row r="59" spans="2:7">
      <c r="B59" s="132">
        <f t="shared" si="0"/>
        <v>41</v>
      </c>
      <c r="C59" s="132">
        <f>IF(VLOOKUP(B59,PROPONENTES!$B$19:$E$109,2,0)="","",VLOOKUP(B59,PROPONENTES!$B$19:$E$109,2,0))</f>
        <v>41</v>
      </c>
      <c r="D59" s="133" t="str">
        <f>VLOOKUP(B59,PROPONENTES!$B$19:$D$108,3,FALSE)</f>
        <v>CONSORCIO SF</v>
      </c>
      <c r="E59" s="290" t="str">
        <f ca="1">IF(ISNUMBER(D59),"",IF(VLOOKUP("T"&amp;C59,EXPERIENCIA!$A$20:$AC$9193,25,FALSE)=1,"SI APLICA",VLOOKUP("T"&amp;C59,EXPERIENCIA!$A$20:$AC$9193,26,FALSE)))</f>
        <v>SI APLICA</v>
      </c>
      <c r="F59" s="134" t="str">
        <f ca="1">IF(ISNUMBER(D59),"",VLOOKUP("T"&amp;C59,EXPERIENCIA!$A$20:$AC$9193,27,FALSE))</f>
        <v>SI APLICA</v>
      </c>
      <c r="G59" s="134">
        <f t="shared" ca="1" si="1"/>
        <v>1</v>
      </c>
    </row>
    <row r="60" spans="2:7">
      <c r="B60" s="132">
        <f t="shared" si="0"/>
        <v>42</v>
      </c>
      <c r="C60" s="132">
        <f>IF(VLOOKUP(B60,PROPONENTES!$B$19:$E$109,2,0)="","",VLOOKUP(B60,PROPONENTES!$B$19:$E$109,2,0))</f>
        <v>42</v>
      </c>
      <c r="D60" s="133" t="str">
        <f>VLOOKUP(B60,PROPONENTES!$B$19:$D$108,3,FALSE)</f>
        <v>CONSORCIO VIAL ORIEMH”</v>
      </c>
      <c r="E60" s="290" t="str">
        <f ca="1">IF(ISNUMBER(D60),"",IF(VLOOKUP("T"&amp;C60,EXPERIENCIA!$A$20:$AC$9193,25,FALSE)=1,"SI APLICA",VLOOKUP("T"&amp;C60,EXPERIENCIA!$A$20:$AC$9193,26,FALSE)))</f>
        <v>SI APLICA</v>
      </c>
      <c r="F60" s="134" t="str">
        <f ca="1">IF(ISNUMBER(D60),"",VLOOKUP("T"&amp;C60,EXPERIENCIA!$A$20:$AC$9193,27,FALSE))</f>
        <v>SI APLICA</v>
      </c>
      <c r="G60" s="134">
        <f t="shared" ca="1" si="1"/>
        <v>1</v>
      </c>
    </row>
    <row r="61" spans="2:7">
      <c r="B61" s="132">
        <f t="shared" si="0"/>
        <v>43</v>
      </c>
      <c r="C61" s="132">
        <f>IF(VLOOKUP(B61,PROPONENTES!$B$19:$E$109,2,0)="","",VLOOKUP(B61,PROPONENTES!$B$19:$E$109,2,0))</f>
        <v>43</v>
      </c>
      <c r="D61" s="133" t="str">
        <f>VLOOKUP(B61,PROPONENTES!$B$19:$D$108,3,FALSE)</f>
        <v>CONSORCIO INTERFEDCO TOLIMA</v>
      </c>
      <c r="E61" s="290" t="str">
        <f ca="1">IF(ISNUMBER(D61),"",IF(VLOOKUP("T"&amp;C61,EXPERIENCIA!$A$20:$AC$9193,25,FALSE)=1,"SI APLICA",VLOOKUP("T"&amp;C61,EXPERIENCIA!$A$20:$AC$9193,26,FALSE)))</f>
        <v>SI APLICA</v>
      </c>
      <c r="F61" s="134" t="str">
        <f ca="1">IF(ISNUMBER(D61),"",VLOOKUP("T"&amp;C61,EXPERIENCIA!$A$20:$AC$9193,27,FALSE))</f>
        <v>SI APLICA</v>
      </c>
      <c r="G61" s="134">
        <f t="shared" ca="1" si="1"/>
        <v>1</v>
      </c>
    </row>
    <row r="62" spans="2:7">
      <c r="B62" s="132">
        <f t="shared" si="0"/>
        <v>44</v>
      </c>
      <c r="C62" s="132">
        <f>IF(VLOOKUP(B62,PROPONENTES!$B$19:$E$109,2,0)="","",VLOOKUP(B62,PROPONENTES!$B$19:$E$109,2,0))</f>
        <v>44</v>
      </c>
      <c r="D62" s="133" t="str">
        <f>VLOOKUP(B62,PROPONENTES!$B$19:$D$108,3,FALSE)</f>
        <v>CONSORCIO VIAS RURALES TOL</v>
      </c>
      <c r="E62" s="290" t="str">
        <f ca="1">IF(ISNUMBER(D62),"",IF(VLOOKUP("T"&amp;C62,EXPERIENCIA!$A$20:$AC$9193,25,FALSE)=1,"SI APLICA",VLOOKUP("T"&amp;C62,EXPERIENCIA!$A$20:$AC$9193,26,FALSE)))</f>
        <v>SI APLICA</v>
      </c>
      <c r="F62" s="134" t="str">
        <f ca="1">IF(ISNUMBER(D62),"",VLOOKUP("T"&amp;C62,EXPERIENCIA!$A$20:$AC$9193,27,FALSE))</f>
        <v>SI APLICA</v>
      </c>
      <c r="G62" s="134">
        <f t="shared" ca="1" si="1"/>
        <v>1</v>
      </c>
    </row>
    <row r="63" spans="2:7">
      <c r="B63" s="132">
        <f t="shared" si="0"/>
        <v>45</v>
      </c>
      <c r="C63" s="132">
        <f>IF(VLOOKUP(B63,PROPONENTES!$B$19:$E$109,2,0)="","",VLOOKUP(B63,PROPONENTES!$B$19:$E$109,2,0))</f>
        <v>45</v>
      </c>
      <c r="D63" s="133" t="str">
        <f>VLOOKUP(B63,PROPONENTES!$B$19:$D$108,3,FALSE)</f>
        <v>TECNOLOGÍA DE NUEVAS MEDICIONES COLOMBIA S.A.S. – TECNUMEC S.A.S.</v>
      </c>
      <c r="E63" s="290" t="str">
        <f>IF(ISNUMBER(D63),"",IF(VLOOKUP("T"&amp;C63,EXPERIENCIA!$A$20:$AC$9193,25,FALSE)=1,"SI APLICA",VLOOKUP("T"&amp;C63,EXPERIENCIA!$A$20:$AC$9193,26,FALSE)))</f>
        <v>SI APLICA</v>
      </c>
      <c r="F63" s="134" t="str">
        <f>IF(ISNUMBER(D63),"",VLOOKUP("T"&amp;C63,EXPERIENCIA!$A$20:$AC$9193,27,FALSE))</f>
        <v>SI APLICA</v>
      </c>
      <c r="G63" s="134">
        <f t="shared" si="1"/>
        <v>1</v>
      </c>
    </row>
    <row r="64" spans="2:7">
      <c r="B64" s="132">
        <f t="shared" si="0"/>
        <v>46</v>
      </c>
      <c r="C64" s="132">
        <f>IF(VLOOKUP(B64,PROPONENTES!$B$19:$E$109,2,0)="","",VLOOKUP(B64,PROPONENTES!$B$19:$E$109,2,0))</f>
        <v>46</v>
      </c>
      <c r="D64" s="133" t="str">
        <f>VLOOKUP(B64,PROPONENTES!$B$19:$D$108,3,FALSE)</f>
        <v>CONSULTORES SOLANO NAVAS LTDA</v>
      </c>
      <c r="E64" s="290" t="str">
        <f>IF(ISNUMBER(D64),"",IF(VLOOKUP("T"&amp;C64,EXPERIENCIA!$A$20:$AC$9193,25,FALSE)=1,"SI APLICA",VLOOKUP("T"&amp;C64,EXPERIENCIA!$A$20:$AC$9193,26,FALSE)))</f>
        <v>SI APLICA</v>
      </c>
      <c r="F64" s="134" t="str">
        <f>IF(ISNUMBER(D64),"",VLOOKUP("T"&amp;C64,EXPERIENCIA!$A$20:$AC$9193,27,FALSE))</f>
        <v>SI APLICA</v>
      </c>
      <c r="G64" s="134">
        <f t="shared" si="1"/>
        <v>1</v>
      </c>
    </row>
    <row r="65" spans="2:7">
      <c r="B65" s="132">
        <f t="shared" si="0"/>
        <v>47</v>
      </c>
      <c r="C65" s="132">
        <f>IF(VLOOKUP(B65,PROPONENTES!$B$19:$E$109,2,0)="","",VLOOKUP(B65,PROPONENTES!$B$19:$E$109,2,0))</f>
        <v>47</v>
      </c>
      <c r="D65" s="133" t="str">
        <f>VLOOKUP(B65,PROPONENTES!$B$19:$D$108,3,FALSE)</f>
        <v>CONSORCIO VIAS TOLIMA 22</v>
      </c>
      <c r="E65" s="290" t="str">
        <f ca="1">IF(ISNUMBER(D65),"",IF(VLOOKUP("T"&amp;C65,EXPERIENCIA!$A$20:$AC$9193,25,FALSE)=1,"SI APLICA",VLOOKUP("T"&amp;C65,EXPERIENCIA!$A$20:$AC$9193,26,FALSE)))</f>
        <v>SI APLICA</v>
      </c>
      <c r="F65" s="134" t="str">
        <f ca="1">IF(ISNUMBER(D65),"",VLOOKUP("T"&amp;C65,EXPERIENCIA!$A$20:$AC$9193,27,FALSE))</f>
        <v>SI APLICA</v>
      </c>
      <c r="G65" s="134">
        <f t="shared" ca="1" si="1"/>
        <v>1</v>
      </c>
    </row>
    <row r="66" spans="2:7">
      <c r="B66" s="132">
        <f t="shared" si="0"/>
        <v>48</v>
      </c>
      <c r="C66" s="132">
        <f>IF(VLOOKUP(B66,PROPONENTES!$B$19:$E$109,2,0)="","",VLOOKUP(B66,PROPONENTES!$B$19:$E$109,2,0))</f>
        <v>48</v>
      </c>
      <c r="D66" s="133" t="str">
        <f>VLOOKUP(B66,PROPONENTES!$B$19:$D$108,3,FALSE)</f>
        <v>BRAIN INGENIERIA VIAL SAS</v>
      </c>
      <c r="E66" s="290" t="str">
        <f>IF(ISNUMBER(D66),"",IF(VLOOKUP("T"&amp;C66,EXPERIENCIA!$A$20:$AC$9193,25,FALSE)=1,"SI APLICA",VLOOKUP("T"&amp;C66,EXPERIENCIA!$A$20:$AC$9193,26,FALSE)))</f>
        <v>SI APLICA</v>
      </c>
      <c r="F66" s="134" t="str">
        <f>IF(ISNUMBER(D66),"",VLOOKUP("T"&amp;C66,EXPERIENCIA!$A$20:$AC$9193,27,FALSE))</f>
        <v>SI APLICA</v>
      </c>
      <c r="G66" s="134">
        <f t="shared" si="1"/>
        <v>1</v>
      </c>
    </row>
    <row r="67" spans="2:7">
      <c r="B67" s="132">
        <f t="shared" si="0"/>
        <v>49</v>
      </c>
      <c r="C67" s="132">
        <f>IF(VLOOKUP(B67,PROPONENTES!$B$19:$E$109,2,0)="","",VLOOKUP(B67,PROPONENTES!$B$19:$E$109,2,0))</f>
        <v>49</v>
      </c>
      <c r="D67" s="133" t="str">
        <f>VLOOKUP(B67,PROPONENTES!$B$19:$D$108,3,FALSE)</f>
        <v>CONSORCIO LAPP</v>
      </c>
      <c r="E67" s="290" t="str">
        <f ca="1">IF(ISNUMBER(D67),"",IF(VLOOKUP("T"&amp;C67,EXPERIENCIA!$A$20:$AC$9193,25,FALSE)=1,"SI APLICA",VLOOKUP("T"&amp;C67,EXPERIENCIA!$A$20:$AC$9193,26,FALSE)))</f>
        <v>SI APLICA</v>
      </c>
      <c r="F67" s="134" t="str">
        <f ca="1">IF(ISNUMBER(D67),"",VLOOKUP("T"&amp;C67,EXPERIENCIA!$A$20:$AC$9193,27,FALSE))</f>
        <v>SI APLICA</v>
      </c>
      <c r="G67" s="134">
        <f t="shared" ca="1" si="1"/>
        <v>1</v>
      </c>
    </row>
    <row r="68" spans="2:7">
      <c r="B68" s="132">
        <f t="shared" si="0"/>
        <v>50</v>
      </c>
      <c r="C68" s="132">
        <f>IF(VLOOKUP(B68,PROPONENTES!$B$19:$E$109,2,0)="","",VLOOKUP(B68,PROPONENTES!$B$19:$E$109,2,0))</f>
        <v>50</v>
      </c>
      <c r="D68" s="133" t="str">
        <f>VLOOKUP(B68,PROPONENTES!$B$19:$D$108,3,FALSE)</f>
        <v>PROYECTISTAS ASOCIADOS SAS</v>
      </c>
      <c r="E68" s="290" t="str">
        <f>IF(ISNUMBER(D68),"",IF(VLOOKUP("T"&amp;C68,EXPERIENCIA!$A$20:$AC$9193,25,FALSE)=1,"SI APLICA",VLOOKUP("T"&amp;C68,EXPERIENCIA!$A$20:$AC$9193,26,FALSE)))</f>
        <v>SI APLICA</v>
      </c>
      <c r="F68" s="134" t="str">
        <f>IF(ISNUMBER(D68),"",VLOOKUP("T"&amp;C68,EXPERIENCIA!$A$20:$AC$9193,27,FALSE))</f>
        <v>SI APLICA</v>
      </c>
      <c r="G68" s="134">
        <f t="shared" si="1"/>
        <v>1</v>
      </c>
    </row>
    <row r="69" spans="2:7">
      <c r="B69" s="132">
        <f t="shared" si="0"/>
        <v>51</v>
      </c>
      <c r="C69" s="132">
        <f>IF(VLOOKUP(B69,PROPONENTES!$B$19:$E$109,2,0)="","",VLOOKUP(B69,PROPONENTES!$B$19:$E$109,2,0))</f>
        <v>51</v>
      </c>
      <c r="D69" s="133" t="str">
        <f>VLOOKUP(B69,PROPONENTES!$B$19:$D$108,3,FALSE)</f>
        <v>DAM SOLUCIONES E INGENIERIA SAS</v>
      </c>
      <c r="E69" s="290" t="str">
        <f>IF(ISNUMBER(D69),"",IF(VLOOKUP("T"&amp;C69,EXPERIENCIA!$A$20:$AC$9193,25,FALSE)=1,"SI APLICA",VLOOKUP("T"&amp;C69,EXPERIENCIA!$A$20:$AC$9193,26,FALSE)))</f>
        <v>SI APLICA</v>
      </c>
      <c r="F69" s="134" t="str">
        <f>IF(ISNUMBER(D69),"",VLOOKUP("T"&amp;C69,EXPERIENCIA!$A$20:$AC$9193,27,FALSE))</f>
        <v>SI APLICA</v>
      </c>
      <c r="G69" s="134">
        <f t="shared" si="1"/>
        <v>1</v>
      </c>
    </row>
    <row r="70" spans="2:7">
      <c r="B70" s="132">
        <f t="shared" si="0"/>
        <v>52</v>
      </c>
      <c r="C70" s="132">
        <f>IF(VLOOKUP(B70,PROPONENTES!$B$19:$E$109,2,0)="","",VLOOKUP(B70,PROPONENTES!$B$19:$E$109,2,0))</f>
        <v>52</v>
      </c>
      <c r="D70" s="133" t="str">
        <f>VLOOKUP(B70,PROPONENTES!$B$19:$D$108,3,FALSE)</f>
        <v>COINZA ING SAS</v>
      </c>
      <c r="E70" s="290" t="str">
        <f>IF(ISNUMBER(D70),"",IF(VLOOKUP("T"&amp;C70,EXPERIENCIA!$A$20:$AC$9193,25,FALSE)=1,"SI APLICA",VLOOKUP("T"&amp;C70,EXPERIENCIA!$A$20:$AC$9193,26,FALSE)))</f>
        <v>SI APLICA</v>
      </c>
      <c r="F70" s="134" t="str">
        <f>IF(ISNUMBER(D70),"",VLOOKUP("T"&amp;C70,EXPERIENCIA!$A$20:$AC$9193,27,FALSE))</f>
        <v>SI APLICA</v>
      </c>
      <c r="G70" s="134">
        <f t="shared" si="1"/>
        <v>1</v>
      </c>
    </row>
    <row r="71" spans="2:7">
      <c r="B71" s="132">
        <f t="shared" si="0"/>
        <v>53</v>
      </c>
      <c r="C71" s="132">
        <f>IF(VLOOKUP(B71,PROPONENTES!$B$19:$E$109,2,0)="","",VLOOKUP(B71,PROPONENTES!$B$19:$E$109,2,0))</f>
        <v>53</v>
      </c>
      <c r="D71" s="133" t="str">
        <f>VLOOKUP(B71,PROPONENTES!$B$19:$D$108,3,FALSE)</f>
        <v>NORBERTO BAYONA ESPITIA</v>
      </c>
      <c r="E71" s="290" t="str">
        <f>IF(ISNUMBER(D71),"",IF(VLOOKUP("T"&amp;C71,EXPERIENCIA!$A$20:$AC$9193,25,FALSE)=1,"SI APLICA",VLOOKUP("T"&amp;C71,EXPERIENCIA!$A$20:$AC$9193,26,FALSE)))</f>
        <v>SI APLICA</v>
      </c>
      <c r="F71" s="134" t="str">
        <f>IF(ISNUMBER(D71),"",VLOOKUP("T"&amp;C71,EXPERIENCIA!$A$20:$AC$9193,27,FALSE))</f>
        <v>SI APLICA</v>
      </c>
      <c r="G71" s="134">
        <f t="shared" si="1"/>
        <v>1</v>
      </c>
    </row>
    <row r="72" spans="2:7">
      <c r="B72" s="132">
        <f t="shared" si="0"/>
        <v>54</v>
      </c>
      <c r="C72" s="132">
        <f>IF(VLOOKUP(B72,PROPONENTES!$B$19:$E$109,2,0)="","",VLOOKUP(B72,PROPONENTES!$B$19:$E$109,2,0))</f>
        <v>54</v>
      </c>
      <c r="D72" s="133" t="str">
        <f>VLOOKUP(B72,PROPONENTES!$B$19:$D$108,3,FALSE)</f>
        <v>CONSORCIO HC INTERVENTORES 2022</v>
      </c>
      <c r="E72" s="290" t="str">
        <f ca="1">IF(ISNUMBER(D72),"",IF(VLOOKUP("T"&amp;C72,EXPERIENCIA!$A$20:$AC$9193,25,FALSE)=1,"SI APLICA",VLOOKUP("T"&amp;C72,EXPERIENCIA!$A$20:$AC$9193,26,FALSE)))</f>
        <v>SI APLICA</v>
      </c>
      <c r="F72" s="134" t="str">
        <f ca="1">IF(ISNUMBER(D72),"",VLOOKUP("T"&amp;C72,EXPERIENCIA!$A$20:$AC$9193,27,FALSE))</f>
        <v>SI APLICA</v>
      </c>
      <c r="G72" s="134">
        <f t="shared" ca="1" si="1"/>
        <v>1</v>
      </c>
    </row>
    <row r="73" spans="2:7">
      <c r="B73" s="132">
        <f t="shared" si="0"/>
        <v>55</v>
      </c>
      <c r="C73" s="132">
        <f>IF(VLOOKUP(B73,PROPONENTES!$B$19:$E$109,2,0)="","",VLOOKUP(B73,PROPONENTES!$B$19:$E$109,2,0))</f>
        <v>55</v>
      </c>
      <c r="D73" s="133" t="str">
        <f>VLOOKUP(B73,PROPONENTES!$B$19:$D$108,3,FALSE)</f>
        <v>MARIO DE JESUS GIL CARDONA</v>
      </c>
      <c r="E73" s="290" t="str">
        <f>IF(ISNUMBER(D73),"",IF(VLOOKUP("T"&amp;C73,EXPERIENCIA!$A$20:$AC$9193,25,FALSE)=1,"SI APLICA",VLOOKUP("T"&amp;C73,EXPERIENCIA!$A$20:$AC$9193,26,FALSE)))</f>
        <v>SI APLICA</v>
      </c>
      <c r="F73" s="134" t="str">
        <f>IF(ISNUMBER(D73),"",VLOOKUP("T"&amp;C73,EXPERIENCIA!$A$20:$AC$9193,27,FALSE))</f>
        <v>SI APLICA</v>
      </c>
      <c r="G73" s="134">
        <f t="shared" si="1"/>
        <v>1</v>
      </c>
    </row>
    <row r="74" spans="2:7">
      <c r="B74" s="132">
        <f t="shared" si="0"/>
        <v>56</v>
      </c>
      <c r="C74" s="132">
        <f>IF(VLOOKUP(B74,PROPONENTES!$B$19:$E$109,2,0)="","",VLOOKUP(B74,PROPONENTES!$B$19:$E$109,2,0))</f>
        <v>56</v>
      </c>
      <c r="D74" s="133" t="str">
        <f>VLOOKUP(B74,PROPONENTES!$B$19:$D$108,3,FALSE)</f>
        <v>CONSORCIO COLOMBIA RURAL ET</v>
      </c>
      <c r="E74" s="290" t="str">
        <f ca="1">IF(ISNUMBER(D74),"",IF(VLOOKUP("T"&amp;C74,EXPERIENCIA!$A$20:$AC$9193,25,FALSE)=1,"SI APLICA",VLOOKUP("T"&amp;C74,EXPERIENCIA!$A$20:$AC$9193,26,FALSE)))</f>
        <v>SI APLICA</v>
      </c>
      <c r="F74" s="134" t="str">
        <f ca="1">IF(ISNUMBER(D74),"",VLOOKUP("T"&amp;C74,EXPERIENCIA!$A$20:$AC$9193,27,FALSE))</f>
        <v>SI APLICA</v>
      </c>
      <c r="G74" s="134">
        <f t="shared" ca="1" si="1"/>
        <v>1</v>
      </c>
    </row>
    <row r="75" spans="2:7">
      <c r="B75" s="132">
        <f t="shared" si="0"/>
        <v>57</v>
      </c>
      <c r="C75" s="132">
        <f>IF(VLOOKUP(B75,PROPONENTES!$B$19:$E$109,2,0)="","",VLOOKUP(B75,PROPONENTES!$B$19:$E$109,2,0))</f>
        <v>57</v>
      </c>
      <c r="D75" s="133" t="str">
        <f>VLOOKUP(B75,PROPONENTES!$B$19:$D$108,3,FALSE)</f>
        <v>CONSORCIO ROGER 20</v>
      </c>
      <c r="E75" s="290" t="str">
        <f ca="1">IF(ISNUMBER(D75),"",IF(VLOOKUP("T"&amp;C75,EXPERIENCIA!$A$20:$AC$9193,25,FALSE)=1,"SI APLICA",VLOOKUP("T"&amp;C75,EXPERIENCIA!$A$20:$AC$9193,26,FALSE)))</f>
        <v>SI APLICA</v>
      </c>
      <c r="F75" s="134" t="str">
        <f ca="1">IF(ISNUMBER(D75),"",VLOOKUP("T"&amp;C75,EXPERIENCIA!$A$20:$AC$9193,27,FALSE))</f>
        <v>SI APLICA</v>
      </c>
      <c r="G75" s="134">
        <f t="shared" ca="1" si="1"/>
        <v>1</v>
      </c>
    </row>
    <row r="76" spans="2:7">
      <c r="B76" s="132">
        <f t="shared" si="0"/>
        <v>58</v>
      </c>
      <c r="C76" s="132">
        <f>IF(VLOOKUP(B76,PROPONENTES!$B$19:$E$109,2,0)="","",VLOOKUP(B76,PROPONENTES!$B$19:$E$109,2,0))</f>
        <v>58</v>
      </c>
      <c r="D76" s="133" t="str">
        <f>VLOOKUP(B76,PROPONENTES!$B$19:$D$108,3,FALSE)</f>
        <v>VALLEJO H INGENIEROS CONSULTORES CONSTRUCTORES C S.A.S -BIC</v>
      </c>
      <c r="E76" s="290" t="str">
        <f>IF(ISNUMBER(D76),"",IF(VLOOKUP("T"&amp;C76,EXPERIENCIA!$A$20:$AC$9193,25,FALSE)=1,"SI APLICA",VLOOKUP("T"&amp;C76,EXPERIENCIA!$A$20:$AC$9193,26,FALSE)))</f>
        <v>SI APLICA</v>
      </c>
      <c r="F76" s="134" t="str">
        <f>IF(ISNUMBER(D76),"",VLOOKUP("T"&amp;C76,EXPERIENCIA!$A$20:$AC$9193,27,FALSE))</f>
        <v>SI APLICA</v>
      </c>
      <c r="G76" s="134">
        <v>1</v>
      </c>
    </row>
    <row r="77" spans="2:7">
      <c r="B77" s="132">
        <f t="shared" si="0"/>
        <v>59</v>
      </c>
      <c r="C77" s="132">
        <f>IF(VLOOKUP(B77,PROPONENTES!$B$19:$E$109,2,0)="","",VLOOKUP(B77,PROPONENTES!$B$19:$E$109,2,0))</f>
        <v>59</v>
      </c>
      <c r="D77" s="133" t="str">
        <f>VLOOKUP(B77,PROPONENTES!$B$19:$D$108,3,FALSE)</f>
        <v>Consorcio JR</v>
      </c>
      <c r="E77" s="290" t="str">
        <f ca="1">IF(ISNUMBER(D77),"",IF(VLOOKUP("T"&amp;C77,EXPERIENCIA!$A$20:$AC$9193,25,FALSE)=1,"SI APLICA",VLOOKUP("T"&amp;C77,EXPERIENCIA!$A$20:$AC$9193,26,FALSE)))</f>
        <v>SI APLICA</v>
      </c>
      <c r="F77" s="134" t="str">
        <f ca="1">IF(ISNUMBER(D77),"",VLOOKUP("T"&amp;C77,EXPERIENCIA!$A$20:$AC$9193,27,FALSE))</f>
        <v>SI APLICA</v>
      </c>
      <c r="G77" s="134">
        <f t="shared" ca="1" si="1"/>
        <v>1</v>
      </c>
    </row>
    <row r="78" spans="2:7">
      <c r="B78" s="132">
        <f t="shared" si="0"/>
        <v>60</v>
      </c>
      <c r="C78" s="132">
        <f>IF(VLOOKUP(B78,PROPONENTES!$B$19:$E$109,2,0)="","",VLOOKUP(B78,PROPONENTES!$B$19:$E$109,2,0))</f>
        <v>60</v>
      </c>
      <c r="D78" s="133" t="str">
        <f>VLOOKUP(B78,PROPONENTES!$B$19:$D$108,3,FALSE)</f>
        <v>ARA INGENIERIA S.A.S</v>
      </c>
      <c r="E78" s="290" t="str">
        <f>IF(ISNUMBER(D78),"",IF(VLOOKUP("T"&amp;C78,EXPERIENCIA!$A$20:$AC$9193,25,FALSE)=1,"SI APLICA",VLOOKUP("T"&amp;C78,EXPERIENCIA!$A$20:$AC$9193,26,FALSE)))</f>
        <v>SI APLICA</v>
      </c>
      <c r="F78" s="134" t="str">
        <f>IF(ISNUMBER(D78),"",VLOOKUP("T"&amp;C78,EXPERIENCIA!$A$20:$AC$9193,27,FALSE))</f>
        <v>SI APLICA</v>
      </c>
      <c r="G78" s="134">
        <f t="shared" si="1"/>
        <v>1</v>
      </c>
    </row>
    <row r="79" spans="2:7" ht="18.75" customHeight="1">
      <c r="B79" s="132">
        <f t="shared" si="0"/>
        <v>61</v>
      </c>
      <c r="C79" s="132">
        <f>IF(VLOOKUP(B79,PROPONENTES!$B$19:$E$109,2,0)="","",VLOOKUP(B79,PROPONENTES!$B$19:$E$109,2,0))</f>
        <v>61</v>
      </c>
      <c r="D79" s="133" t="str">
        <f>VLOOKUP(B79,PROPONENTES!$B$19:$D$108,3,FALSE)</f>
        <v>CONSORCIO INVITOL 2022</v>
      </c>
      <c r="E79" s="290" t="str">
        <f ca="1">IF(ISNUMBER(D79),"",IF(VLOOKUP("T"&amp;C79,EXPERIENCIA!$A$20:$AC$9193,25,FALSE)=1,"SI APLICA",VLOOKUP("T"&amp;C79,EXPERIENCIA!$A$20:$AC$9193,26,FALSE)))</f>
        <v>SI APLICA</v>
      </c>
      <c r="F79" s="134" t="str">
        <f ca="1">IF(ISNUMBER(D79),"",VLOOKUP("T"&amp;C79,EXPERIENCIA!$A$20:$AC$9193,27,FALSE))</f>
        <v>SI APLICA</v>
      </c>
      <c r="G79" s="134">
        <f t="shared" ca="1" si="1"/>
        <v>1</v>
      </c>
    </row>
    <row r="80" spans="2:7">
      <c r="B80" s="132">
        <f t="shared" si="0"/>
        <v>62</v>
      </c>
      <c r="C80" s="132">
        <f>IF(VLOOKUP(B80,PROPONENTES!$B$19:$E$109,2,0)="","",VLOOKUP(B80,PROPONENTES!$B$19:$E$109,2,0))</f>
        <v>62</v>
      </c>
      <c r="D80" s="133" t="str">
        <f>VLOOKUP(B80,PROPONENTES!$B$19:$D$108,3,FALSE)</f>
        <v>CONSORCIO INTERVIAL TOL 001</v>
      </c>
      <c r="E80" s="290" t="str">
        <f ca="1">IF(ISNUMBER(D80),"",IF(VLOOKUP("T"&amp;C80,EXPERIENCIA!$A$20:$AC$9193,25,FALSE)=1,"SI APLICA",VLOOKUP("T"&amp;C80,EXPERIENCIA!$A$20:$AC$9193,26,FALSE)))</f>
        <v>SI APLICA</v>
      </c>
      <c r="F80" s="134" t="str">
        <f ca="1">IF(ISNUMBER(D80),"",VLOOKUP("T"&amp;C80,EXPERIENCIA!$A$20:$AC$9193,27,FALSE))</f>
        <v>SI APLICA</v>
      </c>
      <c r="G80" s="134">
        <f t="shared" ca="1" si="1"/>
        <v>1</v>
      </c>
    </row>
    <row r="81" spans="2:7">
      <c r="B81" s="132">
        <f t="shared" si="0"/>
        <v>63</v>
      </c>
      <c r="C81" s="132">
        <f>IF(VLOOKUP(B81,PROPONENTES!$B$19:$E$109,2,0)="","",VLOOKUP(B81,PROPONENTES!$B$19:$E$109,2,0))</f>
        <v>63</v>
      </c>
      <c r="D81" s="133" t="str">
        <f>VLOOKUP(B81,PROPONENTES!$B$19:$D$108,3,FALSE)</f>
        <v>COMPAÑIA CONSULTORA COLOMBIANA TRIPLE C BIC SAS</v>
      </c>
      <c r="E81" s="290" t="str">
        <f>IF(ISNUMBER(D81),"",IF(VLOOKUP("T"&amp;C81,EXPERIENCIA!$A$20:$AC$9193,25,FALSE)=1,"SI APLICA",VLOOKUP("T"&amp;C81,EXPERIENCIA!$A$20:$AC$9193,26,FALSE)))</f>
        <v>SI APLICA</v>
      </c>
      <c r="F81" s="134" t="str">
        <f>IF(ISNUMBER(D81),"",VLOOKUP("T"&amp;C81,EXPERIENCIA!$A$20:$AC$9193,27,FALSE))</f>
        <v>SI APLICA</v>
      </c>
      <c r="G81" s="134">
        <f t="shared" si="1"/>
        <v>1</v>
      </c>
    </row>
    <row r="82" spans="2:7">
      <c r="B82" s="132">
        <f t="shared" si="0"/>
        <v>64</v>
      </c>
      <c r="C82" s="132">
        <f>IF(VLOOKUP(B82,PROPONENTES!$B$19:$E$109,2,0)="","",VLOOKUP(B82,PROPONENTES!$B$19:$E$109,2,0))</f>
        <v>64</v>
      </c>
      <c r="D82" s="133" t="str">
        <f>VLOOKUP(B82,PROPONENTES!$B$19:$D$108,3,FALSE)</f>
        <v>UNION TEMPORAL INTERTOL 001 2022</v>
      </c>
      <c r="E82" s="290" t="str">
        <f ca="1">IF(ISNUMBER(D82),"",IF(VLOOKUP("T"&amp;C82,EXPERIENCIA!$A$20:$AC$9193,25,FALSE)=1,"SI APLICA",VLOOKUP("T"&amp;C82,EXPERIENCIA!$A$20:$AC$9193,26,FALSE)))</f>
        <v>SI APLICA</v>
      </c>
      <c r="F82" s="134" t="str">
        <f ca="1">IF(ISNUMBER(D82),"",VLOOKUP("T"&amp;C82,EXPERIENCIA!$A$20:$AC$9193,27,FALSE))</f>
        <v>SI APLICA</v>
      </c>
      <c r="G82" s="134">
        <f t="shared" ca="1" si="1"/>
        <v>1</v>
      </c>
    </row>
    <row r="83" spans="2:7">
      <c r="B83" s="132">
        <f t="shared" si="0"/>
        <v>65</v>
      </c>
      <c r="C83" s="132">
        <f>IF(VLOOKUP(B83,PROPONENTES!$B$19:$E$109,2,0)="","",VLOOKUP(B83,PROPONENTES!$B$19:$E$109,2,0))</f>
        <v>65</v>
      </c>
      <c r="D83" s="133" t="str">
        <f>VLOOKUP(B83,PROPONENTES!$B$19:$D$108,3,FALSE)</f>
        <v>PROYECTISTAS DE COLOMBIA &amp; CIA SAS</v>
      </c>
      <c r="E83" s="290" t="str">
        <f>IF(ISNUMBER(D83),"",IF(VLOOKUP("T"&amp;C83,EXPERIENCIA!$A$20:$AC$9193,25,FALSE)=1,"SI APLICA",VLOOKUP("T"&amp;C83,EXPERIENCIA!$A$20:$AC$9193,26,FALSE)))</f>
        <v>SI APLICA</v>
      </c>
      <c r="F83" s="134" t="str">
        <f>IF(ISNUMBER(D83),"",VLOOKUP("T"&amp;C83,EXPERIENCIA!$A$20:$AC$9193,27,FALSE))</f>
        <v>SI APLICA</v>
      </c>
      <c r="G83" s="134">
        <f t="shared" si="1"/>
        <v>1</v>
      </c>
    </row>
    <row r="84" spans="2:7">
      <c r="B84" s="132">
        <f t="shared" ref="B84:B108" si="2">ROW()-18</f>
        <v>66</v>
      </c>
      <c r="C84" s="132">
        <f>IF(VLOOKUP(B84,PROPONENTES!$B$19:$E$109,2,0)="","",VLOOKUP(B84,PROPONENTES!$B$19:$E$109,2,0))</f>
        <v>66</v>
      </c>
      <c r="D84" s="133" t="str">
        <f>VLOOKUP(B84,PROPONENTES!$B$19:$D$108,3,FALSE)</f>
        <v>CONSORCIO VIAL INGENIERIA 2022</v>
      </c>
      <c r="E84" s="290" t="str">
        <f ca="1">IF(ISNUMBER(D84),"",IF(VLOOKUP("T"&amp;C84,EXPERIENCIA!$A$20:$AC$9193,25,FALSE)=1,"SI APLICA",VLOOKUP("T"&amp;C84,EXPERIENCIA!$A$20:$AC$9193,26,FALSE)))</f>
        <v>SI APLICA</v>
      </c>
      <c r="F84" s="134" t="str">
        <f ca="1">IF(ISNUMBER(D84),"",VLOOKUP("T"&amp;C84,EXPERIENCIA!$A$20:$AC$9193,27,FALSE))</f>
        <v>SI APLICA</v>
      </c>
      <c r="G84" s="134">
        <f t="shared" ref="G84:G107" ca="1" si="3">IF(ISNUMBER(D84),"",IF(COUNTIF(E84:F84,"SI APLICA")=2,1,0))</f>
        <v>1</v>
      </c>
    </row>
    <row r="85" spans="2:7">
      <c r="B85" s="132">
        <f t="shared" si="2"/>
        <v>67</v>
      </c>
      <c r="C85" s="132">
        <f>IF(VLOOKUP(B85,PROPONENTES!$B$19:$E$109,2,0)="","",VLOOKUP(B85,PROPONENTES!$B$19:$E$109,2,0))</f>
        <v>67</v>
      </c>
      <c r="D85" s="133" t="str">
        <f>VLOOKUP(B85,PROPONENTES!$B$19:$D$108,3,FALSE)</f>
        <v>CONSORCIO AV</v>
      </c>
      <c r="E85" s="290" t="str">
        <f ca="1">IF(ISNUMBER(D85),"",IF(VLOOKUP("T"&amp;C85,EXPERIENCIA!$A$20:$AC$9193,25,FALSE)=1,"SI APLICA",VLOOKUP("T"&amp;C85,EXPERIENCIA!$A$20:$AC$9193,26,FALSE)))</f>
        <v>SI APLICA</v>
      </c>
      <c r="F85" s="134" t="str">
        <f ca="1">IF(ISNUMBER(D85),"",VLOOKUP("T"&amp;C85,EXPERIENCIA!$A$20:$AC$9193,27,FALSE))</f>
        <v>SI APLICA</v>
      </c>
      <c r="G85" s="134">
        <f t="shared" ca="1" si="3"/>
        <v>1</v>
      </c>
    </row>
    <row r="86" spans="2:7">
      <c r="B86" s="132">
        <f t="shared" si="2"/>
        <v>68</v>
      </c>
      <c r="C86" s="132">
        <f>IF(VLOOKUP(B86,PROPONENTES!$B$19:$E$109,2,0)="","",VLOOKUP(B86,PROPONENTES!$B$19:$E$109,2,0))</f>
        <v>68</v>
      </c>
      <c r="D86" s="133" t="str">
        <f>VLOOKUP(B86,PROPONENTES!$B$19:$D$108,3,FALSE)</f>
        <v>SOLUCIONES PARA LA INGENIERÍA S.A.S.</v>
      </c>
      <c r="E86" s="290" t="str">
        <f>IF(ISNUMBER(D86),"",IF(VLOOKUP("T"&amp;C86,EXPERIENCIA!$A$20:$AC$9193,25,FALSE)=1,"SI APLICA",VLOOKUP("T"&amp;C86,EXPERIENCIA!$A$20:$AC$9193,26,FALSE)))</f>
        <v>SI APLICA</v>
      </c>
      <c r="F86" s="134" t="str">
        <f>IF(ISNUMBER(D86),"",VLOOKUP("T"&amp;C86,EXPERIENCIA!$A$20:$AC$9193,27,FALSE))</f>
        <v>SI APLICA</v>
      </c>
      <c r="G86" s="134">
        <f t="shared" si="3"/>
        <v>1</v>
      </c>
    </row>
    <row r="87" spans="2:7">
      <c r="B87" s="132">
        <f t="shared" si="2"/>
        <v>69</v>
      </c>
      <c r="C87" s="132">
        <f>IF(VLOOKUP(B87,PROPONENTES!$B$19:$E$109,2,0)="","",VLOOKUP(B87,PROPONENTES!$B$19:$E$109,2,0))</f>
        <v>69</v>
      </c>
      <c r="D87" s="133" t="str">
        <f>VLOOKUP(B87,PROPONENTES!$B$19:$D$108,3,FALSE)</f>
        <v>Unión Temporal Intervías Tolima</v>
      </c>
      <c r="E87" s="290" t="str">
        <f ca="1">IF(ISNUMBER(D87),"",IF(VLOOKUP("T"&amp;C87,EXPERIENCIA!$A$20:$AC$9193,25,FALSE)=1,"SI APLICA",VLOOKUP("T"&amp;C87,EXPERIENCIA!$A$20:$AC$9193,26,FALSE)))</f>
        <v>SI APLICA</v>
      </c>
      <c r="F87" s="134" t="str">
        <f ca="1">IF(ISNUMBER(D87),"",VLOOKUP("T"&amp;C87,EXPERIENCIA!$A$20:$AC$9193,27,FALSE))</f>
        <v>SI APLICA</v>
      </c>
      <c r="G87" s="134">
        <f t="shared" ca="1" si="3"/>
        <v>1</v>
      </c>
    </row>
    <row r="88" spans="2:7">
      <c r="B88" s="132">
        <f t="shared" si="2"/>
        <v>70</v>
      </c>
      <c r="C88" s="132">
        <f>IF(VLOOKUP(B88,PROPONENTES!$B$19:$E$109,2,0)="","",VLOOKUP(B88,PROPONENTES!$B$19:$E$109,2,0))</f>
        <v>70</v>
      </c>
      <c r="D88" s="133" t="str">
        <f>VLOOKUP(B88,PROPONENTES!$B$19:$D$108,3,FALSE)</f>
        <v>CONSORCIO DT TOLIMA ZP</v>
      </c>
      <c r="E88" s="290" t="str">
        <f ca="1">IF(ISNUMBER(D88),"",IF(VLOOKUP("T"&amp;C88,EXPERIENCIA!$A$20:$AC$9193,25,FALSE)=1,"SI APLICA",VLOOKUP("T"&amp;C88,EXPERIENCIA!$A$20:$AC$9193,26,FALSE)))</f>
        <v>SI APLICA</v>
      </c>
      <c r="F88" s="134" t="str">
        <f ca="1">IF(ISNUMBER(D88),"",VLOOKUP("T"&amp;C88,EXPERIENCIA!$A$20:$AC$9193,27,FALSE))</f>
        <v>SI APLICA</v>
      </c>
      <c r="G88" s="134">
        <f t="shared" ca="1" si="3"/>
        <v>1</v>
      </c>
    </row>
    <row r="89" spans="2:7">
      <c r="B89" s="132">
        <f t="shared" si="2"/>
        <v>71</v>
      </c>
      <c r="C89" s="132">
        <f>IF(VLOOKUP(B89,PROPONENTES!$B$19:$E$109,2,0)="","",VLOOKUP(B89,PROPONENTES!$B$19:$E$109,2,0))</f>
        <v>71</v>
      </c>
      <c r="D89" s="133" t="str">
        <f>VLOOKUP(B89,PROPONENTES!$B$19:$D$108,3,FALSE)</f>
        <v>INGENIEROS CIVILES ESPECIALISTAS S.A.S.</v>
      </c>
      <c r="E89" s="290" t="str">
        <f>IF(ISNUMBER(D89),"",IF(VLOOKUP("T"&amp;C89,EXPERIENCIA!$A$20:$AC$9193,25,FALSE)=1,"SI APLICA",VLOOKUP("T"&amp;C89,EXPERIENCIA!$A$20:$AC$9193,26,FALSE)))</f>
        <v>SI APLICA</v>
      </c>
      <c r="F89" s="134" t="str">
        <f>IF(ISNUMBER(D89),"",VLOOKUP("T"&amp;C89,EXPERIENCIA!$A$20:$AC$9193,27,FALSE))</f>
        <v>SI APLICA</v>
      </c>
      <c r="G89" s="134">
        <f t="shared" si="3"/>
        <v>1</v>
      </c>
    </row>
    <row r="90" spans="2:7">
      <c r="B90" s="132">
        <f t="shared" si="2"/>
        <v>72</v>
      </c>
      <c r="C90" s="132">
        <f>IF(VLOOKUP(B90,PROPONENTES!$B$19:$E$109,2,0)="","",VLOOKUP(B90,PROPONENTES!$B$19:$E$109,2,0))</f>
        <v>72</v>
      </c>
      <c r="D90" s="133" t="str">
        <f>VLOOKUP(B90,PROPONENTES!$B$19:$D$108,3,FALSE)</f>
        <v>GRUPO QUIMBAYA S.A.S.</v>
      </c>
      <c r="E90" s="290" t="str">
        <f>IF(ISNUMBER(D90),"",IF(VLOOKUP("T"&amp;C90,EXPERIENCIA!$A$20:$AC$9193,25,FALSE)=1,"SI APLICA",VLOOKUP("T"&amp;C90,EXPERIENCIA!$A$20:$AC$9193,26,FALSE)))</f>
        <v>SI APLICA</v>
      </c>
      <c r="F90" s="134" t="str">
        <f>IF(ISNUMBER(D90),"",VLOOKUP("T"&amp;C90,EXPERIENCIA!$A$20:$AC$9193,27,FALSE))</f>
        <v>SI APLICA</v>
      </c>
      <c r="G90" s="134">
        <f t="shared" si="3"/>
        <v>1</v>
      </c>
    </row>
    <row r="91" spans="2:7">
      <c r="B91" s="132">
        <f t="shared" si="2"/>
        <v>73</v>
      </c>
      <c r="C91" s="132">
        <f>IF(VLOOKUP(B91,PROPONENTES!$B$19:$E$109,2,0)="","",VLOOKUP(B91,PROPONENTES!$B$19:$E$109,2,0))</f>
        <v>73</v>
      </c>
      <c r="D91" s="133" t="str">
        <f>VLOOKUP(B91,PROPONENTES!$B$19:$D$108,3,FALSE)</f>
        <v>CONSORCIO TOLIMA JI 001</v>
      </c>
      <c r="E91" s="290" t="str">
        <f ca="1">IF(ISNUMBER(D91),"",IF(VLOOKUP("T"&amp;C91,EXPERIENCIA!$A$20:$AC$9193,25,FALSE)=1,"SI APLICA",VLOOKUP("T"&amp;C91,EXPERIENCIA!$A$20:$AC$9193,26,FALSE)))</f>
        <v>SI APLICA</v>
      </c>
      <c r="F91" s="134" t="str">
        <f ca="1">IF(ISNUMBER(D91),"",VLOOKUP("T"&amp;C91,EXPERIENCIA!$A$20:$AC$9193,27,FALSE))</f>
        <v>SI APLICA</v>
      </c>
      <c r="G91" s="134">
        <f t="shared" ca="1" si="3"/>
        <v>1</v>
      </c>
    </row>
    <row r="92" spans="2:7">
      <c r="B92" s="132">
        <f t="shared" si="2"/>
        <v>74</v>
      </c>
      <c r="C92" s="132">
        <f>IF(VLOOKUP(B92,PROPONENTES!$B$19:$E$109,2,0)="","",VLOOKUP(B92,PROPONENTES!$B$19:$E$109,2,0))</f>
        <v>74</v>
      </c>
      <c r="D92" s="133" t="str">
        <f>VLOOKUP(B92,PROPONENTES!$B$19:$D$108,3,FALSE)</f>
        <v>INGENIERIA CONUSLTORIA Y PLANEACION S.A – INCOPLAN S.A</v>
      </c>
      <c r="E92" s="290" t="str">
        <f>IF(ISNUMBER(D92),"",IF(VLOOKUP("T"&amp;C92,EXPERIENCIA!$A$20:$AC$9193,25,FALSE)=1,"SI APLICA",VLOOKUP("T"&amp;C92,EXPERIENCIA!$A$20:$AC$9193,26,FALSE)))</f>
        <v>SI APLICA</v>
      </c>
      <c r="F92" s="134" t="str">
        <f>IF(ISNUMBER(D92),"",VLOOKUP("T"&amp;C92,EXPERIENCIA!$A$20:$AC$9193,27,FALSE))</f>
        <v>SI APLICA</v>
      </c>
      <c r="G92" s="134">
        <f t="shared" si="3"/>
        <v>1</v>
      </c>
    </row>
    <row r="93" spans="2:7">
      <c r="B93" s="132">
        <f t="shared" si="2"/>
        <v>75</v>
      </c>
      <c r="C93" s="132">
        <f>IF(VLOOKUP(B93,PROPONENTES!$B$19:$E$109,2,0)="","",VLOOKUP(B93,PROPONENTES!$B$19:$E$109,2,0))</f>
        <v>75</v>
      </c>
      <c r="D93" s="133" t="str">
        <f>VLOOKUP(B93,PROPONENTES!$B$19:$D$108,3,FALSE)</f>
        <v>JAIME MORENO ESPAÑA</v>
      </c>
      <c r="E93" s="290" t="str">
        <f>IF(ISNUMBER(D93),"",IF(VLOOKUP("T"&amp;C93,EXPERIENCIA!$A$20:$AC$9193,25,FALSE)=1,"SI APLICA",VLOOKUP("T"&amp;C93,EXPERIENCIA!$A$20:$AC$9193,26,FALSE)))</f>
        <v>SI APLICA</v>
      </c>
      <c r="F93" s="134" t="str">
        <f>IF(ISNUMBER(D93),"",VLOOKUP("T"&amp;C93,EXPERIENCIA!$A$20:$AC$9193,27,FALSE))</f>
        <v>NO APLICA</v>
      </c>
      <c r="G93" s="134">
        <v>0</v>
      </c>
    </row>
    <row r="94" spans="2:7">
      <c r="B94" s="132">
        <f t="shared" si="2"/>
        <v>76</v>
      </c>
      <c r="C94" s="132">
        <f>IF(VLOOKUP(B94,PROPONENTES!$B$19:$E$109,2,0)="","",VLOOKUP(B94,PROPONENTES!$B$19:$E$109,2,0))</f>
        <v>76</v>
      </c>
      <c r="D94" s="133" t="str">
        <f>VLOOKUP(B94,PROPONENTES!$B$19:$D$108,3,FALSE)</f>
        <v>CONSORCIO DIN ISUTECH</v>
      </c>
      <c r="E94" s="290" t="str">
        <f ca="1">IF(ISNUMBER(D94),"",IF(VLOOKUP("T"&amp;C94,EXPERIENCIA!$A$20:$AC$9193,25,FALSE)=1,"SI APLICA",VLOOKUP("T"&amp;C94,EXPERIENCIA!$A$20:$AC$9193,26,FALSE)))</f>
        <v>SI APLICA</v>
      </c>
      <c r="F94" s="134" t="str">
        <f ca="1">IF(ISNUMBER(D94),"",VLOOKUP("T"&amp;C94,EXPERIENCIA!$A$20:$AC$9193,27,FALSE))</f>
        <v>SI APLICA</v>
      </c>
      <c r="G94" s="134">
        <f t="shared" ca="1" si="3"/>
        <v>1</v>
      </c>
    </row>
    <row r="95" spans="2:7">
      <c r="B95" s="132">
        <f t="shared" si="2"/>
        <v>77</v>
      </c>
      <c r="C95" s="132">
        <f>IF(VLOOKUP(B95,PROPONENTES!$B$19:$E$109,2,0)="","",VLOOKUP(B95,PROPONENTES!$B$19:$E$109,2,0))</f>
        <v>77</v>
      </c>
      <c r="D95" s="133" t="str">
        <f>VLOOKUP(B95,PROPONENTES!$B$19:$D$108,3,FALSE)</f>
        <v>CONSORCIO CASTORES – INGES INVIAS 2022</v>
      </c>
      <c r="E95" s="290" t="str">
        <f ca="1">IF(ISNUMBER(D95),"",IF(VLOOKUP("T"&amp;C95,EXPERIENCIA!$A$20:$AC$9193,25,FALSE)=1,"SI APLICA",VLOOKUP("T"&amp;C95,EXPERIENCIA!$A$20:$AC$9193,26,FALSE)))</f>
        <v>SI APLICA</v>
      </c>
      <c r="F95" s="134" t="str">
        <f ca="1">IF(ISNUMBER(D95),"",VLOOKUP("T"&amp;C95,EXPERIENCIA!$A$20:$AC$9193,27,FALSE))</f>
        <v>SI APLICA</v>
      </c>
      <c r="G95" s="134">
        <f t="shared" ca="1" si="3"/>
        <v>1</v>
      </c>
    </row>
    <row r="96" spans="2:7">
      <c r="B96" s="132">
        <f t="shared" si="2"/>
        <v>78</v>
      </c>
      <c r="C96" s="132">
        <f>IF(VLOOKUP(B96,PROPONENTES!$B$19:$E$109,2,0)="","",VLOOKUP(B96,PROPONENTES!$B$19:$E$109,2,0))</f>
        <v>78</v>
      </c>
      <c r="D96" s="133" t="str">
        <f>VLOOKUP(B96,PROPONENTES!$B$19:$D$108,3,FALSE)</f>
        <v>NUBIA ISABEL QUEVEDO ÁNGEL</v>
      </c>
      <c r="E96" s="290" t="str">
        <f>IF(ISNUMBER(D96),"",IF(VLOOKUP("T"&amp;C96,EXPERIENCIA!$A$20:$AC$9193,25,FALSE)=1,"SI APLICA",VLOOKUP("T"&amp;C96,EXPERIENCIA!$A$20:$AC$9193,26,FALSE)))</f>
        <v>SI APLICA</v>
      </c>
      <c r="F96" s="134" t="str">
        <f>IF(ISNUMBER(D96),"",VLOOKUP("T"&amp;C96,EXPERIENCIA!$A$20:$AC$9193,27,FALSE))</f>
        <v>SI APLICA</v>
      </c>
      <c r="G96" s="134">
        <f t="shared" si="3"/>
        <v>1</v>
      </c>
    </row>
    <row r="97" spans="2:7">
      <c r="B97" s="132">
        <f t="shared" si="2"/>
        <v>79</v>
      </c>
      <c r="C97" s="132">
        <f>IF(VLOOKUP(B97,PROPONENTES!$B$19:$E$109,2,0)="","",VLOOKUP(B97,PROPONENTES!$B$19:$E$109,2,0))</f>
        <v>79</v>
      </c>
      <c r="D97" s="133" t="str">
        <f>VLOOKUP(B97,PROPONENTES!$B$19:$D$108,3,FALSE)</f>
        <v>CONSORCIO TOLIMA BD</v>
      </c>
      <c r="E97" s="290" t="str">
        <f ca="1">IF(ISNUMBER(D97),"",IF(VLOOKUP("T"&amp;C97,EXPERIENCIA!$A$20:$AC$9193,25,FALSE)=1,"SI APLICA",VLOOKUP("T"&amp;C97,EXPERIENCIA!$A$20:$AC$9193,26,FALSE)))</f>
        <v>SI APLICA</v>
      </c>
      <c r="F97" s="134" t="str">
        <f ca="1">IF(ISNUMBER(D97),"",VLOOKUP("T"&amp;C97,EXPERIENCIA!$A$20:$AC$9193,27,FALSE))</f>
        <v>SI APLICA</v>
      </c>
      <c r="G97" s="134">
        <f t="shared" ca="1" si="3"/>
        <v>1</v>
      </c>
    </row>
    <row r="98" spans="2:7">
      <c r="B98" s="132">
        <f t="shared" si="2"/>
        <v>80</v>
      </c>
      <c r="C98" s="132">
        <f>IF(VLOOKUP(B98,PROPONENTES!$B$19:$E$109,2,0)="","",VLOOKUP(B98,PROPONENTES!$B$19:$E$109,2,0))</f>
        <v>80</v>
      </c>
      <c r="D98" s="133" t="str">
        <f>VLOOKUP(B98,PROPONENTES!$B$19:$D$108,3,FALSE)</f>
        <v>CB INGENIEROS S.A.S</v>
      </c>
      <c r="E98" s="290" t="str">
        <f>IF(ISNUMBER(D98),"",IF(VLOOKUP("T"&amp;C98,EXPERIENCIA!$A$20:$AC$9193,25,FALSE)=1,"SI APLICA",VLOOKUP("T"&amp;C98,EXPERIENCIA!$A$20:$AC$9193,26,FALSE)))</f>
        <v>SI APLICA</v>
      </c>
      <c r="F98" s="134" t="str">
        <f>IF(ISNUMBER(D98),"",VLOOKUP("T"&amp;C98,EXPERIENCIA!$A$20:$AC$9193,27,FALSE))</f>
        <v>SI APLICA</v>
      </c>
      <c r="G98" s="134">
        <f t="shared" si="3"/>
        <v>1</v>
      </c>
    </row>
    <row r="99" spans="2:7">
      <c r="B99" s="132">
        <f t="shared" si="2"/>
        <v>81</v>
      </c>
      <c r="C99" s="132">
        <f>IF(VLOOKUP(B99,PROPONENTES!$B$19:$E$109,2,0)="","",VLOOKUP(B99,PROPONENTES!$B$19:$E$109,2,0))</f>
        <v>81</v>
      </c>
      <c r="D99" s="133" t="str">
        <f>VLOOKUP(B99,PROPONENTES!$B$19:$D$108,3,FALSE)</f>
        <v>CONSORCIO INVIAS JP 2022</v>
      </c>
      <c r="E99" s="290" t="str">
        <f ca="1">IF(ISNUMBER(D99),"",IF(VLOOKUP("T"&amp;C99,EXPERIENCIA!$A$20:$AC$9193,25,FALSE)=1,"SI APLICA",VLOOKUP("T"&amp;C99,EXPERIENCIA!$A$20:$AC$9193,26,FALSE)))</f>
        <v>SI APLICA</v>
      </c>
      <c r="F99" s="134" t="str">
        <f ca="1">IF(ISNUMBER(D99),"",VLOOKUP("T"&amp;C99,EXPERIENCIA!$A$20:$AC$9193,27,FALSE))</f>
        <v>SI APLICA</v>
      </c>
      <c r="G99" s="134">
        <f t="shared" ca="1" si="3"/>
        <v>1</v>
      </c>
    </row>
    <row r="100" spans="2:7">
      <c r="B100" s="132">
        <f t="shared" si="2"/>
        <v>82</v>
      </c>
      <c r="C100" s="132">
        <f>IF(VLOOKUP(B100,PROPONENTES!$B$19:$E$109,2,0)="","",VLOOKUP(B100,PROPONENTES!$B$19:$E$109,2,0))</f>
        <v>82</v>
      </c>
      <c r="D100" s="133" t="str">
        <f>VLOOKUP(B100,PROPONENTES!$B$19:$D$108,3,FALSE)</f>
        <v>SOCIEDAD TECNICA SOTA LTDA</v>
      </c>
      <c r="E100" s="290" t="str">
        <f>IF(ISNUMBER(D100),"",IF(VLOOKUP("T"&amp;C100,EXPERIENCIA!$A$20:$AC$9193,25,FALSE)=1,"SI APLICA",VLOOKUP("T"&amp;C100,EXPERIENCIA!$A$20:$AC$9193,26,FALSE)))</f>
        <v>SI APLICA</v>
      </c>
      <c r="F100" s="134" t="str">
        <f>IF(ISNUMBER(D100),"",VLOOKUP("T"&amp;C100,EXPERIENCIA!$A$20:$AC$9193,27,FALSE))</f>
        <v>SI APLICA</v>
      </c>
      <c r="G100" s="134">
        <f t="shared" si="3"/>
        <v>1</v>
      </c>
    </row>
    <row r="101" spans="2:7">
      <c r="B101" s="132">
        <f t="shared" si="2"/>
        <v>83</v>
      </c>
      <c r="C101" s="132">
        <f>IF(VLOOKUP(B101,PROPONENTES!$B$19:$E$109,2,0)="","",VLOOKUP(B101,PROPONENTES!$B$19:$E$109,2,0))</f>
        <v>83</v>
      </c>
      <c r="D101" s="133" t="str">
        <f>VLOOKUP(B101,PROPONENTES!$B$19:$D$108,3,FALSE)</f>
        <v>CONSORCIO INTERVENTORES ASOCIADOS DEL TOLIMA</v>
      </c>
      <c r="E101" s="290" t="str">
        <f ca="1">IF(ISNUMBER(D101),"",IF(VLOOKUP("T"&amp;C101,EXPERIENCIA!$A$20:$AC$9193,25,FALSE)=1,"SI APLICA",VLOOKUP("T"&amp;C101,EXPERIENCIA!$A$20:$AC$9193,26,FALSE)))</f>
        <v>NO APLICA</v>
      </c>
      <c r="F101" s="134" t="str">
        <f ca="1">IF(ISNUMBER(D101),"",VLOOKUP("T"&amp;C101,EXPERIENCIA!$A$20:$AC$9193,27,FALSE))</f>
        <v>NO APLICA</v>
      </c>
      <c r="G101" s="134">
        <v>0</v>
      </c>
    </row>
    <row r="102" spans="2:7">
      <c r="B102" s="132">
        <f t="shared" si="2"/>
        <v>84</v>
      </c>
      <c r="C102" s="132">
        <f>IF(VLOOKUP(B102,PROPONENTES!$B$19:$E$109,2,0)="","",VLOOKUP(B102,PROPONENTES!$B$19:$E$109,2,0))</f>
        <v>84</v>
      </c>
      <c r="D102" s="133" t="str">
        <f>VLOOKUP(B102,PROPONENTES!$B$19:$D$108,3,FALSE)</f>
        <v>GRUPO EMPRESARIAL DE INFRAESTRUCTURA COLOMBIANO S.A.S.</v>
      </c>
      <c r="E102" s="290" t="str">
        <f>IF(ISNUMBER(D102),"",IF(VLOOKUP("T"&amp;C102,EXPERIENCIA!$A$20:$AC$9193,25,FALSE)=1,"SI APLICA",VLOOKUP("T"&amp;C102,EXPERIENCIA!$A$20:$AC$9193,26,FALSE)))</f>
        <v>SI APLICA</v>
      </c>
      <c r="F102" s="134" t="str">
        <f>IF(ISNUMBER(D102),"",VLOOKUP("T"&amp;C102,EXPERIENCIA!$A$20:$AC$9193,27,FALSE))</f>
        <v>NO APLICA</v>
      </c>
      <c r="G102" s="134">
        <v>0</v>
      </c>
    </row>
    <row r="103" spans="2:7">
      <c r="B103" s="132">
        <f t="shared" si="2"/>
        <v>85</v>
      </c>
      <c r="C103" s="132">
        <f>IF(VLOOKUP(B103,PROPONENTES!$B$19:$E$109,2,0)="","",VLOOKUP(B103,PROPONENTES!$B$19:$E$109,2,0))</f>
        <v>85</v>
      </c>
      <c r="D103" s="133" t="str">
        <f>VLOOKUP(B103,PROPONENTES!$B$19:$D$108,3,FALSE)</f>
        <v>DBB INGENIERÍA S.A.S.</v>
      </c>
      <c r="E103" s="290" t="str">
        <f>IF(ISNUMBER(D103),"",IF(VLOOKUP("T"&amp;C103,EXPERIENCIA!$A$20:$AC$9193,25,FALSE)=1,"SI APLICA",VLOOKUP("T"&amp;C103,EXPERIENCIA!$A$20:$AC$9193,26,FALSE)))</f>
        <v>SI APLICA</v>
      </c>
      <c r="F103" s="134" t="str">
        <f>IF(ISNUMBER(D103),"",VLOOKUP("T"&amp;C103,EXPERIENCIA!$A$20:$AC$9193,27,FALSE))</f>
        <v>SI APLICA</v>
      </c>
      <c r="G103" s="134">
        <f t="shared" si="3"/>
        <v>1</v>
      </c>
    </row>
    <row r="104" spans="2:7">
      <c r="B104" s="132">
        <f t="shared" si="2"/>
        <v>86</v>
      </c>
      <c r="C104" s="132">
        <f>IF(VLOOKUP(B104,PROPONENTES!$B$19:$E$109,2,0)="","",VLOOKUP(B104,PROPONENTES!$B$19:$E$109,2,0))</f>
        <v>86</v>
      </c>
      <c r="D104" s="133" t="str">
        <f>VLOOKUP(B104,PROPONENTES!$B$19:$D$108,3,FALSE)</f>
        <v>CARLOS ANDRES CHAVARRO CASTRO</v>
      </c>
      <c r="E104" s="290" t="str">
        <f>IF(ISNUMBER(D104),"",IF(VLOOKUP("T"&amp;C104,EXPERIENCIA!$A$20:$AC$9193,25,FALSE)=1,"SI APLICA",VLOOKUP("T"&amp;C104,EXPERIENCIA!$A$20:$AC$9193,26,FALSE)))</f>
        <v>SI APLICA</v>
      </c>
      <c r="F104" s="134" t="str">
        <f>IF(ISNUMBER(D104),"",VLOOKUP("T"&amp;C104,EXPERIENCIA!$A$20:$AC$9193,27,FALSE))</f>
        <v>SI APLICA</v>
      </c>
      <c r="G104" s="134">
        <f t="shared" si="3"/>
        <v>1</v>
      </c>
    </row>
    <row r="105" spans="2:7">
      <c r="B105" s="132">
        <f t="shared" si="2"/>
        <v>87</v>
      </c>
      <c r="C105" s="132">
        <f>IF(VLOOKUP(B105,PROPONENTES!$B$19:$E$109,2,0)="","",VLOOKUP(B105,PROPONENTES!$B$19:$E$109,2,0))</f>
        <v>87</v>
      </c>
      <c r="D105" s="133" t="str">
        <f>VLOOKUP(B105,PROPONENTES!$B$19:$D$108,3,FALSE)</f>
        <v>CONSORCIO INTERVÍAS TOLIMA 22</v>
      </c>
      <c r="E105" s="290" t="str">
        <f ca="1">IF(ISNUMBER(D105),"",IF(VLOOKUP("T"&amp;C105,EXPERIENCIA!$A$20:$AC$9193,25,FALSE)=1,"SI APLICA",VLOOKUP("T"&amp;C105,EXPERIENCIA!$A$20:$AC$9193,26,FALSE)))</f>
        <v>SI APLICA</v>
      </c>
      <c r="F105" s="134" t="str">
        <f ca="1">IF(ISNUMBER(D105),"",VLOOKUP("T"&amp;C105,EXPERIENCIA!$A$20:$AC$9193,27,FALSE))</f>
        <v>SI APLICA</v>
      </c>
      <c r="G105" s="134">
        <f t="shared" ca="1" si="3"/>
        <v>1</v>
      </c>
    </row>
    <row r="106" spans="2:7">
      <c r="B106" s="132">
        <f t="shared" si="2"/>
        <v>88</v>
      </c>
      <c r="C106" s="132">
        <f>IF(VLOOKUP(B106,PROPONENTES!$B$19:$E$109,2,0)="","",VLOOKUP(B106,PROPONENTES!$B$19:$E$109,2,0))</f>
        <v>88</v>
      </c>
      <c r="D106" s="133" t="str">
        <f>VLOOKUP(B106,PROPONENTES!$B$19:$D$108,3,FALSE)</f>
        <v>INGENIERÍA Y CONSULTORÍA INGECON SAS</v>
      </c>
      <c r="E106" s="290" t="str">
        <f>IF(ISNUMBER(D106),"",IF(VLOOKUP("T"&amp;C106,EXPERIENCIA!$A$20:$AC$9193,25,FALSE)=1,"SI APLICA",VLOOKUP("T"&amp;C106,EXPERIENCIA!$A$20:$AC$9193,26,FALSE)))</f>
        <v>SI APLICA</v>
      </c>
      <c r="F106" s="134" t="str">
        <f>IF(ISNUMBER(D106),"",VLOOKUP("T"&amp;C106,EXPERIENCIA!$A$20:$AC$9193,27,FALSE))</f>
        <v>SI APLICA</v>
      </c>
      <c r="G106" s="134">
        <f t="shared" si="3"/>
        <v>1</v>
      </c>
    </row>
    <row r="107" spans="2:7">
      <c r="B107" s="132">
        <f t="shared" si="2"/>
        <v>89</v>
      </c>
      <c r="C107" s="132">
        <f>IF(VLOOKUP(B107,PROPONENTES!$B$19:$E$109,2,0)="","",VLOOKUP(B107,PROPONENTES!$B$19:$E$109,2,0))</f>
        <v>89</v>
      </c>
      <c r="D107" s="133" t="str">
        <f>VLOOKUP(B107,PROPONENTES!$B$19:$D$108,3,FALSE)</f>
        <v>CONSORCIO INTER C&amp;R</v>
      </c>
      <c r="E107" s="290" t="str">
        <f ca="1">IF(ISNUMBER(D107),"",IF(VLOOKUP("T"&amp;C107,EXPERIENCIA!$A$20:$AC$9193,25,FALSE)=1,"SI APLICA",VLOOKUP("T"&amp;C107,EXPERIENCIA!$A$20:$AC$9193,26,FALSE)))</f>
        <v>SI APLICA</v>
      </c>
      <c r="F107" s="134" t="str">
        <f ca="1">IF(ISNUMBER(D107),"",VLOOKUP("T"&amp;C107,EXPERIENCIA!$A$20:$AC$9193,27,FALSE))</f>
        <v>SI APLICA</v>
      </c>
      <c r="G107" s="134">
        <f t="shared" ca="1" si="3"/>
        <v>1</v>
      </c>
    </row>
    <row r="108" spans="2:7" ht="18.75" customHeight="1">
      <c r="B108" s="132">
        <f t="shared" si="2"/>
        <v>90</v>
      </c>
      <c r="C108" s="132">
        <f>IF(VLOOKUP(B108,PROPONENTES!$B$19:$E$109,2,0)="","",VLOOKUP(B108,PROPONENTES!$B$19:$E$109,2,0))</f>
        <v>90</v>
      </c>
      <c r="D108" s="133" t="str">
        <f>VLOOKUP(B108,PROPONENTES!$B$19:$D$108,3,FALSE)</f>
        <v>GM SOLUTIONS S.A.S</v>
      </c>
      <c r="E108" s="290" t="str">
        <f>IF(ISNUMBER(D108),"",IF(VLOOKUP("T"&amp;C108,EXPERIENCIA!$A$20:$AC$9193,25,FALSE)=1,"SI APLICA",VLOOKUP("T"&amp;C108,EXPERIENCIA!$A$20:$AC$9193,26,FALSE)))</f>
        <v>SI APLICA</v>
      </c>
      <c r="F108" s="134" t="str">
        <f>IF(ISNUMBER(D108),"",VLOOKUP("T"&amp;C108,EXPERIENCIA!$A$20:$AC$9193,27,FALSE))</f>
        <v>NO APLICA</v>
      </c>
      <c r="G108" s="134">
        <v>0</v>
      </c>
    </row>
    <row r="109" spans="2:7" ht="3" customHeight="1" thickBot="1">
      <c r="B109" s="449" t="s">
        <v>134</v>
      </c>
      <c r="C109" s="449" t="s">
        <v>134</v>
      </c>
      <c r="D109" s="135"/>
      <c r="E109" s="135"/>
      <c r="F109" s="136"/>
      <c r="G109" s="289"/>
    </row>
    <row r="110" spans="2:7" ht="15.75" thickTop="1"/>
    <row r="111" spans="2:7"/>
    <row r="112" spans="2:7"/>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C19:G108">
    <cfRule type="expression" dxfId="104" priority="24" stopIfTrue="1">
      <formula>MOD(ROW(),2)</formula>
    </cfRule>
  </conditionalFormatting>
  <conditionalFormatting sqref="B19:B108">
    <cfRule type="expression" dxfId="10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1DD9C-9C65-45F0-9DD6-598FE33A5D9D}">
  <sheetPr codeName="Hoja12">
    <tabColor rgb="FFFF0000"/>
    <pageSetUpPr fitToPage="1"/>
  </sheetPr>
  <dimension ref="A1:H423"/>
  <sheetViews>
    <sheetView showGridLines="0" topLeftCell="A87" zoomScaleNormal="100" workbookViewId="0">
      <selection activeCell="E107" sqref="E107"/>
    </sheetView>
  </sheetViews>
  <sheetFormatPr baseColWidth="10" defaultColWidth="0" defaultRowHeight="15" zeroHeight="1"/>
  <cols>
    <col min="1" max="1" width="3.85546875" style="128" customWidth="1"/>
    <col min="2" max="2" width="7.7109375" style="128" customWidth="1"/>
    <col min="3" max="3" width="14" style="128" customWidth="1"/>
    <col min="4" max="4" width="68.85546875" style="128" customWidth="1"/>
    <col min="5" max="6" width="14.42578125" style="128" customWidth="1"/>
    <col min="7" max="8" width="11.42578125" style="128" customWidth="1"/>
    <col min="9" max="16384" width="11.42578125" style="128" hidden="1"/>
  </cols>
  <sheetData>
    <row r="1" spans="1:6" s="4" customFormat="1" ht="15" customHeight="1">
      <c r="A1" s="121"/>
      <c r="B1" s="121"/>
      <c r="C1" s="850" t="str">
        <f>PROPONENTES!B1</f>
        <v>INSTITUTO NACIONAL DE VÍAS</v>
      </c>
      <c r="D1" s="850"/>
      <c r="E1" s="850"/>
      <c r="F1" s="850"/>
    </row>
    <row r="2" spans="1:6" s="2" customFormat="1" ht="15" customHeight="1">
      <c r="A2" s="123"/>
      <c r="B2" s="123"/>
      <c r="C2" s="850" t="str">
        <f>PROPONENTES!B2</f>
        <v>DIRECCIÓN GENERAL</v>
      </c>
      <c r="D2" s="850"/>
      <c r="E2" s="850"/>
      <c r="F2" s="850"/>
    </row>
    <row r="3" spans="1:6" s="2" customFormat="1" ht="15" customHeight="1">
      <c r="A3" s="123"/>
      <c r="B3" s="123"/>
      <c r="C3" s="850" t="str">
        <f>PROPONENTES!B3</f>
        <v>DIRECCION JURIDICA</v>
      </c>
      <c r="D3" s="850"/>
      <c r="E3" s="850"/>
      <c r="F3" s="850"/>
    </row>
    <row r="4" spans="1:6" s="2" customFormat="1" ht="12.75" customHeight="1">
      <c r="A4" s="123"/>
      <c r="B4" s="123"/>
      <c r="C4" s="850" t="str">
        <f>PROPONENTES!B4</f>
        <v>TERRITORIAL TOLIMA</v>
      </c>
      <c r="D4" s="850"/>
      <c r="E4" s="850"/>
      <c r="F4" s="850"/>
    </row>
    <row r="5" spans="1:6" s="2" customFormat="1" ht="12.75">
      <c r="A5" s="123"/>
      <c r="B5" s="122"/>
      <c r="C5" s="122"/>
      <c r="D5" s="3"/>
      <c r="E5" s="57"/>
      <c r="F5" s="57"/>
    </row>
    <row r="6" spans="1:6" s="2" customFormat="1" ht="12.75">
      <c r="A6" s="123"/>
      <c r="B6" s="123"/>
      <c r="C6" s="850" t="str">
        <f>+PROPONENTES!B6</f>
        <v>CONCURSO DE MÉRITOS ABIERTO</v>
      </c>
      <c r="D6" s="850"/>
      <c r="E6" s="850"/>
      <c r="F6" s="850"/>
    </row>
    <row r="7" spans="1:6" s="2" customFormat="1" ht="12.75">
      <c r="A7" s="123"/>
      <c r="B7" s="123"/>
      <c r="C7" s="850" t="str">
        <f>PROPONENTES!B7</f>
        <v>CMA-DT-TOL-001-2022</v>
      </c>
      <c r="D7" s="850"/>
      <c r="E7" s="850"/>
      <c r="F7" s="850"/>
    </row>
    <row r="8" spans="1:6" s="2" customFormat="1" ht="12.75" customHeight="1">
      <c r="A8" s="123"/>
      <c r="B8" s="122"/>
      <c r="C8" s="122"/>
      <c r="D8" s="3"/>
      <c r="E8" s="57"/>
      <c r="F8" s="57"/>
    </row>
    <row r="9" spans="1:6"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c r="F9" s="850"/>
    </row>
    <row r="10" spans="1:6" s="2" customFormat="1" ht="12.75" customHeight="1">
      <c r="A10" s="123"/>
      <c r="B10" s="122"/>
      <c r="C10" s="122"/>
      <c r="D10" s="3"/>
      <c r="E10" s="57"/>
      <c r="F10" s="57"/>
    </row>
    <row r="11" spans="1:6" s="2" customFormat="1" ht="12.75">
      <c r="A11" s="123"/>
      <c r="B11" s="123"/>
      <c r="C11" s="851"/>
      <c r="D11" s="851"/>
      <c r="E11" s="851"/>
      <c r="F11" s="851"/>
    </row>
    <row r="12" spans="1:6" s="2" customFormat="1" ht="15.75">
      <c r="A12" s="123"/>
      <c r="B12" s="124"/>
      <c r="C12" s="124"/>
      <c r="D12" s="125"/>
      <c r="E12" s="57"/>
      <c r="F12" s="57"/>
    </row>
    <row r="13" spans="1:6" s="2" customFormat="1" ht="12.75">
      <c r="A13" s="123"/>
      <c r="B13" s="123"/>
      <c r="C13" s="693" t="s">
        <v>1098</v>
      </c>
      <c r="D13" s="693"/>
      <c r="E13" s="693"/>
      <c r="F13" s="693"/>
    </row>
    <row r="14" spans="1:6">
      <c r="A14" s="126"/>
      <c r="B14" s="126"/>
      <c r="C14" s="693" t="s">
        <v>1112</v>
      </c>
      <c r="D14" s="693"/>
      <c r="E14" s="693"/>
      <c r="F14" s="693"/>
    </row>
    <row r="15" spans="1:6" ht="15.75" thickBot="1"/>
    <row r="16" spans="1:6" ht="24" customHeight="1" thickTop="1">
      <c r="B16" s="848" t="s">
        <v>37</v>
      </c>
      <c r="C16" s="848" t="s">
        <v>1100</v>
      </c>
      <c r="D16" s="852" t="s">
        <v>139</v>
      </c>
      <c r="E16" s="856" t="s">
        <v>1113</v>
      </c>
      <c r="F16" s="856" t="s">
        <v>1114</v>
      </c>
    </row>
    <row r="17" spans="2:6" ht="24" customHeight="1" thickBot="1">
      <c r="B17" s="849"/>
      <c r="C17" s="849"/>
      <c r="D17" s="853"/>
      <c r="E17" s="857"/>
      <c r="F17" s="857"/>
    </row>
    <row r="18" spans="2:6" ht="4.5" customHeight="1">
      <c r="B18" s="129"/>
      <c r="C18" s="129"/>
      <c r="D18" s="130"/>
      <c r="E18" s="131"/>
      <c r="F18" s="131"/>
    </row>
    <row r="19" spans="2:6">
      <c r="B19" s="132">
        <f>ROW()-18</f>
        <v>1</v>
      </c>
      <c r="C19" s="132">
        <f>IF(VLOOKUP(B19,PROPONENTES!$B$19:$E$109,2,0)="","",VLOOKUP(B19,PROPONENTES!$B$19:$E$109,2,0))</f>
        <v>1</v>
      </c>
      <c r="D19" s="133" t="str">
        <f>VLOOKUP(B19,PROPONENTES!$B$19:$D$108,3,FALSE)</f>
        <v>PROYECTOS URBANOS &amp; CONSTRUCCIONES DEL CARIBE S.A.S</v>
      </c>
      <c r="E19" s="134" t="s">
        <v>776</v>
      </c>
      <c r="F19" s="134">
        <f>IF(E19="","",IF(E19="SI",-1,0))</f>
        <v>0</v>
      </c>
    </row>
    <row r="20" spans="2:6">
      <c r="B20" s="132">
        <f t="shared" ref="B20:B83" si="0">ROW()-18</f>
        <v>2</v>
      </c>
      <c r="C20" s="132">
        <f>IF(VLOOKUP(B20,PROPONENTES!$B$19:$E$109,2,0)="","",VLOOKUP(B20,PROPONENTES!$B$19:$E$109,2,0))</f>
        <v>2</v>
      </c>
      <c r="D20" s="133" t="str">
        <f>VLOOKUP(B20,PROPONENTES!$B$19:$D$108,3,FALSE)</f>
        <v>MIGUEL MORALES INGENIERIA SAS</v>
      </c>
      <c r="E20" s="134" t="s">
        <v>776</v>
      </c>
      <c r="F20" s="134">
        <f t="shared" ref="F20:F83" si="1">IF(E20="","",IF(E20="SI",-1,0))</f>
        <v>0</v>
      </c>
    </row>
    <row r="21" spans="2:6">
      <c r="B21" s="132">
        <f t="shared" si="0"/>
        <v>3</v>
      </c>
      <c r="C21" s="132">
        <f>IF(VLOOKUP(B21,PROPONENTES!$B$19:$E$109,2,0)="","",VLOOKUP(B21,PROPONENTES!$B$19:$E$109,2,0))</f>
        <v>3</v>
      </c>
      <c r="D21" s="133" t="str">
        <f>VLOOKUP(B21,PROPONENTES!$B$19:$D$108,3,FALSE)</f>
        <v>CONSULTORES DONOVAN SAS</v>
      </c>
      <c r="E21" s="134" t="s">
        <v>776</v>
      </c>
      <c r="F21" s="134">
        <f t="shared" si="1"/>
        <v>0</v>
      </c>
    </row>
    <row r="22" spans="2:6">
      <c r="B22" s="132">
        <f t="shared" si="0"/>
        <v>4</v>
      </c>
      <c r="C22" s="132">
        <f>IF(VLOOKUP(B22,PROPONENTES!$B$19:$E$109,2,0)="","",VLOOKUP(B22,PROPONENTES!$B$19:$E$109,2,0))</f>
        <v>4</v>
      </c>
      <c r="D22" s="133" t="str">
        <f>VLOOKUP(B22,PROPONENTES!$B$19:$D$108,3,FALSE)</f>
        <v>COMPAÑIA DE PROYECTOS TÉCNICOS CPT S.A</v>
      </c>
      <c r="E22" s="134" t="s">
        <v>776</v>
      </c>
      <c r="F22" s="134">
        <f t="shared" si="1"/>
        <v>0</v>
      </c>
    </row>
    <row r="23" spans="2:6">
      <c r="B23" s="132">
        <f t="shared" si="0"/>
        <v>5</v>
      </c>
      <c r="C23" s="132">
        <f>IF(VLOOKUP(B23,PROPONENTES!$B$19:$E$109,2,0)="","",VLOOKUP(B23,PROPONENTES!$B$19:$E$109,2,0))</f>
        <v>5</v>
      </c>
      <c r="D23" s="133" t="str">
        <f>VLOOKUP(B23,PROPONENTES!$B$19:$D$108,3,FALSE)</f>
        <v>GAVINCO INGENIEROS CONSULTORES SAS</v>
      </c>
      <c r="E23" s="134" t="s">
        <v>776</v>
      </c>
      <c r="F23" s="134">
        <f t="shared" si="1"/>
        <v>0</v>
      </c>
    </row>
    <row r="24" spans="2:6">
      <c r="B24" s="132">
        <f t="shared" si="0"/>
        <v>6</v>
      </c>
      <c r="C24" s="132">
        <f>IF(VLOOKUP(B24,PROPONENTES!$B$19:$E$109,2,0)="","",VLOOKUP(B24,PROPONENTES!$B$19:$E$109,2,0))</f>
        <v>6</v>
      </c>
      <c r="D24" s="133" t="str">
        <f>VLOOKUP(B24,PROPONENTES!$B$19:$D$108,3,FALSE)</f>
        <v>RD INGENIEROS CIVILES SAS</v>
      </c>
      <c r="E24" s="134" t="s">
        <v>776</v>
      </c>
      <c r="F24" s="134">
        <f t="shared" si="1"/>
        <v>0</v>
      </c>
    </row>
    <row r="25" spans="2:6">
      <c r="B25" s="132">
        <f t="shared" si="0"/>
        <v>7</v>
      </c>
      <c r="C25" s="132">
        <f>IF(VLOOKUP(B25,PROPONENTES!$B$19:$E$109,2,0)="","",VLOOKUP(B25,PROPONENTES!$B$19:$E$109,2,0))</f>
        <v>7</v>
      </c>
      <c r="D25" s="133" t="str">
        <f>VLOOKUP(B25,PROPONENTES!$B$19:$D$108,3,FALSE)</f>
        <v>CONSORCIO FEEC TOLIMA</v>
      </c>
      <c r="E25" s="134" t="s">
        <v>776</v>
      </c>
      <c r="F25" s="134">
        <f t="shared" si="1"/>
        <v>0</v>
      </c>
    </row>
    <row r="26" spans="2:6">
      <c r="B26" s="132">
        <f t="shared" si="0"/>
        <v>8</v>
      </c>
      <c r="C26" s="132">
        <f>IF(VLOOKUP(B26,PROPONENTES!$B$19:$E$109,2,0)="","",VLOOKUP(B26,PROPONENTES!$B$19:$E$109,2,0))</f>
        <v>8</v>
      </c>
      <c r="D26" s="133" t="str">
        <f>VLOOKUP(B26,PROPONENTES!$B$19:$D$108,3,FALSE)</f>
        <v>CARLOS ALBERTO PALTA MUÑOZ</v>
      </c>
      <c r="E26" s="134" t="s">
        <v>776</v>
      </c>
      <c r="F26" s="134">
        <f t="shared" si="1"/>
        <v>0</v>
      </c>
    </row>
    <row r="27" spans="2:6">
      <c r="B27" s="132">
        <f t="shared" si="0"/>
        <v>9</v>
      </c>
      <c r="C27" s="132">
        <f>IF(VLOOKUP(B27,PROPONENTES!$B$19:$E$109,2,0)="","",VLOOKUP(B27,PROPONENTES!$B$19:$E$109,2,0))</f>
        <v>9</v>
      </c>
      <c r="D27" s="133" t="str">
        <f>VLOOKUP(B27,PROPONENTES!$B$19:$D$108,3,FALSE)</f>
        <v>CONSORCIO GMC</v>
      </c>
      <c r="E27" s="134" t="s">
        <v>776</v>
      </c>
      <c r="F27" s="134">
        <f t="shared" si="1"/>
        <v>0</v>
      </c>
    </row>
    <row r="28" spans="2:6">
      <c r="B28" s="132">
        <f t="shared" si="0"/>
        <v>10</v>
      </c>
      <c r="C28" s="132">
        <f>IF(VLOOKUP(B28,PROPONENTES!$B$19:$E$109,2,0)="","",VLOOKUP(B28,PROPONENTES!$B$19:$E$109,2,0))</f>
        <v>10</v>
      </c>
      <c r="D28" s="133" t="str">
        <f>VLOOKUP(B28,PROPONENTES!$B$19:$D$108,3,FALSE)</f>
        <v>R&amp;M CONSTRUCCIONES E INTERVENTORIAS S.A.S</v>
      </c>
      <c r="E28" s="134" t="s">
        <v>776</v>
      </c>
      <c r="F28" s="134">
        <f t="shared" si="1"/>
        <v>0</v>
      </c>
    </row>
    <row r="29" spans="2:6">
      <c r="B29" s="132">
        <f t="shared" si="0"/>
        <v>11</v>
      </c>
      <c r="C29" s="132">
        <f>IF(VLOOKUP(B29,PROPONENTES!$B$19:$E$109,2,0)="","",VLOOKUP(B29,PROPONENTES!$B$19:$E$109,2,0))</f>
        <v>11</v>
      </c>
      <c r="D29" s="133" t="str">
        <f>VLOOKUP(B29,PROPONENTES!$B$19:$D$108,3,FALSE)</f>
        <v>CUBIKO OBRAS Y CONSULTORÍAS SAS</v>
      </c>
      <c r="E29" s="134" t="s">
        <v>776</v>
      </c>
      <c r="F29" s="134">
        <f t="shared" si="1"/>
        <v>0</v>
      </c>
    </row>
    <row r="30" spans="2:6">
      <c r="B30" s="132">
        <f t="shared" si="0"/>
        <v>12</v>
      </c>
      <c r="C30" s="132">
        <f>IF(VLOOKUP(B30,PROPONENTES!$B$19:$E$109,2,0)="","",VLOOKUP(B30,PROPONENTES!$B$19:$E$109,2,0))</f>
        <v>12</v>
      </c>
      <c r="D30" s="133" t="str">
        <f>VLOOKUP(B30,PROPONENTES!$B$19:$D$108,3,FALSE)</f>
        <v>CONSTRUCTORES DEL DESARROLLO TERRITORIAL CONSTRUDET Y COMPAÑÍA LTDA</v>
      </c>
      <c r="E30" s="134" t="s">
        <v>776</v>
      </c>
      <c r="F30" s="134">
        <f t="shared" si="1"/>
        <v>0</v>
      </c>
    </row>
    <row r="31" spans="2:6">
      <c r="B31" s="132">
        <f t="shared" si="0"/>
        <v>13</v>
      </c>
      <c r="C31" s="132">
        <f>IF(VLOOKUP(B31,PROPONENTES!$B$19:$E$109,2,0)="","",VLOOKUP(B31,PROPONENTES!$B$19:$E$109,2,0))</f>
        <v>13</v>
      </c>
      <c r="D31" s="133" t="str">
        <f>VLOOKUP(B31,PROPONENTES!$B$19:$D$108,3,FALSE)</f>
        <v>NICOLAS REDONDO MOLINA</v>
      </c>
      <c r="E31" s="134" t="s">
        <v>776</v>
      </c>
      <c r="F31" s="134">
        <f t="shared" si="1"/>
        <v>0</v>
      </c>
    </row>
    <row r="32" spans="2:6">
      <c r="B32" s="132">
        <f t="shared" si="0"/>
        <v>14</v>
      </c>
      <c r="C32" s="132">
        <f>IF(VLOOKUP(B32,PROPONENTES!$B$19:$E$109,2,0)="","",VLOOKUP(B32,PROPONENTES!$B$19:$E$109,2,0))</f>
        <v>14</v>
      </c>
      <c r="D32" s="133" t="str">
        <f>VLOOKUP(B32,PROPONENTES!$B$19:$D$108,3,FALSE)</f>
        <v>CONSORCIO INTER CB 2022</v>
      </c>
      <c r="E32" s="134" t="s">
        <v>776</v>
      </c>
      <c r="F32" s="134">
        <f t="shared" si="1"/>
        <v>0</v>
      </c>
    </row>
    <row r="33" spans="2:6">
      <c r="B33" s="132">
        <f t="shared" si="0"/>
        <v>15</v>
      </c>
      <c r="C33" s="132">
        <f>IF(VLOOKUP(B33,PROPONENTES!$B$19:$E$109,2,0)="","",VLOOKUP(B33,PROPONENTES!$B$19:$E$109,2,0))</f>
        <v>15</v>
      </c>
      <c r="D33" s="133" t="str">
        <f>VLOOKUP(B33,PROPONENTES!$B$19:$D$108,3,FALSE)</f>
        <v>EMPROCIV SAS</v>
      </c>
      <c r="E33" s="134" t="s">
        <v>776</v>
      </c>
      <c r="F33" s="134">
        <f t="shared" si="1"/>
        <v>0</v>
      </c>
    </row>
    <row r="34" spans="2:6">
      <c r="B34" s="132">
        <f t="shared" si="0"/>
        <v>16</v>
      </c>
      <c r="C34" s="132">
        <f>IF(VLOOKUP(B34,PROPONENTES!$B$19:$E$109,2,0)="","",VLOOKUP(B34,PROPONENTES!$B$19:$E$109,2,0))</f>
        <v>16</v>
      </c>
      <c r="D34" s="133" t="str">
        <f>VLOOKUP(B34,PROPONENTES!$B$19:$D$108,3,FALSE)</f>
        <v>CONSORCIO CAMCO</v>
      </c>
      <c r="E34" s="134" t="s">
        <v>776</v>
      </c>
      <c r="F34" s="134">
        <f t="shared" si="1"/>
        <v>0</v>
      </c>
    </row>
    <row r="35" spans="2:6">
      <c r="B35" s="132">
        <f t="shared" si="0"/>
        <v>17</v>
      </c>
      <c r="C35" s="132">
        <f>IF(VLOOKUP(B35,PROPONENTES!$B$19:$E$109,2,0)="","",VLOOKUP(B35,PROPONENTES!$B$19:$E$109,2,0))</f>
        <v>17</v>
      </c>
      <c r="D35" s="133" t="str">
        <f>VLOOKUP(B35,PROPONENTES!$B$19:$D$108,3,FALSE)</f>
        <v>ARCA AQUITECTURA E INGENIERÍA S.A</v>
      </c>
      <c r="E35" s="134" t="s">
        <v>776</v>
      </c>
      <c r="F35" s="134">
        <f t="shared" si="1"/>
        <v>0</v>
      </c>
    </row>
    <row r="36" spans="2:6">
      <c r="B36" s="132">
        <f t="shared" si="0"/>
        <v>18</v>
      </c>
      <c r="C36" s="132">
        <f>IF(VLOOKUP(B36,PROPONENTES!$B$19:$E$109,2,0)="","",VLOOKUP(B36,PROPONENTES!$B$19:$E$109,2,0))</f>
        <v>18</v>
      </c>
      <c r="D36" s="133" t="str">
        <f>VLOOKUP(B36,PROPONENTES!$B$19:$D$108,3,FALSE)</f>
        <v>ALPHA INGENIERIA INTEGRAL SAS</v>
      </c>
      <c r="E36" s="134" t="s">
        <v>776</v>
      </c>
      <c r="F36" s="134">
        <f t="shared" si="1"/>
        <v>0</v>
      </c>
    </row>
    <row r="37" spans="2:6">
      <c r="B37" s="132">
        <f t="shared" si="0"/>
        <v>19</v>
      </c>
      <c r="C37" s="132">
        <f>IF(VLOOKUP(B37,PROPONENTES!$B$19:$E$109,2,0)="","",VLOOKUP(B37,PROPONENTES!$B$19:$E$109,2,0))</f>
        <v>19</v>
      </c>
      <c r="D37" s="133" t="str">
        <f>VLOOKUP(B37,PROPONENTES!$B$19:$D$108,3,FALSE)</f>
        <v>ELSA MARIA RUEDA LANDINEZ INGENIERIA SAS</v>
      </c>
      <c r="E37" s="134" t="s">
        <v>776</v>
      </c>
      <c r="F37" s="134">
        <f t="shared" si="1"/>
        <v>0</v>
      </c>
    </row>
    <row r="38" spans="2:6">
      <c r="B38" s="132">
        <f t="shared" si="0"/>
        <v>20</v>
      </c>
      <c r="C38" s="132">
        <f>IF(VLOOKUP(B38,PROPONENTES!$B$19:$E$109,2,0)="","",VLOOKUP(B38,PROPONENTES!$B$19:$E$109,2,0))</f>
        <v>20</v>
      </c>
      <c r="D38" s="133" t="str">
        <f>VLOOKUP(B38,PROPONENTES!$B$19:$D$108,3,FALSE)</f>
        <v>PROES INGENIERÍA S.A.S</v>
      </c>
      <c r="E38" s="134" t="s">
        <v>776</v>
      </c>
      <c r="F38" s="134">
        <f t="shared" si="1"/>
        <v>0</v>
      </c>
    </row>
    <row r="39" spans="2:6">
      <c r="B39" s="132">
        <f t="shared" si="0"/>
        <v>21</v>
      </c>
      <c r="C39" s="132">
        <f>IF(VLOOKUP(B39,PROPONENTES!$B$19:$E$109,2,0)="","",VLOOKUP(B39,PROPONENTES!$B$19:$E$109,2,0))</f>
        <v>21</v>
      </c>
      <c r="D39" s="133" t="str">
        <f>VLOOKUP(B39,PROPONENTES!$B$19:$D$108,3,FALSE)</f>
        <v>INGENIEROS CONSULTORES Y CONSTRUCTORES ARG SAS</v>
      </c>
      <c r="E39" s="134" t="s">
        <v>776</v>
      </c>
      <c r="F39" s="134">
        <f t="shared" si="1"/>
        <v>0</v>
      </c>
    </row>
    <row r="40" spans="2:6">
      <c r="B40" s="132">
        <f t="shared" si="0"/>
        <v>22</v>
      </c>
      <c r="C40" s="132">
        <f>IF(VLOOKUP(B40,PROPONENTES!$B$19:$E$109,2,0)="","",VLOOKUP(B40,PROPONENTES!$B$19:$E$109,2,0))</f>
        <v>22</v>
      </c>
      <c r="D40" s="133" t="str">
        <f>VLOOKUP(B40,PROPONENTES!$B$19:$D$108,3,FALSE)</f>
        <v>CONSORCIO GABRIELA TOLIMA</v>
      </c>
      <c r="E40" s="134" t="s">
        <v>776</v>
      </c>
      <c r="F40" s="134">
        <f t="shared" si="1"/>
        <v>0</v>
      </c>
    </row>
    <row r="41" spans="2:6">
      <c r="B41" s="132">
        <f t="shared" si="0"/>
        <v>23</v>
      </c>
      <c r="C41" s="132">
        <f>IF(VLOOKUP(B41,PROPONENTES!$B$19:$E$109,2,0)="","",VLOOKUP(B41,PROPONENTES!$B$19:$E$109,2,0))</f>
        <v>23</v>
      </c>
      <c r="D41" s="133" t="str">
        <f>VLOOKUP(B41,PROPONENTES!$B$19:$D$108,3,FALSE)</f>
        <v>VELNEC S.A</v>
      </c>
      <c r="E41" s="134" t="s">
        <v>776</v>
      </c>
      <c r="F41" s="134">
        <f t="shared" si="1"/>
        <v>0</v>
      </c>
    </row>
    <row r="42" spans="2:6">
      <c r="B42" s="132">
        <f t="shared" si="0"/>
        <v>24</v>
      </c>
      <c r="C42" s="132">
        <f>IF(VLOOKUP(B42,PROPONENTES!$B$19:$E$109,2,0)="","",VLOOKUP(B42,PROPONENTES!$B$19:$E$109,2,0))</f>
        <v>24</v>
      </c>
      <c r="D42" s="133" t="str">
        <f>VLOOKUP(B42,PROPONENTES!$B$19:$D$108,3,FALSE)</f>
        <v>ARQUITECTOS  INGENIEROS CONSTRUCTORES S.A.S</v>
      </c>
      <c r="E42" s="134" t="s">
        <v>776</v>
      </c>
      <c r="F42" s="134">
        <f t="shared" si="1"/>
        <v>0</v>
      </c>
    </row>
    <row r="43" spans="2:6">
      <c r="B43" s="132">
        <f t="shared" si="0"/>
        <v>25</v>
      </c>
      <c r="C43" s="132">
        <f>IF(VLOOKUP(B43,PROPONENTES!$B$19:$E$109,2,0)="","",VLOOKUP(B43,PROPONENTES!$B$19:$E$109,2,0))</f>
        <v>25</v>
      </c>
      <c r="D43" s="133" t="str">
        <f>VLOOKUP(B43,PROPONENTES!$B$19:$D$108,3,FALSE)</f>
        <v>CONSORCIO RUTA TOLIMA 1</v>
      </c>
      <c r="E43" s="134" t="s">
        <v>776</v>
      </c>
      <c r="F43" s="134">
        <f t="shared" si="1"/>
        <v>0</v>
      </c>
    </row>
    <row r="44" spans="2:6">
      <c r="B44" s="132">
        <f t="shared" si="0"/>
        <v>26</v>
      </c>
      <c r="C44" s="132">
        <f>IF(VLOOKUP(B44,PROPONENTES!$B$19:$E$109,2,0)="","",VLOOKUP(B44,PROPONENTES!$B$19:$E$109,2,0))</f>
        <v>26</v>
      </c>
      <c r="D44" s="133" t="str">
        <f>VLOOKUP(B44,PROPONENTES!$B$19:$D$108,3,FALSE)</f>
        <v>INGENIEROS CONSTRUCTORES Y ASESORES SAS</v>
      </c>
      <c r="E44" s="134" t="s">
        <v>776</v>
      </c>
      <c r="F44" s="134">
        <f t="shared" si="1"/>
        <v>0</v>
      </c>
    </row>
    <row r="45" spans="2:6">
      <c r="B45" s="132">
        <f t="shared" si="0"/>
        <v>27</v>
      </c>
      <c r="C45" s="132">
        <f>IF(VLOOKUP(B45,PROPONENTES!$B$19:$E$109,2,0)="","",VLOOKUP(B45,PROPONENTES!$B$19:$E$109,2,0))</f>
        <v>27</v>
      </c>
      <c r="D45" s="133" t="str">
        <f>VLOOKUP(B45,PROPONENTES!$B$19:$D$108,3,FALSE)</f>
        <v>CONSULTORIA Y CONSTRUCCIONES DARLEV SAS</v>
      </c>
      <c r="E45" s="134" t="s">
        <v>776</v>
      </c>
      <c r="F45" s="134">
        <f t="shared" si="1"/>
        <v>0</v>
      </c>
    </row>
    <row r="46" spans="2:6">
      <c r="B46" s="132">
        <f t="shared" si="0"/>
        <v>28</v>
      </c>
      <c r="C46" s="132">
        <f>IF(VLOOKUP(B46,PROPONENTES!$B$19:$E$109,2,0)="","",VLOOKUP(B46,PROPONENTES!$B$19:$E$109,2,0))</f>
        <v>28</v>
      </c>
      <c r="D46" s="133" t="str">
        <f>VLOOKUP(B46,PROPONENTES!$B$19:$D$108,3,FALSE)</f>
        <v>CONSORCIO TOLIMA</v>
      </c>
      <c r="E46" s="134" t="s">
        <v>776</v>
      </c>
      <c r="F46" s="134">
        <f t="shared" si="1"/>
        <v>0</v>
      </c>
    </row>
    <row r="47" spans="2:6">
      <c r="B47" s="132">
        <f t="shared" si="0"/>
        <v>29</v>
      </c>
      <c r="C47" s="132">
        <f>IF(VLOOKUP(B47,PROPONENTES!$B$19:$E$109,2,0)="","",VLOOKUP(B47,PROPONENTES!$B$19:$E$109,2,0))</f>
        <v>29</v>
      </c>
      <c r="D47" s="133" t="str">
        <f>VLOOKUP(B47,PROPONENTES!$B$19:$D$108,3,FALSE)</f>
        <v>CONSORCIO MT 2022 TOLIMA</v>
      </c>
      <c r="E47" s="134" t="s">
        <v>776</v>
      </c>
      <c r="F47" s="134">
        <f t="shared" si="1"/>
        <v>0</v>
      </c>
    </row>
    <row r="48" spans="2:6">
      <c r="B48" s="132">
        <f t="shared" si="0"/>
        <v>30</v>
      </c>
      <c r="C48" s="132">
        <f>IF(VLOOKUP(B48,PROPONENTES!$B$19:$E$109,2,0)="","",VLOOKUP(B48,PROPONENTES!$B$19:$E$109,2,0))</f>
        <v>30</v>
      </c>
      <c r="D48" s="133" t="str">
        <f>VLOOKUP(B48,PROPONENTES!$B$19:$D$108,3,FALSE)</f>
        <v>CONSORCIO INTER TOLIMA</v>
      </c>
      <c r="E48" s="134" t="s">
        <v>776</v>
      </c>
      <c r="F48" s="134">
        <f t="shared" si="1"/>
        <v>0</v>
      </c>
    </row>
    <row r="49" spans="2:6">
      <c r="B49" s="132">
        <f t="shared" si="0"/>
        <v>31</v>
      </c>
      <c r="C49" s="132">
        <f>IF(VLOOKUP(B49,PROPONENTES!$B$19:$E$109,2,0)="","",VLOOKUP(B49,PROPONENTES!$B$19:$E$109,2,0))</f>
        <v>31</v>
      </c>
      <c r="D49" s="133" t="str">
        <f>VLOOKUP(B49,PROPONENTES!$B$19:$D$108,3,FALSE)</f>
        <v>INGENIERIA MASTER S.A.S.</v>
      </c>
      <c r="E49" s="134" t="s">
        <v>776</v>
      </c>
      <c r="F49" s="134">
        <f t="shared" si="1"/>
        <v>0</v>
      </c>
    </row>
    <row r="50" spans="2:6">
      <c r="B50" s="132">
        <f t="shared" si="0"/>
        <v>32</v>
      </c>
      <c r="C50" s="132">
        <f>IF(VLOOKUP(B50,PROPONENTES!$B$19:$E$109,2,0)="","",VLOOKUP(B50,PROPONENTES!$B$19:$E$109,2,0))</f>
        <v>32</v>
      </c>
      <c r="D50" s="133" t="str">
        <f>VLOOKUP(B50,PROPONENTES!$B$19:$D$108,3,FALSE)</f>
        <v xml:space="preserve">GYG CONSTRUCCIONES S.A.S. </v>
      </c>
      <c r="E50" s="134" t="s">
        <v>776</v>
      </c>
      <c r="F50" s="134">
        <f t="shared" si="1"/>
        <v>0</v>
      </c>
    </row>
    <row r="51" spans="2:6">
      <c r="B51" s="132">
        <f t="shared" si="0"/>
        <v>33</v>
      </c>
      <c r="C51" s="132">
        <f>IF(VLOOKUP(B51,PROPONENTES!$B$19:$E$109,2,0)="","",VLOOKUP(B51,PROPONENTES!$B$19:$E$109,2,0))</f>
        <v>33</v>
      </c>
      <c r="D51" s="133" t="str">
        <f>VLOOKUP(B51,PROPONENTES!$B$19:$D$108,3,FALSE)</f>
        <v>CONSORCIO TOLIMA RURAL</v>
      </c>
      <c r="E51" s="134" t="s">
        <v>776</v>
      </c>
      <c r="F51" s="134">
        <f t="shared" si="1"/>
        <v>0</v>
      </c>
    </row>
    <row r="52" spans="2:6">
      <c r="B52" s="132">
        <f t="shared" si="0"/>
        <v>34</v>
      </c>
      <c r="C52" s="132">
        <f>IF(VLOOKUP(B52,PROPONENTES!$B$19:$E$109,2,0)="","",VLOOKUP(B52,PROPONENTES!$B$19:$E$109,2,0))</f>
        <v>34</v>
      </c>
      <c r="D52" s="133" t="str">
        <f>VLOOKUP(B52,PROPONENTES!$B$19:$D$108,3,FALSE)</f>
        <v>CONSORCIO OPHAIH 2022</v>
      </c>
      <c r="E52" s="134" t="s">
        <v>776</v>
      </c>
      <c r="F52" s="134">
        <f t="shared" si="1"/>
        <v>0</v>
      </c>
    </row>
    <row r="53" spans="2:6">
      <c r="B53" s="132">
        <f t="shared" si="0"/>
        <v>35</v>
      </c>
      <c r="C53" s="132">
        <f>IF(VLOOKUP(B53,PROPONENTES!$B$19:$E$109,2,0)="","",VLOOKUP(B53,PROPONENTES!$B$19:$E$109,2,0))</f>
        <v>35</v>
      </c>
      <c r="D53" s="133" t="str">
        <f>VLOOKUP(B53,PROPONENTES!$B$19:$D$108,3,FALSE)</f>
        <v xml:space="preserve">ING INGENIERIA SAS </v>
      </c>
      <c r="E53" s="134" t="s">
        <v>776</v>
      </c>
      <c r="F53" s="134">
        <f t="shared" si="1"/>
        <v>0</v>
      </c>
    </row>
    <row r="54" spans="2:6">
      <c r="B54" s="132">
        <f t="shared" si="0"/>
        <v>36</v>
      </c>
      <c r="C54" s="132">
        <f>IF(VLOOKUP(B54,PROPONENTES!$B$19:$E$109,2,0)="","",VLOOKUP(B54,PROPONENTES!$B$19:$E$109,2,0))</f>
        <v>36</v>
      </c>
      <c r="D54" s="133" t="str">
        <f>VLOOKUP(B54,PROPONENTES!$B$19:$D$108,3,FALSE)</f>
        <v>EJE GROUP S.A.S</v>
      </c>
      <c r="E54" s="134" t="s">
        <v>776</v>
      </c>
      <c r="F54" s="134">
        <f t="shared" si="1"/>
        <v>0</v>
      </c>
    </row>
    <row r="55" spans="2:6">
      <c r="B55" s="132">
        <f t="shared" si="0"/>
        <v>37</v>
      </c>
      <c r="C55" s="132">
        <f>IF(VLOOKUP(B55,PROPONENTES!$B$19:$E$109,2,0)="","",VLOOKUP(B55,PROPONENTES!$B$19:$E$109,2,0))</f>
        <v>37</v>
      </c>
      <c r="D55" s="133" t="str">
        <f>VLOOKUP(B55,PROPONENTES!$B$19:$D$108,3,FALSE)</f>
        <v>JORES INGENIERIA LTDA. JORES LTDA</v>
      </c>
      <c r="E55" s="134" t="s">
        <v>776</v>
      </c>
      <c r="F55" s="134">
        <f t="shared" si="1"/>
        <v>0</v>
      </c>
    </row>
    <row r="56" spans="2:6">
      <c r="B56" s="132">
        <f t="shared" si="0"/>
        <v>38</v>
      </c>
      <c r="C56" s="132">
        <f>IF(VLOOKUP(B56,PROPONENTES!$B$19:$E$109,2,0)="","",VLOOKUP(B56,PROPONENTES!$B$19:$E$109,2,0))</f>
        <v>38</v>
      </c>
      <c r="D56" s="133" t="str">
        <f>VLOOKUP(B56,PROPONENTES!$B$19:$D$108,3,FALSE)</f>
        <v>CONSORCIO INTERTOLIMA CR</v>
      </c>
      <c r="E56" s="134" t="s">
        <v>776</v>
      </c>
      <c r="F56" s="134">
        <f t="shared" si="1"/>
        <v>0</v>
      </c>
    </row>
    <row r="57" spans="2:6">
      <c r="B57" s="132">
        <f t="shared" si="0"/>
        <v>39</v>
      </c>
      <c r="C57" s="132">
        <f>IF(VLOOKUP(B57,PROPONENTES!$B$19:$E$109,2,0)="","",VLOOKUP(B57,PROPONENTES!$B$19:$E$109,2,0))</f>
        <v>39</v>
      </c>
      <c r="D57" s="133" t="str">
        <f>VLOOKUP(B57,PROPONENTES!$B$19:$D$108,3,FALSE)</f>
        <v>CONSORCIO TOLIMA G2</v>
      </c>
      <c r="E57" s="134" t="s">
        <v>776</v>
      </c>
      <c r="F57" s="134">
        <f t="shared" si="1"/>
        <v>0</v>
      </c>
    </row>
    <row r="58" spans="2:6">
      <c r="B58" s="132">
        <f t="shared" si="0"/>
        <v>40</v>
      </c>
      <c r="C58" s="132">
        <f>IF(VLOOKUP(B58,PROPONENTES!$B$19:$E$109,2,0)="","",VLOOKUP(B58,PROPONENTES!$B$19:$E$109,2,0))</f>
        <v>40</v>
      </c>
      <c r="D58" s="133" t="str">
        <f>VLOOKUP(B58,PROPONENTES!$B$19:$D$108,3,FALSE)</f>
        <v>CONSORCIO INVIAS 001</v>
      </c>
      <c r="E58" s="134" t="s">
        <v>776</v>
      </c>
      <c r="F58" s="134">
        <f t="shared" si="1"/>
        <v>0</v>
      </c>
    </row>
    <row r="59" spans="2:6">
      <c r="B59" s="132">
        <f t="shared" si="0"/>
        <v>41</v>
      </c>
      <c r="C59" s="132">
        <f>IF(VLOOKUP(B59,PROPONENTES!$B$19:$E$109,2,0)="","",VLOOKUP(B59,PROPONENTES!$B$19:$E$109,2,0))</f>
        <v>41</v>
      </c>
      <c r="D59" s="133" t="str">
        <f>VLOOKUP(B59,PROPONENTES!$B$19:$D$108,3,FALSE)</f>
        <v>CONSORCIO SF</v>
      </c>
      <c r="E59" s="134" t="s">
        <v>776</v>
      </c>
      <c r="F59" s="134">
        <f t="shared" si="1"/>
        <v>0</v>
      </c>
    </row>
    <row r="60" spans="2:6">
      <c r="B60" s="132">
        <f t="shared" si="0"/>
        <v>42</v>
      </c>
      <c r="C60" s="132">
        <f>IF(VLOOKUP(B60,PROPONENTES!$B$19:$E$109,2,0)="","",VLOOKUP(B60,PROPONENTES!$B$19:$E$109,2,0))</f>
        <v>42</v>
      </c>
      <c r="D60" s="133" t="str">
        <f>VLOOKUP(B60,PROPONENTES!$B$19:$D$108,3,FALSE)</f>
        <v>CONSORCIO VIAL ORIEMH”</v>
      </c>
      <c r="E60" s="134" t="s">
        <v>776</v>
      </c>
      <c r="F60" s="134">
        <f t="shared" si="1"/>
        <v>0</v>
      </c>
    </row>
    <row r="61" spans="2:6">
      <c r="B61" s="132">
        <f t="shared" si="0"/>
        <v>43</v>
      </c>
      <c r="C61" s="132">
        <f>IF(VLOOKUP(B61,PROPONENTES!$B$19:$E$109,2,0)="","",VLOOKUP(B61,PROPONENTES!$B$19:$E$109,2,0))</f>
        <v>43</v>
      </c>
      <c r="D61" s="133" t="str">
        <f>VLOOKUP(B61,PROPONENTES!$B$19:$D$108,3,FALSE)</f>
        <v>CONSORCIO INTERFEDCO TOLIMA</v>
      </c>
      <c r="E61" s="134" t="s">
        <v>776</v>
      </c>
      <c r="F61" s="134">
        <f t="shared" si="1"/>
        <v>0</v>
      </c>
    </row>
    <row r="62" spans="2:6">
      <c r="B62" s="132">
        <f t="shared" si="0"/>
        <v>44</v>
      </c>
      <c r="C62" s="132">
        <f>IF(VLOOKUP(B62,PROPONENTES!$B$19:$E$109,2,0)="","",VLOOKUP(B62,PROPONENTES!$B$19:$E$109,2,0))</f>
        <v>44</v>
      </c>
      <c r="D62" s="133" t="str">
        <f>VLOOKUP(B62,PROPONENTES!$B$19:$D$108,3,FALSE)</f>
        <v>CONSORCIO VIAS RURALES TOL</v>
      </c>
      <c r="E62" s="134" t="s">
        <v>776</v>
      </c>
      <c r="F62" s="134">
        <f t="shared" si="1"/>
        <v>0</v>
      </c>
    </row>
    <row r="63" spans="2:6">
      <c r="B63" s="132">
        <f t="shared" si="0"/>
        <v>45</v>
      </c>
      <c r="C63" s="132">
        <f>IF(VLOOKUP(B63,PROPONENTES!$B$19:$E$109,2,0)="","",VLOOKUP(B63,PROPONENTES!$B$19:$E$109,2,0))</f>
        <v>45</v>
      </c>
      <c r="D63" s="133" t="str">
        <f>VLOOKUP(B63,PROPONENTES!$B$19:$D$108,3,FALSE)</f>
        <v>TECNOLOGÍA DE NUEVAS MEDICIONES COLOMBIA S.A.S. – TECNUMEC S.A.S.</v>
      </c>
      <c r="E63" s="134" t="s">
        <v>776</v>
      </c>
      <c r="F63" s="134">
        <f t="shared" si="1"/>
        <v>0</v>
      </c>
    </row>
    <row r="64" spans="2:6">
      <c r="B64" s="132">
        <f t="shared" si="0"/>
        <v>46</v>
      </c>
      <c r="C64" s="132">
        <f>IF(VLOOKUP(B64,PROPONENTES!$B$19:$E$109,2,0)="","",VLOOKUP(B64,PROPONENTES!$B$19:$E$109,2,0))</f>
        <v>46</v>
      </c>
      <c r="D64" s="133" t="str">
        <f>VLOOKUP(B64,PROPONENTES!$B$19:$D$108,3,FALSE)</f>
        <v>CONSULTORES SOLANO NAVAS LTDA</v>
      </c>
      <c r="E64" s="134" t="s">
        <v>776</v>
      </c>
      <c r="F64" s="134">
        <f t="shared" si="1"/>
        <v>0</v>
      </c>
    </row>
    <row r="65" spans="2:6">
      <c r="B65" s="132">
        <f t="shared" si="0"/>
        <v>47</v>
      </c>
      <c r="C65" s="132">
        <f>IF(VLOOKUP(B65,PROPONENTES!$B$19:$E$109,2,0)="","",VLOOKUP(B65,PROPONENTES!$B$19:$E$109,2,0))</f>
        <v>47</v>
      </c>
      <c r="D65" s="133" t="str">
        <f>VLOOKUP(B65,PROPONENTES!$B$19:$D$108,3,FALSE)</f>
        <v>CONSORCIO VIAS TOLIMA 22</v>
      </c>
      <c r="E65" s="134" t="s">
        <v>776</v>
      </c>
      <c r="F65" s="134">
        <f t="shared" si="1"/>
        <v>0</v>
      </c>
    </row>
    <row r="66" spans="2:6">
      <c r="B66" s="132">
        <f t="shared" si="0"/>
        <v>48</v>
      </c>
      <c r="C66" s="132">
        <f>IF(VLOOKUP(B66,PROPONENTES!$B$19:$E$109,2,0)="","",VLOOKUP(B66,PROPONENTES!$B$19:$E$109,2,0))</f>
        <v>48</v>
      </c>
      <c r="D66" s="133" t="str">
        <f>VLOOKUP(B66,PROPONENTES!$B$19:$D$108,3,FALSE)</f>
        <v>BRAIN INGENIERIA VIAL SAS</v>
      </c>
      <c r="E66" s="134" t="s">
        <v>776</v>
      </c>
      <c r="F66" s="134">
        <f t="shared" si="1"/>
        <v>0</v>
      </c>
    </row>
    <row r="67" spans="2:6">
      <c r="B67" s="132">
        <f t="shared" si="0"/>
        <v>49</v>
      </c>
      <c r="C67" s="132">
        <f>IF(VLOOKUP(B67,PROPONENTES!$B$19:$E$109,2,0)="","",VLOOKUP(B67,PROPONENTES!$B$19:$E$109,2,0))</f>
        <v>49</v>
      </c>
      <c r="D67" s="133" t="str">
        <f>VLOOKUP(B67,PROPONENTES!$B$19:$D$108,3,FALSE)</f>
        <v>CONSORCIO LAPP</v>
      </c>
      <c r="E67" s="134" t="s">
        <v>776</v>
      </c>
      <c r="F67" s="134">
        <f t="shared" si="1"/>
        <v>0</v>
      </c>
    </row>
    <row r="68" spans="2:6">
      <c r="B68" s="132">
        <f t="shared" si="0"/>
        <v>50</v>
      </c>
      <c r="C68" s="132">
        <f>IF(VLOOKUP(B68,PROPONENTES!$B$19:$E$109,2,0)="","",VLOOKUP(B68,PROPONENTES!$B$19:$E$109,2,0))</f>
        <v>50</v>
      </c>
      <c r="D68" s="133" t="str">
        <f>VLOOKUP(B68,PROPONENTES!$B$19:$D$108,3,FALSE)</f>
        <v>PROYECTISTAS ASOCIADOS SAS</v>
      </c>
      <c r="E68" s="134" t="s">
        <v>776</v>
      </c>
      <c r="F68" s="134">
        <f t="shared" si="1"/>
        <v>0</v>
      </c>
    </row>
    <row r="69" spans="2:6">
      <c r="B69" s="132">
        <f t="shared" si="0"/>
        <v>51</v>
      </c>
      <c r="C69" s="132">
        <f>IF(VLOOKUP(B69,PROPONENTES!$B$19:$E$109,2,0)="","",VLOOKUP(B69,PROPONENTES!$B$19:$E$109,2,0))</f>
        <v>51</v>
      </c>
      <c r="D69" s="133" t="str">
        <f>VLOOKUP(B69,PROPONENTES!$B$19:$D$108,3,FALSE)</f>
        <v>DAM SOLUCIONES E INGENIERIA SAS</v>
      </c>
      <c r="E69" s="134" t="s">
        <v>776</v>
      </c>
      <c r="F69" s="134">
        <f t="shared" si="1"/>
        <v>0</v>
      </c>
    </row>
    <row r="70" spans="2:6">
      <c r="B70" s="132">
        <f t="shared" si="0"/>
        <v>52</v>
      </c>
      <c r="C70" s="132">
        <f>IF(VLOOKUP(B70,PROPONENTES!$B$19:$E$109,2,0)="","",VLOOKUP(B70,PROPONENTES!$B$19:$E$109,2,0))</f>
        <v>52</v>
      </c>
      <c r="D70" s="133" t="str">
        <f>VLOOKUP(B70,PROPONENTES!$B$19:$D$108,3,FALSE)</f>
        <v>COINZA ING SAS</v>
      </c>
      <c r="E70" s="134" t="s">
        <v>776</v>
      </c>
      <c r="F70" s="134">
        <f t="shared" si="1"/>
        <v>0</v>
      </c>
    </row>
    <row r="71" spans="2:6">
      <c r="B71" s="132">
        <f t="shared" si="0"/>
        <v>53</v>
      </c>
      <c r="C71" s="132">
        <f>IF(VLOOKUP(B71,PROPONENTES!$B$19:$E$109,2,0)="","",VLOOKUP(B71,PROPONENTES!$B$19:$E$109,2,0))</f>
        <v>53</v>
      </c>
      <c r="D71" s="133" t="str">
        <f>VLOOKUP(B71,PROPONENTES!$B$19:$D$108,3,FALSE)</f>
        <v>NORBERTO BAYONA ESPITIA</v>
      </c>
      <c r="E71" s="134" t="s">
        <v>776</v>
      </c>
      <c r="F71" s="134">
        <f t="shared" si="1"/>
        <v>0</v>
      </c>
    </row>
    <row r="72" spans="2:6">
      <c r="B72" s="132">
        <f t="shared" si="0"/>
        <v>54</v>
      </c>
      <c r="C72" s="132">
        <f>IF(VLOOKUP(B72,PROPONENTES!$B$19:$E$109,2,0)="","",VLOOKUP(B72,PROPONENTES!$B$19:$E$109,2,0))</f>
        <v>54</v>
      </c>
      <c r="D72" s="133" t="str">
        <f>VLOOKUP(B72,PROPONENTES!$B$19:$D$108,3,FALSE)</f>
        <v>CONSORCIO HC INTERVENTORES 2022</v>
      </c>
      <c r="E72" s="134" t="s">
        <v>776</v>
      </c>
      <c r="F72" s="134">
        <f t="shared" si="1"/>
        <v>0</v>
      </c>
    </row>
    <row r="73" spans="2:6">
      <c r="B73" s="132">
        <f t="shared" si="0"/>
        <v>55</v>
      </c>
      <c r="C73" s="132">
        <f>IF(VLOOKUP(B73,PROPONENTES!$B$19:$E$109,2,0)="","",VLOOKUP(B73,PROPONENTES!$B$19:$E$109,2,0))</f>
        <v>55</v>
      </c>
      <c r="D73" s="133" t="str">
        <f>VLOOKUP(B73,PROPONENTES!$B$19:$D$108,3,FALSE)</f>
        <v>MARIO DE JESUS GIL CARDONA</v>
      </c>
      <c r="E73" s="134" t="s">
        <v>776</v>
      </c>
      <c r="F73" s="134">
        <f t="shared" si="1"/>
        <v>0</v>
      </c>
    </row>
    <row r="74" spans="2:6">
      <c r="B74" s="132">
        <f t="shared" si="0"/>
        <v>56</v>
      </c>
      <c r="C74" s="132">
        <f>IF(VLOOKUP(B74,PROPONENTES!$B$19:$E$109,2,0)="","",VLOOKUP(B74,PROPONENTES!$B$19:$E$109,2,0))</f>
        <v>56</v>
      </c>
      <c r="D74" s="133" t="str">
        <f>VLOOKUP(B74,PROPONENTES!$B$19:$D$108,3,FALSE)</f>
        <v>CONSORCIO COLOMBIA RURAL ET</v>
      </c>
      <c r="E74" s="134" t="s">
        <v>776</v>
      </c>
      <c r="F74" s="134">
        <f t="shared" si="1"/>
        <v>0</v>
      </c>
    </row>
    <row r="75" spans="2:6">
      <c r="B75" s="132">
        <f t="shared" si="0"/>
        <v>57</v>
      </c>
      <c r="C75" s="132">
        <f>IF(VLOOKUP(B75,PROPONENTES!$B$19:$E$109,2,0)="","",VLOOKUP(B75,PROPONENTES!$B$19:$E$109,2,0))</f>
        <v>57</v>
      </c>
      <c r="D75" s="133" t="str">
        <f>VLOOKUP(B75,PROPONENTES!$B$19:$D$108,3,FALSE)</f>
        <v>CONSORCIO ROGER 20</v>
      </c>
      <c r="E75" s="134" t="s">
        <v>776</v>
      </c>
      <c r="F75" s="134">
        <f t="shared" si="1"/>
        <v>0</v>
      </c>
    </row>
    <row r="76" spans="2:6">
      <c r="B76" s="132">
        <f t="shared" si="0"/>
        <v>58</v>
      </c>
      <c r="C76" s="132">
        <f>IF(VLOOKUP(B76,PROPONENTES!$B$19:$E$109,2,0)="","",VLOOKUP(B76,PROPONENTES!$B$19:$E$109,2,0))</f>
        <v>58</v>
      </c>
      <c r="D76" s="133" t="str">
        <f>VLOOKUP(B76,PROPONENTES!$B$19:$D$108,3,FALSE)</f>
        <v>VALLEJO H INGENIEROS CONSULTORES CONSTRUCTORES C S.A.S -BIC</v>
      </c>
      <c r="E76" s="134" t="s">
        <v>776</v>
      </c>
      <c r="F76" s="134">
        <f t="shared" si="1"/>
        <v>0</v>
      </c>
    </row>
    <row r="77" spans="2:6">
      <c r="B77" s="132">
        <f t="shared" si="0"/>
        <v>59</v>
      </c>
      <c r="C77" s="132">
        <f>IF(VLOOKUP(B77,PROPONENTES!$B$19:$E$109,2,0)="","",VLOOKUP(B77,PROPONENTES!$B$19:$E$109,2,0))</f>
        <v>59</v>
      </c>
      <c r="D77" s="133" t="str">
        <f>VLOOKUP(B77,PROPONENTES!$B$19:$D$108,3,FALSE)</f>
        <v>Consorcio JR</v>
      </c>
      <c r="E77" s="134" t="s">
        <v>776</v>
      </c>
      <c r="F77" s="134">
        <f t="shared" si="1"/>
        <v>0</v>
      </c>
    </row>
    <row r="78" spans="2:6">
      <c r="B78" s="132">
        <f t="shared" si="0"/>
        <v>60</v>
      </c>
      <c r="C78" s="132">
        <f>IF(VLOOKUP(B78,PROPONENTES!$B$19:$E$109,2,0)="","",VLOOKUP(B78,PROPONENTES!$B$19:$E$109,2,0))</f>
        <v>60</v>
      </c>
      <c r="D78" s="133" t="str">
        <f>VLOOKUP(B78,PROPONENTES!$B$19:$D$108,3,FALSE)</f>
        <v>ARA INGENIERIA S.A.S</v>
      </c>
      <c r="E78" s="134" t="s">
        <v>776</v>
      </c>
      <c r="F78" s="134">
        <f t="shared" si="1"/>
        <v>0</v>
      </c>
    </row>
    <row r="79" spans="2:6">
      <c r="B79" s="132">
        <f t="shared" si="0"/>
        <v>61</v>
      </c>
      <c r="C79" s="132">
        <f>IF(VLOOKUP(B79,PROPONENTES!$B$19:$E$109,2,0)="","",VLOOKUP(B79,PROPONENTES!$B$19:$E$109,2,0))</f>
        <v>61</v>
      </c>
      <c r="D79" s="133" t="str">
        <f>VLOOKUP(B79,PROPONENTES!$B$19:$D$108,3,FALSE)</f>
        <v>CONSORCIO INVITOL 2022</v>
      </c>
      <c r="E79" s="134" t="s">
        <v>776</v>
      </c>
      <c r="F79" s="134">
        <f t="shared" si="1"/>
        <v>0</v>
      </c>
    </row>
    <row r="80" spans="2:6">
      <c r="B80" s="132">
        <f t="shared" si="0"/>
        <v>62</v>
      </c>
      <c r="C80" s="132">
        <f>IF(VLOOKUP(B80,PROPONENTES!$B$19:$E$109,2,0)="","",VLOOKUP(B80,PROPONENTES!$B$19:$E$109,2,0))</f>
        <v>62</v>
      </c>
      <c r="D80" s="133" t="str">
        <f>VLOOKUP(B80,PROPONENTES!$B$19:$D$108,3,FALSE)</f>
        <v>CONSORCIO INTERVIAL TOL 001</v>
      </c>
      <c r="E80" s="134" t="s">
        <v>776</v>
      </c>
      <c r="F80" s="134">
        <f t="shared" si="1"/>
        <v>0</v>
      </c>
    </row>
    <row r="81" spans="2:6">
      <c r="B81" s="132">
        <f t="shared" si="0"/>
        <v>63</v>
      </c>
      <c r="C81" s="132">
        <f>IF(VLOOKUP(B81,PROPONENTES!$B$19:$E$109,2,0)="","",VLOOKUP(B81,PROPONENTES!$B$19:$E$109,2,0))</f>
        <v>63</v>
      </c>
      <c r="D81" s="133" t="str">
        <f>VLOOKUP(B81,PROPONENTES!$B$19:$D$108,3,FALSE)</f>
        <v>COMPAÑIA CONSULTORA COLOMBIANA TRIPLE C BIC SAS</v>
      </c>
      <c r="E81" s="134" t="s">
        <v>776</v>
      </c>
      <c r="F81" s="134">
        <f t="shared" si="1"/>
        <v>0</v>
      </c>
    </row>
    <row r="82" spans="2:6">
      <c r="B82" s="132">
        <f t="shared" si="0"/>
        <v>64</v>
      </c>
      <c r="C82" s="132">
        <f>IF(VLOOKUP(B82,PROPONENTES!$B$19:$E$109,2,0)="","",VLOOKUP(B82,PROPONENTES!$B$19:$E$109,2,0))</f>
        <v>64</v>
      </c>
      <c r="D82" s="133" t="str">
        <f>VLOOKUP(B82,PROPONENTES!$B$19:$D$108,3,FALSE)</f>
        <v>UNION TEMPORAL INTERTOL 001 2022</v>
      </c>
      <c r="E82" s="134" t="s">
        <v>776</v>
      </c>
      <c r="F82" s="134">
        <f t="shared" si="1"/>
        <v>0</v>
      </c>
    </row>
    <row r="83" spans="2:6">
      <c r="B83" s="132">
        <f t="shared" si="0"/>
        <v>65</v>
      </c>
      <c r="C83" s="132">
        <f>IF(VLOOKUP(B83,PROPONENTES!$B$19:$E$109,2,0)="","",VLOOKUP(B83,PROPONENTES!$B$19:$E$109,2,0))</f>
        <v>65</v>
      </c>
      <c r="D83" s="133" t="str">
        <f>VLOOKUP(B83,PROPONENTES!$B$19:$D$108,3,FALSE)</f>
        <v>PROYECTISTAS DE COLOMBIA &amp; CIA SAS</v>
      </c>
      <c r="E83" s="134" t="s">
        <v>776</v>
      </c>
      <c r="F83" s="134">
        <f t="shared" si="1"/>
        <v>0</v>
      </c>
    </row>
    <row r="84" spans="2:6">
      <c r="B84" s="132">
        <f t="shared" ref="B84:B108" si="2">ROW()-18</f>
        <v>66</v>
      </c>
      <c r="C84" s="132">
        <f>IF(VLOOKUP(B84,PROPONENTES!$B$19:$E$109,2,0)="","",VLOOKUP(B84,PROPONENTES!$B$19:$E$109,2,0))</f>
        <v>66</v>
      </c>
      <c r="D84" s="133" t="str">
        <f>VLOOKUP(B84,PROPONENTES!$B$19:$D$108,3,FALSE)</f>
        <v>CONSORCIO VIAL INGENIERIA 2022</v>
      </c>
      <c r="E84" s="134" t="s">
        <v>776</v>
      </c>
      <c r="F84" s="134">
        <f t="shared" ref="F84:F108" si="3">IF(E84="","",IF(E84="SI",-1,0))</f>
        <v>0</v>
      </c>
    </row>
    <row r="85" spans="2:6">
      <c r="B85" s="132">
        <f t="shared" si="2"/>
        <v>67</v>
      </c>
      <c r="C85" s="132">
        <f>IF(VLOOKUP(B85,PROPONENTES!$B$19:$E$109,2,0)="","",VLOOKUP(B85,PROPONENTES!$B$19:$E$109,2,0))</f>
        <v>67</v>
      </c>
      <c r="D85" s="133" t="str">
        <f>VLOOKUP(B85,PROPONENTES!$B$19:$D$108,3,FALSE)</f>
        <v>CONSORCIO AV</v>
      </c>
      <c r="E85" s="134" t="s">
        <v>776</v>
      </c>
      <c r="F85" s="134">
        <f t="shared" si="3"/>
        <v>0</v>
      </c>
    </row>
    <row r="86" spans="2:6">
      <c r="B86" s="132">
        <f t="shared" si="2"/>
        <v>68</v>
      </c>
      <c r="C86" s="132">
        <f>IF(VLOOKUP(B86,PROPONENTES!$B$19:$E$109,2,0)="","",VLOOKUP(B86,PROPONENTES!$B$19:$E$109,2,0))</f>
        <v>68</v>
      </c>
      <c r="D86" s="133" t="str">
        <f>VLOOKUP(B86,PROPONENTES!$B$19:$D$108,3,FALSE)</f>
        <v>SOLUCIONES PARA LA INGENIERÍA S.A.S.</v>
      </c>
      <c r="E86" s="134" t="s">
        <v>776</v>
      </c>
      <c r="F86" s="134">
        <f t="shared" si="3"/>
        <v>0</v>
      </c>
    </row>
    <row r="87" spans="2:6">
      <c r="B87" s="132">
        <f t="shared" si="2"/>
        <v>69</v>
      </c>
      <c r="C87" s="132">
        <f>IF(VLOOKUP(B87,PROPONENTES!$B$19:$E$109,2,0)="","",VLOOKUP(B87,PROPONENTES!$B$19:$E$109,2,0))</f>
        <v>69</v>
      </c>
      <c r="D87" s="133" t="str">
        <f>VLOOKUP(B87,PROPONENTES!$B$19:$D$108,3,FALSE)</f>
        <v>Unión Temporal Intervías Tolima</v>
      </c>
      <c r="E87" s="134" t="s">
        <v>776</v>
      </c>
      <c r="F87" s="134">
        <f t="shared" si="3"/>
        <v>0</v>
      </c>
    </row>
    <row r="88" spans="2:6">
      <c r="B88" s="132">
        <f t="shared" si="2"/>
        <v>70</v>
      </c>
      <c r="C88" s="132">
        <f>IF(VLOOKUP(B88,PROPONENTES!$B$19:$E$109,2,0)="","",VLOOKUP(B88,PROPONENTES!$B$19:$E$109,2,0))</f>
        <v>70</v>
      </c>
      <c r="D88" s="133" t="str">
        <f>VLOOKUP(B88,PROPONENTES!$B$19:$D$108,3,FALSE)</f>
        <v>CONSORCIO DT TOLIMA ZP</v>
      </c>
      <c r="E88" s="134" t="s">
        <v>776</v>
      </c>
      <c r="F88" s="134">
        <f t="shared" si="3"/>
        <v>0</v>
      </c>
    </row>
    <row r="89" spans="2:6">
      <c r="B89" s="132">
        <f t="shared" si="2"/>
        <v>71</v>
      </c>
      <c r="C89" s="132">
        <f>IF(VLOOKUP(B89,PROPONENTES!$B$19:$E$109,2,0)="","",VLOOKUP(B89,PROPONENTES!$B$19:$E$109,2,0))</f>
        <v>71</v>
      </c>
      <c r="D89" s="133" t="str">
        <f>VLOOKUP(B89,PROPONENTES!$B$19:$D$108,3,FALSE)</f>
        <v>INGENIEROS CIVILES ESPECIALISTAS S.A.S.</v>
      </c>
      <c r="E89" s="134" t="s">
        <v>776</v>
      </c>
      <c r="F89" s="134">
        <f t="shared" si="3"/>
        <v>0</v>
      </c>
    </row>
    <row r="90" spans="2:6">
      <c r="B90" s="132">
        <f t="shared" si="2"/>
        <v>72</v>
      </c>
      <c r="C90" s="132">
        <f>IF(VLOOKUP(B90,PROPONENTES!$B$19:$E$109,2,0)="","",VLOOKUP(B90,PROPONENTES!$B$19:$E$109,2,0))</f>
        <v>72</v>
      </c>
      <c r="D90" s="133" t="str">
        <f>VLOOKUP(B90,PROPONENTES!$B$19:$D$108,3,FALSE)</f>
        <v>GRUPO QUIMBAYA S.A.S.</v>
      </c>
      <c r="E90" s="134" t="s">
        <v>776</v>
      </c>
      <c r="F90" s="134">
        <f t="shared" si="3"/>
        <v>0</v>
      </c>
    </row>
    <row r="91" spans="2:6">
      <c r="B91" s="132">
        <f t="shared" si="2"/>
        <v>73</v>
      </c>
      <c r="C91" s="132">
        <f>IF(VLOOKUP(B91,PROPONENTES!$B$19:$E$109,2,0)="","",VLOOKUP(B91,PROPONENTES!$B$19:$E$109,2,0))</f>
        <v>73</v>
      </c>
      <c r="D91" s="133" t="str">
        <f>VLOOKUP(B91,PROPONENTES!$B$19:$D$108,3,FALSE)</f>
        <v>CONSORCIO TOLIMA JI 001</v>
      </c>
      <c r="E91" s="134" t="s">
        <v>776</v>
      </c>
      <c r="F91" s="134">
        <f t="shared" si="3"/>
        <v>0</v>
      </c>
    </row>
    <row r="92" spans="2:6">
      <c r="B92" s="132">
        <f t="shared" si="2"/>
        <v>74</v>
      </c>
      <c r="C92" s="132">
        <f>IF(VLOOKUP(B92,PROPONENTES!$B$19:$E$109,2,0)="","",VLOOKUP(B92,PROPONENTES!$B$19:$E$109,2,0))</f>
        <v>74</v>
      </c>
      <c r="D92" s="133" t="str">
        <f>VLOOKUP(B92,PROPONENTES!$B$19:$D$108,3,FALSE)</f>
        <v>INGENIERIA CONUSLTORIA Y PLANEACION S.A – INCOPLAN S.A</v>
      </c>
      <c r="E92" s="134" t="s">
        <v>776</v>
      </c>
      <c r="F92" s="134">
        <f t="shared" si="3"/>
        <v>0</v>
      </c>
    </row>
    <row r="93" spans="2:6">
      <c r="B93" s="132">
        <f t="shared" si="2"/>
        <v>75</v>
      </c>
      <c r="C93" s="132">
        <f>IF(VLOOKUP(B93,PROPONENTES!$B$19:$E$109,2,0)="","",VLOOKUP(B93,PROPONENTES!$B$19:$E$109,2,0))</f>
        <v>75</v>
      </c>
      <c r="D93" s="133" t="str">
        <f>VLOOKUP(B93,PROPONENTES!$B$19:$D$108,3,FALSE)</f>
        <v>JAIME MORENO ESPAÑA</v>
      </c>
      <c r="E93" s="134" t="s">
        <v>776</v>
      </c>
      <c r="F93" s="134">
        <f t="shared" si="3"/>
        <v>0</v>
      </c>
    </row>
    <row r="94" spans="2:6">
      <c r="B94" s="132">
        <f t="shared" si="2"/>
        <v>76</v>
      </c>
      <c r="C94" s="132">
        <f>IF(VLOOKUP(B94,PROPONENTES!$B$19:$E$109,2,0)="","",VLOOKUP(B94,PROPONENTES!$B$19:$E$109,2,0))</f>
        <v>76</v>
      </c>
      <c r="D94" s="133" t="str">
        <f>VLOOKUP(B94,PROPONENTES!$B$19:$D$108,3,FALSE)</f>
        <v>CONSORCIO DIN ISUTECH</v>
      </c>
      <c r="E94" s="134" t="s">
        <v>776</v>
      </c>
      <c r="F94" s="134">
        <f t="shared" si="3"/>
        <v>0</v>
      </c>
    </row>
    <row r="95" spans="2:6">
      <c r="B95" s="132">
        <f t="shared" si="2"/>
        <v>77</v>
      </c>
      <c r="C95" s="132">
        <f>IF(VLOOKUP(B95,PROPONENTES!$B$19:$E$109,2,0)="","",VLOOKUP(B95,PROPONENTES!$B$19:$E$109,2,0))</f>
        <v>77</v>
      </c>
      <c r="D95" s="133" t="str">
        <f>VLOOKUP(B95,PROPONENTES!$B$19:$D$108,3,FALSE)</f>
        <v>CONSORCIO CASTORES – INGES INVIAS 2022</v>
      </c>
      <c r="E95" s="134" t="s">
        <v>776</v>
      </c>
      <c r="F95" s="134">
        <f t="shared" si="3"/>
        <v>0</v>
      </c>
    </row>
    <row r="96" spans="2:6">
      <c r="B96" s="132">
        <f t="shared" si="2"/>
        <v>78</v>
      </c>
      <c r="C96" s="132">
        <f>IF(VLOOKUP(B96,PROPONENTES!$B$19:$E$109,2,0)="","",VLOOKUP(B96,PROPONENTES!$B$19:$E$109,2,0))</f>
        <v>78</v>
      </c>
      <c r="D96" s="133" t="str">
        <f>VLOOKUP(B96,PROPONENTES!$B$19:$D$108,3,FALSE)</f>
        <v>NUBIA ISABEL QUEVEDO ÁNGEL</v>
      </c>
      <c r="E96" s="134" t="s">
        <v>776</v>
      </c>
      <c r="F96" s="134">
        <f t="shared" si="3"/>
        <v>0</v>
      </c>
    </row>
    <row r="97" spans="2:6">
      <c r="B97" s="132">
        <f t="shared" si="2"/>
        <v>79</v>
      </c>
      <c r="C97" s="132">
        <f>IF(VLOOKUP(B97,PROPONENTES!$B$19:$E$109,2,0)="","",VLOOKUP(B97,PROPONENTES!$B$19:$E$109,2,0))</f>
        <v>79</v>
      </c>
      <c r="D97" s="133" t="str">
        <f>VLOOKUP(B97,PROPONENTES!$B$19:$D$108,3,FALSE)</f>
        <v>CONSORCIO TOLIMA BD</v>
      </c>
      <c r="E97" s="134" t="s">
        <v>776</v>
      </c>
      <c r="F97" s="134">
        <f t="shared" si="3"/>
        <v>0</v>
      </c>
    </row>
    <row r="98" spans="2:6">
      <c r="B98" s="132">
        <f t="shared" si="2"/>
        <v>80</v>
      </c>
      <c r="C98" s="132">
        <f>IF(VLOOKUP(B98,PROPONENTES!$B$19:$E$109,2,0)="","",VLOOKUP(B98,PROPONENTES!$B$19:$E$109,2,0))</f>
        <v>80</v>
      </c>
      <c r="D98" s="133" t="str">
        <f>VLOOKUP(B98,PROPONENTES!$B$19:$D$108,3,FALSE)</f>
        <v>CB INGENIEROS S.A.S</v>
      </c>
      <c r="E98" s="134" t="s">
        <v>776</v>
      </c>
      <c r="F98" s="134">
        <f t="shared" si="3"/>
        <v>0</v>
      </c>
    </row>
    <row r="99" spans="2:6">
      <c r="B99" s="132">
        <f t="shared" si="2"/>
        <v>81</v>
      </c>
      <c r="C99" s="132">
        <f>IF(VLOOKUP(B99,PROPONENTES!$B$19:$E$109,2,0)="","",VLOOKUP(B99,PROPONENTES!$B$19:$E$109,2,0))</f>
        <v>81</v>
      </c>
      <c r="D99" s="133" t="str">
        <f>VLOOKUP(B99,PROPONENTES!$B$19:$D$108,3,FALSE)</f>
        <v>CONSORCIO INVIAS JP 2022</v>
      </c>
      <c r="E99" s="134" t="s">
        <v>776</v>
      </c>
      <c r="F99" s="134">
        <f t="shared" si="3"/>
        <v>0</v>
      </c>
    </row>
    <row r="100" spans="2:6">
      <c r="B100" s="132">
        <f t="shared" si="2"/>
        <v>82</v>
      </c>
      <c r="C100" s="132">
        <f>IF(VLOOKUP(B100,PROPONENTES!$B$19:$E$109,2,0)="","",VLOOKUP(B100,PROPONENTES!$B$19:$E$109,2,0))</f>
        <v>82</v>
      </c>
      <c r="D100" s="133" t="str">
        <f>VLOOKUP(B100,PROPONENTES!$B$19:$D$108,3,FALSE)</f>
        <v>SOCIEDAD TECNICA SOTA LTDA</v>
      </c>
      <c r="E100" s="134" t="s">
        <v>776</v>
      </c>
      <c r="F100" s="134">
        <f t="shared" si="3"/>
        <v>0</v>
      </c>
    </row>
    <row r="101" spans="2:6">
      <c r="B101" s="132">
        <f t="shared" si="2"/>
        <v>83</v>
      </c>
      <c r="C101" s="132">
        <f>IF(VLOOKUP(B101,PROPONENTES!$B$19:$E$109,2,0)="","",VLOOKUP(B101,PROPONENTES!$B$19:$E$109,2,0))</f>
        <v>83</v>
      </c>
      <c r="D101" s="133" t="str">
        <f>VLOOKUP(B101,PROPONENTES!$B$19:$D$108,3,FALSE)</f>
        <v>CONSORCIO INTERVENTORES ASOCIADOS DEL TOLIMA</v>
      </c>
      <c r="E101" s="134" t="s">
        <v>776</v>
      </c>
      <c r="F101" s="134">
        <f t="shared" si="3"/>
        <v>0</v>
      </c>
    </row>
    <row r="102" spans="2:6">
      <c r="B102" s="132">
        <f t="shared" si="2"/>
        <v>84</v>
      </c>
      <c r="C102" s="132">
        <f>IF(VLOOKUP(B102,PROPONENTES!$B$19:$E$109,2,0)="","",VLOOKUP(B102,PROPONENTES!$B$19:$E$109,2,0))</f>
        <v>84</v>
      </c>
      <c r="D102" s="133" t="str">
        <f>VLOOKUP(B102,PROPONENTES!$B$19:$D$108,3,FALSE)</f>
        <v>GRUPO EMPRESARIAL DE INFRAESTRUCTURA COLOMBIANO S.A.S.</v>
      </c>
      <c r="E102" s="134" t="s">
        <v>776</v>
      </c>
      <c r="F102" s="134">
        <f t="shared" si="3"/>
        <v>0</v>
      </c>
    </row>
    <row r="103" spans="2:6">
      <c r="B103" s="132">
        <f t="shared" si="2"/>
        <v>85</v>
      </c>
      <c r="C103" s="132">
        <f>IF(VLOOKUP(B103,PROPONENTES!$B$19:$E$109,2,0)="","",VLOOKUP(B103,PROPONENTES!$B$19:$E$109,2,0))</f>
        <v>85</v>
      </c>
      <c r="D103" s="133" t="str">
        <f>VLOOKUP(B103,PROPONENTES!$B$19:$D$108,3,FALSE)</f>
        <v>DBB INGENIERÍA S.A.S.</v>
      </c>
      <c r="E103" s="134" t="s">
        <v>776</v>
      </c>
      <c r="F103" s="134">
        <f t="shared" si="3"/>
        <v>0</v>
      </c>
    </row>
    <row r="104" spans="2:6">
      <c r="B104" s="132">
        <f t="shared" si="2"/>
        <v>86</v>
      </c>
      <c r="C104" s="132">
        <f>IF(VLOOKUP(B104,PROPONENTES!$B$19:$E$109,2,0)="","",VLOOKUP(B104,PROPONENTES!$B$19:$E$109,2,0))</f>
        <v>86</v>
      </c>
      <c r="D104" s="133" t="str">
        <f>VLOOKUP(B104,PROPONENTES!$B$19:$D$108,3,FALSE)</f>
        <v>CARLOS ANDRES CHAVARRO CASTRO</v>
      </c>
      <c r="E104" s="134" t="s">
        <v>776</v>
      </c>
      <c r="F104" s="134">
        <f t="shared" si="3"/>
        <v>0</v>
      </c>
    </row>
    <row r="105" spans="2:6">
      <c r="B105" s="132">
        <f t="shared" si="2"/>
        <v>87</v>
      </c>
      <c r="C105" s="132">
        <f>IF(VLOOKUP(B105,PROPONENTES!$B$19:$E$109,2,0)="","",VLOOKUP(B105,PROPONENTES!$B$19:$E$109,2,0))</f>
        <v>87</v>
      </c>
      <c r="D105" s="133" t="str">
        <f>VLOOKUP(B105,PROPONENTES!$B$19:$D$108,3,FALSE)</f>
        <v>CONSORCIO INTERVÍAS TOLIMA 22</v>
      </c>
      <c r="E105" s="134" t="s">
        <v>776</v>
      </c>
      <c r="F105" s="134">
        <f t="shared" si="3"/>
        <v>0</v>
      </c>
    </row>
    <row r="106" spans="2:6">
      <c r="B106" s="132">
        <f t="shared" si="2"/>
        <v>88</v>
      </c>
      <c r="C106" s="132">
        <f>IF(VLOOKUP(B106,PROPONENTES!$B$19:$E$109,2,0)="","",VLOOKUP(B106,PROPONENTES!$B$19:$E$109,2,0))</f>
        <v>88</v>
      </c>
      <c r="D106" s="133" t="str">
        <f>VLOOKUP(B106,PROPONENTES!$B$19:$D$108,3,FALSE)</f>
        <v>INGENIERÍA Y CONSULTORÍA INGECON SAS</v>
      </c>
      <c r="E106" s="134" t="s">
        <v>776</v>
      </c>
      <c r="F106" s="134">
        <f t="shared" si="3"/>
        <v>0</v>
      </c>
    </row>
    <row r="107" spans="2:6">
      <c r="B107" s="132">
        <f t="shared" si="2"/>
        <v>89</v>
      </c>
      <c r="C107" s="132">
        <f>IF(VLOOKUP(B107,PROPONENTES!$B$19:$E$109,2,0)="","",VLOOKUP(B107,PROPONENTES!$B$19:$E$109,2,0))</f>
        <v>89</v>
      </c>
      <c r="D107" s="133" t="str">
        <f>VLOOKUP(B107,PROPONENTES!$B$19:$D$108,3,FALSE)</f>
        <v>CONSORCIO INTER C&amp;R</v>
      </c>
      <c r="E107" s="134" t="s">
        <v>776</v>
      </c>
      <c r="F107" s="134">
        <f t="shared" si="3"/>
        <v>0</v>
      </c>
    </row>
    <row r="108" spans="2:6">
      <c r="B108" s="132">
        <f t="shared" si="2"/>
        <v>90</v>
      </c>
      <c r="C108" s="132">
        <f>IF(VLOOKUP(B108,PROPONENTES!$B$19:$E$109,2,0)="","",VLOOKUP(B108,PROPONENTES!$B$19:$E$109,2,0))</f>
        <v>90</v>
      </c>
      <c r="D108" s="133" t="str">
        <f>VLOOKUP(B108,PROPONENTES!$B$19:$D$108,3,FALSE)</f>
        <v>GM SOLUTIONS S.A.S</v>
      </c>
      <c r="E108" s="134" t="s">
        <v>776</v>
      </c>
      <c r="F108" s="134">
        <f t="shared" si="3"/>
        <v>0</v>
      </c>
    </row>
    <row r="109" spans="2:6" ht="3" customHeight="1" thickBot="1">
      <c r="B109" s="449" t="s">
        <v>134</v>
      </c>
      <c r="C109" s="449" t="s">
        <v>134</v>
      </c>
      <c r="D109" s="135"/>
      <c r="E109" s="135"/>
      <c r="F109" s="136"/>
    </row>
    <row r="110" spans="2:6" ht="15.75" thickTop="1"/>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C19:D108">
    <cfRule type="expression" dxfId="102" priority="15" stopIfTrue="1">
      <formula>MOD(ROW(),2)</formula>
    </cfRule>
  </conditionalFormatting>
  <conditionalFormatting sqref="F19:F108">
    <cfRule type="cellIs" dxfId="101" priority="2" operator="equal">
      <formula>-1</formula>
    </cfRule>
    <cfRule type="cellIs" dxfId="100" priority="3" operator="equal">
      <formula>0</formula>
    </cfRule>
  </conditionalFormatting>
  <conditionalFormatting sqref="E19:E108">
    <cfRule type="cellIs" dxfId="99" priority="7" operator="equal">
      <formula>"NO"</formula>
    </cfRule>
    <cfRule type="cellIs" dxfId="98" priority="8" operator="equal">
      <formula>"SI"</formula>
    </cfRule>
  </conditionalFormatting>
  <conditionalFormatting sqref="B19:B108">
    <cfRule type="expression" dxfId="97" priority="1" stopIfTrue="1">
      <formula>MOD(ROW(),2)</formula>
    </cfRule>
  </conditionalFormatting>
  <dataValidations count="2">
    <dataValidation type="decimal" allowBlank="1" showInputMessage="1" showErrorMessage="1" sqref="F19:F108" xr:uid="{D9BA50B1-FA0A-4031-8E14-12446D08CFC0}">
      <formula1>-0.0000007</formula1>
      <formula2>0.0000007</formula2>
    </dataValidation>
    <dataValidation type="list" allowBlank="1" showInputMessage="1" showErrorMessage="1" sqref="E19:E109" xr:uid="{7981A36D-7DB8-404A-8EAF-E927A31EBA97}">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5"/>
  <cols>
    <col min="1" max="1" width="1.42578125" style="128" customWidth="1"/>
    <col min="2" max="2" width="16.42578125" style="128" customWidth="1"/>
    <col min="3" max="3" width="15.42578125" style="128" customWidth="1"/>
    <col min="4" max="4" width="45.7109375" style="128" customWidth="1"/>
    <col min="5" max="6" width="14.140625" style="128" customWidth="1"/>
    <col min="7" max="8" width="15.28515625" style="128" customWidth="1"/>
    <col min="9" max="9" width="18.85546875" style="128" customWidth="1"/>
    <col min="10" max="10" width="15.7109375" style="128" customWidth="1"/>
    <col min="11" max="11" width="41.28515625" style="128" customWidth="1"/>
    <col min="12" max="13" width="11.42578125" style="128" customWidth="1"/>
    <col min="14" max="14" width="0" style="128" hidden="1" customWidth="1"/>
    <col min="15" max="16384" width="11.42578125" style="128" hidden="1"/>
  </cols>
  <sheetData>
    <row r="1" spans="1:11" s="4" customFormat="1" ht="15" customHeight="1">
      <c r="A1" s="121"/>
      <c r="B1" s="850" t="str">
        <f>PROPONENTES!B1</f>
        <v>INSTITUTO NACIONAL DE VÍAS</v>
      </c>
      <c r="C1" s="850"/>
      <c r="D1" s="850"/>
      <c r="E1" s="850"/>
      <c r="F1" s="850"/>
      <c r="G1" s="850"/>
      <c r="H1" s="850"/>
      <c r="I1" s="850"/>
      <c r="J1" s="850"/>
      <c r="K1" s="850"/>
    </row>
    <row r="2" spans="1:11" s="2" customFormat="1" ht="15" customHeight="1">
      <c r="A2" s="123"/>
      <c r="B2" s="850" t="str">
        <f>PROPONENTES!B2</f>
        <v>DIRECCIÓN GENERAL</v>
      </c>
      <c r="C2" s="850"/>
      <c r="D2" s="850"/>
      <c r="E2" s="850"/>
      <c r="F2" s="850"/>
      <c r="G2" s="850"/>
      <c r="H2" s="850"/>
      <c r="I2" s="850"/>
      <c r="J2" s="850"/>
      <c r="K2" s="850"/>
    </row>
    <row r="3" spans="1:11" s="2" customFormat="1" ht="15" customHeight="1">
      <c r="A3" s="123"/>
      <c r="B3" s="850" t="str">
        <f>PROPONENTES!B3</f>
        <v>DIRECCION JURIDICA</v>
      </c>
      <c r="C3" s="850"/>
      <c r="D3" s="850"/>
      <c r="E3" s="850"/>
      <c r="F3" s="850"/>
      <c r="G3" s="850"/>
      <c r="H3" s="850"/>
      <c r="I3" s="850"/>
      <c r="J3" s="850"/>
      <c r="K3" s="850"/>
    </row>
    <row r="4" spans="1:11" s="2" customFormat="1" ht="12.75" customHeight="1">
      <c r="A4" s="123"/>
      <c r="B4" s="850" t="str">
        <f>PROPONENTES!B4</f>
        <v>TERRITORIAL TOLIMA</v>
      </c>
      <c r="C4" s="850"/>
      <c r="D4" s="850"/>
      <c r="E4" s="850"/>
      <c r="F4" s="850"/>
      <c r="G4" s="850"/>
      <c r="H4" s="850"/>
      <c r="I4" s="850"/>
      <c r="J4" s="850"/>
      <c r="K4" s="850"/>
    </row>
    <row r="5" spans="1:11" s="2" customFormat="1" ht="12.75">
      <c r="A5" s="123"/>
      <c r="B5" s="122"/>
      <c r="C5" s="3"/>
      <c r="D5" s="57"/>
      <c r="E5" s="57"/>
      <c r="F5" s="57"/>
      <c r="G5" s="57"/>
      <c r="H5" s="57"/>
      <c r="I5" s="57"/>
      <c r="J5" s="57"/>
      <c r="K5" s="57"/>
    </row>
    <row r="6" spans="1:11" s="2" customFormat="1" ht="12.75">
      <c r="A6" s="123"/>
      <c r="B6" s="850" t="str">
        <f>+PROPONENTES!B6</f>
        <v>CONCURSO DE MÉRITOS ABIERTO</v>
      </c>
      <c r="C6" s="850"/>
      <c r="D6" s="850"/>
      <c r="E6" s="850"/>
      <c r="F6" s="850"/>
      <c r="G6" s="850"/>
      <c r="H6" s="850"/>
      <c r="I6" s="850"/>
      <c r="J6" s="850"/>
      <c r="K6" s="850"/>
    </row>
    <row r="7" spans="1:11" s="2" customFormat="1" ht="12.75" customHeight="1">
      <c r="A7" s="123"/>
      <c r="B7" s="850" t="str">
        <f>PROPONENTES!B7</f>
        <v>CMA-DT-TOL-001-2022</v>
      </c>
      <c r="C7" s="850"/>
      <c r="D7" s="850"/>
      <c r="E7" s="850"/>
      <c r="F7" s="850"/>
      <c r="G7" s="850"/>
      <c r="H7" s="850"/>
      <c r="I7" s="850"/>
      <c r="J7" s="850"/>
      <c r="K7" s="850"/>
    </row>
    <row r="8" spans="1:11" s="2" customFormat="1" ht="15.75">
      <c r="A8" s="123"/>
      <c r="B8" s="122"/>
      <c r="C8" s="125"/>
      <c r="D8" s="57"/>
      <c r="E8" s="57"/>
      <c r="F8" s="57"/>
      <c r="G8" s="57"/>
      <c r="H8" s="57"/>
      <c r="I8" s="57"/>
      <c r="J8" s="57"/>
      <c r="K8" s="57"/>
    </row>
    <row r="9" spans="1:11" s="2" customFormat="1" ht="33.75" customHeight="1">
      <c r="A9" s="123"/>
      <c r="B9" s="850" t="str">
        <f>PROPONENTES!B9</f>
        <v>OBJETO: INTERVENTORÍA TECNICA, ADMINISTRATIVA, FINANCIERA Y AMBIENTAL PARA EL MANTENIMIENTO Y MEJORAMIENTO DE VIAS TERCIARIAS DEL PROGRAMA "COLOMBIA RURAL" EN LOS MUNICIPIOS DEL DEPARTAMENTO DEL TOLIMA - GRUPO II.</v>
      </c>
      <c r="C9" s="850"/>
      <c r="D9" s="850"/>
      <c r="E9" s="850"/>
      <c r="F9" s="850"/>
      <c r="G9" s="850"/>
      <c r="H9" s="850"/>
      <c r="I9" s="850"/>
      <c r="J9" s="850"/>
      <c r="K9" s="850"/>
    </row>
    <row r="10" spans="1:11" s="2" customFormat="1" ht="15.75">
      <c r="A10" s="123"/>
      <c r="B10" s="122"/>
      <c r="C10" s="125"/>
      <c r="D10" s="57"/>
      <c r="E10" s="57"/>
      <c r="F10" s="57"/>
      <c r="G10" s="57"/>
      <c r="H10" s="57"/>
      <c r="I10" s="57"/>
      <c r="J10" s="57"/>
      <c r="K10" s="57"/>
    </row>
    <row r="11" spans="1:11" s="2" customFormat="1" ht="15.75" customHeight="1">
      <c r="A11" s="123"/>
      <c r="B11" s="850">
        <f>PROPONENTES!B11</f>
        <v>0</v>
      </c>
      <c r="C11" s="850"/>
      <c r="D11" s="850"/>
      <c r="E11" s="850"/>
      <c r="F11" s="850"/>
      <c r="G11" s="850"/>
      <c r="H11" s="850"/>
      <c r="I11" s="850"/>
      <c r="J11" s="850"/>
      <c r="K11" s="850"/>
    </row>
    <row r="12" spans="1:11" s="2" customFormat="1" ht="15.75">
      <c r="A12" s="123"/>
      <c r="B12" s="122"/>
      <c r="C12" s="125"/>
      <c r="D12" s="57"/>
      <c r="E12" s="57"/>
      <c r="F12" s="57"/>
      <c r="G12" s="57"/>
      <c r="H12" s="57"/>
      <c r="I12" s="57"/>
      <c r="J12" s="57"/>
      <c r="K12" s="57"/>
    </row>
    <row r="13" spans="1:11" s="2" customFormat="1" ht="12.75">
      <c r="A13" s="123"/>
      <c r="B13" s="693" t="s">
        <v>1115</v>
      </c>
      <c r="C13" s="693"/>
      <c r="D13" s="693"/>
      <c r="E13" s="693"/>
      <c r="F13" s="693"/>
      <c r="G13" s="693"/>
      <c r="H13" s="693"/>
      <c r="I13" s="693"/>
      <c r="J13" s="693"/>
      <c r="K13" s="693"/>
    </row>
    <row r="14" spans="1:11">
      <c r="A14" s="126"/>
      <c r="B14" s="693" t="s">
        <v>1116</v>
      </c>
      <c r="C14" s="693"/>
      <c r="D14" s="693"/>
      <c r="E14" s="693"/>
      <c r="F14" s="693"/>
      <c r="G14" s="693"/>
      <c r="H14" s="693"/>
      <c r="I14" s="693"/>
      <c r="J14" s="693"/>
      <c r="K14" s="693"/>
    </row>
    <row r="15" spans="1:11" ht="15.75" thickBot="1"/>
    <row r="16" spans="1:11" s="155" customFormat="1" ht="15.75" customHeight="1" thickTop="1">
      <c r="B16" s="865" t="s">
        <v>138</v>
      </c>
      <c r="C16" s="869" t="s">
        <v>1117</v>
      </c>
      <c r="D16" s="869" t="s">
        <v>139</v>
      </c>
      <c r="E16" s="381"/>
      <c r="F16" s="873" t="s">
        <v>1118</v>
      </c>
      <c r="G16" s="874"/>
      <c r="H16" s="874"/>
      <c r="I16" s="874"/>
      <c r="J16" s="858" t="s">
        <v>1119</v>
      </c>
      <c r="K16" s="861" t="s">
        <v>1120</v>
      </c>
    </row>
    <row r="17" spans="2:11" s="155" customFormat="1" ht="15" customHeight="1">
      <c r="B17" s="866"/>
      <c r="C17" s="870"/>
      <c r="D17" s="870"/>
      <c r="E17" s="871" t="s">
        <v>1121</v>
      </c>
      <c r="F17" s="871" t="s">
        <v>1122</v>
      </c>
      <c r="G17" s="871" t="s">
        <v>33</v>
      </c>
      <c r="H17" s="871" t="s">
        <v>31</v>
      </c>
      <c r="I17" s="871" t="s">
        <v>1123</v>
      </c>
      <c r="J17" s="859"/>
      <c r="K17" s="862"/>
    </row>
    <row r="18" spans="2:11" s="155" customFormat="1" ht="70.5" customHeight="1">
      <c r="B18" s="867"/>
      <c r="C18" s="871"/>
      <c r="D18" s="871"/>
      <c r="E18" s="875"/>
      <c r="F18" s="875"/>
      <c r="G18" s="876"/>
      <c r="H18" s="876"/>
      <c r="I18" s="875"/>
      <c r="J18" s="860"/>
      <c r="K18" s="863"/>
    </row>
    <row r="19" spans="2:11" s="155" customFormat="1" ht="18" customHeight="1" thickBot="1">
      <c r="B19" s="868"/>
      <c r="C19" s="872"/>
      <c r="D19" s="872"/>
      <c r="E19" s="382"/>
      <c r="F19" s="383">
        <v>69</v>
      </c>
      <c r="G19" s="384">
        <v>10</v>
      </c>
      <c r="H19" s="384">
        <v>20</v>
      </c>
      <c r="I19" s="383">
        <v>1</v>
      </c>
      <c r="J19" s="385">
        <f>SUM(F19:I19)</f>
        <v>100</v>
      </c>
      <c r="K19" s="864"/>
    </row>
    <row r="20" spans="2:11" s="156" customFormat="1" ht="8.25" customHeight="1">
      <c r="B20" s="157"/>
      <c r="C20" s="158"/>
      <c r="D20" s="159"/>
      <c r="E20" s="159"/>
      <c r="F20" s="159"/>
      <c r="G20" s="160"/>
      <c r="H20" s="160"/>
      <c r="I20" s="159"/>
      <c r="J20" s="160"/>
      <c r="K20" s="161"/>
    </row>
    <row r="21" spans="2:11" s="156" customFormat="1" ht="25.5">
      <c r="B21" s="162">
        <f>PROPONENTES!C19</f>
        <v>1</v>
      </c>
      <c r="C21" s="163">
        <v>1</v>
      </c>
      <c r="D21" s="164" t="str">
        <f>VLOOKUP(B21,PROPONENTES!$C$19:$E$108,2,FALSE)</f>
        <v>PROYECTOS URBANOS &amp; CONSTRUCCIONES DEL CARIBE S.A.S</v>
      </c>
      <c r="E21" s="279" t="str">
        <f>VLOOKUP(B21,'PONDERACION EXP.'!$C$43:$J$133,6,FALSE)</f>
        <v>HÁBIL</v>
      </c>
      <c r="F21" s="262">
        <f ca="1">VLOOKUP(B21,'PONDERACION EXP.'!$C$44:$J$133,8,FALSE)</f>
        <v>24.165261550670401</v>
      </c>
      <c r="G21" s="211" t="str">
        <f>VLOOKUP(B21,'EQUIPO DE TRABAJO'!$C$19:$F$108,3,FALSE)</f>
        <v>CUMPLE</v>
      </c>
      <c r="H21" s="211">
        <f>VLOOKUP(B21,'APOYO A IND. NAL.'!$C$19:$E$108,3,FALSE)</f>
        <v>20</v>
      </c>
      <c r="I21" s="212">
        <f>VLOOKUP(B21,'VIN.PERS.DISC.'!$C$19:$G$108,5,FALSE)</f>
        <v>1</v>
      </c>
      <c r="J21" s="263">
        <f ca="1">SUM(F21:I21)</f>
        <v>45.165261550670401</v>
      </c>
      <c r="K21" s="165"/>
    </row>
    <row r="22" spans="2:11" s="156" customFormat="1" ht="12.75">
      <c r="B22" s="162" t="e">
        <f>PROPONENTES!#REF!</f>
        <v>#REF!</v>
      </c>
      <c r="C22" s="163">
        <v>2</v>
      </c>
      <c r="D22" s="164" t="e">
        <f>VLOOKUP(B22,PROPONENTES!$C$19:$E$108,2,FALSE)</f>
        <v>#REF!</v>
      </c>
      <c r="E22" s="279" t="e">
        <f>VLOOKUP(B22,'PONDERACION EXP.'!$C$43:$J$133,6,FALSE)</f>
        <v>#REF!</v>
      </c>
      <c r="F22" s="262" t="e">
        <f>VLOOKUP(B22,'PONDERACION EXP.'!$C$44:$J$133,8,FALSE)</f>
        <v>#REF!</v>
      </c>
      <c r="G22" s="211" t="e">
        <f>VLOOKUP(B22,'EQUIPO DE TRABAJO'!$C$19:$F$108,3,FALSE)</f>
        <v>#REF!</v>
      </c>
      <c r="H22" s="211" t="e">
        <f>VLOOKUP(B22,'APOYO A IND. NAL.'!$C$19:$E$108,3,FALSE)</f>
        <v>#REF!</v>
      </c>
      <c r="I22" s="212" t="e">
        <f>VLOOKUP(B22,'VIN.PERS.DISC.'!$C$19:$G$108,5,FALSE)</f>
        <v>#REF!</v>
      </c>
      <c r="J22" s="263" t="e">
        <f t="shared" ref="J22:J52" si="0">SUM(F22:I22)</f>
        <v>#REF!</v>
      </c>
      <c r="K22" s="165"/>
    </row>
    <row r="23" spans="2:11" s="156" customFormat="1" ht="12.75">
      <c r="B23" s="162" t="e">
        <f>PROPONENTES!#REF!</f>
        <v>#REF!</v>
      </c>
      <c r="C23" s="163">
        <v>3</v>
      </c>
      <c r="D23" s="164" t="e">
        <f>VLOOKUP(B23,PROPONENTES!$C$19:$E$108,2,FALSE)</f>
        <v>#REF!</v>
      </c>
      <c r="E23" s="279" t="e">
        <f>VLOOKUP(B23,'PONDERACION EXP.'!$C$43:$J$133,6,FALSE)</f>
        <v>#REF!</v>
      </c>
      <c r="F23" s="262" t="e">
        <f>VLOOKUP(B23,'PONDERACION EXP.'!$C$44:$J$133,8,FALSE)</f>
        <v>#REF!</v>
      </c>
      <c r="G23" s="211" t="e">
        <f>VLOOKUP(B23,'EQUIPO DE TRABAJO'!$C$19:$F$108,3,FALSE)</f>
        <v>#REF!</v>
      </c>
      <c r="H23" s="211" t="e">
        <f>VLOOKUP(B23,'APOYO A IND. NAL.'!$C$19:$E$108,3,FALSE)</f>
        <v>#REF!</v>
      </c>
      <c r="I23" s="212" t="e">
        <f>VLOOKUP(B23,'VIN.PERS.DISC.'!$C$19:$G$108,5,FALSE)</f>
        <v>#REF!</v>
      </c>
      <c r="J23" s="263" t="e">
        <f t="shared" si="0"/>
        <v>#REF!</v>
      </c>
      <c r="K23" s="165"/>
    </row>
    <row r="24" spans="2:11" s="156" customFormat="1" ht="12.75">
      <c r="B24" s="162" t="e">
        <f>PROPONENTES!#REF!</f>
        <v>#REF!</v>
      </c>
      <c r="C24" s="163">
        <v>4</v>
      </c>
      <c r="D24" s="164" t="e">
        <f>VLOOKUP(B24,PROPONENTES!$C$19:$E$108,2,FALSE)</f>
        <v>#REF!</v>
      </c>
      <c r="E24" s="279" t="e">
        <f>VLOOKUP(B24,'PONDERACION EXP.'!$C$43:$J$133,6,FALSE)</f>
        <v>#REF!</v>
      </c>
      <c r="F24" s="262" t="e">
        <f>VLOOKUP(B24,'PONDERACION EXP.'!$C$44:$J$133,8,FALSE)</f>
        <v>#REF!</v>
      </c>
      <c r="G24" s="211" t="e">
        <f>VLOOKUP(B24,'EQUIPO DE TRABAJO'!$C$19:$F$108,3,FALSE)</f>
        <v>#REF!</v>
      </c>
      <c r="H24" s="211" t="e">
        <f>VLOOKUP(B24,'APOYO A IND. NAL.'!$C$19:$E$108,3,FALSE)</f>
        <v>#REF!</v>
      </c>
      <c r="I24" s="212" t="e">
        <f>VLOOKUP(B24,'VIN.PERS.DISC.'!$C$19:$G$108,5,FALSE)</f>
        <v>#REF!</v>
      </c>
      <c r="J24" s="263" t="e">
        <f t="shared" si="0"/>
        <v>#REF!</v>
      </c>
      <c r="K24" s="165"/>
    </row>
    <row r="25" spans="2:11" s="156" customFormat="1" ht="12.75">
      <c r="B25" s="162" t="e">
        <f>PROPONENTES!#REF!</f>
        <v>#REF!</v>
      </c>
      <c r="C25" s="163">
        <v>5</v>
      </c>
      <c r="D25" s="164" t="e">
        <f>VLOOKUP(B25,PROPONENTES!$C$19:$E$108,2,FALSE)</f>
        <v>#REF!</v>
      </c>
      <c r="E25" s="279" t="e">
        <f>VLOOKUP(B25,'PONDERACION EXP.'!$C$43:$J$133,6,FALSE)</f>
        <v>#REF!</v>
      </c>
      <c r="F25" s="262" t="e">
        <f>VLOOKUP(B25,'PONDERACION EXP.'!$C$44:$J$133,8,FALSE)</f>
        <v>#REF!</v>
      </c>
      <c r="G25" s="211" t="e">
        <f>VLOOKUP(B25,'EQUIPO DE TRABAJO'!$C$19:$F$108,3,FALSE)</f>
        <v>#REF!</v>
      </c>
      <c r="H25" s="211" t="e">
        <f>VLOOKUP(B25,'APOYO A IND. NAL.'!$C$19:$E$108,3,FALSE)</f>
        <v>#REF!</v>
      </c>
      <c r="I25" s="212" t="e">
        <f>VLOOKUP(B25,'VIN.PERS.DISC.'!$C$19:$G$108,5,FALSE)</f>
        <v>#REF!</v>
      </c>
      <c r="J25" s="263" t="e">
        <f t="shared" si="0"/>
        <v>#REF!</v>
      </c>
      <c r="K25" s="165"/>
    </row>
    <row r="26" spans="2:11" s="156" customFormat="1" ht="12.75">
      <c r="B26" s="162" t="e">
        <f>PROPONENTES!#REF!</f>
        <v>#REF!</v>
      </c>
      <c r="C26" s="163">
        <v>6</v>
      </c>
      <c r="D26" s="164" t="e">
        <f>VLOOKUP(B26,PROPONENTES!$C$19:$E$108,2,FALSE)</f>
        <v>#REF!</v>
      </c>
      <c r="E26" s="279" t="e">
        <f>VLOOKUP(B26,'PONDERACION EXP.'!$C$43:$J$133,6,FALSE)</f>
        <v>#REF!</v>
      </c>
      <c r="F26" s="262" t="e">
        <f>VLOOKUP(B26,'PONDERACION EXP.'!$C$44:$J$133,8,FALSE)</f>
        <v>#REF!</v>
      </c>
      <c r="G26" s="211" t="e">
        <f>VLOOKUP(B26,'EQUIPO DE TRABAJO'!$C$19:$F$108,3,FALSE)</f>
        <v>#REF!</v>
      </c>
      <c r="H26" s="211" t="e">
        <f>VLOOKUP(B26,'APOYO A IND. NAL.'!$C$19:$E$108,3,FALSE)</f>
        <v>#REF!</v>
      </c>
      <c r="I26" s="212" t="e">
        <f>VLOOKUP(B26,'VIN.PERS.DISC.'!$C$19:$G$108,5,FALSE)</f>
        <v>#REF!</v>
      </c>
      <c r="J26" s="263" t="e">
        <f t="shared" si="0"/>
        <v>#REF!</v>
      </c>
      <c r="K26" s="165"/>
    </row>
    <row r="27" spans="2:11" s="156" customFormat="1" ht="12.75">
      <c r="B27" s="162" t="e">
        <f>PROPONENTES!#REF!</f>
        <v>#REF!</v>
      </c>
      <c r="C27" s="163">
        <v>7</v>
      </c>
      <c r="D27" s="164" t="e">
        <f>VLOOKUP(B27,PROPONENTES!$C$19:$E$108,2,FALSE)</f>
        <v>#REF!</v>
      </c>
      <c r="E27" s="279" t="e">
        <f>VLOOKUP(B27,'PONDERACION EXP.'!$C$43:$J$133,6,FALSE)</f>
        <v>#REF!</v>
      </c>
      <c r="F27" s="262" t="e">
        <f>VLOOKUP(B27,'PONDERACION EXP.'!$C$44:$J$133,8,FALSE)</f>
        <v>#REF!</v>
      </c>
      <c r="G27" s="211" t="e">
        <f>VLOOKUP(B27,'EQUIPO DE TRABAJO'!$C$19:$F$108,3,FALSE)</f>
        <v>#REF!</v>
      </c>
      <c r="H27" s="211" t="e">
        <f>VLOOKUP(B27,'APOYO A IND. NAL.'!$C$19:$E$108,3,FALSE)</f>
        <v>#REF!</v>
      </c>
      <c r="I27" s="212" t="e">
        <f>VLOOKUP(B27,'VIN.PERS.DISC.'!$C$19:$G$108,5,FALSE)</f>
        <v>#REF!</v>
      </c>
      <c r="J27" s="263" t="e">
        <f t="shared" si="0"/>
        <v>#REF!</v>
      </c>
      <c r="K27" s="165"/>
    </row>
    <row r="28" spans="2:11" s="156" customFormat="1" ht="12.75">
      <c r="B28" s="162" t="e">
        <f>PROPONENTES!#REF!</f>
        <v>#REF!</v>
      </c>
      <c r="C28" s="163">
        <v>8</v>
      </c>
      <c r="D28" s="164" t="e">
        <f>VLOOKUP(B28,PROPONENTES!$C$19:$E$108,2,FALSE)</f>
        <v>#REF!</v>
      </c>
      <c r="E28" s="279" t="e">
        <f>VLOOKUP(B28,'PONDERACION EXP.'!$C$43:$J$133,6,FALSE)</f>
        <v>#REF!</v>
      </c>
      <c r="F28" s="262" t="e">
        <f>VLOOKUP(B28,'PONDERACION EXP.'!$C$44:$J$133,8,FALSE)</f>
        <v>#REF!</v>
      </c>
      <c r="G28" s="211" t="e">
        <f>VLOOKUP(B28,'EQUIPO DE TRABAJO'!$C$19:$F$108,3,FALSE)</f>
        <v>#REF!</v>
      </c>
      <c r="H28" s="211" t="e">
        <f>VLOOKUP(B28,'APOYO A IND. NAL.'!$C$19:$E$108,3,FALSE)</f>
        <v>#REF!</v>
      </c>
      <c r="I28" s="212" t="e">
        <f>VLOOKUP(B28,'VIN.PERS.DISC.'!$C$19:$G$108,5,FALSE)</f>
        <v>#REF!</v>
      </c>
      <c r="J28" s="263" t="e">
        <f t="shared" si="0"/>
        <v>#REF!</v>
      </c>
      <c r="K28" s="165"/>
    </row>
    <row r="29" spans="2:11" s="156" customFormat="1" ht="12.75">
      <c r="B29" s="162" t="e">
        <f>PROPONENTES!#REF!</f>
        <v>#REF!</v>
      </c>
      <c r="C29" s="163">
        <v>9</v>
      </c>
      <c r="D29" s="164" t="e">
        <f>VLOOKUP(B29,PROPONENTES!$C$19:$E$108,2,FALSE)</f>
        <v>#REF!</v>
      </c>
      <c r="E29" s="279" t="e">
        <f>VLOOKUP(B29,'PONDERACION EXP.'!$C$43:$J$133,6,FALSE)</f>
        <v>#REF!</v>
      </c>
      <c r="F29" s="262" t="e">
        <f>VLOOKUP(B29,'PONDERACION EXP.'!$C$44:$J$133,8,FALSE)</f>
        <v>#REF!</v>
      </c>
      <c r="G29" s="211" t="e">
        <f>VLOOKUP(B29,'EQUIPO DE TRABAJO'!$C$19:$F$108,3,FALSE)</f>
        <v>#REF!</v>
      </c>
      <c r="H29" s="211" t="e">
        <f>VLOOKUP(B29,'APOYO A IND. NAL.'!$C$19:$E$108,3,FALSE)</f>
        <v>#REF!</v>
      </c>
      <c r="I29" s="212" t="e">
        <f>VLOOKUP(B29,'VIN.PERS.DISC.'!$C$19:$G$108,5,FALSE)</f>
        <v>#REF!</v>
      </c>
      <c r="J29" s="263" t="e">
        <f t="shared" si="0"/>
        <v>#REF!</v>
      </c>
      <c r="K29" s="165"/>
    </row>
    <row r="30" spans="2:11" s="156" customFormat="1" ht="12.75">
      <c r="B30" s="162" t="e">
        <f>PROPONENTES!#REF!</f>
        <v>#REF!</v>
      </c>
      <c r="C30" s="163">
        <v>10</v>
      </c>
      <c r="D30" s="164" t="e">
        <f>VLOOKUP(B30,PROPONENTES!$C$19:$E$108,2,FALSE)</f>
        <v>#REF!</v>
      </c>
      <c r="E30" s="279" t="e">
        <f>VLOOKUP(B30,'PONDERACION EXP.'!$C$43:$J$133,6,FALSE)</f>
        <v>#REF!</v>
      </c>
      <c r="F30" s="262" t="e">
        <f>VLOOKUP(B30,'PONDERACION EXP.'!$C$44:$J$133,8,FALSE)</f>
        <v>#REF!</v>
      </c>
      <c r="G30" s="211" t="e">
        <f>VLOOKUP(B30,'EQUIPO DE TRABAJO'!$C$19:$F$108,3,FALSE)</f>
        <v>#REF!</v>
      </c>
      <c r="H30" s="211" t="e">
        <f>VLOOKUP(B30,'APOYO A IND. NAL.'!$C$19:$E$108,3,FALSE)</f>
        <v>#REF!</v>
      </c>
      <c r="I30" s="212" t="e">
        <f>VLOOKUP(B30,'VIN.PERS.DISC.'!$C$19:$G$108,5,FALSE)</f>
        <v>#REF!</v>
      </c>
      <c r="J30" s="263" t="e">
        <f t="shared" si="0"/>
        <v>#REF!</v>
      </c>
      <c r="K30" s="165"/>
    </row>
    <row r="31" spans="2:11" s="156" customFormat="1" ht="12.75">
      <c r="B31" s="162" t="e">
        <f>PROPONENTES!#REF!</f>
        <v>#REF!</v>
      </c>
      <c r="C31" s="163">
        <v>11</v>
      </c>
      <c r="D31" s="164" t="e">
        <f>VLOOKUP(B31,PROPONENTES!$C$19:$E$108,2,FALSE)</f>
        <v>#REF!</v>
      </c>
      <c r="E31" s="279" t="e">
        <f>VLOOKUP(B31,'PONDERACION EXP.'!$C$43:$J$133,6,FALSE)</f>
        <v>#REF!</v>
      </c>
      <c r="F31" s="262" t="e">
        <f>VLOOKUP(B31,'PONDERACION EXP.'!$C$44:$J$133,8,FALSE)</f>
        <v>#REF!</v>
      </c>
      <c r="G31" s="211" t="e">
        <f>VLOOKUP(B31,'EQUIPO DE TRABAJO'!$C$19:$F$108,3,FALSE)</f>
        <v>#REF!</v>
      </c>
      <c r="H31" s="211" t="e">
        <f>VLOOKUP(B31,'APOYO A IND. NAL.'!$C$19:$E$108,3,FALSE)</f>
        <v>#REF!</v>
      </c>
      <c r="I31" s="212" t="e">
        <f>VLOOKUP(B31,'VIN.PERS.DISC.'!$C$19:$G$108,5,FALSE)</f>
        <v>#REF!</v>
      </c>
      <c r="J31" s="263" t="e">
        <f t="shared" si="0"/>
        <v>#REF!</v>
      </c>
      <c r="K31" s="165"/>
    </row>
    <row r="32" spans="2:11" s="156" customFormat="1" ht="12.75">
      <c r="B32" s="162" t="e">
        <f>PROPONENTES!#REF!</f>
        <v>#REF!</v>
      </c>
      <c r="C32" s="163">
        <v>12</v>
      </c>
      <c r="D32" s="164" t="e">
        <f>VLOOKUP(B32,PROPONENTES!$C$19:$E$108,2,FALSE)</f>
        <v>#REF!</v>
      </c>
      <c r="E32" s="279" t="e">
        <f>VLOOKUP(B32,'PONDERACION EXP.'!$C$43:$J$133,6,FALSE)</f>
        <v>#REF!</v>
      </c>
      <c r="F32" s="262" t="e">
        <f>VLOOKUP(B32,'PONDERACION EXP.'!$C$44:$J$133,8,FALSE)</f>
        <v>#REF!</v>
      </c>
      <c r="G32" s="211" t="e">
        <f>VLOOKUP(B32,'EQUIPO DE TRABAJO'!$C$19:$F$108,3,FALSE)</f>
        <v>#REF!</v>
      </c>
      <c r="H32" s="211" t="e">
        <f>VLOOKUP(B32,'APOYO A IND. NAL.'!$C$19:$E$108,3,FALSE)</f>
        <v>#REF!</v>
      </c>
      <c r="I32" s="212" t="e">
        <f>VLOOKUP(B32,'VIN.PERS.DISC.'!$C$19:$G$108,5,FALSE)</f>
        <v>#REF!</v>
      </c>
      <c r="J32" s="263" t="e">
        <f t="shared" si="0"/>
        <v>#REF!</v>
      </c>
      <c r="K32" s="165"/>
    </row>
    <row r="33" spans="2:11" s="156" customFormat="1" ht="12.75">
      <c r="B33" s="162" t="e">
        <f>PROPONENTES!#REF!</f>
        <v>#REF!</v>
      </c>
      <c r="C33" s="163">
        <v>13</v>
      </c>
      <c r="D33" s="164" t="e">
        <f>VLOOKUP(B33,PROPONENTES!$C$19:$E$108,2,FALSE)</f>
        <v>#REF!</v>
      </c>
      <c r="E33" s="279" t="e">
        <f>VLOOKUP(B33,'PONDERACION EXP.'!$C$43:$J$133,6,FALSE)</f>
        <v>#REF!</v>
      </c>
      <c r="F33" s="262" t="e">
        <f>VLOOKUP(B33,'PONDERACION EXP.'!$C$44:$J$133,8,FALSE)</f>
        <v>#REF!</v>
      </c>
      <c r="G33" s="211" t="e">
        <f>VLOOKUP(B33,'EQUIPO DE TRABAJO'!$C$19:$F$108,3,FALSE)</f>
        <v>#REF!</v>
      </c>
      <c r="H33" s="211" t="e">
        <f>VLOOKUP(B33,'APOYO A IND. NAL.'!$C$19:$E$108,3,FALSE)</f>
        <v>#REF!</v>
      </c>
      <c r="I33" s="212" t="e">
        <f>VLOOKUP(B33,'VIN.PERS.DISC.'!$C$19:$G$108,5,FALSE)</f>
        <v>#REF!</v>
      </c>
      <c r="J33" s="263" t="e">
        <f t="shared" si="0"/>
        <v>#REF!</v>
      </c>
      <c r="K33" s="165"/>
    </row>
    <row r="34" spans="2:11" s="156" customFormat="1" ht="12.75">
      <c r="B34" s="162" t="e">
        <f>PROPONENTES!#REF!</f>
        <v>#REF!</v>
      </c>
      <c r="C34" s="163">
        <v>14</v>
      </c>
      <c r="D34" s="164" t="e">
        <f>VLOOKUP(B34,PROPONENTES!$C$19:$E$108,2,FALSE)</f>
        <v>#REF!</v>
      </c>
      <c r="E34" s="279" t="e">
        <f>VLOOKUP(B34,'PONDERACION EXP.'!$C$43:$J$133,6,FALSE)</f>
        <v>#REF!</v>
      </c>
      <c r="F34" s="262" t="e">
        <f>VLOOKUP(B34,'PONDERACION EXP.'!$C$44:$J$133,8,FALSE)</f>
        <v>#REF!</v>
      </c>
      <c r="G34" s="211" t="e">
        <f>VLOOKUP(B34,'EQUIPO DE TRABAJO'!$C$19:$F$108,3,FALSE)</f>
        <v>#REF!</v>
      </c>
      <c r="H34" s="211" t="e">
        <f>VLOOKUP(B34,'APOYO A IND. NAL.'!$C$19:$E$108,3,FALSE)</f>
        <v>#REF!</v>
      </c>
      <c r="I34" s="212" t="e">
        <f>VLOOKUP(B34,'VIN.PERS.DISC.'!$C$19:$G$108,5,FALSE)</f>
        <v>#REF!</v>
      </c>
      <c r="J34" s="263" t="e">
        <f t="shared" si="0"/>
        <v>#REF!</v>
      </c>
      <c r="K34" s="165"/>
    </row>
    <row r="35" spans="2:11" s="156" customFormat="1" ht="12.75">
      <c r="B35" s="162" t="e">
        <f>PROPONENTES!#REF!</f>
        <v>#REF!</v>
      </c>
      <c r="C35" s="163">
        <v>15</v>
      </c>
      <c r="D35" s="164" t="e">
        <f>VLOOKUP(B35,PROPONENTES!$C$19:$E$108,2,FALSE)</f>
        <v>#REF!</v>
      </c>
      <c r="E35" s="279" t="e">
        <f>VLOOKUP(B35,'PONDERACION EXP.'!$C$43:$J$133,6,FALSE)</f>
        <v>#REF!</v>
      </c>
      <c r="F35" s="262" t="e">
        <f>VLOOKUP(B35,'PONDERACION EXP.'!$C$44:$J$133,8,FALSE)</f>
        <v>#REF!</v>
      </c>
      <c r="G35" s="211" t="e">
        <f>VLOOKUP(B35,'EQUIPO DE TRABAJO'!$C$19:$F$108,3,FALSE)</f>
        <v>#REF!</v>
      </c>
      <c r="H35" s="211" t="e">
        <f>VLOOKUP(B35,'APOYO A IND. NAL.'!$C$19:$E$108,3,FALSE)</f>
        <v>#REF!</v>
      </c>
      <c r="I35" s="212" t="e">
        <f>VLOOKUP(B35,'VIN.PERS.DISC.'!$C$19:$G$108,5,FALSE)</f>
        <v>#REF!</v>
      </c>
      <c r="J35" s="263" t="e">
        <f t="shared" si="0"/>
        <v>#REF!</v>
      </c>
      <c r="K35" s="165"/>
    </row>
    <row r="36" spans="2:11" s="156" customFormat="1" ht="12.75">
      <c r="B36" s="162" t="e">
        <f>PROPONENTES!#REF!</f>
        <v>#REF!</v>
      </c>
      <c r="C36" s="163">
        <v>16</v>
      </c>
      <c r="D36" s="164" t="e">
        <f>VLOOKUP(B36,PROPONENTES!$C$19:$E$108,2,FALSE)</f>
        <v>#REF!</v>
      </c>
      <c r="E36" s="279" t="e">
        <f>VLOOKUP(B36,'PONDERACION EXP.'!$C$43:$J$133,6,FALSE)</f>
        <v>#REF!</v>
      </c>
      <c r="F36" s="262" t="e">
        <f>VLOOKUP(B36,'PONDERACION EXP.'!$C$44:$J$133,8,FALSE)</f>
        <v>#REF!</v>
      </c>
      <c r="G36" s="211" t="e">
        <f>VLOOKUP(B36,'EQUIPO DE TRABAJO'!$C$19:$F$108,3,FALSE)</f>
        <v>#REF!</v>
      </c>
      <c r="H36" s="211" t="e">
        <f>VLOOKUP(B36,'APOYO A IND. NAL.'!$C$19:$E$108,3,FALSE)</f>
        <v>#REF!</v>
      </c>
      <c r="I36" s="212" t="e">
        <f>VLOOKUP(B36,'VIN.PERS.DISC.'!$C$19:$G$108,5,FALSE)</f>
        <v>#REF!</v>
      </c>
      <c r="J36" s="263" t="e">
        <f t="shared" si="0"/>
        <v>#REF!</v>
      </c>
      <c r="K36" s="165"/>
    </row>
    <row r="37" spans="2:11" s="156" customFormat="1" ht="12.75">
      <c r="B37" s="162" t="e">
        <f>PROPONENTES!#REF!</f>
        <v>#REF!</v>
      </c>
      <c r="C37" s="163">
        <v>17</v>
      </c>
      <c r="D37" s="164" t="e">
        <f>VLOOKUP(B37,PROPONENTES!$C$19:$E$108,2,FALSE)</f>
        <v>#REF!</v>
      </c>
      <c r="E37" s="279" t="e">
        <f>VLOOKUP(B37,'PONDERACION EXP.'!$C$43:$J$133,6,FALSE)</f>
        <v>#REF!</v>
      </c>
      <c r="F37" s="262" t="e">
        <f>VLOOKUP(B37,'PONDERACION EXP.'!$C$44:$J$133,8,FALSE)</f>
        <v>#REF!</v>
      </c>
      <c r="G37" s="211" t="e">
        <f>VLOOKUP(B37,'EQUIPO DE TRABAJO'!$C$19:$F$108,3,FALSE)</f>
        <v>#REF!</v>
      </c>
      <c r="H37" s="211" t="e">
        <f>VLOOKUP(B37,'APOYO A IND. NAL.'!$C$19:$E$108,3,FALSE)</f>
        <v>#REF!</v>
      </c>
      <c r="I37" s="212" t="e">
        <f>VLOOKUP(B37,'VIN.PERS.DISC.'!$C$19:$G$108,5,FALSE)</f>
        <v>#REF!</v>
      </c>
      <c r="J37" s="263" t="e">
        <f t="shared" si="0"/>
        <v>#REF!</v>
      </c>
      <c r="K37" s="165"/>
    </row>
    <row r="38" spans="2:11" s="156" customFormat="1" ht="12.75">
      <c r="B38" s="162" t="e">
        <f>PROPONENTES!#REF!</f>
        <v>#REF!</v>
      </c>
      <c r="C38" s="163">
        <v>18</v>
      </c>
      <c r="D38" s="164" t="e">
        <f>VLOOKUP(B38,PROPONENTES!$C$19:$E$108,2,FALSE)</f>
        <v>#REF!</v>
      </c>
      <c r="E38" s="279" t="e">
        <f>VLOOKUP(B38,'PONDERACION EXP.'!$C$43:$J$133,6,FALSE)</f>
        <v>#REF!</v>
      </c>
      <c r="F38" s="262" t="e">
        <f>VLOOKUP(B38,'PONDERACION EXP.'!$C$44:$J$133,8,FALSE)</f>
        <v>#REF!</v>
      </c>
      <c r="G38" s="211" t="e">
        <f>VLOOKUP(B38,'EQUIPO DE TRABAJO'!$C$19:$F$108,3,FALSE)</f>
        <v>#REF!</v>
      </c>
      <c r="H38" s="211" t="e">
        <f>VLOOKUP(B38,'APOYO A IND. NAL.'!$C$19:$E$108,3,FALSE)</f>
        <v>#REF!</v>
      </c>
      <c r="I38" s="212" t="e">
        <f>VLOOKUP(B38,'VIN.PERS.DISC.'!$C$19:$G$108,5,FALSE)</f>
        <v>#REF!</v>
      </c>
      <c r="J38" s="263" t="e">
        <f t="shared" si="0"/>
        <v>#REF!</v>
      </c>
      <c r="K38" s="165"/>
    </row>
    <row r="39" spans="2:11" s="156" customFormat="1" ht="12.75">
      <c r="B39" s="162" t="e">
        <f>PROPONENTES!#REF!</f>
        <v>#REF!</v>
      </c>
      <c r="C39" s="163">
        <v>19</v>
      </c>
      <c r="D39" s="164" t="e">
        <f>VLOOKUP(B39,PROPONENTES!$C$19:$E$108,2,FALSE)</f>
        <v>#REF!</v>
      </c>
      <c r="E39" s="279" t="e">
        <f>VLOOKUP(B39,'PONDERACION EXP.'!$C$43:$J$133,6,FALSE)</f>
        <v>#REF!</v>
      </c>
      <c r="F39" s="262" t="e">
        <f>VLOOKUP(B39,'PONDERACION EXP.'!$C$44:$J$133,8,FALSE)</f>
        <v>#REF!</v>
      </c>
      <c r="G39" s="211" t="e">
        <f>VLOOKUP(B39,'EQUIPO DE TRABAJO'!$C$19:$F$108,3,FALSE)</f>
        <v>#REF!</v>
      </c>
      <c r="H39" s="211" t="e">
        <f>VLOOKUP(B39,'APOYO A IND. NAL.'!$C$19:$E$108,3,FALSE)</f>
        <v>#REF!</v>
      </c>
      <c r="I39" s="212" t="e">
        <f>VLOOKUP(B39,'VIN.PERS.DISC.'!$C$19:$G$108,5,FALSE)</f>
        <v>#REF!</v>
      </c>
      <c r="J39" s="263" t="e">
        <f t="shared" si="0"/>
        <v>#REF!</v>
      </c>
      <c r="K39" s="165"/>
    </row>
    <row r="40" spans="2:11" s="156" customFormat="1" ht="12.75">
      <c r="B40" s="162" t="e">
        <f>PROPONENTES!#REF!</f>
        <v>#REF!</v>
      </c>
      <c r="C40" s="163">
        <v>20</v>
      </c>
      <c r="D40" s="164" t="e">
        <f>VLOOKUP(B40,PROPONENTES!$C$19:$E$108,2,FALSE)</f>
        <v>#REF!</v>
      </c>
      <c r="E40" s="279" t="e">
        <f>VLOOKUP(B40,'PONDERACION EXP.'!$C$43:$J$133,6,FALSE)</f>
        <v>#REF!</v>
      </c>
      <c r="F40" s="262" t="e">
        <f>VLOOKUP(B40,'PONDERACION EXP.'!$C$44:$J$133,8,FALSE)</f>
        <v>#REF!</v>
      </c>
      <c r="G40" s="211" t="e">
        <f>VLOOKUP(B40,'EQUIPO DE TRABAJO'!$C$19:$F$108,3,FALSE)</f>
        <v>#REF!</v>
      </c>
      <c r="H40" s="211" t="e">
        <f>VLOOKUP(B40,'APOYO A IND. NAL.'!$C$19:$E$108,3,FALSE)</f>
        <v>#REF!</v>
      </c>
      <c r="I40" s="212" t="e">
        <f>VLOOKUP(B40,'VIN.PERS.DISC.'!$C$19:$G$108,5,FALSE)</f>
        <v>#REF!</v>
      </c>
      <c r="J40" s="263" t="e">
        <f t="shared" si="0"/>
        <v>#REF!</v>
      </c>
      <c r="K40" s="165"/>
    </row>
    <row r="41" spans="2:11" s="156" customFormat="1" ht="12.75">
      <c r="B41" s="162" t="e">
        <f>PROPONENTES!#REF!</f>
        <v>#REF!</v>
      </c>
      <c r="C41" s="163">
        <v>21</v>
      </c>
      <c r="D41" s="164" t="e">
        <f>VLOOKUP(B41,PROPONENTES!$C$19:$E$108,2,FALSE)</f>
        <v>#REF!</v>
      </c>
      <c r="E41" s="279" t="e">
        <f>VLOOKUP(B41,'PONDERACION EXP.'!$C$43:$J$133,6,FALSE)</f>
        <v>#REF!</v>
      </c>
      <c r="F41" s="262" t="e">
        <f>VLOOKUP(B41,'PONDERACION EXP.'!$C$44:$J$133,8,FALSE)</f>
        <v>#REF!</v>
      </c>
      <c r="G41" s="211" t="e">
        <f>VLOOKUP(B41,'EQUIPO DE TRABAJO'!$C$19:$F$108,3,FALSE)</f>
        <v>#REF!</v>
      </c>
      <c r="H41" s="211" t="e">
        <f>VLOOKUP(B41,'APOYO A IND. NAL.'!$C$19:$E$108,3,FALSE)</f>
        <v>#REF!</v>
      </c>
      <c r="I41" s="212" t="e">
        <f>VLOOKUP(B41,'VIN.PERS.DISC.'!$C$19:$G$108,5,FALSE)</f>
        <v>#REF!</v>
      </c>
      <c r="J41" s="263" t="e">
        <f t="shared" si="0"/>
        <v>#REF!</v>
      </c>
      <c r="K41" s="165"/>
    </row>
    <row r="42" spans="2:11" s="156" customFormat="1" ht="12.75">
      <c r="B42" s="162" t="e">
        <f>PROPONENTES!#REF!</f>
        <v>#REF!</v>
      </c>
      <c r="C42" s="163">
        <v>22</v>
      </c>
      <c r="D42" s="164" t="e">
        <f>VLOOKUP(B42,PROPONENTES!$C$19:$E$108,2,FALSE)</f>
        <v>#REF!</v>
      </c>
      <c r="E42" s="279" t="e">
        <f>VLOOKUP(B42,'PONDERACION EXP.'!$C$43:$J$133,6,FALSE)</f>
        <v>#REF!</v>
      </c>
      <c r="F42" s="262" t="e">
        <f>VLOOKUP(B42,'PONDERACION EXP.'!$C$44:$J$133,8,FALSE)</f>
        <v>#REF!</v>
      </c>
      <c r="G42" s="211" t="e">
        <f>VLOOKUP(B42,'EQUIPO DE TRABAJO'!$C$19:$F$108,3,FALSE)</f>
        <v>#REF!</v>
      </c>
      <c r="H42" s="211" t="e">
        <f>VLOOKUP(B42,'APOYO A IND. NAL.'!$C$19:$E$108,3,FALSE)</f>
        <v>#REF!</v>
      </c>
      <c r="I42" s="212" t="e">
        <f>VLOOKUP(B42,'VIN.PERS.DISC.'!$C$19:$G$108,5,FALSE)</f>
        <v>#REF!</v>
      </c>
      <c r="J42" s="263" t="e">
        <f t="shared" si="0"/>
        <v>#REF!</v>
      </c>
      <c r="K42" s="165"/>
    </row>
    <row r="43" spans="2:11" s="156" customFormat="1" ht="12.75">
      <c r="B43" s="162" t="e">
        <f>PROPONENTES!#REF!</f>
        <v>#REF!</v>
      </c>
      <c r="C43" s="163">
        <v>23</v>
      </c>
      <c r="D43" s="164" t="e">
        <f>VLOOKUP(B43,PROPONENTES!$C$19:$E$108,2,FALSE)</f>
        <v>#REF!</v>
      </c>
      <c r="E43" s="279" t="e">
        <f>VLOOKUP(B43,'PONDERACION EXP.'!$C$43:$J$133,6,FALSE)</f>
        <v>#REF!</v>
      </c>
      <c r="F43" s="262" t="e">
        <f>VLOOKUP(B43,'PONDERACION EXP.'!$C$44:$J$133,8,FALSE)</f>
        <v>#REF!</v>
      </c>
      <c r="G43" s="211" t="e">
        <f>VLOOKUP(B43,'EQUIPO DE TRABAJO'!$C$19:$F$108,3,FALSE)</f>
        <v>#REF!</v>
      </c>
      <c r="H43" s="211" t="e">
        <f>VLOOKUP(B43,'APOYO A IND. NAL.'!$C$19:$E$108,3,FALSE)</f>
        <v>#REF!</v>
      </c>
      <c r="I43" s="212" t="e">
        <f>VLOOKUP(B43,'VIN.PERS.DISC.'!$C$19:$G$108,5,FALSE)</f>
        <v>#REF!</v>
      </c>
      <c r="J43" s="263" t="e">
        <f t="shared" si="0"/>
        <v>#REF!</v>
      </c>
      <c r="K43" s="165"/>
    </row>
    <row r="44" spans="2:11" s="156" customFormat="1" ht="12.75">
      <c r="B44" s="162" t="e">
        <f>PROPONENTES!#REF!</f>
        <v>#REF!</v>
      </c>
      <c r="C44" s="163">
        <v>24</v>
      </c>
      <c r="D44" s="164" t="e">
        <f>VLOOKUP(B44,PROPONENTES!$C$19:$E$108,2,FALSE)</f>
        <v>#REF!</v>
      </c>
      <c r="E44" s="279" t="e">
        <f>VLOOKUP(B44,'PONDERACION EXP.'!$C$43:$J$133,6,FALSE)</f>
        <v>#REF!</v>
      </c>
      <c r="F44" s="262" t="e">
        <f>VLOOKUP(B44,'PONDERACION EXP.'!$C$44:$J$133,8,FALSE)</f>
        <v>#REF!</v>
      </c>
      <c r="G44" s="211" t="e">
        <f>VLOOKUP(B44,'EQUIPO DE TRABAJO'!$C$19:$F$108,3,FALSE)</f>
        <v>#REF!</v>
      </c>
      <c r="H44" s="211" t="e">
        <f>VLOOKUP(B44,'APOYO A IND. NAL.'!$C$19:$E$108,3,FALSE)</f>
        <v>#REF!</v>
      </c>
      <c r="I44" s="212" t="e">
        <f>VLOOKUP(B44,'VIN.PERS.DISC.'!$C$19:$G$108,5,FALSE)</f>
        <v>#REF!</v>
      </c>
      <c r="J44" s="263" t="e">
        <f t="shared" si="0"/>
        <v>#REF!</v>
      </c>
      <c r="K44" s="165"/>
    </row>
    <row r="45" spans="2:11" s="156" customFormat="1" ht="12.75">
      <c r="B45" s="162" t="e">
        <f>PROPONENTES!#REF!</f>
        <v>#REF!</v>
      </c>
      <c r="C45" s="163">
        <v>25</v>
      </c>
      <c r="D45" s="164" t="e">
        <f>VLOOKUP(B45,PROPONENTES!$C$19:$E$108,2,FALSE)</f>
        <v>#REF!</v>
      </c>
      <c r="E45" s="279" t="e">
        <f>VLOOKUP(B45,'PONDERACION EXP.'!$C$43:$J$133,6,FALSE)</f>
        <v>#REF!</v>
      </c>
      <c r="F45" s="262" t="e">
        <f>VLOOKUP(B45,'PONDERACION EXP.'!$C$44:$J$133,8,FALSE)</f>
        <v>#REF!</v>
      </c>
      <c r="G45" s="211" t="e">
        <f>VLOOKUP(B45,'EQUIPO DE TRABAJO'!$C$19:$F$108,3,FALSE)</f>
        <v>#REF!</v>
      </c>
      <c r="H45" s="211" t="e">
        <f>VLOOKUP(B45,'APOYO A IND. NAL.'!$C$19:$E$108,3,FALSE)</f>
        <v>#REF!</v>
      </c>
      <c r="I45" s="212" t="e">
        <f>VLOOKUP(B45,'VIN.PERS.DISC.'!$C$19:$G$108,5,FALSE)</f>
        <v>#REF!</v>
      </c>
      <c r="J45" s="263" t="e">
        <f t="shared" si="0"/>
        <v>#REF!</v>
      </c>
      <c r="K45" s="165"/>
    </row>
    <row r="46" spans="2:11" s="156" customFormat="1" ht="12.75">
      <c r="B46" s="162" t="e">
        <f>PROPONENTES!#REF!</f>
        <v>#REF!</v>
      </c>
      <c r="C46" s="163">
        <v>26</v>
      </c>
      <c r="D46" s="164" t="e">
        <f>VLOOKUP(B46,PROPONENTES!$C$19:$E$108,2,FALSE)</f>
        <v>#REF!</v>
      </c>
      <c r="E46" s="279" t="e">
        <f>VLOOKUP(B46,'PONDERACION EXP.'!$C$43:$J$133,6,FALSE)</f>
        <v>#REF!</v>
      </c>
      <c r="F46" s="262" t="e">
        <f>VLOOKUP(B46,'PONDERACION EXP.'!$C$44:$J$133,8,FALSE)</f>
        <v>#REF!</v>
      </c>
      <c r="G46" s="211" t="e">
        <f>VLOOKUP(B46,'EQUIPO DE TRABAJO'!$C$19:$F$108,3,FALSE)</f>
        <v>#REF!</v>
      </c>
      <c r="H46" s="211" t="e">
        <f>VLOOKUP(B46,'APOYO A IND. NAL.'!$C$19:$E$108,3,FALSE)</f>
        <v>#REF!</v>
      </c>
      <c r="I46" s="212" t="e">
        <f>VLOOKUP(B46,'VIN.PERS.DISC.'!$C$19:$G$108,5,FALSE)</f>
        <v>#REF!</v>
      </c>
      <c r="J46" s="263" t="e">
        <f t="shared" si="0"/>
        <v>#REF!</v>
      </c>
      <c r="K46" s="165"/>
    </row>
    <row r="47" spans="2:11" s="156" customFormat="1" ht="12.75">
      <c r="B47" s="162" t="e">
        <f>PROPONENTES!#REF!</f>
        <v>#REF!</v>
      </c>
      <c r="C47" s="163">
        <v>27</v>
      </c>
      <c r="D47" s="164" t="e">
        <f>VLOOKUP(B47,PROPONENTES!$C$19:$E$108,2,FALSE)</f>
        <v>#REF!</v>
      </c>
      <c r="E47" s="279" t="e">
        <f>VLOOKUP(B47,'PONDERACION EXP.'!$C$43:$J$133,6,FALSE)</f>
        <v>#REF!</v>
      </c>
      <c r="F47" s="262" t="e">
        <f>VLOOKUP(B47,'PONDERACION EXP.'!$C$44:$J$133,8,FALSE)</f>
        <v>#REF!</v>
      </c>
      <c r="G47" s="211" t="e">
        <f>VLOOKUP(B47,'EQUIPO DE TRABAJO'!$C$19:$F$108,3,FALSE)</f>
        <v>#REF!</v>
      </c>
      <c r="H47" s="211" t="e">
        <f>VLOOKUP(B47,'APOYO A IND. NAL.'!$C$19:$E$108,3,FALSE)</f>
        <v>#REF!</v>
      </c>
      <c r="I47" s="212" t="e">
        <f>VLOOKUP(B47,'VIN.PERS.DISC.'!$C$19:$G$108,5,FALSE)</f>
        <v>#REF!</v>
      </c>
      <c r="J47" s="263" t="e">
        <f t="shared" si="0"/>
        <v>#REF!</v>
      </c>
      <c r="K47" s="165"/>
    </row>
    <row r="48" spans="2:11" s="156" customFormat="1" ht="12.75">
      <c r="B48" s="162" t="e">
        <f>PROPONENTES!#REF!</f>
        <v>#REF!</v>
      </c>
      <c r="C48" s="163">
        <v>28</v>
      </c>
      <c r="D48" s="164" t="e">
        <f>VLOOKUP(B48,PROPONENTES!$C$19:$E$108,2,FALSE)</f>
        <v>#REF!</v>
      </c>
      <c r="E48" s="279" t="e">
        <f>VLOOKUP(B48,'PONDERACION EXP.'!$C$43:$J$133,6,FALSE)</f>
        <v>#REF!</v>
      </c>
      <c r="F48" s="262" t="e">
        <f>VLOOKUP(B48,'PONDERACION EXP.'!$C$44:$J$133,8,FALSE)</f>
        <v>#REF!</v>
      </c>
      <c r="G48" s="211" t="e">
        <f>VLOOKUP(B48,'EQUIPO DE TRABAJO'!$C$19:$F$108,3,FALSE)</f>
        <v>#REF!</v>
      </c>
      <c r="H48" s="211" t="e">
        <f>VLOOKUP(B48,'APOYO A IND. NAL.'!$C$19:$E$108,3,FALSE)</f>
        <v>#REF!</v>
      </c>
      <c r="I48" s="212" t="e">
        <f>VLOOKUP(B48,'VIN.PERS.DISC.'!$C$19:$G$108,5,FALSE)</f>
        <v>#REF!</v>
      </c>
      <c r="J48" s="263" t="e">
        <f t="shared" si="0"/>
        <v>#REF!</v>
      </c>
      <c r="K48" s="165"/>
    </row>
    <row r="49" spans="2:11" s="156" customFormat="1" ht="12.75">
      <c r="B49" s="162" t="e">
        <f>PROPONENTES!#REF!</f>
        <v>#REF!</v>
      </c>
      <c r="C49" s="163">
        <v>29</v>
      </c>
      <c r="D49" s="164" t="e">
        <f>VLOOKUP(B49,PROPONENTES!$C$19:$E$108,2,FALSE)</f>
        <v>#REF!</v>
      </c>
      <c r="E49" s="279" t="e">
        <f>VLOOKUP(B49,'PONDERACION EXP.'!$C$43:$J$133,6,FALSE)</f>
        <v>#REF!</v>
      </c>
      <c r="F49" s="262" t="e">
        <f>VLOOKUP(B49,'PONDERACION EXP.'!$C$44:$J$133,8,FALSE)</f>
        <v>#REF!</v>
      </c>
      <c r="G49" s="211" t="e">
        <f>VLOOKUP(B49,'EQUIPO DE TRABAJO'!$C$19:$F$108,3,FALSE)</f>
        <v>#REF!</v>
      </c>
      <c r="H49" s="211" t="e">
        <f>VLOOKUP(B49,'APOYO A IND. NAL.'!$C$19:$E$108,3,FALSE)</f>
        <v>#REF!</v>
      </c>
      <c r="I49" s="212" t="e">
        <f>VLOOKUP(B49,'VIN.PERS.DISC.'!$C$19:$G$108,5,FALSE)</f>
        <v>#REF!</v>
      </c>
      <c r="J49" s="263" t="e">
        <f t="shared" si="0"/>
        <v>#REF!</v>
      </c>
      <c r="K49" s="165"/>
    </row>
    <row r="50" spans="2:11" s="156" customFormat="1" ht="12.75">
      <c r="B50" s="162" t="e">
        <f>PROPONENTES!#REF!</f>
        <v>#REF!</v>
      </c>
      <c r="C50" s="163">
        <v>30</v>
      </c>
      <c r="D50" s="164" t="e">
        <f>VLOOKUP(B50,PROPONENTES!$C$19:$E$108,2,FALSE)</f>
        <v>#REF!</v>
      </c>
      <c r="E50" s="279" t="e">
        <f>VLOOKUP(B50,'PONDERACION EXP.'!$C$43:$J$133,6,FALSE)</f>
        <v>#REF!</v>
      </c>
      <c r="F50" s="262" t="e">
        <f>VLOOKUP(B50,'PONDERACION EXP.'!$C$44:$J$133,8,FALSE)</f>
        <v>#REF!</v>
      </c>
      <c r="G50" s="211" t="e">
        <f>VLOOKUP(B50,'EQUIPO DE TRABAJO'!$C$19:$F$108,3,FALSE)</f>
        <v>#REF!</v>
      </c>
      <c r="H50" s="211" t="e">
        <f>VLOOKUP(B50,'APOYO A IND. NAL.'!$C$19:$E$108,3,FALSE)</f>
        <v>#REF!</v>
      </c>
      <c r="I50" s="212" t="e">
        <f>VLOOKUP(B50,'VIN.PERS.DISC.'!$C$19:$G$108,5,FALSE)</f>
        <v>#REF!</v>
      </c>
      <c r="J50" s="263" t="e">
        <f t="shared" si="0"/>
        <v>#REF!</v>
      </c>
      <c r="K50" s="165"/>
    </row>
    <row r="51" spans="2:11" s="156" customFormat="1" ht="12.75">
      <c r="B51" s="162" t="e">
        <f>PROPONENTES!#REF!</f>
        <v>#REF!</v>
      </c>
      <c r="C51" s="163">
        <v>31</v>
      </c>
      <c r="D51" s="164" t="e">
        <f>VLOOKUP(B51,PROPONENTES!$C$19:$E$108,2,FALSE)</f>
        <v>#REF!</v>
      </c>
      <c r="E51" s="279" t="e">
        <f>VLOOKUP(B51,'PONDERACION EXP.'!$C$43:$J$133,6,FALSE)</f>
        <v>#REF!</v>
      </c>
      <c r="F51" s="262" t="e">
        <f>VLOOKUP(B51,'PONDERACION EXP.'!$C$44:$J$133,8,FALSE)</f>
        <v>#REF!</v>
      </c>
      <c r="G51" s="211" t="e">
        <f>VLOOKUP(B51,'EQUIPO DE TRABAJO'!$C$19:$F$108,3,FALSE)</f>
        <v>#REF!</v>
      </c>
      <c r="H51" s="211" t="e">
        <f>VLOOKUP(B51,'APOYO A IND. NAL.'!$C$19:$E$108,3,FALSE)</f>
        <v>#REF!</v>
      </c>
      <c r="I51" s="212" t="e">
        <f>VLOOKUP(B51,'VIN.PERS.DISC.'!$C$19:$G$108,5,FALSE)</f>
        <v>#REF!</v>
      </c>
      <c r="J51" s="263" t="e">
        <f t="shared" si="0"/>
        <v>#REF!</v>
      </c>
      <c r="K51" s="165"/>
    </row>
    <row r="52" spans="2:11" s="156" customFormat="1" ht="12.75">
      <c r="B52" s="162" t="e">
        <f>PROPONENTES!#REF!</f>
        <v>#REF!</v>
      </c>
      <c r="C52" s="163">
        <v>32</v>
      </c>
      <c r="D52" s="164" t="e">
        <f>VLOOKUP(B52,PROPONENTES!$C$19:$E$108,2,FALSE)</f>
        <v>#REF!</v>
      </c>
      <c r="E52" s="279" t="e">
        <f>VLOOKUP(B52,'PONDERACION EXP.'!$C$43:$J$133,6,FALSE)</f>
        <v>#REF!</v>
      </c>
      <c r="F52" s="262" t="e">
        <f>VLOOKUP(B52,'PONDERACION EXP.'!$C$44:$J$133,8,FALSE)</f>
        <v>#REF!</v>
      </c>
      <c r="G52" s="211" t="e">
        <f>VLOOKUP(B52,'EQUIPO DE TRABAJO'!$C$19:$F$108,3,FALSE)</f>
        <v>#REF!</v>
      </c>
      <c r="H52" s="211" t="e">
        <f>VLOOKUP(B52,'APOYO A IND. NAL.'!$C$19:$E$108,3,FALSE)</f>
        <v>#REF!</v>
      </c>
      <c r="I52" s="212" t="e">
        <f>VLOOKUP(B52,'VIN.PERS.DISC.'!$C$19:$G$108,5,FALSE)</f>
        <v>#REF!</v>
      </c>
      <c r="J52" s="263" t="e">
        <f t="shared" si="0"/>
        <v>#REF!</v>
      </c>
      <c r="K52" s="165"/>
    </row>
    <row r="53" spans="2:11" s="156" customFormat="1" ht="12.75">
      <c r="B53" s="162" t="e">
        <f>PROPONENTES!#REF!</f>
        <v>#REF!</v>
      </c>
      <c r="C53" s="163">
        <v>33</v>
      </c>
      <c r="D53" s="164" t="e">
        <f>VLOOKUP(B53,PROPONENTES!$C$19:$E$108,2,FALSE)</f>
        <v>#REF!</v>
      </c>
      <c r="E53" s="279" t="e">
        <f>VLOOKUP(B53,'PONDERACION EXP.'!$C$43:$J$133,6,FALSE)</f>
        <v>#REF!</v>
      </c>
      <c r="F53" s="262" t="e">
        <f>VLOOKUP(B53,'PONDERACION EXP.'!$C$44:$J$133,8,FALSE)</f>
        <v>#REF!</v>
      </c>
      <c r="G53" s="211" t="e">
        <f>VLOOKUP(B53,'EQUIPO DE TRABAJO'!$C$19:$F$108,3,FALSE)</f>
        <v>#REF!</v>
      </c>
      <c r="H53" s="211" t="e">
        <f>VLOOKUP(B53,'APOYO A IND. NAL.'!$C$19:$E$108,3,FALSE)</f>
        <v>#REF!</v>
      </c>
      <c r="I53" s="212" t="e">
        <f>VLOOKUP(B53,'VIN.PERS.DISC.'!$C$19:$G$108,5,FALSE)</f>
        <v>#REF!</v>
      </c>
      <c r="J53" s="263" t="e">
        <f t="shared" ref="J53:J54" si="1">SUM(F53:I53)</f>
        <v>#REF!</v>
      </c>
      <c r="K53" s="165"/>
    </row>
    <row r="54" spans="2:11" s="156" customFormat="1" ht="12.75">
      <c r="B54" s="162" t="e">
        <f>PROPONENTES!#REF!</f>
        <v>#REF!</v>
      </c>
      <c r="C54" s="163">
        <v>34</v>
      </c>
      <c r="D54" s="164" t="e">
        <f>VLOOKUP(B54,PROPONENTES!$C$19:$E$108,2,FALSE)</f>
        <v>#REF!</v>
      </c>
      <c r="E54" s="279" t="e">
        <f>VLOOKUP(B54,'PONDERACION EXP.'!$C$43:$J$133,6,FALSE)</f>
        <v>#REF!</v>
      </c>
      <c r="F54" s="262" t="e">
        <f>VLOOKUP(B54,'PONDERACION EXP.'!$C$44:$J$133,8,FALSE)</f>
        <v>#REF!</v>
      </c>
      <c r="G54" s="211" t="e">
        <f>VLOOKUP(B54,'EQUIPO DE TRABAJO'!$C$19:$F$108,3,FALSE)</f>
        <v>#REF!</v>
      </c>
      <c r="H54" s="211" t="e">
        <f>VLOOKUP(B54,'APOYO A IND. NAL.'!$C$19:$E$108,3,FALSE)</f>
        <v>#REF!</v>
      </c>
      <c r="I54" s="212" t="e">
        <f>VLOOKUP(B54,'VIN.PERS.DISC.'!$C$19:$G$108,5,FALSE)</f>
        <v>#REF!</v>
      </c>
      <c r="J54" s="263" t="e">
        <f t="shared" si="1"/>
        <v>#REF!</v>
      </c>
      <c r="K54" s="165"/>
    </row>
    <row r="55" spans="2:11" s="272" customFormat="1" ht="3.95" customHeight="1" thickBot="1">
      <c r="B55" s="269" t="s">
        <v>134</v>
      </c>
      <c r="C55" s="270"/>
      <c r="D55" s="270"/>
      <c r="E55" s="270"/>
      <c r="F55" s="270"/>
      <c r="G55" s="270"/>
      <c r="H55" s="270"/>
      <c r="I55" s="270"/>
      <c r="J55" s="270"/>
      <c r="K55" s="271"/>
    </row>
    <row r="56" spans="2:11" ht="15.7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96" priority="42">
      <formula>MOD(ROW(),2)</formula>
    </cfRule>
  </conditionalFormatting>
  <conditionalFormatting sqref="E21:E54">
    <cfRule type="cellIs" dxfId="95" priority="3" operator="between">
      <formula>"NO HÁBIL"</formula>
      <formula>"NO CUMPLE"</formula>
    </cfRule>
    <cfRule type="cellIs" dxfId="94"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
  <dimension ref="A1:M136"/>
  <sheetViews>
    <sheetView workbookViewId="0">
      <selection activeCell="G11" sqref="G11"/>
    </sheetView>
  </sheetViews>
  <sheetFormatPr baseColWidth="10" defaultColWidth="28.140625" defaultRowHeight="15.75"/>
  <cols>
    <col min="1" max="1" width="12.140625" style="169" customWidth="1"/>
    <col min="2" max="2" width="1.85546875" style="169" customWidth="1"/>
    <col min="3" max="3" width="14" style="169" bestFit="1" customWidth="1"/>
    <col min="4" max="4" width="10" style="169" bestFit="1" customWidth="1"/>
    <col min="5" max="5" width="6.5703125" style="169" bestFit="1" customWidth="1"/>
    <col min="6" max="6" width="11.85546875" style="169" customWidth="1"/>
    <col min="7" max="7" width="12.85546875" style="169" bestFit="1" customWidth="1"/>
    <col min="8" max="8" width="14.7109375" style="169" bestFit="1" customWidth="1"/>
    <col min="9" max="9" width="17.7109375" style="169" customWidth="1"/>
    <col min="10" max="11" width="12" style="244" customWidth="1"/>
    <col min="12" max="16384" width="28.140625" style="169"/>
  </cols>
  <sheetData>
    <row r="1" spans="1:13">
      <c r="A1" s="877" t="s">
        <v>1124</v>
      </c>
      <c r="B1" s="877"/>
      <c r="C1" s="877"/>
      <c r="D1" s="6" t="s">
        <v>1125</v>
      </c>
      <c r="E1" s="168"/>
      <c r="J1" s="245" t="s">
        <v>1126</v>
      </c>
      <c r="K1" s="245" t="s">
        <v>1127</v>
      </c>
    </row>
    <row r="2" spans="1:13">
      <c r="A2" s="170">
        <v>29222</v>
      </c>
      <c r="B2" s="171"/>
      <c r="C2" s="171">
        <v>29587</v>
      </c>
      <c r="D2" s="172">
        <v>4500</v>
      </c>
      <c r="J2" s="246">
        <v>1980</v>
      </c>
      <c r="K2" s="247">
        <v>4500</v>
      </c>
      <c r="M2" s="280" t="s">
        <v>1128</v>
      </c>
    </row>
    <row r="3" spans="1:13">
      <c r="A3" s="171">
        <v>29588</v>
      </c>
      <c r="B3" s="171"/>
      <c r="C3" s="171">
        <v>29952</v>
      </c>
      <c r="D3" s="172">
        <v>5700</v>
      </c>
      <c r="E3" s="173">
        <v>0.26666666666666661</v>
      </c>
      <c r="J3" s="246">
        <v>1981</v>
      </c>
      <c r="K3" s="247">
        <v>5700</v>
      </c>
      <c r="M3" s="281" t="s">
        <v>413</v>
      </c>
    </row>
    <row r="4" spans="1:13">
      <c r="A4" s="171">
        <v>29953</v>
      </c>
      <c r="B4" s="171"/>
      <c r="C4" s="171">
        <v>30317</v>
      </c>
      <c r="D4" s="172">
        <v>7410</v>
      </c>
      <c r="E4" s="173">
        <v>0.30000000000000004</v>
      </c>
      <c r="J4" s="246">
        <v>1982</v>
      </c>
      <c r="K4" s="247">
        <v>7410</v>
      </c>
      <c r="M4" s="281" t="s">
        <v>516</v>
      </c>
    </row>
    <row r="5" spans="1:13">
      <c r="A5" s="171">
        <v>30318</v>
      </c>
      <c r="B5" s="171"/>
      <c r="C5" s="171">
        <v>30682</v>
      </c>
      <c r="D5" s="172">
        <v>9261</v>
      </c>
      <c r="E5" s="173">
        <v>0.24979757085020249</v>
      </c>
      <c r="J5" s="246">
        <v>1983</v>
      </c>
      <c r="K5" s="247">
        <v>9261</v>
      </c>
    </row>
    <row r="6" spans="1:13">
      <c r="A6" s="171">
        <v>30683</v>
      </c>
      <c r="B6" s="171"/>
      <c r="C6" s="171">
        <v>31048</v>
      </c>
      <c r="D6" s="172">
        <v>11298</v>
      </c>
      <c r="E6" s="173">
        <v>0.21995464852607705</v>
      </c>
      <c r="J6" s="246">
        <v>1984</v>
      </c>
      <c r="K6" s="247">
        <v>11298</v>
      </c>
    </row>
    <row r="7" spans="1:13">
      <c r="A7" s="170">
        <v>31049</v>
      </c>
      <c r="B7" s="171"/>
      <c r="C7" s="171">
        <v>31413</v>
      </c>
      <c r="D7" s="172">
        <v>13557.6</v>
      </c>
      <c r="E7" s="173">
        <v>0.19999999999999996</v>
      </c>
      <c r="J7" s="246">
        <v>1985</v>
      </c>
      <c r="K7" s="247">
        <v>13557.6</v>
      </c>
    </row>
    <row r="8" spans="1:13" ht="16.5" thickBot="1">
      <c r="A8" s="171">
        <v>31414</v>
      </c>
      <c r="B8" s="171"/>
      <c r="C8" s="171">
        <v>31778</v>
      </c>
      <c r="D8" s="172">
        <v>16611.400000000001</v>
      </c>
      <c r="E8" s="173">
        <v>0.22524635628724865</v>
      </c>
      <c r="G8" s="611">
        <v>44237</v>
      </c>
      <c r="J8" s="246">
        <v>1986</v>
      </c>
      <c r="K8" s="247">
        <v>16611.400000000001</v>
      </c>
    </row>
    <row r="9" spans="1:13" ht="16.5" thickTop="1">
      <c r="A9" s="171">
        <v>31779</v>
      </c>
      <c r="B9" s="171"/>
      <c r="C9" s="171">
        <v>32143</v>
      </c>
      <c r="D9" s="172">
        <v>20509.8</v>
      </c>
      <c r="E9" s="173">
        <v>0.23468220619574498</v>
      </c>
      <c r="G9" s="10" t="s">
        <v>1129</v>
      </c>
      <c r="H9" s="11" t="s">
        <v>1130</v>
      </c>
      <c r="J9" s="246">
        <v>1987</v>
      </c>
      <c r="K9" s="247">
        <v>20509.8</v>
      </c>
    </row>
    <row r="10" spans="1:13" ht="16.5" thickBot="1">
      <c r="A10" s="171">
        <v>32144</v>
      </c>
      <c r="B10" s="171"/>
      <c r="C10" s="171">
        <v>32508</v>
      </c>
      <c r="D10" s="172">
        <v>25637.4</v>
      </c>
      <c r="E10" s="173">
        <v>0.25000731357692429</v>
      </c>
      <c r="G10" s="12">
        <f ca="1">IF(PRESUPUESTOS!A1=21, G8,TODAY())</f>
        <v>44882</v>
      </c>
      <c r="H10" s="13">
        <f ca="1">LOOKUP(G10,A2:C104,D2:D104)</f>
        <v>1000000</v>
      </c>
      <c r="J10" s="246">
        <v>1988</v>
      </c>
      <c r="K10" s="247">
        <v>25637.4</v>
      </c>
    </row>
    <row r="11" spans="1:13" ht="16.5" thickTop="1">
      <c r="A11" s="171">
        <v>32509</v>
      </c>
      <c r="B11" s="171"/>
      <c r="C11" s="171">
        <v>32873</v>
      </c>
      <c r="D11" s="172">
        <v>32559.599999999999</v>
      </c>
      <c r="E11" s="173">
        <v>0.27000397856256853</v>
      </c>
      <c r="J11" s="246">
        <v>1989</v>
      </c>
      <c r="K11" s="247">
        <v>32559.599999999999</v>
      </c>
    </row>
    <row r="12" spans="1:13">
      <c r="A12" s="170">
        <v>32874</v>
      </c>
      <c r="B12" s="171"/>
      <c r="C12" s="171">
        <v>33238</v>
      </c>
      <c r="D12" s="172">
        <v>41025</v>
      </c>
      <c r="E12" s="173">
        <v>0.25999705156083008</v>
      </c>
      <c r="J12" s="246">
        <v>1990</v>
      </c>
      <c r="K12" s="247">
        <v>41025</v>
      </c>
    </row>
    <row r="13" spans="1:13">
      <c r="A13" s="171">
        <v>33239</v>
      </c>
      <c r="B13" s="171"/>
      <c r="C13" s="171">
        <v>33603</v>
      </c>
      <c r="D13" s="172">
        <v>51720</v>
      </c>
      <c r="E13" s="173">
        <v>0.26069469835466186</v>
      </c>
      <c r="J13" s="246">
        <v>1991</v>
      </c>
      <c r="K13" s="247">
        <v>51720</v>
      </c>
    </row>
    <row r="14" spans="1:13">
      <c r="A14" s="171">
        <v>33604</v>
      </c>
      <c r="B14" s="171"/>
      <c r="C14" s="171">
        <v>33969</v>
      </c>
      <c r="D14" s="172">
        <v>65190</v>
      </c>
      <c r="E14" s="173">
        <v>0.26044083526682127</v>
      </c>
      <c r="J14" s="246">
        <v>1992</v>
      </c>
      <c r="K14" s="247">
        <v>65190</v>
      </c>
    </row>
    <row r="15" spans="1:13">
      <c r="A15" s="171">
        <v>33970</v>
      </c>
      <c r="B15" s="171"/>
      <c r="C15" s="171">
        <v>34334</v>
      </c>
      <c r="D15" s="172">
        <v>81510</v>
      </c>
      <c r="E15" s="173">
        <v>0.25034514496088356</v>
      </c>
      <c r="J15" s="246">
        <v>1993</v>
      </c>
      <c r="K15" s="247">
        <v>81510</v>
      </c>
    </row>
    <row r="16" spans="1:13">
      <c r="A16" s="171">
        <v>34335</v>
      </c>
      <c r="B16" s="171"/>
      <c r="C16" s="171">
        <v>34699</v>
      </c>
      <c r="D16" s="172">
        <v>98700</v>
      </c>
      <c r="E16" s="173">
        <v>0.21089436878910561</v>
      </c>
      <c r="J16" s="246">
        <v>1994</v>
      </c>
      <c r="K16" s="247">
        <v>98700</v>
      </c>
    </row>
    <row r="17" spans="1:11">
      <c r="A17" s="170">
        <v>34700</v>
      </c>
      <c r="B17" s="171"/>
      <c r="C17" s="171">
        <v>35064</v>
      </c>
      <c r="D17" s="172">
        <v>118933.5</v>
      </c>
      <c r="E17" s="173">
        <v>0.20500000000000007</v>
      </c>
      <c r="J17" s="246">
        <v>1995</v>
      </c>
      <c r="K17" s="247">
        <v>118933.5</v>
      </c>
    </row>
    <row r="18" spans="1:11">
      <c r="A18" s="171">
        <v>35065</v>
      </c>
      <c r="B18" s="171"/>
      <c r="C18" s="171">
        <v>35430</v>
      </c>
      <c r="D18" s="172">
        <v>142125</v>
      </c>
      <c r="E18" s="173">
        <v>0.19499552270806797</v>
      </c>
      <c r="J18" s="246">
        <v>1996</v>
      </c>
      <c r="K18" s="247">
        <v>142125</v>
      </c>
    </row>
    <row r="19" spans="1:11">
      <c r="A19" s="171">
        <v>35431</v>
      </c>
      <c r="B19" s="171"/>
      <c r="C19" s="171">
        <v>35795</v>
      </c>
      <c r="D19" s="172">
        <v>172005</v>
      </c>
      <c r="E19" s="173">
        <v>0.21023746701846968</v>
      </c>
      <c r="J19" s="246">
        <v>1997</v>
      </c>
      <c r="K19" s="247">
        <v>172005</v>
      </c>
    </row>
    <row r="20" spans="1:11">
      <c r="A20" s="171">
        <v>35796</v>
      </c>
      <c r="B20" s="171"/>
      <c r="C20" s="171">
        <v>36160</v>
      </c>
      <c r="D20" s="172">
        <v>203826</v>
      </c>
      <c r="E20" s="173">
        <v>0.1850004360338362</v>
      </c>
      <c r="J20" s="246">
        <v>1998</v>
      </c>
      <c r="K20" s="247">
        <v>203826</v>
      </c>
    </row>
    <row r="21" spans="1:11">
      <c r="A21" s="171">
        <v>36161</v>
      </c>
      <c r="B21" s="171"/>
      <c r="C21" s="171">
        <v>36525</v>
      </c>
      <c r="D21" s="172">
        <v>236460</v>
      </c>
      <c r="E21" s="173">
        <v>0.16010715021636091</v>
      </c>
      <c r="J21" s="246">
        <v>1999</v>
      </c>
      <c r="K21" s="247">
        <v>236460</v>
      </c>
    </row>
    <row r="22" spans="1:11">
      <c r="A22" s="170">
        <v>36526</v>
      </c>
      <c r="B22" s="171"/>
      <c r="C22" s="171">
        <v>36891</v>
      </c>
      <c r="D22" s="172">
        <v>260100</v>
      </c>
      <c r="E22" s="173">
        <v>9.9974625729510214E-2</v>
      </c>
      <c r="J22" s="246">
        <v>2000</v>
      </c>
      <c r="K22" s="247">
        <v>260100</v>
      </c>
    </row>
    <row r="23" spans="1:11">
      <c r="A23" s="171">
        <v>36892</v>
      </c>
      <c r="B23" s="171"/>
      <c r="C23" s="171">
        <v>37256</v>
      </c>
      <c r="D23" s="172">
        <v>286000</v>
      </c>
      <c r="E23" s="173">
        <v>9.9577085736255233E-2</v>
      </c>
      <c r="J23" s="246">
        <v>2001</v>
      </c>
      <c r="K23" s="247">
        <v>286000</v>
      </c>
    </row>
    <row r="24" spans="1:11">
      <c r="A24" s="171">
        <v>37257</v>
      </c>
      <c r="B24" s="171"/>
      <c r="C24" s="171">
        <v>37621</v>
      </c>
      <c r="D24" s="172">
        <v>309000</v>
      </c>
      <c r="E24" s="173">
        <v>8.0419580419580416E-2</v>
      </c>
      <c r="J24" s="246">
        <v>2002</v>
      </c>
      <c r="K24" s="247">
        <v>309000</v>
      </c>
    </row>
    <row r="25" spans="1:11">
      <c r="A25" s="171">
        <v>37622</v>
      </c>
      <c r="B25" s="171"/>
      <c r="C25" s="171">
        <v>37986</v>
      </c>
      <c r="D25" s="172">
        <v>332000</v>
      </c>
      <c r="E25" s="173">
        <v>7.4433656957928696E-2</v>
      </c>
      <c r="J25" s="246">
        <v>2003</v>
      </c>
      <c r="K25" s="247">
        <v>332000</v>
      </c>
    </row>
    <row r="26" spans="1:11">
      <c r="A26" s="171">
        <v>37987</v>
      </c>
      <c r="B26" s="171"/>
      <c r="C26" s="171">
        <v>38352</v>
      </c>
      <c r="D26" s="172">
        <v>358000</v>
      </c>
      <c r="E26" s="173">
        <v>7.8313253012048278E-2</v>
      </c>
      <c r="J26" s="246">
        <v>2004</v>
      </c>
      <c r="K26" s="247">
        <v>358000</v>
      </c>
    </row>
    <row r="27" spans="1:11">
      <c r="A27" s="170">
        <v>38353</v>
      </c>
      <c r="B27" s="171"/>
      <c r="C27" s="171">
        <v>38717</v>
      </c>
      <c r="D27" s="172">
        <v>381500</v>
      </c>
      <c r="E27" s="173">
        <v>6.5642458100558576E-2</v>
      </c>
      <c r="J27" s="246">
        <v>2005</v>
      </c>
      <c r="K27" s="247">
        <v>381500</v>
      </c>
    </row>
    <row r="28" spans="1:11">
      <c r="A28" s="171">
        <v>38718</v>
      </c>
      <c r="B28" s="171"/>
      <c r="C28" s="171">
        <v>39082</v>
      </c>
      <c r="D28" s="172">
        <v>408000</v>
      </c>
      <c r="E28" s="173">
        <v>6.9462647444298753E-2</v>
      </c>
      <c r="J28" s="246">
        <v>2006</v>
      </c>
      <c r="K28" s="247">
        <v>408000</v>
      </c>
    </row>
    <row r="29" spans="1:11">
      <c r="A29" s="171">
        <v>39083</v>
      </c>
      <c r="B29" s="171"/>
      <c r="C29" s="171">
        <v>39447</v>
      </c>
      <c r="D29" s="172">
        <v>433700</v>
      </c>
      <c r="E29" s="173">
        <v>6.2990196078431371E-2</v>
      </c>
      <c r="J29" s="246">
        <v>2007</v>
      </c>
      <c r="K29" s="247">
        <v>433700</v>
      </c>
    </row>
    <row r="30" spans="1:11">
      <c r="A30" s="171">
        <v>39448</v>
      </c>
      <c r="B30" s="171"/>
      <c r="C30" s="171">
        <v>39813</v>
      </c>
      <c r="D30" s="172">
        <v>461500</v>
      </c>
      <c r="E30" s="173">
        <v>6.4099608023979737E-2</v>
      </c>
      <c r="J30" s="246">
        <v>2008</v>
      </c>
      <c r="K30" s="247">
        <v>461500</v>
      </c>
    </row>
    <row r="31" spans="1:11">
      <c r="A31" s="174">
        <v>39814</v>
      </c>
      <c r="B31" s="175"/>
      <c r="C31" s="174">
        <v>40178</v>
      </c>
      <c r="D31" s="176">
        <v>496900</v>
      </c>
      <c r="E31" s="173">
        <v>7.6706392199350049E-2</v>
      </c>
      <c r="J31" s="246">
        <v>2009</v>
      </c>
      <c r="K31" s="247">
        <v>496900</v>
      </c>
    </row>
    <row r="32" spans="1:11">
      <c r="A32" s="170">
        <v>40179</v>
      </c>
      <c r="B32" s="175"/>
      <c r="C32" s="174">
        <v>40543</v>
      </c>
      <c r="D32" s="176">
        <v>515000</v>
      </c>
      <c r="E32" s="173">
        <v>3.6425840209297622E-2</v>
      </c>
      <c r="J32" s="246">
        <v>2010</v>
      </c>
      <c r="K32" s="247">
        <v>515000</v>
      </c>
    </row>
    <row r="33" spans="1:11">
      <c r="A33" s="171">
        <v>40544</v>
      </c>
      <c r="B33" s="171"/>
      <c r="C33" s="171">
        <v>40908</v>
      </c>
      <c r="D33" s="172">
        <v>535600</v>
      </c>
      <c r="E33" s="173">
        <v>4.0000000000000036E-2</v>
      </c>
      <c r="J33" s="246">
        <v>2011</v>
      </c>
      <c r="K33" s="247">
        <v>535600</v>
      </c>
    </row>
    <row r="34" spans="1:11">
      <c r="A34" s="171">
        <v>40909</v>
      </c>
      <c r="B34" s="171"/>
      <c r="C34" s="171">
        <v>41274</v>
      </c>
      <c r="D34" s="172">
        <v>566700</v>
      </c>
      <c r="E34" s="173">
        <v>4.0000000000000036E-2</v>
      </c>
      <c r="J34" s="246">
        <v>2012</v>
      </c>
      <c r="K34" s="247">
        <v>566700</v>
      </c>
    </row>
    <row r="35" spans="1:11">
      <c r="A35" s="171">
        <v>41275</v>
      </c>
      <c r="B35" s="171"/>
      <c r="C35" s="171">
        <v>41639</v>
      </c>
      <c r="D35" s="172">
        <v>589500</v>
      </c>
      <c r="E35" s="173">
        <v>4.0232927474854421E-2</v>
      </c>
      <c r="J35" s="246">
        <v>2013</v>
      </c>
      <c r="K35" s="247">
        <v>589500</v>
      </c>
    </row>
    <row r="36" spans="1:11">
      <c r="A36" s="171">
        <v>41640</v>
      </c>
      <c r="B36" s="171"/>
      <c r="C36" s="171">
        <v>42004</v>
      </c>
      <c r="D36" s="172">
        <v>616000</v>
      </c>
      <c r="E36" s="173">
        <f t="shared" ref="E36:E40" si="0">+D36/D35-1</f>
        <v>4.495335029686176E-2</v>
      </c>
      <c r="J36" s="246">
        <v>2014</v>
      </c>
      <c r="K36" s="247">
        <v>616000</v>
      </c>
    </row>
    <row r="37" spans="1:11">
      <c r="A37" s="170">
        <v>42005</v>
      </c>
      <c r="B37" s="171"/>
      <c r="C37" s="171">
        <v>42369</v>
      </c>
      <c r="D37" s="172">
        <v>644350</v>
      </c>
      <c r="E37" s="173">
        <f t="shared" si="0"/>
        <v>4.6022727272727382E-2</v>
      </c>
      <c r="J37" s="246">
        <v>2015</v>
      </c>
      <c r="K37" s="247">
        <v>644350</v>
      </c>
    </row>
    <row r="38" spans="1:11">
      <c r="A38" s="171">
        <v>42370</v>
      </c>
      <c r="B38" s="171"/>
      <c r="C38" s="171">
        <v>42735</v>
      </c>
      <c r="D38" s="172">
        <v>689455</v>
      </c>
      <c r="E38" s="173">
        <f t="shared" si="0"/>
        <v>7.0000775975789464E-2</v>
      </c>
      <c r="J38" s="246">
        <v>2016</v>
      </c>
      <c r="K38" s="247">
        <v>689455</v>
      </c>
    </row>
    <row r="39" spans="1:11">
      <c r="A39" s="171">
        <v>42736</v>
      </c>
      <c r="B39" s="171"/>
      <c r="C39" s="171">
        <v>43100</v>
      </c>
      <c r="D39" s="172">
        <v>737717</v>
      </c>
      <c r="E39" s="173">
        <f t="shared" si="0"/>
        <v>7.0000217563147782E-2</v>
      </c>
      <c r="J39" s="246">
        <v>2017</v>
      </c>
      <c r="K39" s="247">
        <v>737717</v>
      </c>
    </row>
    <row r="40" spans="1:11">
      <c r="A40" s="171">
        <v>43101</v>
      </c>
      <c r="B40" s="171"/>
      <c r="C40" s="171">
        <v>43465</v>
      </c>
      <c r="D40" s="172">
        <v>781242</v>
      </c>
      <c r="E40" s="173">
        <f t="shared" si="0"/>
        <v>5.8999589273393438E-2</v>
      </c>
      <c r="J40" s="246">
        <v>2018</v>
      </c>
      <c r="K40" s="247">
        <v>781242</v>
      </c>
    </row>
    <row r="41" spans="1:11">
      <c r="A41" s="171">
        <v>43466</v>
      </c>
      <c r="B41" s="171"/>
      <c r="C41" s="171">
        <v>43830</v>
      </c>
      <c r="D41" s="172">
        <v>828116</v>
      </c>
      <c r="E41" s="173">
        <f>+D41/D40-1</f>
        <v>5.9999334393184167E-2</v>
      </c>
      <c r="J41" s="246">
        <v>2019</v>
      </c>
      <c r="K41" s="247">
        <v>828116</v>
      </c>
    </row>
    <row r="42" spans="1:11">
      <c r="A42" s="171">
        <v>43831</v>
      </c>
      <c r="B42" s="171"/>
      <c r="C42" s="171">
        <v>44196</v>
      </c>
      <c r="D42" s="172">
        <v>877803</v>
      </c>
      <c r="E42" s="173">
        <f t="shared" ref="E42" si="1">+D42/D41-1</f>
        <v>6.0000048302411679E-2</v>
      </c>
      <c r="J42" s="246">
        <v>2020</v>
      </c>
      <c r="K42" s="247">
        <v>877803</v>
      </c>
    </row>
    <row r="43" spans="1:11">
      <c r="A43" s="171">
        <v>44197</v>
      </c>
      <c r="B43" s="171"/>
      <c r="C43" s="171">
        <v>44561</v>
      </c>
      <c r="D43" s="172">
        <v>908526</v>
      </c>
      <c r="E43" s="173">
        <f t="shared" ref="E43" si="2">+D43/D42-1</f>
        <v>3.4999880383183912E-2</v>
      </c>
      <c r="J43" s="246">
        <v>2021</v>
      </c>
      <c r="K43" s="247">
        <f>D43</f>
        <v>908526</v>
      </c>
    </row>
    <row r="44" spans="1:11">
      <c r="A44" s="171">
        <v>44562</v>
      </c>
      <c r="B44" s="171"/>
      <c r="C44" s="171">
        <v>44926</v>
      </c>
      <c r="D44" s="172">
        <v>1000000</v>
      </c>
      <c r="E44" s="173">
        <f t="shared" ref="E44" si="3">+D44/D43-1</f>
        <v>0.10068396501586085</v>
      </c>
      <c r="J44" s="246">
        <v>2021</v>
      </c>
      <c r="K44" s="247">
        <f>D44</f>
        <v>1000000</v>
      </c>
    </row>
    <row r="45" spans="1:11">
      <c r="A45" s="171"/>
      <c r="B45" s="171"/>
      <c r="C45" s="171"/>
      <c r="D45" s="172"/>
      <c r="E45" s="173"/>
      <c r="J45" s="246"/>
      <c r="K45" s="247"/>
    </row>
    <row r="46" spans="1:11">
      <c r="E46" s="173"/>
    </row>
    <row r="47" spans="1:11">
      <c r="E47" s="173"/>
    </row>
    <row r="48" spans="1:11">
      <c r="E48" s="173"/>
    </row>
    <row r="49" spans="5:5">
      <c r="E49" s="173"/>
    </row>
    <row r="50" spans="5:5">
      <c r="E50" s="173"/>
    </row>
    <row r="51" spans="5:5">
      <c r="E51" s="173"/>
    </row>
    <row r="52" spans="5:5">
      <c r="E52" s="173"/>
    </row>
    <row r="53" spans="5:5">
      <c r="E53" s="173"/>
    </row>
    <row r="54" spans="5:5">
      <c r="E54" s="173"/>
    </row>
    <row r="55" spans="5:5">
      <c r="E55" s="173"/>
    </row>
    <row r="56" spans="5:5">
      <c r="E56" s="173"/>
    </row>
    <row r="57" spans="5:5">
      <c r="E57" s="173"/>
    </row>
    <row r="58" spans="5:5">
      <c r="E58" s="173"/>
    </row>
    <row r="59" spans="5:5">
      <c r="E59" s="173"/>
    </row>
    <row r="60" spans="5:5">
      <c r="E60" s="173"/>
    </row>
    <row r="61" spans="5:5">
      <c r="E61" s="173"/>
    </row>
    <row r="62" spans="5:5">
      <c r="E62" s="173"/>
    </row>
    <row r="63" spans="5:5">
      <c r="E63" s="173"/>
    </row>
    <row r="64" spans="5:5">
      <c r="E64" s="173"/>
    </row>
    <row r="65" spans="5:5">
      <c r="E65" s="173"/>
    </row>
    <row r="66" spans="5:5">
      <c r="E66" s="173"/>
    </row>
    <row r="67" spans="5:5">
      <c r="E67" s="173"/>
    </row>
    <row r="68" spans="5:5">
      <c r="E68" s="173"/>
    </row>
    <row r="69" spans="5:5">
      <c r="E69" s="173"/>
    </row>
    <row r="70" spans="5:5">
      <c r="E70" s="173"/>
    </row>
    <row r="71" spans="5:5">
      <c r="E71" s="173"/>
    </row>
    <row r="72" spans="5:5">
      <c r="E72" s="173"/>
    </row>
    <row r="73" spans="5:5">
      <c r="E73" s="173"/>
    </row>
    <row r="74" spans="5:5">
      <c r="E74" s="173"/>
    </row>
    <row r="75" spans="5:5">
      <c r="E75" s="173"/>
    </row>
    <row r="76" spans="5:5">
      <c r="E76" s="173"/>
    </row>
    <row r="77" spans="5:5">
      <c r="E77" s="173"/>
    </row>
    <row r="78" spans="5:5">
      <c r="E78" s="173"/>
    </row>
    <row r="79" spans="5:5">
      <c r="E79" s="173"/>
    </row>
    <row r="80" spans="5:5">
      <c r="E80" s="173"/>
    </row>
    <row r="81" spans="5:5">
      <c r="E81" s="173"/>
    </row>
    <row r="82" spans="5:5">
      <c r="E82" s="173"/>
    </row>
    <row r="83" spans="5:5">
      <c r="E83" s="173"/>
    </row>
    <row r="84" spans="5:5">
      <c r="E84" s="173"/>
    </row>
    <row r="85" spans="5:5">
      <c r="E85" s="173"/>
    </row>
    <row r="86" spans="5:5">
      <c r="E86" s="173"/>
    </row>
    <row r="87" spans="5:5">
      <c r="E87" s="173"/>
    </row>
    <row r="88" spans="5:5">
      <c r="E88" s="173"/>
    </row>
    <row r="89" spans="5:5">
      <c r="E89" s="173"/>
    </row>
    <row r="90" spans="5:5">
      <c r="E90" s="173"/>
    </row>
    <row r="91" spans="5:5">
      <c r="E91" s="173"/>
    </row>
    <row r="92" spans="5:5">
      <c r="E92" s="173"/>
    </row>
    <row r="93" spans="5:5">
      <c r="E93" s="173"/>
    </row>
    <row r="94" spans="5:5">
      <c r="E94" s="173"/>
    </row>
    <row r="95" spans="5:5">
      <c r="E95" s="173"/>
    </row>
    <row r="96" spans="5:5">
      <c r="E96" s="173"/>
    </row>
    <row r="97" spans="5:5">
      <c r="E97" s="173"/>
    </row>
    <row r="98" spans="5:5">
      <c r="E98" s="173"/>
    </row>
    <row r="99" spans="5:5">
      <c r="E99" s="173"/>
    </row>
    <row r="100" spans="5:5">
      <c r="E100" s="173"/>
    </row>
    <row r="101" spans="5:5">
      <c r="E101" s="173"/>
    </row>
    <row r="102" spans="5:5">
      <c r="E102" s="173"/>
    </row>
    <row r="103" spans="5:5">
      <c r="E103" s="173"/>
    </row>
    <row r="104" spans="5:5">
      <c r="E104" s="173"/>
    </row>
    <row r="105" spans="5:5">
      <c r="E105" s="173"/>
    </row>
    <row r="106" spans="5:5">
      <c r="E106" s="173"/>
    </row>
    <row r="107" spans="5:5">
      <c r="E107" s="173"/>
    </row>
    <row r="108" spans="5:5">
      <c r="E108" s="173"/>
    </row>
    <row r="109" spans="5:5">
      <c r="E109" s="173"/>
    </row>
    <row r="110" spans="5:5">
      <c r="E110" s="173"/>
    </row>
    <row r="111" spans="5:5">
      <c r="E111" s="173"/>
    </row>
    <row r="112" spans="5:5">
      <c r="E112" s="173"/>
    </row>
    <row r="113" spans="5:5">
      <c r="E113" s="173"/>
    </row>
    <row r="114" spans="5:5">
      <c r="E114" s="173"/>
    </row>
    <row r="115" spans="5:5">
      <c r="E115" s="173"/>
    </row>
    <row r="116" spans="5:5">
      <c r="E116" s="173"/>
    </row>
    <row r="117" spans="5:5">
      <c r="E117" s="173"/>
    </row>
    <row r="118" spans="5:5">
      <c r="E118" s="173"/>
    </row>
    <row r="119" spans="5:5">
      <c r="E119" s="173"/>
    </row>
    <row r="120" spans="5:5">
      <c r="E120" s="173"/>
    </row>
    <row r="121" spans="5:5">
      <c r="E121" s="173"/>
    </row>
    <row r="122" spans="5:5">
      <c r="E122" s="173"/>
    </row>
    <row r="123" spans="5:5">
      <c r="E123" s="173"/>
    </row>
    <row r="124" spans="5:5">
      <c r="E124" s="173"/>
    </row>
    <row r="125" spans="5:5">
      <c r="E125" s="173"/>
    </row>
    <row r="126" spans="5:5">
      <c r="E126" s="173"/>
    </row>
    <row r="127" spans="5:5">
      <c r="E127" s="173"/>
    </row>
    <row r="128" spans="5:5">
      <c r="E128" s="173"/>
    </row>
    <row r="129" spans="5:5">
      <c r="E129" s="173"/>
    </row>
    <row r="130" spans="5:5">
      <c r="E130" s="173"/>
    </row>
    <row r="131" spans="5:5">
      <c r="E131" s="173"/>
    </row>
    <row r="132" spans="5:5">
      <c r="E132" s="173"/>
    </row>
    <row r="133" spans="5:5">
      <c r="E133" s="173"/>
    </row>
    <row r="134" spans="5:5">
      <c r="E134" s="173"/>
    </row>
    <row r="135" spans="5:5">
      <c r="E135" s="173"/>
    </row>
    <row r="136" spans="5:5">
      <c r="E136" s="173"/>
    </row>
  </sheetData>
  <mergeCells count="1">
    <mergeCell ref="A1:C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11"/>
  <dimension ref="A1:F10"/>
  <sheetViews>
    <sheetView showGridLines="0" workbookViewId="0">
      <selection activeCell="C17" sqref="C17"/>
    </sheetView>
  </sheetViews>
  <sheetFormatPr baseColWidth="10" defaultColWidth="11.42578125" defaultRowHeight="15"/>
  <cols>
    <col min="1" max="1" width="4.85546875" bestFit="1" customWidth="1"/>
    <col min="2" max="2" width="85.7109375" bestFit="1" customWidth="1"/>
    <col min="3" max="3" width="10.5703125" customWidth="1"/>
    <col min="4" max="4" width="15.28515625" bestFit="1" customWidth="1"/>
    <col min="5" max="5" width="24.5703125" bestFit="1" customWidth="1"/>
  </cols>
  <sheetData>
    <row r="1" spans="1:6" s="20" customFormat="1" ht="15.75" thickBot="1">
      <c r="A1" s="19" t="s">
        <v>1131</v>
      </c>
      <c r="B1" s="19" t="s">
        <v>1132</v>
      </c>
      <c r="C1" s="19" t="s">
        <v>1133</v>
      </c>
      <c r="D1" s="9" t="s">
        <v>1134</v>
      </c>
      <c r="E1" s="9" t="s">
        <v>1135</v>
      </c>
      <c r="F1" s="9" t="s">
        <v>1136</v>
      </c>
    </row>
    <row r="2" spans="1:6">
      <c r="A2" s="2">
        <v>1</v>
      </c>
      <c r="B2" s="2" t="s">
        <v>1137</v>
      </c>
      <c r="C2" t="s">
        <v>385</v>
      </c>
      <c r="D2" t="s">
        <v>1105</v>
      </c>
      <c r="E2" s="7" t="s">
        <v>1138</v>
      </c>
      <c r="F2" s="7" t="s">
        <v>1139</v>
      </c>
    </row>
    <row r="3" spans="1:6">
      <c r="A3" s="2">
        <v>2</v>
      </c>
      <c r="B3" s="2" t="s">
        <v>1140</v>
      </c>
      <c r="C3" t="s">
        <v>776</v>
      </c>
      <c r="D3" t="s">
        <v>1141</v>
      </c>
      <c r="E3" s="8" t="s">
        <v>1142</v>
      </c>
      <c r="F3" s="8" t="s">
        <v>1143</v>
      </c>
    </row>
    <row r="4" spans="1:6">
      <c r="A4" s="2">
        <v>3</v>
      </c>
      <c r="B4" s="2" t="s">
        <v>1144</v>
      </c>
      <c r="E4" s="8" t="s">
        <v>1145</v>
      </c>
      <c r="F4" s="8"/>
    </row>
    <row r="5" spans="1:6">
      <c r="A5" s="2">
        <v>4</v>
      </c>
      <c r="B5" s="2" t="s">
        <v>1146</v>
      </c>
      <c r="E5" s="8" t="s">
        <v>1147</v>
      </c>
    </row>
    <row r="6" spans="1:6">
      <c r="A6" s="2">
        <v>5</v>
      </c>
      <c r="B6" s="2" t="s">
        <v>1148</v>
      </c>
    </row>
    <row r="7" spans="1:6">
      <c r="A7" s="2">
        <v>6</v>
      </c>
      <c r="B7" s="2" t="s">
        <v>1149</v>
      </c>
    </row>
    <row r="8" spans="1:6">
      <c r="A8" s="2">
        <v>7</v>
      </c>
      <c r="B8" s="2" t="s">
        <v>1150</v>
      </c>
    </row>
    <row r="9" spans="1:6">
      <c r="A9" s="2">
        <v>8</v>
      </c>
      <c r="B9" s="2" t="s">
        <v>1151</v>
      </c>
    </row>
    <row r="10" spans="1:6">
      <c r="A10" s="2">
        <v>9</v>
      </c>
      <c r="B10" s="2" t="s">
        <v>1152</v>
      </c>
    </row>
  </sheetData>
  <customSheetViews>
    <customSheetView guid="{DE67EBC3-31FE-423B-B030-1FFACB67D900}" showGridLines="0" state="veryHidden">
      <selection activeCell="C17" sqref="C17"/>
      <pageMargins left="0" right="0" top="0" bottom="0" header="0" footer="0"/>
      <pageSetup scale="78" orientation="portrait" r:id="rId1"/>
    </customSheetView>
    <customSheetView guid="{098B2E87-9C52-4BA2-B1C3-E2EE72C3347E}" showGridLines="0" state="veryHidden">
      <selection activeCell="C17" sqref="C17"/>
      <pageMargins left="0" right="0" top="0" bottom="0" header="0" footer="0"/>
      <pageSetup scale="78" orientation="portrait" r:id="rId2"/>
    </customSheetView>
  </customSheetViews>
  <phoneticPr fontId="21" type="noConversion"/>
  <pageMargins left="0.7" right="0.7" top="0.75" bottom="0.75" header="0.3" footer="0.3"/>
  <pageSetup scale="78"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AE28A-4F11-4F25-A14E-F3B7DF1324BC}">
  <sheetPr codeName="Hoja13">
    <tabColor rgb="FFFF0000"/>
    <pageSetUpPr fitToPage="1"/>
  </sheetPr>
  <dimension ref="A1:H553"/>
  <sheetViews>
    <sheetView showGridLines="0" topLeftCell="A6" zoomScaleNormal="100" workbookViewId="0">
      <selection activeCell="D29" sqref="D29"/>
    </sheetView>
  </sheetViews>
  <sheetFormatPr baseColWidth="10" defaultColWidth="0" defaultRowHeight="15" zeroHeight="1"/>
  <cols>
    <col min="1" max="1" width="3.85546875" style="128" customWidth="1"/>
    <col min="2" max="2" width="6" style="128" customWidth="1"/>
    <col min="3" max="3" width="12.7109375" style="128" customWidth="1"/>
    <col min="4" max="4" width="74" style="128" customWidth="1"/>
    <col min="5" max="5" width="15.7109375" style="128" customWidth="1"/>
    <col min="6" max="6" width="14.42578125" style="128" customWidth="1"/>
    <col min="7" max="8" width="11.42578125" style="128" customWidth="1"/>
    <col min="9" max="16384" width="11.42578125" style="128" hidden="1"/>
  </cols>
  <sheetData>
    <row r="1" spans="1:6" s="4" customFormat="1" ht="15" customHeight="1">
      <c r="A1" s="121"/>
      <c r="B1" s="121"/>
      <c r="C1" s="850" t="s">
        <v>0</v>
      </c>
      <c r="D1" s="850"/>
      <c r="E1" s="850"/>
      <c r="F1" s="850"/>
    </row>
    <row r="2" spans="1:6" s="2" customFormat="1" ht="15" customHeight="1">
      <c r="A2" s="123"/>
      <c r="B2" s="123"/>
      <c r="C2" s="850" t="s">
        <v>1</v>
      </c>
      <c r="D2" s="850"/>
      <c r="E2" s="850"/>
      <c r="F2" s="850"/>
    </row>
    <row r="3" spans="1:6" s="2" customFormat="1" ht="15" customHeight="1">
      <c r="A3" s="123"/>
      <c r="B3" s="123"/>
      <c r="C3" s="850" t="s">
        <v>1153</v>
      </c>
      <c r="D3" s="850"/>
      <c r="E3" s="850"/>
      <c r="F3" s="850"/>
    </row>
    <row r="4" spans="1:6" s="2" customFormat="1" ht="12.75" customHeight="1">
      <c r="A4" s="123"/>
      <c r="B4" s="123"/>
      <c r="C4" s="850" t="s">
        <v>1154</v>
      </c>
      <c r="D4" s="850"/>
      <c r="E4" s="850"/>
      <c r="F4" s="850"/>
    </row>
    <row r="5" spans="1:6" s="2" customFormat="1" ht="12.75">
      <c r="A5" s="123"/>
      <c r="B5" s="122"/>
      <c r="C5" s="122"/>
      <c r="D5" s="3"/>
      <c r="E5" s="57"/>
      <c r="F5" s="57"/>
    </row>
    <row r="6" spans="1:6" s="2" customFormat="1" ht="12.75">
      <c r="A6" s="123"/>
      <c r="B6" s="123"/>
      <c r="C6" s="850" t="s">
        <v>4</v>
      </c>
      <c r="D6" s="850"/>
      <c r="E6" s="850"/>
      <c r="F6" s="850"/>
    </row>
    <row r="7" spans="1:6" s="2" customFormat="1" ht="12.75">
      <c r="A7" s="123"/>
      <c r="B7" s="123"/>
      <c r="C7" s="850" t="s">
        <v>1155</v>
      </c>
      <c r="D7" s="850"/>
      <c r="E7" s="850"/>
      <c r="F7" s="850"/>
    </row>
    <row r="8" spans="1:6" s="2" customFormat="1" ht="12.75" customHeight="1">
      <c r="A8" s="123"/>
      <c r="B8" s="122"/>
      <c r="C8" s="122"/>
      <c r="D8" s="3"/>
      <c r="E8" s="57"/>
      <c r="F8" s="57"/>
    </row>
    <row r="9" spans="1:6"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c r="F9" s="850"/>
    </row>
    <row r="10" spans="1:6" s="2" customFormat="1" ht="12.75" customHeight="1">
      <c r="A10" s="123"/>
      <c r="B10" s="122"/>
      <c r="C10" s="122"/>
      <c r="D10" s="3"/>
      <c r="E10" s="57"/>
      <c r="F10" s="57"/>
    </row>
    <row r="11" spans="1:6" s="2" customFormat="1" ht="12.75">
      <c r="A11" s="123"/>
      <c r="B11" s="123"/>
      <c r="C11" s="851"/>
      <c r="D11" s="851"/>
      <c r="E11" s="851"/>
      <c r="F11" s="851"/>
    </row>
    <row r="12" spans="1:6" s="2" customFormat="1" ht="15.75">
      <c r="A12" s="123"/>
      <c r="B12" s="124"/>
      <c r="C12" s="124"/>
      <c r="D12" s="125"/>
      <c r="E12" s="57"/>
      <c r="F12" s="57"/>
    </row>
    <row r="13" spans="1:6" s="2" customFormat="1" ht="12.75">
      <c r="A13" s="123"/>
      <c r="B13" s="123"/>
      <c r="C13" s="693" t="s">
        <v>1098</v>
      </c>
      <c r="D13" s="693"/>
      <c r="E13" s="693"/>
      <c r="F13" s="693"/>
    </row>
    <row r="14" spans="1:6" ht="21.75" customHeight="1">
      <c r="A14" s="126"/>
      <c r="B14" s="126"/>
      <c r="C14" s="693" t="s">
        <v>1156</v>
      </c>
      <c r="D14" s="693"/>
      <c r="E14" s="693"/>
      <c r="F14" s="614"/>
    </row>
    <row r="15" spans="1:6" ht="15.75" thickBot="1"/>
    <row r="16" spans="1:6" ht="24" customHeight="1" thickTop="1">
      <c r="B16" s="878" t="s">
        <v>1157</v>
      </c>
      <c r="C16" s="848" t="s">
        <v>1100</v>
      </c>
      <c r="D16" s="852" t="s">
        <v>139</v>
      </c>
      <c r="E16" s="856" t="s">
        <v>1158</v>
      </c>
    </row>
    <row r="17" spans="2:5" ht="39" customHeight="1" thickBot="1">
      <c r="B17" s="879"/>
      <c r="C17" s="849"/>
      <c r="D17" s="853"/>
      <c r="E17" s="857"/>
    </row>
    <row r="18" spans="2:5" ht="4.5" customHeight="1">
      <c r="B18" s="129"/>
      <c r="C18" s="129"/>
      <c r="D18" s="130"/>
      <c r="E18" s="131"/>
    </row>
    <row r="19" spans="2:5">
      <c r="B19" s="132">
        <f>ROW()-18</f>
        <v>1</v>
      </c>
      <c r="C19" s="132">
        <f>PROPONENTES!C19</f>
        <v>1</v>
      </c>
      <c r="D19" s="133" t="str">
        <f>VLOOKUP(C19,PROPONENTES!$C$19:$D$108,2,FALSE)</f>
        <v>PROYECTOS URBANOS &amp; CONSTRUCCIONES DEL CARIBE S.A.S</v>
      </c>
      <c r="E19" s="134" t="s">
        <v>776</v>
      </c>
    </row>
    <row r="20" spans="2:5">
      <c r="B20" s="132">
        <f t="shared" ref="B20:B83" si="0">ROW()-18</f>
        <v>2</v>
      </c>
      <c r="C20" s="132">
        <f>PROPONENTES!C20</f>
        <v>2</v>
      </c>
      <c r="D20" s="133" t="str">
        <f>VLOOKUP(C20,PROPONENTES!$C$19:$D$108,2,FALSE)</f>
        <v>MIGUEL MORALES INGENIERIA SAS</v>
      </c>
      <c r="E20" s="134" t="s">
        <v>776</v>
      </c>
    </row>
    <row r="21" spans="2:5">
      <c r="B21" s="132">
        <f t="shared" si="0"/>
        <v>3</v>
      </c>
      <c r="C21" s="132">
        <f>PROPONENTES!C21</f>
        <v>3</v>
      </c>
      <c r="D21" s="133" t="str">
        <f>VLOOKUP(C21,PROPONENTES!$C$19:$D$108,2,FALSE)</f>
        <v>CONSULTORES DONOVAN SAS</v>
      </c>
      <c r="E21" s="134" t="s">
        <v>776</v>
      </c>
    </row>
    <row r="22" spans="2:5">
      <c r="B22" s="132">
        <f t="shared" si="0"/>
        <v>4</v>
      </c>
      <c r="C22" s="132">
        <f>PROPONENTES!C22</f>
        <v>4</v>
      </c>
      <c r="D22" s="133" t="str">
        <f>VLOOKUP(C22,PROPONENTES!$C$19:$D$108,2,FALSE)</f>
        <v>COMPAÑIA DE PROYECTOS TÉCNICOS CPT S.A</v>
      </c>
      <c r="E22" s="134" t="s">
        <v>776</v>
      </c>
    </row>
    <row r="23" spans="2:5">
      <c r="B23" s="132">
        <f t="shared" si="0"/>
        <v>5</v>
      </c>
      <c r="C23" s="132">
        <f>PROPONENTES!C23</f>
        <v>5</v>
      </c>
      <c r="D23" s="133" t="str">
        <f>VLOOKUP(C23,PROPONENTES!$C$19:$D$108,2,FALSE)</f>
        <v>GAVINCO INGENIEROS CONSULTORES SAS</v>
      </c>
      <c r="E23" s="134" t="s">
        <v>776</v>
      </c>
    </row>
    <row r="24" spans="2:5">
      <c r="B24" s="132">
        <f t="shared" si="0"/>
        <v>6</v>
      </c>
      <c r="C24" s="132">
        <f>PROPONENTES!C24</f>
        <v>6</v>
      </c>
      <c r="D24" s="133" t="str">
        <f>VLOOKUP(C24,PROPONENTES!$C$19:$D$108,2,FALSE)</f>
        <v>RD INGENIEROS CIVILES SAS</v>
      </c>
      <c r="E24" s="134" t="s">
        <v>776</v>
      </c>
    </row>
    <row r="25" spans="2:5">
      <c r="B25" s="132">
        <f t="shared" si="0"/>
        <v>7</v>
      </c>
      <c r="C25" s="132">
        <f>PROPONENTES!C25</f>
        <v>7</v>
      </c>
      <c r="D25" s="133" t="str">
        <f>VLOOKUP(C25,PROPONENTES!$C$19:$D$108,2,FALSE)</f>
        <v>CONSORCIO FEEC TOLIMA</v>
      </c>
      <c r="E25" s="134" t="s">
        <v>776</v>
      </c>
    </row>
    <row r="26" spans="2:5">
      <c r="B26" s="132">
        <f t="shared" si="0"/>
        <v>8</v>
      </c>
      <c r="C26" s="132">
        <f>PROPONENTES!C26</f>
        <v>8</v>
      </c>
      <c r="D26" s="133" t="str">
        <f>VLOOKUP(C26,PROPONENTES!$C$19:$D$108,2,FALSE)</f>
        <v>CARLOS ALBERTO PALTA MUÑOZ</v>
      </c>
      <c r="E26" s="134" t="s">
        <v>776</v>
      </c>
    </row>
    <row r="27" spans="2:5">
      <c r="B27" s="132">
        <f t="shared" si="0"/>
        <v>9</v>
      </c>
      <c r="C27" s="132">
        <f>PROPONENTES!C27</f>
        <v>9</v>
      </c>
      <c r="D27" s="133" t="str">
        <f>VLOOKUP(C27,PROPONENTES!$C$19:$D$108,2,FALSE)</f>
        <v>CONSORCIO GMC</v>
      </c>
      <c r="E27" s="134" t="s">
        <v>776</v>
      </c>
    </row>
    <row r="28" spans="2:5">
      <c r="B28" s="132">
        <f t="shared" si="0"/>
        <v>10</v>
      </c>
      <c r="C28" s="132">
        <f>PROPONENTES!C28</f>
        <v>10</v>
      </c>
      <c r="D28" s="133" t="str">
        <f>VLOOKUP(C28,PROPONENTES!$C$19:$D$108,2,FALSE)</f>
        <v>R&amp;M CONSTRUCCIONES E INTERVENTORIAS S.A.S</v>
      </c>
      <c r="E28" s="134" t="s">
        <v>776</v>
      </c>
    </row>
    <row r="29" spans="2:5">
      <c r="B29" s="132">
        <f t="shared" si="0"/>
        <v>11</v>
      </c>
      <c r="C29" s="132">
        <f>PROPONENTES!C29</f>
        <v>11</v>
      </c>
      <c r="D29" s="133" t="str">
        <f>VLOOKUP(C29,PROPONENTES!$C$19:$D$108,2,FALSE)</f>
        <v>CUBIKO OBRAS Y CONSULTORÍAS SAS</v>
      </c>
      <c r="E29" s="134" t="s">
        <v>776</v>
      </c>
    </row>
    <row r="30" spans="2:5">
      <c r="B30" s="132">
        <f t="shared" si="0"/>
        <v>12</v>
      </c>
      <c r="C30" s="132">
        <f>PROPONENTES!C30</f>
        <v>12</v>
      </c>
      <c r="D30" s="133" t="str">
        <f>VLOOKUP(C30,PROPONENTES!$C$19:$D$108,2,FALSE)</f>
        <v>CONSTRUCTORES DEL DESARROLLO TERRITORIAL CONSTRUDET Y COMPAÑÍA LTDA</v>
      </c>
      <c r="E30" s="134" t="s">
        <v>776</v>
      </c>
    </row>
    <row r="31" spans="2:5">
      <c r="B31" s="132">
        <f t="shared" si="0"/>
        <v>13</v>
      </c>
      <c r="C31" s="132">
        <f>PROPONENTES!C31</f>
        <v>13</v>
      </c>
      <c r="D31" s="133" t="str">
        <f>VLOOKUP(C31,PROPONENTES!$C$19:$D$108,2,FALSE)</f>
        <v>NICOLAS REDONDO MOLINA</v>
      </c>
      <c r="E31" s="134" t="s">
        <v>776</v>
      </c>
    </row>
    <row r="32" spans="2:5">
      <c r="B32" s="132">
        <f t="shared" si="0"/>
        <v>14</v>
      </c>
      <c r="C32" s="132">
        <f>PROPONENTES!C32</f>
        <v>14</v>
      </c>
      <c r="D32" s="133" t="str">
        <f>VLOOKUP(C32,PROPONENTES!$C$19:$D$108,2,FALSE)</f>
        <v>CONSORCIO INTER CB 2022</v>
      </c>
      <c r="E32" s="134" t="s">
        <v>776</v>
      </c>
    </row>
    <row r="33" spans="2:5">
      <c r="B33" s="132">
        <f t="shared" si="0"/>
        <v>15</v>
      </c>
      <c r="C33" s="132">
        <f>PROPONENTES!C33</f>
        <v>15</v>
      </c>
      <c r="D33" s="133" t="str">
        <f>VLOOKUP(C33,PROPONENTES!$C$19:$D$108,2,FALSE)</f>
        <v>EMPROCIV SAS</v>
      </c>
      <c r="E33" s="134" t="s">
        <v>776</v>
      </c>
    </row>
    <row r="34" spans="2:5">
      <c r="B34" s="132">
        <f t="shared" si="0"/>
        <v>16</v>
      </c>
      <c r="C34" s="132">
        <f>PROPONENTES!C34</f>
        <v>16</v>
      </c>
      <c r="D34" s="133" t="str">
        <f>VLOOKUP(C34,PROPONENTES!$C$19:$D$108,2,FALSE)</f>
        <v>CONSORCIO CAMCO</v>
      </c>
      <c r="E34" s="134" t="s">
        <v>776</v>
      </c>
    </row>
    <row r="35" spans="2:5">
      <c r="B35" s="132">
        <f t="shared" si="0"/>
        <v>17</v>
      </c>
      <c r="C35" s="132">
        <f>PROPONENTES!C35</f>
        <v>17</v>
      </c>
      <c r="D35" s="133" t="str">
        <f>VLOOKUP(C35,PROPONENTES!$C$19:$D$108,2,FALSE)</f>
        <v>ARCA AQUITECTURA E INGENIERÍA S.A</v>
      </c>
      <c r="E35" s="134" t="s">
        <v>776</v>
      </c>
    </row>
    <row r="36" spans="2:5">
      <c r="B36" s="132">
        <f t="shared" si="0"/>
        <v>18</v>
      </c>
      <c r="C36" s="132">
        <f>PROPONENTES!C36</f>
        <v>18</v>
      </c>
      <c r="D36" s="133" t="str">
        <f>VLOOKUP(C36,PROPONENTES!$C$19:$D$108,2,FALSE)</f>
        <v>ALPHA INGENIERIA INTEGRAL SAS</v>
      </c>
      <c r="E36" s="134" t="s">
        <v>776</v>
      </c>
    </row>
    <row r="37" spans="2:5">
      <c r="B37" s="132">
        <f t="shared" si="0"/>
        <v>19</v>
      </c>
      <c r="C37" s="132">
        <f>PROPONENTES!C37</f>
        <v>19</v>
      </c>
      <c r="D37" s="133" t="str">
        <f>VLOOKUP(C37,PROPONENTES!$C$19:$D$108,2,FALSE)</f>
        <v>ELSA MARIA RUEDA LANDINEZ INGENIERIA SAS</v>
      </c>
      <c r="E37" s="134" t="s">
        <v>776</v>
      </c>
    </row>
    <row r="38" spans="2:5">
      <c r="B38" s="132">
        <f t="shared" si="0"/>
        <v>20</v>
      </c>
      <c r="C38" s="132">
        <f>PROPONENTES!C38</f>
        <v>20</v>
      </c>
      <c r="D38" s="133" t="str">
        <f>VLOOKUP(C38,PROPONENTES!$C$19:$D$108,2,FALSE)</f>
        <v>PROES INGENIERÍA S.A.S</v>
      </c>
      <c r="E38" s="134" t="s">
        <v>776</v>
      </c>
    </row>
    <row r="39" spans="2:5">
      <c r="B39" s="132">
        <f t="shared" si="0"/>
        <v>21</v>
      </c>
      <c r="C39" s="132">
        <f>PROPONENTES!C39</f>
        <v>21</v>
      </c>
      <c r="D39" s="133" t="str">
        <f>VLOOKUP(C39,PROPONENTES!$C$19:$D$108,2,FALSE)</f>
        <v>INGENIEROS CONSULTORES Y CONSTRUCTORES ARG SAS</v>
      </c>
      <c r="E39" s="134" t="s">
        <v>776</v>
      </c>
    </row>
    <row r="40" spans="2:5">
      <c r="B40" s="132">
        <f t="shared" si="0"/>
        <v>22</v>
      </c>
      <c r="C40" s="132">
        <f>PROPONENTES!C40</f>
        <v>22</v>
      </c>
      <c r="D40" s="133" t="str">
        <f>VLOOKUP(C40,PROPONENTES!$C$19:$D$108,2,FALSE)</f>
        <v>CONSORCIO GABRIELA TOLIMA</v>
      </c>
      <c r="E40" s="134" t="s">
        <v>776</v>
      </c>
    </row>
    <row r="41" spans="2:5">
      <c r="B41" s="132">
        <f t="shared" si="0"/>
        <v>23</v>
      </c>
      <c r="C41" s="132">
        <f>PROPONENTES!C41</f>
        <v>23</v>
      </c>
      <c r="D41" s="133" t="str">
        <f>VLOOKUP(C41,PROPONENTES!$C$19:$D$108,2,FALSE)</f>
        <v>VELNEC S.A</v>
      </c>
      <c r="E41" s="134" t="s">
        <v>776</v>
      </c>
    </row>
    <row r="42" spans="2:5">
      <c r="B42" s="132">
        <f t="shared" si="0"/>
        <v>24</v>
      </c>
      <c r="C42" s="132">
        <f>PROPONENTES!C42</f>
        <v>24</v>
      </c>
      <c r="D42" s="133" t="str">
        <f>VLOOKUP(C42,PROPONENTES!$C$19:$D$108,2,FALSE)</f>
        <v>ARQUITECTOS  INGENIEROS CONSTRUCTORES S.A.S</v>
      </c>
      <c r="E42" s="134" t="s">
        <v>776</v>
      </c>
    </row>
    <row r="43" spans="2:5">
      <c r="B43" s="132">
        <f t="shared" si="0"/>
        <v>25</v>
      </c>
      <c r="C43" s="132">
        <f>PROPONENTES!C43</f>
        <v>25</v>
      </c>
      <c r="D43" s="133" t="str">
        <f>VLOOKUP(C43,PROPONENTES!$C$19:$D$108,2,FALSE)</f>
        <v>CONSORCIO RUTA TOLIMA 1</v>
      </c>
      <c r="E43" s="134" t="s">
        <v>776</v>
      </c>
    </row>
    <row r="44" spans="2:5">
      <c r="B44" s="132">
        <f t="shared" si="0"/>
        <v>26</v>
      </c>
      <c r="C44" s="132">
        <f>PROPONENTES!C44</f>
        <v>26</v>
      </c>
      <c r="D44" s="133" t="str">
        <f>VLOOKUP(C44,PROPONENTES!$C$19:$D$108,2,FALSE)</f>
        <v>INGENIEROS CONSTRUCTORES Y ASESORES SAS</v>
      </c>
      <c r="E44" s="134" t="s">
        <v>776</v>
      </c>
    </row>
    <row r="45" spans="2:5">
      <c r="B45" s="132">
        <f t="shared" si="0"/>
        <v>27</v>
      </c>
      <c r="C45" s="132">
        <f>PROPONENTES!C45</f>
        <v>27</v>
      </c>
      <c r="D45" s="133" t="str">
        <f>VLOOKUP(C45,PROPONENTES!$C$19:$D$108,2,FALSE)</f>
        <v>CONSULTORIA Y CONSTRUCCIONES DARLEV SAS</v>
      </c>
      <c r="E45" s="134" t="s">
        <v>776</v>
      </c>
    </row>
    <row r="46" spans="2:5">
      <c r="B46" s="132">
        <f t="shared" si="0"/>
        <v>28</v>
      </c>
      <c r="C46" s="132">
        <f>PROPONENTES!C46</f>
        <v>28</v>
      </c>
      <c r="D46" s="133" t="str">
        <f>VLOOKUP(C46,PROPONENTES!$C$19:$D$108,2,FALSE)</f>
        <v>CONSORCIO TOLIMA</v>
      </c>
      <c r="E46" s="134" t="s">
        <v>776</v>
      </c>
    </row>
    <row r="47" spans="2:5">
      <c r="B47" s="132">
        <f t="shared" si="0"/>
        <v>29</v>
      </c>
      <c r="C47" s="132">
        <f>PROPONENTES!C47</f>
        <v>29</v>
      </c>
      <c r="D47" s="133" t="str">
        <f>VLOOKUP(C47,PROPONENTES!$C$19:$D$108,2,FALSE)</f>
        <v>CONSORCIO MT 2022 TOLIMA</v>
      </c>
      <c r="E47" s="134" t="s">
        <v>776</v>
      </c>
    </row>
    <row r="48" spans="2:5">
      <c r="B48" s="132">
        <f t="shared" si="0"/>
        <v>30</v>
      </c>
      <c r="C48" s="132">
        <f>PROPONENTES!C48</f>
        <v>30</v>
      </c>
      <c r="D48" s="133" t="str">
        <f>VLOOKUP(C48,PROPONENTES!$C$19:$D$108,2,FALSE)</f>
        <v>CONSORCIO INTER TOLIMA</v>
      </c>
      <c r="E48" s="134" t="s">
        <v>776</v>
      </c>
    </row>
    <row r="49" spans="2:5">
      <c r="B49" s="132">
        <f t="shared" si="0"/>
        <v>31</v>
      </c>
      <c r="C49" s="132">
        <f>PROPONENTES!C49</f>
        <v>31</v>
      </c>
      <c r="D49" s="133" t="str">
        <f>VLOOKUP(C49,PROPONENTES!$C$19:$D$108,2,FALSE)</f>
        <v>INGENIERIA MASTER S.A.S.</v>
      </c>
      <c r="E49" s="134" t="s">
        <v>776</v>
      </c>
    </row>
    <row r="50" spans="2:5">
      <c r="B50" s="132">
        <f t="shared" si="0"/>
        <v>32</v>
      </c>
      <c r="C50" s="132">
        <f>PROPONENTES!C50</f>
        <v>32</v>
      </c>
      <c r="D50" s="133" t="str">
        <f>VLOOKUP(C50,PROPONENTES!$C$19:$D$108,2,FALSE)</f>
        <v xml:space="preserve">GYG CONSTRUCCIONES S.A.S. </v>
      </c>
      <c r="E50" s="134" t="s">
        <v>776</v>
      </c>
    </row>
    <row r="51" spans="2:5">
      <c r="B51" s="132">
        <f t="shared" si="0"/>
        <v>33</v>
      </c>
      <c r="C51" s="132">
        <f>PROPONENTES!C51</f>
        <v>33</v>
      </c>
      <c r="D51" s="133" t="str">
        <f>VLOOKUP(C51,PROPONENTES!$C$19:$D$108,2,FALSE)</f>
        <v>CONSORCIO TOLIMA RURAL</v>
      </c>
      <c r="E51" s="134" t="s">
        <v>776</v>
      </c>
    </row>
    <row r="52" spans="2:5">
      <c r="B52" s="132">
        <f t="shared" si="0"/>
        <v>34</v>
      </c>
      <c r="C52" s="132">
        <f>PROPONENTES!C52</f>
        <v>34</v>
      </c>
      <c r="D52" s="133" t="str">
        <f>VLOOKUP(C52,PROPONENTES!$C$19:$D$108,2,FALSE)</f>
        <v>CONSORCIO OPHAIH 2022</v>
      </c>
      <c r="E52" s="134" t="s">
        <v>776</v>
      </c>
    </row>
    <row r="53" spans="2:5">
      <c r="B53" s="132">
        <f t="shared" si="0"/>
        <v>35</v>
      </c>
      <c r="C53" s="132">
        <f>PROPONENTES!C53</f>
        <v>35</v>
      </c>
      <c r="D53" s="133" t="str">
        <f>VLOOKUP(C53,PROPONENTES!$C$19:$D$108,2,FALSE)</f>
        <v xml:space="preserve">ING INGENIERIA SAS </v>
      </c>
      <c r="E53" s="134" t="s">
        <v>776</v>
      </c>
    </row>
    <row r="54" spans="2:5">
      <c r="B54" s="132">
        <f t="shared" si="0"/>
        <v>36</v>
      </c>
      <c r="C54" s="132">
        <f>PROPONENTES!C54</f>
        <v>36</v>
      </c>
      <c r="D54" s="133" t="str">
        <f>VLOOKUP(C54,PROPONENTES!$C$19:$D$108,2,FALSE)</f>
        <v>EJE GROUP S.A.S</v>
      </c>
      <c r="E54" s="134" t="s">
        <v>776</v>
      </c>
    </row>
    <row r="55" spans="2:5">
      <c r="B55" s="132">
        <f t="shared" si="0"/>
        <v>37</v>
      </c>
      <c r="C55" s="132">
        <f>PROPONENTES!C55</f>
        <v>37</v>
      </c>
      <c r="D55" s="133" t="str">
        <f>VLOOKUP(C55,PROPONENTES!$C$19:$D$108,2,FALSE)</f>
        <v>JORES INGENIERIA LTDA. JORES LTDA</v>
      </c>
      <c r="E55" s="134" t="s">
        <v>776</v>
      </c>
    </row>
    <row r="56" spans="2:5">
      <c r="B56" s="132">
        <f t="shared" si="0"/>
        <v>38</v>
      </c>
      <c r="C56" s="132">
        <f>PROPONENTES!C56</f>
        <v>38</v>
      </c>
      <c r="D56" s="133" t="str">
        <f>VLOOKUP(C56,PROPONENTES!$C$19:$D$108,2,FALSE)</f>
        <v>CONSORCIO INTERTOLIMA CR</v>
      </c>
      <c r="E56" s="134" t="s">
        <v>776</v>
      </c>
    </row>
    <row r="57" spans="2:5">
      <c r="B57" s="132">
        <f t="shared" si="0"/>
        <v>39</v>
      </c>
      <c r="C57" s="132">
        <f>PROPONENTES!C57</f>
        <v>39</v>
      </c>
      <c r="D57" s="133" t="str">
        <f>VLOOKUP(C57,PROPONENTES!$C$19:$D$108,2,FALSE)</f>
        <v>CONSORCIO TOLIMA G2</v>
      </c>
      <c r="E57" s="134" t="s">
        <v>776</v>
      </c>
    </row>
    <row r="58" spans="2:5">
      <c r="B58" s="132">
        <f t="shared" si="0"/>
        <v>40</v>
      </c>
      <c r="C58" s="132">
        <f>PROPONENTES!C58</f>
        <v>40</v>
      </c>
      <c r="D58" s="133" t="str">
        <f>VLOOKUP(C58,PROPONENTES!$C$19:$D$108,2,FALSE)</f>
        <v>CONSORCIO INVIAS 001</v>
      </c>
      <c r="E58" s="134" t="s">
        <v>776</v>
      </c>
    </row>
    <row r="59" spans="2:5">
      <c r="B59" s="132">
        <f t="shared" si="0"/>
        <v>41</v>
      </c>
      <c r="C59" s="132">
        <f>PROPONENTES!C59</f>
        <v>41</v>
      </c>
      <c r="D59" s="133" t="str">
        <f>VLOOKUP(C59,PROPONENTES!$C$19:$D$108,2,FALSE)</f>
        <v>CONSORCIO SF</v>
      </c>
      <c r="E59" s="134" t="s">
        <v>776</v>
      </c>
    </row>
    <row r="60" spans="2:5">
      <c r="B60" s="132">
        <f t="shared" si="0"/>
        <v>42</v>
      </c>
      <c r="C60" s="132">
        <f>PROPONENTES!C60</f>
        <v>42</v>
      </c>
      <c r="D60" s="133" t="str">
        <f>VLOOKUP(C60,PROPONENTES!$C$19:$D$108,2,FALSE)</f>
        <v>CONSORCIO VIAL ORIEMH”</v>
      </c>
      <c r="E60" s="134" t="s">
        <v>776</v>
      </c>
    </row>
    <row r="61" spans="2:5">
      <c r="B61" s="132">
        <f t="shared" si="0"/>
        <v>43</v>
      </c>
      <c r="C61" s="132">
        <f>PROPONENTES!C61</f>
        <v>43</v>
      </c>
      <c r="D61" s="133" t="str">
        <f>VLOOKUP(C61,PROPONENTES!$C$19:$D$108,2,FALSE)</f>
        <v>CONSORCIO INTERFEDCO TOLIMA</v>
      </c>
      <c r="E61" s="134" t="s">
        <v>776</v>
      </c>
    </row>
    <row r="62" spans="2:5">
      <c r="B62" s="132">
        <f t="shared" si="0"/>
        <v>44</v>
      </c>
      <c r="C62" s="132">
        <f>PROPONENTES!C62</f>
        <v>44</v>
      </c>
      <c r="D62" s="133" t="str">
        <f>VLOOKUP(C62,PROPONENTES!$C$19:$D$108,2,FALSE)</f>
        <v>CONSORCIO VIAS RURALES TOL</v>
      </c>
      <c r="E62" s="134" t="s">
        <v>776</v>
      </c>
    </row>
    <row r="63" spans="2:5">
      <c r="B63" s="132">
        <f t="shared" si="0"/>
        <v>45</v>
      </c>
      <c r="C63" s="132">
        <f>PROPONENTES!C63</f>
        <v>45</v>
      </c>
      <c r="D63" s="133" t="str">
        <f>VLOOKUP(C63,PROPONENTES!$C$19:$D$108,2,FALSE)</f>
        <v>TECNOLOGÍA DE NUEVAS MEDICIONES COLOMBIA S.A.S. – TECNUMEC S.A.S.</v>
      </c>
      <c r="E63" s="134" t="s">
        <v>776</v>
      </c>
    </row>
    <row r="64" spans="2:5">
      <c r="B64" s="132">
        <f t="shared" si="0"/>
        <v>46</v>
      </c>
      <c r="C64" s="132">
        <f>PROPONENTES!C64</f>
        <v>46</v>
      </c>
      <c r="D64" s="133" t="str">
        <f>VLOOKUP(C64,PROPONENTES!$C$19:$D$108,2,FALSE)</f>
        <v>CONSULTORES SOLANO NAVAS LTDA</v>
      </c>
      <c r="E64" s="134" t="s">
        <v>776</v>
      </c>
    </row>
    <row r="65" spans="2:5">
      <c r="B65" s="132">
        <f t="shared" si="0"/>
        <v>47</v>
      </c>
      <c r="C65" s="132">
        <f>PROPONENTES!C65</f>
        <v>47</v>
      </c>
      <c r="D65" s="133" t="str">
        <f>VLOOKUP(C65,PROPONENTES!$C$19:$D$108,2,FALSE)</f>
        <v>CONSORCIO VIAS TOLIMA 22</v>
      </c>
      <c r="E65" s="134" t="s">
        <v>776</v>
      </c>
    </row>
    <row r="66" spans="2:5">
      <c r="B66" s="132">
        <f t="shared" si="0"/>
        <v>48</v>
      </c>
      <c r="C66" s="132">
        <f>PROPONENTES!C66</f>
        <v>48</v>
      </c>
      <c r="D66" s="133" t="str">
        <f>VLOOKUP(C66,PROPONENTES!$C$19:$D$108,2,FALSE)</f>
        <v>BRAIN INGENIERIA VIAL SAS</v>
      </c>
      <c r="E66" s="134" t="s">
        <v>776</v>
      </c>
    </row>
    <row r="67" spans="2:5">
      <c r="B67" s="132">
        <f t="shared" si="0"/>
        <v>49</v>
      </c>
      <c r="C67" s="132">
        <f>PROPONENTES!C67</f>
        <v>49</v>
      </c>
      <c r="D67" s="133" t="str">
        <f>VLOOKUP(C67,PROPONENTES!$C$19:$D$108,2,FALSE)</f>
        <v>CONSORCIO LAPP</v>
      </c>
      <c r="E67" s="134" t="s">
        <v>776</v>
      </c>
    </row>
    <row r="68" spans="2:5">
      <c r="B68" s="132">
        <f t="shared" si="0"/>
        <v>50</v>
      </c>
      <c r="C68" s="132">
        <f>PROPONENTES!C68</f>
        <v>50</v>
      </c>
      <c r="D68" s="133" t="str">
        <f>VLOOKUP(C68,PROPONENTES!$C$19:$D$108,2,FALSE)</f>
        <v>PROYECTISTAS ASOCIADOS SAS</v>
      </c>
      <c r="E68" s="134" t="s">
        <v>776</v>
      </c>
    </row>
    <row r="69" spans="2:5">
      <c r="B69" s="132">
        <f t="shared" si="0"/>
        <v>51</v>
      </c>
      <c r="C69" s="132">
        <f>PROPONENTES!C69</f>
        <v>51</v>
      </c>
      <c r="D69" s="133" t="str">
        <f>VLOOKUP(C69,PROPONENTES!$C$19:$D$108,2,FALSE)</f>
        <v>DAM SOLUCIONES E INGENIERIA SAS</v>
      </c>
      <c r="E69" s="134" t="s">
        <v>776</v>
      </c>
    </row>
    <row r="70" spans="2:5">
      <c r="B70" s="132">
        <f t="shared" si="0"/>
        <v>52</v>
      </c>
      <c r="C70" s="132">
        <f>PROPONENTES!C70</f>
        <v>52</v>
      </c>
      <c r="D70" s="133" t="str">
        <f>VLOOKUP(C70,PROPONENTES!$C$19:$D$108,2,FALSE)</f>
        <v>COINZA ING SAS</v>
      </c>
      <c r="E70" s="134" t="s">
        <v>776</v>
      </c>
    </row>
    <row r="71" spans="2:5">
      <c r="B71" s="132">
        <f t="shared" si="0"/>
        <v>53</v>
      </c>
      <c r="C71" s="132">
        <f>PROPONENTES!C71</f>
        <v>53</v>
      </c>
      <c r="D71" s="133" t="str">
        <f>VLOOKUP(C71,PROPONENTES!$C$19:$D$108,2,FALSE)</f>
        <v>NORBERTO BAYONA ESPITIA</v>
      </c>
      <c r="E71" s="134" t="s">
        <v>776</v>
      </c>
    </row>
    <row r="72" spans="2:5">
      <c r="B72" s="132">
        <f t="shared" si="0"/>
        <v>54</v>
      </c>
      <c r="C72" s="132">
        <f>PROPONENTES!C72</f>
        <v>54</v>
      </c>
      <c r="D72" s="133" t="str">
        <f>VLOOKUP(C72,PROPONENTES!$C$19:$D$108,2,FALSE)</f>
        <v>CONSORCIO HC INTERVENTORES 2022</v>
      </c>
      <c r="E72" s="134" t="s">
        <v>776</v>
      </c>
    </row>
    <row r="73" spans="2:5">
      <c r="B73" s="132">
        <f t="shared" si="0"/>
        <v>55</v>
      </c>
      <c r="C73" s="132">
        <f>PROPONENTES!C73</f>
        <v>55</v>
      </c>
      <c r="D73" s="133" t="str">
        <f>VLOOKUP(C73,PROPONENTES!$C$19:$D$108,2,FALSE)</f>
        <v>MARIO DE JESUS GIL CARDONA</v>
      </c>
      <c r="E73" s="134" t="s">
        <v>776</v>
      </c>
    </row>
    <row r="74" spans="2:5">
      <c r="B74" s="132">
        <f t="shared" si="0"/>
        <v>56</v>
      </c>
      <c r="C74" s="132">
        <f>PROPONENTES!C74</f>
        <v>56</v>
      </c>
      <c r="D74" s="133" t="str">
        <f>VLOOKUP(C74,PROPONENTES!$C$19:$D$108,2,FALSE)</f>
        <v>CONSORCIO COLOMBIA RURAL ET</v>
      </c>
      <c r="E74" s="134" t="s">
        <v>776</v>
      </c>
    </row>
    <row r="75" spans="2:5">
      <c r="B75" s="132">
        <f t="shared" si="0"/>
        <v>57</v>
      </c>
      <c r="C75" s="132">
        <f>PROPONENTES!C75</f>
        <v>57</v>
      </c>
      <c r="D75" s="133" t="str">
        <f>VLOOKUP(C75,PROPONENTES!$C$19:$D$108,2,FALSE)</f>
        <v>CONSORCIO ROGER 20</v>
      </c>
      <c r="E75" s="134" t="s">
        <v>776</v>
      </c>
    </row>
    <row r="76" spans="2:5">
      <c r="B76" s="132">
        <f t="shared" si="0"/>
        <v>58</v>
      </c>
      <c r="C76" s="132">
        <f>PROPONENTES!C76</f>
        <v>58</v>
      </c>
      <c r="D76" s="133" t="str">
        <f>VLOOKUP(C76,PROPONENTES!$C$19:$D$108,2,FALSE)</f>
        <v>VALLEJO H INGENIEROS CONSULTORES CONSTRUCTORES C S.A.S -BIC</v>
      </c>
      <c r="E76" s="134" t="s">
        <v>776</v>
      </c>
    </row>
    <row r="77" spans="2:5">
      <c r="B77" s="132">
        <f t="shared" si="0"/>
        <v>59</v>
      </c>
      <c r="C77" s="132">
        <f>PROPONENTES!C77</f>
        <v>59</v>
      </c>
      <c r="D77" s="133" t="str">
        <f>VLOOKUP(C77,PROPONENTES!$C$19:$D$108,2,FALSE)</f>
        <v>Consorcio JR</v>
      </c>
      <c r="E77" s="134" t="s">
        <v>776</v>
      </c>
    </row>
    <row r="78" spans="2:5">
      <c r="B78" s="132">
        <f t="shared" si="0"/>
        <v>60</v>
      </c>
      <c r="C78" s="132">
        <f>PROPONENTES!C78</f>
        <v>60</v>
      </c>
      <c r="D78" s="133" t="str">
        <f>VLOOKUP(C78,PROPONENTES!$C$19:$D$108,2,FALSE)</f>
        <v>ARA INGENIERIA S.A.S</v>
      </c>
      <c r="E78" s="134" t="s">
        <v>776</v>
      </c>
    </row>
    <row r="79" spans="2:5">
      <c r="B79" s="132">
        <f t="shared" si="0"/>
        <v>61</v>
      </c>
      <c r="C79" s="132">
        <f>PROPONENTES!C79</f>
        <v>61</v>
      </c>
      <c r="D79" s="133" t="str">
        <f>VLOOKUP(C79,PROPONENTES!$C$19:$D$108,2,FALSE)</f>
        <v>CONSORCIO INVITOL 2022</v>
      </c>
      <c r="E79" s="134" t="s">
        <v>776</v>
      </c>
    </row>
    <row r="80" spans="2:5">
      <c r="B80" s="132">
        <f t="shared" si="0"/>
        <v>62</v>
      </c>
      <c r="C80" s="132">
        <f>PROPONENTES!C80</f>
        <v>62</v>
      </c>
      <c r="D80" s="133" t="str">
        <f>VLOOKUP(C80,PROPONENTES!$C$19:$D$108,2,FALSE)</f>
        <v>CONSORCIO INTERVIAL TOL 001</v>
      </c>
      <c r="E80" s="134" t="s">
        <v>776</v>
      </c>
    </row>
    <row r="81" spans="2:5">
      <c r="B81" s="132">
        <f t="shared" si="0"/>
        <v>63</v>
      </c>
      <c r="C81" s="132">
        <f>PROPONENTES!C81</f>
        <v>63</v>
      </c>
      <c r="D81" s="133" t="str">
        <f>VLOOKUP(C81,PROPONENTES!$C$19:$D$108,2,FALSE)</f>
        <v>COMPAÑIA CONSULTORA COLOMBIANA TRIPLE C BIC SAS</v>
      </c>
      <c r="E81" s="134" t="s">
        <v>776</v>
      </c>
    </row>
    <row r="82" spans="2:5">
      <c r="B82" s="132">
        <f t="shared" si="0"/>
        <v>64</v>
      </c>
      <c r="C82" s="132">
        <f>PROPONENTES!C82</f>
        <v>64</v>
      </c>
      <c r="D82" s="133" t="str">
        <f>VLOOKUP(C82,PROPONENTES!$C$19:$D$108,2,FALSE)</f>
        <v>UNION TEMPORAL INTERTOL 001 2022</v>
      </c>
      <c r="E82" s="134" t="s">
        <v>776</v>
      </c>
    </row>
    <row r="83" spans="2:5">
      <c r="B83" s="132">
        <f t="shared" si="0"/>
        <v>65</v>
      </c>
      <c r="C83" s="132">
        <f>PROPONENTES!C83</f>
        <v>65</v>
      </c>
      <c r="D83" s="133" t="str">
        <f>VLOOKUP(C83,PROPONENTES!$C$19:$D$108,2,FALSE)</f>
        <v>PROYECTISTAS DE COLOMBIA &amp; CIA SAS</v>
      </c>
      <c r="E83" s="134" t="s">
        <v>776</v>
      </c>
    </row>
    <row r="84" spans="2:5">
      <c r="B84" s="132">
        <f t="shared" ref="B84:B107" si="1">ROW()-18</f>
        <v>66</v>
      </c>
      <c r="C84" s="132">
        <f>PROPONENTES!C84</f>
        <v>66</v>
      </c>
      <c r="D84" s="133" t="str">
        <f>VLOOKUP(C84,PROPONENTES!$C$19:$D$108,2,FALSE)</f>
        <v>CONSORCIO VIAL INGENIERIA 2022</v>
      </c>
      <c r="E84" s="134" t="s">
        <v>776</v>
      </c>
    </row>
    <row r="85" spans="2:5">
      <c r="B85" s="132">
        <f t="shared" si="1"/>
        <v>67</v>
      </c>
      <c r="C85" s="132">
        <f>PROPONENTES!C85</f>
        <v>67</v>
      </c>
      <c r="D85" s="133" t="str">
        <f>VLOOKUP(C85,PROPONENTES!$C$19:$D$108,2,FALSE)</f>
        <v>CONSORCIO AV</v>
      </c>
      <c r="E85" s="134" t="s">
        <v>776</v>
      </c>
    </row>
    <row r="86" spans="2:5">
      <c r="B86" s="132">
        <f t="shared" si="1"/>
        <v>68</v>
      </c>
      <c r="C86" s="132">
        <f>PROPONENTES!C86</f>
        <v>68</v>
      </c>
      <c r="D86" s="133" t="str">
        <f>VLOOKUP(C86,PROPONENTES!$C$19:$D$108,2,FALSE)</f>
        <v>SOLUCIONES PARA LA INGENIERÍA S.A.S.</v>
      </c>
      <c r="E86" s="134" t="s">
        <v>776</v>
      </c>
    </row>
    <row r="87" spans="2:5">
      <c r="B87" s="132">
        <f t="shared" si="1"/>
        <v>69</v>
      </c>
      <c r="C87" s="132">
        <f>PROPONENTES!C87</f>
        <v>69</v>
      </c>
      <c r="D87" s="133" t="str">
        <f>VLOOKUP(C87,PROPONENTES!$C$19:$D$108,2,FALSE)</f>
        <v>Unión Temporal Intervías Tolima</v>
      </c>
      <c r="E87" s="134" t="s">
        <v>776</v>
      </c>
    </row>
    <row r="88" spans="2:5">
      <c r="B88" s="132">
        <f t="shared" si="1"/>
        <v>70</v>
      </c>
      <c r="C88" s="132">
        <f>PROPONENTES!C88</f>
        <v>70</v>
      </c>
      <c r="D88" s="133" t="str">
        <f>VLOOKUP(C88,PROPONENTES!$C$19:$D$108,2,FALSE)</f>
        <v>CONSORCIO DT TOLIMA ZP</v>
      </c>
      <c r="E88" s="134" t="s">
        <v>776</v>
      </c>
    </row>
    <row r="89" spans="2:5">
      <c r="B89" s="132">
        <f t="shared" si="1"/>
        <v>71</v>
      </c>
      <c r="C89" s="132">
        <f>PROPONENTES!C89</f>
        <v>71</v>
      </c>
      <c r="D89" s="133" t="str">
        <f>VLOOKUP(C89,PROPONENTES!$C$19:$D$108,2,FALSE)</f>
        <v>INGENIEROS CIVILES ESPECIALISTAS S.A.S.</v>
      </c>
      <c r="E89" s="134" t="s">
        <v>776</v>
      </c>
    </row>
    <row r="90" spans="2:5">
      <c r="B90" s="132">
        <f t="shared" si="1"/>
        <v>72</v>
      </c>
      <c r="C90" s="132">
        <f>PROPONENTES!C90</f>
        <v>72</v>
      </c>
      <c r="D90" s="133" t="str">
        <f>VLOOKUP(C90,PROPONENTES!$C$19:$D$108,2,FALSE)</f>
        <v>GRUPO QUIMBAYA S.A.S.</v>
      </c>
      <c r="E90" s="134" t="s">
        <v>776</v>
      </c>
    </row>
    <row r="91" spans="2:5">
      <c r="B91" s="132">
        <f t="shared" si="1"/>
        <v>73</v>
      </c>
      <c r="C91" s="132">
        <f>PROPONENTES!C91</f>
        <v>73</v>
      </c>
      <c r="D91" s="133" t="str">
        <f>VLOOKUP(C91,PROPONENTES!$C$19:$D$108,2,FALSE)</f>
        <v>CONSORCIO TOLIMA JI 001</v>
      </c>
      <c r="E91" s="134" t="s">
        <v>776</v>
      </c>
    </row>
    <row r="92" spans="2:5">
      <c r="B92" s="132">
        <f t="shared" si="1"/>
        <v>74</v>
      </c>
      <c r="C92" s="132">
        <f>PROPONENTES!C92</f>
        <v>74</v>
      </c>
      <c r="D92" s="133" t="str">
        <f>VLOOKUP(C92,PROPONENTES!$C$19:$D$108,2,FALSE)</f>
        <v>INGENIERIA CONUSLTORIA Y PLANEACION S.A – INCOPLAN S.A</v>
      </c>
      <c r="E92" s="134" t="s">
        <v>776</v>
      </c>
    </row>
    <row r="93" spans="2:5">
      <c r="B93" s="132">
        <f t="shared" si="1"/>
        <v>75</v>
      </c>
      <c r="C93" s="132">
        <f>PROPONENTES!C93</f>
        <v>75</v>
      </c>
      <c r="D93" s="133" t="str">
        <f>VLOOKUP(C93,PROPONENTES!$C$19:$D$108,2,FALSE)</f>
        <v>JAIME MORENO ESPAÑA</v>
      </c>
      <c r="E93" s="134" t="s">
        <v>776</v>
      </c>
    </row>
    <row r="94" spans="2:5">
      <c r="B94" s="132">
        <f t="shared" si="1"/>
        <v>76</v>
      </c>
      <c r="C94" s="132">
        <f>PROPONENTES!C94</f>
        <v>76</v>
      </c>
      <c r="D94" s="133" t="str">
        <f>VLOOKUP(C94,PROPONENTES!$C$19:$D$108,2,FALSE)</f>
        <v>CONSORCIO DIN ISUTECH</v>
      </c>
      <c r="E94" s="134" t="s">
        <v>776</v>
      </c>
    </row>
    <row r="95" spans="2:5">
      <c r="B95" s="132">
        <f t="shared" si="1"/>
        <v>77</v>
      </c>
      <c r="C95" s="132">
        <f>PROPONENTES!C95</f>
        <v>77</v>
      </c>
      <c r="D95" s="133" t="str">
        <f>VLOOKUP(C95,PROPONENTES!$C$19:$D$108,2,FALSE)</f>
        <v>CONSORCIO CASTORES – INGES INVIAS 2022</v>
      </c>
      <c r="E95" s="134" t="s">
        <v>776</v>
      </c>
    </row>
    <row r="96" spans="2:5">
      <c r="B96" s="132">
        <f t="shared" si="1"/>
        <v>78</v>
      </c>
      <c r="C96" s="132">
        <f>PROPONENTES!C96</f>
        <v>78</v>
      </c>
      <c r="D96" s="133" t="str">
        <f>VLOOKUP(C96,PROPONENTES!$C$19:$D$108,2,FALSE)</f>
        <v>NUBIA ISABEL QUEVEDO ÁNGEL</v>
      </c>
      <c r="E96" s="134" t="s">
        <v>776</v>
      </c>
    </row>
    <row r="97" spans="2:5">
      <c r="B97" s="132">
        <f t="shared" si="1"/>
        <v>79</v>
      </c>
      <c r="C97" s="132">
        <f>PROPONENTES!C97</f>
        <v>79</v>
      </c>
      <c r="D97" s="133" t="str">
        <f>VLOOKUP(C97,PROPONENTES!$C$19:$D$108,2,FALSE)</f>
        <v>CONSORCIO TOLIMA BD</v>
      </c>
      <c r="E97" s="134" t="s">
        <v>776</v>
      </c>
    </row>
    <row r="98" spans="2:5">
      <c r="B98" s="132">
        <f t="shared" si="1"/>
        <v>80</v>
      </c>
      <c r="C98" s="132">
        <f>PROPONENTES!C98</f>
        <v>80</v>
      </c>
      <c r="D98" s="133" t="str">
        <f>VLOOKUP(C98,PROPONENTES!$C$19:$D$108,2,FALSE)</f>
        <v>CB INGENIEROS S.A.S</v>
      </c>
      <c r="E98" s="134" t="s">
        <v>776</v>
      </c>
    </row>
    <row r="99" spans="2:5">
      <c r="B99" s="132">
        <f t="shared" si="1"/>
        <v>81</v>
      </c>
      <c r="C99" s="132">
        <f>PROPONENTES!C99</f>
        <v>81</v>
      </c>
      <c r="D99" s="133" t="str">
        <f>VLOOKUP(C99,PROPONENTES!$C$19:$D$108,2,FALSE)</f>
        <v>CONSORCIO INVIAS JP 2022</v>
      </c>
      <c r="E99" s="134" t="s">
        <v>776</v>
      </c>
    </row>
    <row r="100" spans="2:5">
      <c r="B100" s="132">
        <f t="shared" si="1"/>
        <v>82</v>
      </c>
      <c r="C100" s="132">
        <f>PROPONENTES!C100</f>
        <v>82</v>
      </c>
      <c r="D100" s="133" t="str">
        <f>VLOOKUP(C100,PROPONENTES!$C$19:$D$108,2,FALSE)</f>
        <v>SOCIEDAD TECNICA SOTA LTDA</v>
      </c>
      <c r="E100" s="134" t="s">
        <v>776</v>
      </c>
    </row>
    <row r="101" spans="2:5">
      <c r="B101" s="132">
        <f t="shared" si="1"/>
        <v>83</v>
      </c>
      <c r="C101" s="132">
        <f>PROPONENTES!C101</f>
        <v>83</v>
      </c>
      <c r="D101" s="133" t="str">
        <f>VLOOKUP(C101,PROPONENTES!$C$19:$D$108,2,FALSE)</f>
        <v>CONSORCIO INTERVENTORES ASOCIADOS DEL TOLIMA</v>
      </c>
      <c r="E101" s="134" t="s">
        <v>776</v>
      </c>
    </row>
    <row r="102" spans="2:5">
      <c r="B102" s="132">
        <f t="shared" si="1"/>
        <v>84</v>
      </c>
      <c r="C102" s="132">
        <f>PROPONENTES!C102</f>
        <v>84</v>
      </c>
      <c r="D102" s="133" t="str">
        <f>VLOOKUP(C102,PROPONENTES!$C$19:$D$108,2,FALSE)</f>
        <v>GRUPO EMPRESARIAL DE INFRAESTRUCTURA COLOMBIANO S.A.S.</v>
      </c>
      <c r="E102" s="134" t="s">
        <v>776</v>
      </c>
    </row>
    <row r="103" spans="2:5">
      <c r="B103" s="132">
        <f t="shared" si="1"/>
        <v>85</v>
      </c>
      <c r="C103" s="132">
        <f>PROPONENTES!C103</f>
        <v>85</v>
      </c>
      <c r="D103" s="133" t="str">
        <f>VLOOKUP(C103,PROPONENTES!$C$19:$D$108,2,FALSE)</f>
        <v>DBB INGENIERÍA S.A.S.</v>
      </c>
      <c r="E103" s="134" t="s">
        <v>776</v>
      </c>
    </row>
    <row r="104" spans="2:5">
      <c r="B104" s="132">
        <f t="shared" si="1"/>
        <v>86</v>
      </c>
      <c r="C104" s="132">
        <f>PROPONENTES!C104</f>
        <v>86</v>
      </c>
      <c r="D104" s="133" t="str">
        <f>VLOOKUP(C104,PROPONENTES!$C$19:$D$108,2,FALSE)</f>
        <v>CARLOS ANDRES CHAVARRO CASTRO</v>
      </c>
      <c r="E104" s="134" t="s">
        <v>776</v>
      </c>
    </row>
    <row r="105" spans="2:5">
      <c r="B105" s="132">
        <f t="shared" si="1"/>
        <v>87</v>
      </c>
      <c r="C105" s="132">
        <f>PROPONENTES!C105</f>
        <v>87</v>
      </c>
      <c r="D105" s="133" t="str">
        <f>VLOOKUP(C105,PROPONENTES!$C$19:$D$108,2,FALSE)</f>
        <v>CONSORCIO INTERVÍAS TOLIMA 22</v>
      </c>
      <c r="E105" s="134" t="s">
        <v>776</v>
      </c>
    </row>
    <row r="106" spans="2:5">
      <c r="B106" s="132">
        <f t="shared" si="1"/>
        <v>88</v>
      </c>
      <c r="C106" s="132">
        <f>PROPONENTES!C106</f>
        <v>88</v>
      </c>
      <c r="D106" s="133" t="str">
        <f>VLOOKUP(C106,PROPONENTES!$C$19:$D$108,2,FALSE)</f>
        <v>INGENIERÍA Y CONSULTORÍA INGECON SAS</v>
      </c>
      <c r="E106" s="134" t="s">
        <v>776</v>
      </c>
    </row>
    <row r="107" spans="2:5">
      <c r="B107" s="132">
        <f t="shared" si="1"/>
        <v>89</v>
      </c>
      <c r="C107" s="132">
        <f>PROPONENTES!C107</f>
        <v>89</v>
      </c>
      <c r="D107" s="133" t="str">
        <f>VLOOKUP(C107,PROPONENTES!$C$19:$D$108,2,FALSE)</f>
        <v>CONSORCIO INTER C&amp;R</v>
      </c>
      <c r="E107" s="134" t="s">
        <v>776</v>
      </c>
    </row>
    <row r="108" spans="2:5">
      <c r="B108" s="132">
        <f t="shared" ref="B108" si="2">ROW()-18</f>
        <v>90</v>
      </c>
      <c r="C108" s="132">
        <f>PROPONENTES!C108</f>
        <v>90</v>
      </c>
      <c r="D108" s="133" t="str">
        <f>VLOOKUP(C108,PROPONENTES!$C$19:$D$108,2,FALSE)</f>
        <v>GM SOLUTIONS S.A.S</v>
      </c>
      <c r="E108" s="134" t="s">
        <v>776</v>
      </c>
    </row>
    <row r="109" spans="2:5" ht="3" customHeight="1" thickBot="1">
      <c r="B109" s="449" t="s">
        <v>134</v>
      </c>
      <c r="C109" s="135" t="s">
        <v>134</v>
      </c>
      <c r="D109" s="135"/>
      <c r="E109" s="615"/>
    </row>
    <row r="110" spans="2:5" ht="15.75" thickTop="1"/>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4">
    <mergeCell ref="C7:F7"/>
    <mergeCell ref="C1:F1"/>
    <mergeCell ref="C2:F2"/>
    <mergeCell ref="C3:F3"/>
    <mergeCell ref="C4:F4"/>
    <mergeCell ref="C6:F6"/>
    <mergeCell ref="C9:F9"/>
    <mergeCell ref="C11:F11"/>
    <mergeCell ref="C13:F13"/>
    <mergeCell ref="C14:E14"/>
    <mergeCell ref="B16:B17"/>
    <mergeCell ref="C16:C17"/>
    <mergeCell ref="D16:D17"/>
    <mergeCell ref="E16:E17"/>
  </mergeCells>
  <conditionalFormatting sqref="C19:D108">
    <cfRule type="expression" dxfId="93" priority="16" stopIfTrue="1">
      <formula>MOD(ROW(),2)</formula>
    </cfRule>
  </conditionalFormatting>
  <conditionalFormatting sqref="E19 E108">
    <cfRule type="cellIs" dxfId="92" priority="14" operator="equal">
      <formula>"NO"</formula>
    </cfRule>
    <cfRule type="cellIs" dxfId="91" priority="15" operator="equal">
      <formula>"SI"</formula>
    </cfRule>
  </conditionalFormatting>
  <conditionalFormatting sqref="B19 B108">
    <cfRule type="expression" dxfId="90" priority="13" stopIfTrue="1">
      <formula>MOD(ROW(),2)</formula>
    </cfRule>
  </conditionalFormatting>
  <conditionalFormatting sqref="E20:E107">
    <cfRule type="cellIs" dxfId="89" priority="10" operator="equal">
      <formula>"NO"</formula>
    </cfRule>
    <cfRule type="cellIs" dxfId="88" priority="11" operator="equal">
      <formula>"SI"</formula>
    </cfRule>
  </conditionalFormatting>
  <conditionalFormatting sqref="B20:B107">
    <cfRule type="expression" dxfId="87" priority="9" stopIfTrue="1">
      <formula>MOD(ROW(),2)</formula>
    </cfRule>
  </conditionalFormatting>
  <dataValidations count="1">
    <dataValidation type="list" allowBlank="1" showInputMessage="1" showErrorMessage="1" sqref="E19:E109" xr:uid="{379D9897-CCB6-4994-B05F-97DB1FE395A7}">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CA4E7-8F2A-48D9-8373-9A02772491F2}">
  <sheetPr codeName="Hoja10">
    <tabColor rgb="FFFF0000"/>
    <pageSetUpPr fitToPage="1"/>
  </sheetPr>
  <dimension ref="A1:H541"/>
  <sheetViews>
    <sheetView showGridLines="0" topLeftCell="A39" zoomScale="112" zoomScaleNormal="112" workbookViewId="0">
      <selection activeCell="G80" sqref="G80"/>
    </sheetView>
  </sheetViews>
  <sheetFormatPr baseColWidth="10" defaultColWidth="0" defaultRowHeight="15" zeroHeight="1"/>
  <cols>
    <col min="1" max="1" width="3.85546875" style="128" customWidth="1"/>
    <col min="2" max="2" width="6.7109375" style="128" customWidth="1"/>
    <col min="3" max="3" width="14" style="128" customWidth="1"/>
    <col min="4" max="4" width="61.42578125" style="128" customWidth="1"/>
    <col min="5" max="5" width="16.7109375" style="128" customWidth="1"/>
    <col min="6" max="6" width="14.42578125" style="128" customWidth="1"/>
    <col min="7" max="8" width="11.42578125" style="128" customWidth="1"/>
    <col min="9" max="16384" width="11.42578125" style="128" hidden="1"/>
  </cols>
  <sheetData>
    <row r="1" spans="1:6" s="4" customFormat="1" ht="15" customHeight="1">
      <c r="A1" s="121"/>
      <c r="B1" s="121"/>
      <c r="C1" s="850" t="str">
        <f>PROPONENTES!B1</f>
        <v>INSTITUTO NACIONAL DE VÍAS</v>
      </c>
      <c r="D1" s="850"/>
      <c r="E1" s="850"/>
      <c r="F1" s="850"/>
    </row>
    <row r="2" spans="1:6" s="2" customFormat="1" ht="15" customHeight="1">
      <c r="A2" s="123"/>
      <c r="B2" s="123"/>
      <c r="C2" s="850" t="str">
        <f>PROPONENTES!B2</f>
        <v>DIRECCIÓN GENERAL</v>
      </c>
      <c r="D2" s="850"/>
      <c r="E2" s="850"/>
      <c r="F2" s="850"/>
    </row>
    <row r="3" spans="1:6" s="2" customFormat="1" ht="15" customHeight="1">
      <c r="A3" s="123"/>
      <c r="B3" s="123"/>
      <c r="C3" s="850" t="str">
        <f>PROPONENTES!B3</f>
        <v>DIRECCION JURIDICA</v>
      </c>
      <c r="D3" s="850"/>
      <c r="E3" s="850"/>
      <c r="F3" s="850"/>
    </row>
    <row r="4" spans="1:6" s="2" customFormat="1" ht="12.75" customHeight="1">
      <c r="A4" s="123"/>
      <c r="B4" s="123"/>
      <c r="C4" s="850" t="str">
        <f>PROPONENTES!B4</f>
        <v>TERRITORIAL TOLIMA</v>
      </c>
      <c r="D4" s="850"/>
      <c r="E4" s="850"/>
      <c r="F4" s="850"/>
    </row>
    <row r="5" spans="1:6" s="2" customFormat="1" ht="12.75">
      <c r="A5" s="123"/>
      <c r="B5" s="122"/>
      <c r="C5" s="122"/>
      <c r="D5" s="3"/>
      <c r="E5" s="57"/>
      <c r="F5" s="57"/>
    </row>
    <row r="6" spans="1:6" s="2" customFormat="1" ht="12.75">
      <c r="A6" s="123"/>
      <c r="B6" s="123"/>
      <c r="C6" s="850" t="str">
        <f>+PROPONENTES!B6</f>
        <v>CONCURSO DE MÉRITOS ABIERTO</v>
      </c>
      <c r="D6" s="850"/>
      <c r="E6" s="850"/>
      <c r="F6" s="850"/>
    </row>
    <row r="7" spans="1:6" s="2" customFormat="1" ht="12.75">
      <c r="A7" s="123"/>
      <c r="B7" s="123"/>
      <c r="C7" s="850" t="str">
        <f>PROPONENTES!B7</f>
        <v>CMA-DT-TOL-001-2022</v>
      </c>
      <c r="D7" s="850"/>
      <c r="E7" s="850"/>
      <c r="F7" s="850"/>
    </row>
    <row r="8" spans="1:6" s="2" customFormat="1" ht="12.75" customHeight="1">
      <c r="A8" s="123"/>
      <c r="B8" s="122"/>
      <c r="C8" s="122"/>
      <c r="D8" s="3"/>
      <c r="E8" s="57"/>
      <c r="F8" s="57"/>
    </row>
    <row r="9" spans="1:6" s="2" customFormat="1" ht="67.5" customHeight="1">
      <c r="A9" s="123"/>
      <c r="B9" s="123"/>
      <c r="C9" s="850" t="str">
        <f>PROPONENTES!B9</f>
        <v>OBJETO: INTERVENTORÍA TECNICA, ADMINISTRATIVA, FINANCIERA Y AMBIENTAL PARA EL MANTENIMIENTO Y MEJORAMIENTO DE VIAS TERCIARIAS DEL PROGRAMA "COLOMBIA RURAL" EN LOS MUNICIPIOS DEL DEPARTAMENTO DEL TOLIMA - GRUPO II.</v>
      </c>
      <c r="D9" s="850"/>
      <c r="E9" s="850"/>
      <c r="F9" s="850"/>
    </row>
    <row r="10" spans="1:6" s="2" customFormat="1" ht="12.75" customHeight="1">
      <c r="A10" s="123"/>
      <c r="B10" s="122"/>
      <c r="C10" s="122"/>
      <c r="D10" s="3"/>
      <c r="E10" s="57"/>
      <c r="F10" s="57"/>
    </row>
    <row r="11" spans="1:6" s="2" customFormat="1" ht="12.75">
      <c r="A11" s="123"/>
      <c r="B11" s="123"/>
      <c r="C11" s="851"/>
      <c r="D11" s="851"/>
      <c r="E11" s="851"/>
      <c r="F11" s="851"/>
    </row>
    <row r="12" spans="1:6" s="2" customFormat="1" ht="15.75">
      <c r="A12" s="123"/>
      <c r="B12" s="124"/>
      <c r="C12" s="124"/>
      <c r="D12" s="125"/>
      <c r="E12" s="57"/>
      <c r="F12" s="57"/>
    </row>
    <row r="13" spans="1:6" s="2" customFormat="1" ht="12.75">
      <c r="A13" s="123"/>
      <c r="B13" s="123"/>
      <c r="C13" s="693" t="s">
        <v>1098</v>
      </c>
      <c r="D13" s="693"/>
      <c r="E13" s="693"/>
      <c r="F13" s="693"/>
    </row>
    <row r="14" spans="1:6">
      <c r="A14" s="126"/>
      <c r="B14" s="126"/>
      <c r="C14" s="693" t="s">
        <v>1159</v>
      </c>
      <c r="D14" s="693"/>
      <c r="E14" s="693"/>
      <c r="F14" s="693"/>
    </row>
    <row r="15" spans="1:6" ht="15.75" thickBot="1"/>
    <row r="16" spans="1:6" ht="24" customHeight="1" thickTop="1">
      <c r="B16" s="848" t="s">
        <v>37</v>
      </c>
      <c r="C16" s="848" t="s">
        <v>1100</v>
      </c>
      <c r="D16" s="852" t="s">
        <v>139</v>
      </c>
      <c r="E16" s="616" t="s">
        <v>1159</v>
      </c>
    </row>
    <row r="17" spans="2:5" ht="24" customHeight="1" thickBot="1">
      <c r="B17" s="849"/>
      <c r="C17" s="849"/>
      <c r="D17" s="853"/>
      <c r="E17" s="570" t="s">
        <v>1104</v>
      </c>
    </row>
    <row r="18" spans="2:5" ht="4.5" customHeight="1">
      <c r="B18" s="129"/>
      <c r="C18" s="129"/>
      <c r="D18" s="130"/>
      <c r="E18" s="131"/>
    </row>
    <row r="19" spans="2:5">
      <c r="B19" s="132">
        <f>ROW()-18</f>
        <v>1</v>
      </c>
      <c r="C19" s="132">
        <f>IF(VLOOKUP(B19,PROPONENTES!$B$19:$E$108,2,0)="","",VLOOKUP(B19,PROPONENTES!$B$19:$E$108,2,0))</f>
        <v>1</v>
      </c>
      <c r="D19" s="133" t="str">
        <f>VLOOKUP(B19,PROPONENTES!$B$19:$D$108,3,FALSE)</f>
        <v>PROYECTOS URBANOS &amp; CONSTRUCCIONES DEL CARIBE S.A.S</v>
      </c>
      <c r="E19" s="435" t="s">
        <v>1105</v>
      </c>
    </row>
    <row r="20" spans="2:5">
      <c r="B20" s="132">
        <f t="shared" ref="B20:B83" si="0">ROW()-18</f>
        <v>2</v>
      </c>
      <c r="C20" s="132">
        <f>IF(VLOOKUP(B20,PROPONENTES!$B$19:$E$108,2,0)="","",VLOOKUP(B20,PROPONENTES!$B$19:$E$108,2,0))</f>
        <v>2</v>
      </c>
      <c r="D20" s="133" t="str">
        <f>VLOOKUP(B20,PROPONENTES!$B$19:$D$108,3,FALSE)</f>
        <v>MIGUEL MORALES INGENIERIA SAS</v>
      </c>
      <c r="E20" s="435" t="s">
        <v>1105</v>
      </c>
    </row>
    <row r="21" spans="2:5">
      <c r="B21" s="132">
        <f t="shared" si="0"/>
        <v>3</v>
      </c>
      <c r="C21" s="132">
        <f>IF(VLOOKUP(B21,PROPONENTES!$B$19:$E$108,2,0)="","",VLOOKUP(B21,PROPONENTES!$B$19:$E$108,2,0))</f>
        <v>3</v>
      </c>
      <c r="D21" s="133" t="str">
        <f>VLOOKUP(B21,PROPONENTES!$B$19:$D$108,3,FALSE)</f>
        <v>CONSULTORES DONOVAN SAS</v>
      </c>
      <c r="E21" s="435" t="s">
        <v>1105</v>
      </c>
    </row>
    <row r="22" spans="2:5">
      <c r="B22" s="132">
        <f t="shared" si="0"/>
        <v>4</v>
      </c>
      <c r="C22" s="132">
        <f>IF(VLOOKUP(B22,PROPONENTES!$B$19:$E$108,2,0)="","",VLOOKUP(B22,PROPONENTES!$B$19:$E$108,2,0))</f>
        <v>4</v>
      </c>
      <c r="D22" s="133" t="str">
        <f>VLOOKUP(B22,PROPONENTES!$B$19:$D$108,3,FALSE)</f>
        <v>COMPAÑIA DE PROYECTOS TÉCNICOS CPT S.A</v>
      </c>
      <c r="E22" s="435" t="s">
        <v>1105</v>
      </c>
    </row>
    <row r="23" spans="2:5">
      <c r="B23" s="132">
        <f t="shared" si="0"/>
        <v>5</v>
      </c>
      <c r="C23" s="132">
        <f>IF(VLOOKUP(B23,PROPONENTES!$B$19:$E$108,2,0)="","",VLOOKUP(B23,PROPONENTES!$B$19:$E$108,2,0))</f>
        <v>5</v>
      </c>
      <c r="D23" s="133" t="str">
        <f>VLOOKUP(B23,PROPONENTES!$B$19:$D$108,3,FALSE)</f>
        <v>GAVINCO INGENIEROS CONSULTORES SAS</v>
      </c>
      <c r="E23" s="435" t="s">
        <v>1105</v>
      </c>
    </row>
    <row r="24" spans="2:5">
      <c r="B24" s="132">
        <f t="shared" si="0"/>
        <v>6</v>
      </c>
      <c r="C24" s="132">
        <f>IF(VLOOKUP(B24,PROPONENTES!$B$19:$E$108,2,0)="","",VLOOKUP(B24,PROPONENTES!$B$19:$E$108,2,0))</f>
        <v>6</v>
      </c>
      <c r="D24" s="133" t="str">
        <f>VLOOKUP(B24,PROPONENTES!$B$19:$D$108,3,FALSE)</f>
        <v>RD INGENIEROS CIVILES SAS</v>
      </c>
      <c r="E24" s="435" t="s">
        <v>1105</v>
      </c>
    </row>
    <row r="25" spans="2:5">
      <c r="B25" s="132">
        <f t="shared" si="0"/>
        <v>7</v>
      </c>
      <c r="C25" s="132">
        <f>IF(VLOOKUP(B25,PROPONENTES!$B$19:$E$108,2,0)="","",VLOOKUP(B25,PROPONENTES!$B$19:$E$108,2,0))</f>
        <v>7</v>
      </c>
      <c r="D25" s="133" t="str">
        <f>VLOOKUP(B25,PROPONENTES!$B$19:$D$108,3,FALSE)</f>
        <v>CONSORCIO FEEC TOLIMA</v>
      </c>
      <c r="E25" s="435" t="s">
        <v>1105</v>
      </c>
    </row>
    <row r="26" spans="2:5">
      <c r="B26" s="132">
        <f t="shared" si="0"/>
        <v>8</v>
      </c>
      <c r="C26" s="132">
        <f>IF(VLOOKUP(B26,PROPONENTES!$B$19:$E$108,2,0)="","",VLOOKUP(B26,PROPONENTES!$B$19:$E$108,2,0))</f>
        <v>8</v>
      </c>
      <c r="D26" s="133" t="str">
        <f>VLOOKUP(B26,PROPONENTES!$B$19:$D$108,3,FALSE)</f>
        <v>CARLOS ALBERTO PALTA MUÑOZ</v>
      </c>
      <c r="E26" s="435" t="s">
        <v>1105</v>
      </c>
    </row>
    <row r="27" spans="2:5">
      <c r="B27" s="132">
        <f t="shared" si="0"/>
        <v>9</v>
      </c>
      <c r="C27" s="132">
        <f>IF(VLOOKUP(B27,PROPONENTES!$B$19:$E$108,2,0)="","",VLOOKUP(B27,PROPONENTES!$B$19:$E$108,2,0))</f>
        <v>9</v>
      </c>
      <c r="D27" s="133" t="str">
        <f>VLOOKUP(B27,PROPONENTES!$B$19:$D$108,3,FALSE)</f>
        <v>CONSORCIO GMC</v>
      </c>
      <c r="E27" s="435" t="s">
        <v>1105</v>
      </c>
    </row>
    <row r="28" spans="2:5">
      <c r="B28" s="132">
        <f t="shared" si="0"/>
        <v>10</v>
      </c>
      <c r="C28" s="132">
        <f>IF(VLOOKUP(B28,PROPONENTES!$B$19:$E$108,2,0)="","",VLOOKUP(B28,PROPONENTES!$B$19:$E$108,2,0))</f>
        <v>10</v>
      </c>
      <c r="D28" s="133" t="str">
        <f>VLOOKUP(B28,PROPONENTES!$B$19:$D$108,3,FALSE)</f>
        <v>R&amp;M CONSTRUCCIONES E INTERVENTORIAS S.A.S</v>
      </c>
      <c r="E28" s="435" t="s">
        <v>1105</v>
      </c>
    </row>
    <row r="29" spans="2:5">
      <c r="B29" s="132">
        <f t="shared" si="0"/>
        <v>11</v>
      </c>
      <c r="C29" s="132">
        <f>IF(VLOOKUP(B29,PROPONENTES!$B$19:$E$108,2,0)="","",VLOOKUP(B29,PROPONENTES!$B$19:$E$108,2,0))</f>
        <v>11</v>
      </c>
      <c r="D29" s="133" t="str">
        <f>VLOOKUP(B29,PROPONENTES!$B$19:$D$108,3,FALSE)</f>
        <v>CUBIKO OBRAS Y CONSULTORÍAS SAS</v>
      </c>
      <c r="E29" s="435" t="s">
        <v>1105</v>
      </c>
    </row>
    <row r="30" spans="2:5">
      <c r="B30" s="132">
        <f t="shared" si="0"/>
        <v>12</v>
      </c>
      <c r="C30" s="132">
        <f>IF(VLOOKUP(B30,PROPONENTES!$B$19:$E$108,2,0)="","",VLOOKUP(B30,PROPONENTES!$B$19:$E$108,2,0))</f>
        <v>12</v>
      </c>
      <c r="D30" s="133" t="str">
        <f>VLOOKUP(B30,PROPONENTES!$B$19:$D$108,3,FALSE)</f>
        <v>CONSTRUCTORES DEL DESARROLLO TERRITORIAL CONSTRUDET Y COMPAÑÍA LTDA</v>
      </c>
      <c r="E30" s="435" t="s">
        <v>1105</v>
      </c>
    </row>
    <row r="31" spans="2:5">
      <c r="B31" s="132">
        <f t="shared" si="0"/>
        <v>13</v>
      </c>
      <c r="C31" s="132">
        <f>IF(VLOOKUP(B31,PROPONENTES!$B$19:$E$108,2,0)="","",VLOOKUP(B31,PROPONENTES!$B$19:$E$108,2,0))</f>
        <v>13</v>
      </c>
      <c r="D31" s="133" t="str">
        <f>VLOOKUP(B31,PROPONENTES!$B$19:$D$108,3,FALSE)</f>
        <v>NICOLAS REDONDO MOLINA</v>
      </c>
      <c r="E31" s="435" t="s">
        <v>1105</v>
      </c>
    </row>
    <row r="32" spans="2:5">
      <c r="B32" s="132">
        <f t="shared" si="0"/>
        <v>14</v>
      </c>
      <c r="C32" s="132">
        <f>IF(VLOOKUP(B32,PROPONENTES!$B$19:$E$108,2,0)="","",VLOOKUP(B32,PROPONENTES!$B$19:$E$108,2,0))</f>
        <v>14</v>
      </c>
      <c r="D32" s="133" t="str">
        <f>VLOOKUP(B32,PROPONENTES!$B$19:$D$108,3,FALSE)</f>
        <v>CONSORCIO INTER CB 2022</v>
      </c>
      <c r="E32" s="435" t="s">
        <v>1105</v>
      </c>
    </row>
    <row r="33" spans="2:5">
      <c r="B33" s="132">
        <f t="shared" si="0"/>
        <v>15</v>
      </c>
      <c r="C33" s="132">
        <f>IF(VLOOKUP(B33,PROPONENTES!$B$19:$E$108,2,0)="","",VLOOKUP(B33,PROPONENTES!$B$19:$E$108,2,0))</f>
        <v>15</v>
      </c>
      <c r="D33" s="133" t="str">
        <f>VLOOKUP(B33,PROPONENTES!$B$19:$D$108,3,FALSE)</f>
        <v>EMPROCIV SAS</v>
      </c>
      <c r="E33" s="435" t="s">
        <v>1105</v>
      </c>
    </row>
    <row r="34" spans="2:5">
      <c r="B34" s="132">
        <f t="shared" si="0"/>
        <v>16</v>
      </c>
      <c r="C34" s="132">
        <f>IF(VLOOKUP(B34,PROPONENTES!$B$19:$E$108,2,0)="","",VLOOKUP(B34,PROPONENTES!$B$19:$E$108,2,0))</f>
        <v>16</v>
      </c>
      <c r="D34" s="133" t="str">
        <f>VLOOKUP(B34,PROPONENTES!$B$19:$D$108,3,FALSE)</f>
        <v>CONSORCIO CAMCO</v>
      </c>
      <c r="E34" s="435" t="s">
        <v>1105</v>
      </c>
    </row>
    <row r="35" spans="2:5">
      <c r="B35" s="132">
        <f t="shared" si="0"/>
        <v>17</v>
      </c>
      <c r="C35" s="132">
        <f>IF(VLOOKUP(B35,PROPONENTES!$B$19:$E$108,2,0)="","",VLOOKUP(B35,PROPONENTES!$B$19:$E$108,2,0))</f>
        <v>17</v>
      </c>
      <c r="D35" s="133" t="str">
        <f>VLOOKUP(B35,PROPONENTES!$B$19:$D$108,3,FALSE)</f>
        <v>ARCA AQUITECTURA E INGENIERÍA S.A</v>
      </c>
      <c r="E35" s="435" t="s">
        <v>1105</v>
      </c>
    </row>
    <row r="36" spans="2:5">
      <c r="B36" s="132">
        <f t="shared" si="0"/>
        <v>18</v>
      </c>
      <c r="C36" s="132">
        <f>IF(VLOOKUP(B36,PROPONENTES!$B$19:$E$108,2,0)="","",VLOOKUP(B36,PROPONENTES!$B$19:$E$108,2,0))</f>
        <v>18</v>
      </c>
      <c r="D36" s="133" t="str">
        <f>VLOOKUP(B36,PROPONENTES!$B$19:$D$108,3,FALSE)</f>
        <v>ALPHA INGENIERIA INTEGRAL SAS</v>
      </c>
      <c r="E36" s="435" t="s">
        <v>1105</v>
      </c>
    </row>
    <row r="37" spans="2:5">
      <c r="B37" s="132">
        <f t="shared" si="0"/>
        <v>19</v>
      </c>
      <c r="C37" s="132">
        <f>IF(VLOOKUP(B37,PROPONENTES!$B$19:$E$108,2,0)="","",VLOOKUP(B37,PROPONENTES!$B$19:$E$108,2,0))</f>
        <v>19</v>
      </c>
      <c r="D37" s="133" t="str">
        <f>VLOOKUP(B37,PROPONENTES!$B$19:$D$108,3,FALSE)</f>
        <v>ELSA MARIA RUEDA LANDINEZ INGENIERIA SAS</v>
      </c>
      <c r="E37" s="435" t="s">
        <v>1105</v>
      </c>
    </row>
    <row r="38" spans="2:5">
      <c r="B38" s="132">
        <f t="shared" si="0"/>
        <v>20</v>
      </c>
      <c r="C38" s="132">
        <f>IF(VLOOKUP(B38,PROPONENTES!$B$19:$E$108,2,0)="","",VLOOKUP(B38,PROPONENTES!$B$19:$E$108,2,0))</f>
        <v>20</v>
      </c>
      <c r="D38" s="133" t="str">
        <f>VLOOKUP(B38,PROPONENTES!$B$19:$D$108,3,FALSE)</f>
        <v>PROES INGENIERÍA S.A.S</v>
      </c>
      <c r="E38" s="435" t="s">
        <v>1105</v>
      </c>
    </row>
    <row r="39" spans="2:5">
      <c r="B39" s="132">
        <f t="shared" si="0"/>
        <v>21</v>
      </c>
      <c r="C39" s="132">
        <f>IF(VLOOKUP(B39,PROPONENTES!$B$19:$E$108,2,0)="","",VLOOKUP(B39,PROPONENTES!$B$19:$E$108,2,0))</f>
        <v>21</v>
      </c>
      <c r="D39" s="133" t="str">
        <f>VLOOKUP(B39,PROPONENTES!$B$19:$D$108,3,FALSE)</f>
        <v>INGENIEROS CONSULTORES Y CONSTRUCTORES ARG SAS</v>
      </c>
      <c r="E39" s="435" t="s">
        <v>1105</v>
      </c>
    </row>
    <row r="40" spans="2:5">
      <c r="B40" s="132">
        <f t="shared" si="0"/>
        <v>22</v>
      </c>
      <c r="C40" s="132">
        <f>IF(VLOOKUP(B40,PROPONENTES!$B$19:$E$108,2,0)="","",VLOOKUP(B40,PROPONENTES!$B$19:$E$108,2,0))</f>
        <v>22</v>
      </c>
      <c r="D40" s="133" t="str">
        <f>VLOOKUP(B40,PROPONENTES!$B$19:$D$108,3,FALSE)</f>
        <v>CONSORCIO GABRIELA TOLIMA</v>
      </c>
      <c r="E40" s="435" t="s">
        <v>1105</v>
      </c>
    </row>
    <row r="41" spans="2:5">
      <c r="B41" s="132">
        <f t="shared" si="0"/>
        <v>23</v>
      </c>
      <c r="C41" s="132">
        <f>IF(VLOOKUP(B41,PROPONENTES!$B$19:$E$108,2,0)="","",VLOOKUP(B41,PROPONENTES!$B$19:$E$108,2,0))</f>
        <v>23</v>
      </c>
      <c r="D41" s="133" t="str">
        <f>VLOOKUP(B41,PROPONENTES!$B$19:$D$108,3,FALSE)</f>
        <v>VELNEC S.A</v>
      </c>
      <c r="E41" s="435" t="s">
        <v>1105</v>
      </c>
    </row>
    <row r="42" spans="2:5">
      <c r="B42" s="132">
        <f t="shared" si="0"/>
        <v>24</v>
      </c>
      <c r="C42" s="132">
        <f>IF(VLOOKUP(B42,PROPONENTES!$B$19:$E$108,2,0)="","",VLOOKUP(B42,PROPONENTES!$B$19:$E$108,2,0))</f>
        <v>24</v>
      </c>
      <c r="D42" s="133" t="str">
        <f>VLOOKUP(B42,PROPONENTES!$B$19:$D$108,3,FALSE)</f>
        <v>ARQUITECTOS  INGENIEROS CONSTRUCTORES S.A.S</v>
      </c>
      <c r="E42" s="435" t="s">
        <v>1105</v>
      </c>
    </row>
    <row r="43" spans="2:5">
      <c r="B43" s="132">
        <f t="shared" si="0"/>
        <v>25</v>
      </c>
      <c r="C43" s="132">
        <f>IF(VLOOKUP(B43,PROPONENTES!$B$19:$E$108,2,0)="","",VLOOKUP(B43,PROPONENTES!$B$19:$E$108,2,0))</f>
        <v>25</v>
      </c>
      <c r="D43" s="133" t="str">
        <f>VLOOKUP(B43,PROPONENTES!$B$19:$D$108,3,FALSE)</f>
        <v>CONSORCIO RUTA TOLIMA 1</v>
      </c>
      <c r="E43" s="435" t="s">
        <v>1105</v>
      </c>
    </row>
    <row r="44" spans="2:5">
      <c r="B44" s="132">
        <f t="shared" si="0"/>
        <v>26</v>
      </c>
      <c r="C44" s="132">
        <f>IF(VLOOKUP(B44,PROPONENTES!$B$19:$E$108,2,0)="","",VLOOKUP(B44,PROPONENTES!$B$19:$E$108,2,0))</f>
        <v>26</v>
      </c>
      <c r="D44" s="133" t="str">
        <f>VLOOKUP(B44,PROPONENTES!$B$19:$D$108,3,FALSE)</f>
        <v>INGENIEROS CONSTRUCTORES Y ASESORES SAS</v>
      </c>
      <c r="E44" s="435" t="s">
        <v>1105</v>
      </c>
    </row>
    <row r="45" spans="2:5">
      <c r="B45" s="132">
        <f t="shared" si="0"/>
        <v>27</v>
      </c>
      <c r="C45" s="132">
        <f>IF(VLOOKUP(B45,PROPONENTES!$B$19:$E$108,2,0)="","",VLOOKUP(B45,PROPONENTES!$B$19:$E$108,2,0))</f>
        <v>27</v>
      </c>
      <c r="D45" s="133" t="str">
        <f>VLOOKUP(B45,PROPONENTES!$B$19:$D$108,3,FALSE)</f>
        <v>CONSULTORIA Y CONSTRUCCIONES DARLEV SAS</v>
      </c>
      <c r="E45" s="435" t="s">
        <v>1105</v>
      </c>
    </row>
    <row r="46" spans="2:5">
      <c r="B46" s="132">
        <f t="shared" si="0"/>
        <v>28</v>
      </c>
      <c r="C46" s="132">
        <f>IF(VLOOKUP(B46,PROPONENTES!$B$19:$E$108,2,0)="","",VLOOKUP(B46,PROPONENTES!$B$19:$E$108,2,0))</f>
        <v>28</v>
      </c>
      <c r="D46" s="133" t="str">
        <f>VLOOKUP(B46,PROPONENTES!$B$19:$D$108,3,FALSE)</f>
        <v>CONSORCIO TOLIMA</v>
      </c>
      <c r="E46" s="435" t="s">
        <v>1105</v>
      </c>
    </row>
    <row r="47" spans="2:5">
      <c r="B47" s="132">
        <f t="shared" si="0"/>
        <v>29</v>
      </c>
      <c r="C47" s="132">
        <f>IF(VLOOKUP(B47,PROPONENTES!$B$19:$E$108,2,0)="","",VLOOKUP(B47,PROPONENTES!$B$19:$E$108,2,0))</f>
        <v>29</v>
      </c>
      <c r="D47" s="133" t="str">
        <f>VLOOKUP(B47,PROPONENTES!$B$19:$D$108,3,FALSE)</f>
        <v>CONSORCIO MT 2022 TOLIMA</v>
      </c>
      <c r="E47" s="435" t="s">
        <v>1105</v>
      </c>
    </row>
    <row r="48" spans="2:5">
      <c r="B48" s="132">
        <f t="shared" si="0"/>
        <v>30</v>
      </c>
      <c r="C48" s="132">
        <f>IF(VLOOKUP(B48,PROPONENTES!$B$19:$E$108,2,0)="","",VLOOKUP(B48,PROPONENTES!$B$19:$E$108,2,0))</f>
        <v>30</v>
      </c>
      <c r="D48" s="133" t="str">
        <f>VLOOKUP(B48,PROPONENTES!$B$19:$D$108,3,FALSE)</f>
        <v>CONSORCIO INTER TOLIMA</v>
      </c>
      <c r="E48" s="435" t="s">
        <v>1105</v>
      </c>
    </row>
    <row r="49" spans="2:5">
      <c r="B49" s="132">
        <f t="shared" si="0"/>
        <v>31</v>
      </c>
      <c r="C49" s="132">
        <f>IF(VLOOKUP(B49,PROPONENTES!$B$19:$E$108,2,0)="","",VLOOKUP(B49,PROPONENTES!$B$19:$E$108,2,0))</f>
        <v>31</v>
      </c>
      <c r="D49" s="133" t="str">
        <f>VLOOKUP(B49,PROPONENTES!$B$19:$D$108,3,FALSE)</f>
        <v>INGENIERIA MASTER S.A.S.</v>
      </c>
      <c r="E49" s="435" t="s">
        <v>1105</v>
      </c>
    </row>
    <row r="50" spans="2:5">
      <c r="B50" s="132">
        <f t="shared" si="0"/>
        <v>32</v>
      </c>
      <c r="C50" s="132">
        <f>IF(VLOOKUP(B50,PROPONENTES!$B$19:$E$108,2,0)="","",VLOOKUP(B50,PROPONENTES!$B$19:$E$108,2,0))</f>
        <v>32</v>
      </c>
      <c r="D50" s="133" t="str">
        <f>VLOOKUP(B50,PROPONENTES!$B$19:$D$108,3,FALSE)</f>
        <v xml:space="preserve">GYG CONSTRUCCIONES S.A.S. </v>
      </c>
      <c r="E50" s="435" t="s">
        <v>1105</v>
      </c>
    </row>
    <row r="51" spans="2:5">
      <c r="B51" s="132">
        <f t="shared" si="0"/>
        <v>33</v>
      </c>
      <c r="C51" s="132">
        <f>IF(VLOOKUP(B51,PROPONENTES!$B$19:$E$108,2,0)="","",VLOOKUP(B51,PROPONENTES!$B$19:$E$108,2,0))</f>
        <v>33</v>
      </c>
      <c r="D51" s="133" t="str">
        <f>VLOOKUP(B51,PROPONENTES!$B$19:$D$108,3,FALSE)</f>
        <v>CONSORCIO TOLIMA RURAL</v>
      </c>
      <c r="E51" s="435" t="s">
        <v>1105</v>
      </c>
    </row>
    <row r="52" spans="2:5">
      <c r="B52" s="132">
        <f t="shared" si="0"/>
        <v>34</v>
      </c>
      <c r="C52" s="132">
        <f>IF(VLOOKUP(B52,PROPONENTES!$B$19:$E$108,2,0)="","",VLOOKUP(B52,PROPONENTES!$B$19:$E$108,2,0))</f>
        <v>34</v>
      </c>
      <c r="D52" s="133" t="str">
        <f>VLOOKUP(B52,PROPONENTES!$B$19:$D$108,3,FALSE)</f>
        <v>CONSORCIO OPHAIH 2022</v>
      </c>
      <c r="E52" s="435" t="s">
        <v>1105</v>
      </c>
    </row>
    <row r="53" spans="2:5">
      <c r="B53" s="132">
        <f t="shared" si="0"/>
        <v>35</v>
      </c>
      <c r="C53" s="132">
        <f>IF(VLOOKUP(B53,PROPONENTES!$B$19:$E$108,2,0)="","",VLOOKUP(B53,PROPONENTES!$B$19:$E$108,2,0))</f>
        <v>35</v>
      </c>
      <c r="D53" s="133" t="str">
        <f>VLOOKUP(B53,PROPONENTES!$B$19:$D$108,3,FALSE)</f>
        <v xml:space="preserve">ING INGENIERIA SAS </v>
      </c>
      <c r="E53" s="435" t="s">
        <v>1105</v>
      </c>
    </row>
    <row r="54" spans="2:5">
      <c r="B54" s="132">
        <f t="shared" si="0"/>
        <v>36</v>
      </c>
      <c r="C54" s="132">
        <f>IF(VLOOKUP(B54,PROPONENTES!$B$19:$E$108,2,0)="","",VLOOKUP(B54,PROPONENTES!$B$19:$E$108,2,0))</f>
        <v>36</v>
      </c>
      <c r="D54" s="133" t="str">
        <f>VLOOKUP(B54,PROPONENTES!$B$19:$D$108,3,FALSE)</f>
        <v>EJE GROUP S.A.S</v>
      </c>
      <c r="E54" s="435" t="s">
        <v>1105</v>
      </c>
    </row>
    <row r="55" spans="2:5">
      <c r="B55" s="132">
        <f t="shared" si="0"/>
        <v>37</v>
      </c>
      <c r="C55" s="132">
        <f>IF(VLOOKUP(B55,PROPONENTES!$B$19:$E$108,2,0)="","",VLOOKUP(B55,PROPONENTES!$B$19:$E$108,2,0))</f>
        <v>37</v>
      </c>
      <c r="D55" s="133" t="str">
        <f>VLOOKUP(B55,PROPONENTES!$B$19:$D$108,3,FALSE)</f>
        <v>JORES INGENIERIA LTDA. JORES LTDA</v>
      </c>
      <c r="E55" s="435" t="s">
        <v>1105</v>
      </c>
    </row>
    <row r="56" spans="2:5">
      <c r="B56" s="132">
        <f t="shared" si="0"/>
        <v>38</v>
      </c>
      <c r="C56" s="132">
        <f>IF(VLOOKUP(B56,PROPONENTES!$B$19:$E$108,2,0)="","",VLOOKUP(B56,PROPONENTES!$B$19:$E$108,2,0))</f>
        <v>38</v>
      </c>
      <c r="D56" s="133" t="str">
        <f>VLOOKUP(B56,PROPONENTES!$B$19:$D$108,3,FALSE)</f>
        <v>CONSORCIO INTERTOLIMA CR</v>
      </c>
      <c r="E56" s="435" t="s">
        <v>1105</v>
      </c>
    </row>
    <row r="57" spans="2:5">
      <c r="B57" s="132">
        <f t="shared" si="0"/>
        <v>39</v>
      </c>
      <c r="C57" s="132">
        <f>IF(VLOOKUP(B57,PROPONENTES!$B$19:$E$108,2,0)="","",VLOOKUP(B57,PROPONENTES!$B$19:$E$108,2,0))</f>
        <v>39</v>
      </c>
      <c r="D57" s="133" t="str">
        <f>VLOOKUP(B57,PROPONENTES!$B$19:$D$108,3,FALSE)</f>
        <v>CONSORCIO TOLIMA G2</v>
      </c>
      <c r="E57" s="435" t="s">
        <v>1105</v>
      </c>
    </row>
    <row r="58" spans="2:5">
      <c r="B58" s="132">
        <f t="shared" si="0"/>
        <v>40</v>
      </c>
      <c r="C58" s="132">
        <f>IF(VLOOKUP(B58,PROPONENTES!$B$19:$E$108,2,0)="","",VLOOKUP(B58,PROPONENTES!$B$19:$E$108,2,0))</f>
        <v>40</v>
      </c>
      <c r="D58" s="133" t="str">
        <f>VLOOKUP(B58,PROPONENTES!$B$19:$D$108,3,FALSE)</f>
        <v>CONSORCIO INVIAS 001</v>
      </c>
      <c r="E58" s="435" t="s">
        <v>1105</v>
      </c>
    </row>
    <row r="59" spans="2:5">
      <c r="B59" s="132">
        <f t="shared" si="0"/>
        <v>41</v>
      </c>
      <c r="C59" s="132">
        <f>IF(VLOOKUP(B59,PROPONENTES!$B$19:$E$108,2,0)="","",VLOOKUP(B59,PROPONENTES!$B$19:$E$108,2,0))</f>
        <v>41</v>
      </c>
      <c r="D59" s="133" t="str">
        <f>VLOOKUP(B59,PROPONENTES!$B$19:$D$108,3,FALSE)</f>
        <v>CONSORCIO SF</v>
      </c>
      <c r="E59" s="435" t="s">
        <v>1105</v>
      </c>
    </row>
    <row r="60" spans="2:5">
      <c r="B60" s="132">
        <f t="shared" si="0"/>
        <v>42</v>
      </c>
      <c r="C60" s="132">
        <f>IF(VLOOKUP(B60,PROPONENTES!$B$19:$E$108,2,0)="","",VLOOKUP(B60,PROPONENTES!$B$19:$E$108,2,0))</f>
        <v>42</v>
      </c>
      <c r="D60" s="133" t="str">
        <f>VLOOKUP(B60,PROPONENTES!$B$19:$D$108,3,FALSE)</f>
        <v>CONSORCIO VIAL ORIEMH”</v>
      </c>
      <c r="E60" s="435" t="s">
        <v>1105</v>
      </c>
    </row>
    <row r="61" spans="2:5">
      <c r="B61" s="132">
        <f t="shared" si="0"/>
        <v>43</v>
      </c>
      <c r="C61" s="132">
        <f>IF(VLOOKUP(B61,PROPONENTES!$B$19:$E$108,2,0)="","",VLOOKUP(B61,PROPONENTES!$B$19:$E$108,2,0))</f>
        <v>43</v>
      </c>
      <c r="D61" s="133" t="str">
        <f>VLOOKUP(B61,PROPONENTES!$B$19:$D$108,3,FALSE)</f>
        <v>CONSORCIO INTERFEDCO TOLIMA</v>
      </c>
      <c r="E61" s="435" t="s">
        <v>1105</v>
      </c>
    </row>
    <row r="62" spans="2:5">
      <c r="B62" s="132">
        <f t="shared" si="0"/>
        <v>44</v>
      </c>
      <c r="C62" s="132">
        <f>IF(VLOOKUP(B62,PROPONENTES!$B$19:$E$108,2,0)="","",VLOOKUP(B62,PROPONENTES!$B$19:$E$108,2,0))</f>
        <v>44</v>
      </c>
      <c r="D62" s="133" t="str">
        <f>VLOOKUP(B62,PROPONENTES!$B$19:$D$108,3,FALSE)</f>
        <v>CONSORCIO VIAS RURALES TOL</v>
      </c>
      <c r="E62" s="435" t="s">
        <v>1105</v>
      </c>
    </row>
    <row r="63" spans="2:5">
      <c r="B63" s="132">
        <f t="shared" si="0"/>
        <v>45</v>
      </c>
      <c r="C63" s="132">
        <f>IF(VLOOKUP(B63,PROPONENTES!$B$19:$E$108,2,0)="","",VLOOKUP(B63,PROPONENTES!$B$19:$E$108,2,0))</f>
        <v>45</v>
      </c>
      <c r="D63" s="133" t="str">
        <f>VLOOKUP(B63,PROPONENTES!$B$19:$D$108,3,FALSE)</f>
        <v>TECNOLOGÍA DE NUEVAS MEDICIONES COLOMBIA S.A.S. – TECNUMEC S.A.S.</v>
      </c>
      <c r="E63" s="435" t="s">
        <v>1105</v>
      </c>
    </row>
    <row r="64" spans="2:5">
      <c r="B64" s="132">
        <f t="shared" si="0"/>
        <v>46</v>
      </c>
      <c r="C64" s="132">
        <f>IF(VLOOKUP(B64,PROPONENTES!$B$19:$E$108,2,0)="","",VLOOKUP(B64,PROPONENTES!$B$19:$E$108,2,0))</f>
        <v>46</v>
      </c>
      <c r="D64" s="133" t="str">
        <f>VLOOKUP(B64,PROPONENTES!$B$19:$D$108,3,FALSE)</f>
        <v>CONSULTORES SOLANO NAVAS LTDA</v>
      </c>
      <c r="E64" s="435" t="s">
        <v>1105</v>
      </c>
    </row>
    <row r="65" spans="2:5">
      <c r="B65" s="132">
        <f t="shared" si="0"/>
        <v>47</v>
      </c>
      <c r="C65" s="132">
        <f>IF(VLOOKUP(B65,PROPONENTES!$B$19:$E$108,2,0)="","",VLOOKUP(B65,PROPONENTES!$B$19:$E$108,2,0))</f>
        <v>47</v>
      </c>
      <c r="D65" s="133" t="str">
        <f>VLOOKUP(B65,PROPONENTES!$B$19:$D$108,3,FALSE)</f>
        <v>CONSORCIO VIAS TOLIMA 22</v>
      </c>
      <c r="E65" s="435" t="s">
        <v>1105</v>
      </c>
    </row>
    <row r="66" spans="2:5">
      <c r="B66" s="132">
        <f t="shared" si="0"/>
        <v>48</v>
      </c>
      <c r="C66" s="132">
        <f>IF(VLOOKUP(B66,PROPONENTES!$B$19:$E$108,2,0)="","",VLOOKUP(B66,PROPONENTES!$B$19:$E$108,2,0))</f>
        <v>48</v>
      </c>
      <c r="D66" s="133" t="str">
        <f>VLOOKUP(B66,PROPONENTES!$B$19:$D$108,3,FALSE)</f>
        <v>BRAIN INGENIERIA VIAL SAS</v>
      </c>
      <c r="E66" s="435" t="s">
        <v>1105</v>
      </c>
    </row>
    <row r="67" spans="2:5">
      <c r="B67" s="132">
        <f t="shared" si="0"/>
        <v>49</v>
      </c>
      <c r="C67" s="132">
        <f>IF(VLOOKUP(B67,PROPONENTES!$B$19:$E$108,2,0)="","",VLOOKUP(B67,PROPONENTES!$B$19:$E$108,2,0))</f>
        <v>49</v>
      </c>
      <c r="D67" s="133" t="str">
        <f>VLOOKUP(B67,PROPONENTES!$B$19:$D$108,3,FALSE)</f>
        <v>CONSORCIO LAPP</v>
      </c>
      <c r="E67" s="435" t="s">
        <v>1105</v>
      </c>
    </row>
    <row r="68" spans="2:5">
      <c r="B68" s="132">
        <f t="shared" si="0"/>
        <v>50</v>
      </c>
      <c r="C68" s="132">
        <f>IF(VLOOKUP(B68,PROPONENTES!$B$19:$E$108,2,0)="","",VLOOKUP(B68,PROPONENTES!$B$19:$E$108,2,0))</f>
        <v>50</v>
      </c>
      <c r="D68" s="133" t="str">
        <f>VLOOKUP(B68,PROPONENTES!$B$19:$D$108,3,FALSE)</f>
        <v>PROYECTISTAS ASOCIADOS SAS</v>
      </c>
      <c r="E68" s="435" t="s">
        <v>1105</v>
      </c>
    </row>
    <row r="69" spans="2:5">
      <c r="B69" s="132">
        <f t="shared" si="0"/>
        <v>51</v>
      </c>
      <c r="C69" s="132">
        <f>IF(VLOOKUP(B69,PROPONENTES!$B$19:$E$108,2,0)="","",VLOOKUP(B69,PROPONENTES!$B$19:$E$108,2,0))</f>
        <v>51</v>
      </c>
      <c r="D69" s="133" t="str">
        <f>VLOOKUP(B69,PROPONENTES!$B$19:$D$108,3,FALSE)</f>
        <v>DAM SOLUCIONES E INGENIERIA SAS</v>
      </c>
      <c r="E69" s="435" t="s">
        <v>1327</v>
      </c>
    </row>
    <row r="70" spans="2:5">
      <c r="B70" s="132">
        <f t="shared" si="0"/>
        <v>52</v>
      </c>
      <c r="C70" s="132">
        <f>IF(VLOOKUP(B70,PROPONENTES!$B$19:$E$108,2,0)="","",VLOOKUP(B70,PROPONENTES!$B$19:$E$108,2,0))</f>
        <v>52</v>
      </c>
      <c r="D70" s="133" t="str">
        <f>VLOOKUP(B70,PROPONENTES!$B$19:$D$108,3,FALSE)</f>
        <v>COINZA ING SAS</v>
      </c>
      <c r="E70" s="435" t="s">
        <v>1105</v>
      </c>
    </row>
    <row r="71" spans="2:5">
      <c r="B71" s="132">
        <f t="shared" si="0"/>
        <v>53</v>
      </c>
      <c r="C71" s="132">
        <f>IF(VLOOKUP(B71,PROPONENTES!$B$19:$E$108,2,0)="","",VLOOKUP(B71,PROPONENTES!$B$19:$E$108,2,0))</f>
        <v>53</v>
      </c>
      <c r="D71" s="133" t="str">
        <f>VLOOKUP(B71,PROPONENTES!$B$19:$D$108,3,FALSE)</f>
        <v>NORBERTO BAYONA ESPITIA</v>
      </c>
      <c r="E71" s="435" t="s">
        <v>1105</v>
      </c>
    </row>
    <row r="72" spans="2:5">
      <c r="B72" s="132">
        <f t="shared" si="0"/>
        <v>54</v>
      </c>
      <c r="C72" s="132">
        <f>IF(VLOOKUP(B72,PROPONENTES!$B$19:$E$108,2,0)="","",VLOOKUP(B72,PROPONENTES!$B$19:$E$108,2,0))</f>
        <v>54</v>
      </c>
      <c r="D72" s="133" t="str">
        <f>VLOOKUP(B72,PROPONENTES!$B$19:$D$108,3,FALSE)</f>
        <v>CONSORCIO HC INTERVENTORES 2022</v>
      </c>
      <c r="E72" s="435" t="s">
        <v>1105</v>
      </c>
    </row>
    <row r="73" spans="2:5">
      <c r="B73" s="132">
        <f t="shared" si="0"/>
        <v>55</v>
      </c>
      <c r="C73" s="132">
        <f>IF(VLOOKUP(B73,PROPONENTES!$B$19:$E$108,2,0)="","",VLOOKUP(B73,PROPONENTES!$B$19:$E$108,2,0))</f>
        <v>55</v>
      </c>
      <c r="D73" s="133" t="str">
        <f>VLOOKUP(B73,PROPONENTES!$B$19:$D$108,3,FALSE)</f>
        <v>MARIO DE JESUS GIL CARDONA</v>
      </c>
      <c r="E73" s="435" t="s">
        <v>1105</v>
      </c>
    </row>
    <row r="74" spans="2:5">
      <c r="B74" s="132">
        <f t="shared" si="0"/>
        <v>56</v>
      </c>
      <c r="C74" s="132">
        <f>IF(VLOOKUP(B74,PROPONENTES!$B$19:$E$108,2,0)="","",VLOOKUP(B74,PROPONENTES!$B$19:$E$108,2,0))</f>
        <v>56</v>
      </c>
      <c r="D74" s="133" t="str">
        <f>VLOOKUP(B74,PROPONENTES!$B$19:$D$108,3,FALSE)</f>
        <v>CONSORCIO COLOMBIA RURAL ET</v>
      </c>
      <c r="E74" s="435" t="s">
        <v>1105</v>
      </c>
    </row>
    <row r="75" spans="2:5">
      <c r="B75" s="132">
        <f t="shared" si="0"/>
        <v>57</v>
      </c>
      <c r="C75" s="132">
        <f>IF(VLOOKUP(B75,PROPONENTES!$B$19:$E$108,2,0)="","",VLOOKUP(B75,PROPONENTES!$B$19:$E$108,2,0))</f>
        <v>57</v>
      </c>
      <c r="D75" s="133" t="str">
        <f>VLOOKUP(B75,PROPONENTES!$B$19:$D$108,3,FALSE)</f>
        <v>CONSORCIO ROGER 20</v>
      </c>
      <c r="E75" s="435" t="s">
        <v>1105</v>
      </c>
    </row>
    <row r="76" spans="2:5">
      <c r="B76" s="132">
        <f t="shared" si="0"/>
        <v>58</v>
      </c>
      <c r="C76" s="132">
        <f>IF(VLOOKUP(B76,PROPONENTES!$B$19:$E$108,2,0)="","",VLOOKUP(B76,PROPONENTES!$B$19:$E$108,2,0))</f>
        <v>58</v>
      </c>
      <c r="D76" s="133" t="str">
        <f>VLOOKUP(B76,PROPONENTES!$B$19:$D$108,3,FALSE)</f>
        <v>VALLEJO H INGENIEROS CONSULTORES CONSTRUCTORES C S.A.S -BIC</v>
      </c>
      <c r="E76" s="435" t="s">
        <v>1105</v>
      </c>
    </row>
    <row r="77" spans="2:5">
      <c r="B77" s="132">
        <f t="shared" si="0"/>
        <v>59</v>
      </c>
      <c r="C77" s="132">
        <f>IF(VLOOKUP(B77,PROPONENTES!$B$19:$E$108,2,0)="","",VLOOKUP(B77,PROPONENTES!$B$19:$E$108,2,0))</f>
        <v>59</v>
      </c>
      <c r="D77" s="133" t="str">
        <f>VLOOKUP(B77,PROPONENTES!$B$19:$D$108,3,FALSE)</f>
        <v>Consorcio JR</v>
      </c>
      <c r="E77" s="435" t="s">
        <v>1105</v>
      </c>
    </row>
    <row r="78" spans="2:5">
      <c r="B78" s="132">
        <f t="shared" si="0"/>
        <v>60</v>
      </c>
      <c r="C78" s="132">
        <f>IF(VLOOKUP(B78,PROPONENTES!$B$19:$E$108,2,0)="","",VLOOKUP(B78,PROPONENTES!$B$19:$E$108,2,0))</f>
        <v>60</v>
      </c>
      <c r="D78" s="133" t="str">
        <f>VLOOKUP(B78,PROPONENTES!$B$19:$D$108,3,FALSE)</f>
        <v>ARA INGENIERIA S.A.S</v>
      </c>
      <c r="E78" s="435" t="s">
        <v>1327</v>
      </c>
    </row>
    <row r="79" spans="2:5">
      <c r="B79" s="132">
        <f t="shared" si="0"/>
        <v>61</v>
      </c>
      <c r="C79" s="132">
        <f>IF(VLOOKUP(B79,PROPONENTES!$B$19:$E$108,2,0)="","",VLOOKUP(B79,PROPONENTES!$B$19:$E$108,2,0))</f>
        <v>61</v>
      </c>
      <c r="D79" s="133" t="str">
        <f>VLOOKUP(B79,PROPONENTES!$B$19:$D$108,3,FALSE)</f>
        <v>CONSORCIO INVITOL 2022</v>
      </c>
      <c r="E79" s="435" t="s">
        <v>1105</v>
      </c>
    </row>
    <row r="80" spans="2:5">
      <c r="B80" s="132">
        <f t="shared" si="0"/>
        <v>62</v>
      </c>
      <c r="C80" s="132">
        <f>IF(VLOOKUP(B80,PROPONENTES!$B$19:$E$108,2,0)="","",VLOOKUP(B80,PROPONENTES!$B$19:$E$108,2,0))</f>
        <v>62</v>
      </c>
      <c r="D80" s="133" t="str">
        <f>VLOOKUP(B80,PROPONENTES!$B$19:$D$108,3,FALSE)</f>
        <v>CONSORCIO INTERVIAL TOL 001</v>
      </c>
      <c r="E80" s="435" t="s">
        <v>1105</v>
      </c>
    </row>
    <row r="81" spans="2:5">
      <c r="B81" s="132">
        <f t="shared" si="0"/>
        <v>63</v>
      </c>
      <c r="C81" s="132">
        <f>IF(VLOOKUP(B81,PROPONENTES!$B$19:$E$108,2,0)="","",VLOOKUP(B81,PROPONENTES!$B$19:$E$108,2,0))</f>
        <v>63</v>
      </c>
      <c r="D81" s="133" t="str">
        <f>VLOOKUP(B81,PROPONENTES!$B$19:$D$108,3,FALSE)</f>
        <v>COMPAÑIA CONSULTORA COLOMBIANA TRIPLE C BIC SAS</v>
      </c>
      <c r="E81" s="435" t="s">
        <v>1105</v>
      </c>
    </row>
    <row r="82" spans="2:5">
      <c r="B82" s="132">
        <f t="shared" si="0"/>
        <v>64</v>
      </c>
      <c r="C82" s="132">
        <f>IF(VLOOKUP(B82,PROPONENTES!$B$19:$E$108,2,0)="","",VLOOKUP(B82,PROPONENTES!$B$19:$E$108,2,0))</f>
        <v>64</v>
      </c>
      <c r="D82" s="133" t="str">
        <f>VLOOKUP(B82,PROPONENTES!$B$19:$D$108,3,FALSE)</f>
        <v>UNION TEMPORAL INTERTOL 001 2022</v>
      </c>
      <c r="E82" s="435" t="s">
        <v>1105</v>
      </c>
    </row>
    <row r="83" spans="2:5">
      <c r="B83" s="132">
        <f t="shared" si="0"/>
        <v>65</v>
      </c>
      <c r="C83" s="132">
        <f>IF(VLOOKUP(B83,PROPONENTES!$B$19:$E$108,2,0)="","",VLOOKUP(B83,PROPONENTES!$B$19:$E$108,2,0))</f>
        <v>65</v>
      </c>
      <c r="D83" s="133" t="str">
        <f>VLOOKUP(B83,PROPONENTES!$B$19:$D$108,3,FALSE)</f>
        <v>PROYECTISTAS DE COLOMBIA &amp; CIA SAS</v>
      </c>
      <c r="E83" s="435" t="s">
        <v>1105</v>
      </c>
    </row>
    <row r="84" spans="2:5">
      <c r="B84" s="132">
        <f t="shared" ref="B84:B107" si="1">ROW()-18</f>
        <v>66</v>
      </c>
      <c r="C84" s="132">
        <f>IF(VLOOKUP(B84,PROPONENTES!$B$19:$E$108,2,0)="","",VLOOKUP(B84,PROPONENTES!$B$19:$E$108,2,0))</f>
        <v>66</v>
      </c>
      <c r="D84" s="133" t="str">
        <f>VLOOKUP(B84,PROPONENTES!$B$19:$D$108,3,FALSE)</f>
        <v>CONSORCIO VIAL INGENIERIA 2022</v>
      </c>
      <c r="E84" s="435" t="s">
        <v>1105</v>
      </c>
    </row>
    <row r="85" spans="2:5">
      <c r="B85" s="132">
        <f t="shared" si="1"/>
        <v>67</v>
      </c>
      <c r="C85" s="132">
        <f>IF(VLOOKUP(B85,PROPONENTES!$B$19:$E$108,2,0)="","",VLOOKUP(B85,PROPONENTES!$B$19:$E$108,2,0))</f>
        <v>67</v>
      </c>
      <c r="D85" s="133" t="str">
        <f>VLOOKUP(B85,PROPONENTES!$B$19:$D$108,3,FALSE)</f>
        <v>CONSORCIO AV</v>
      </c>
      <c r="E85" s="435" t="s">
        <v>1105</v>
      </c>
    </row>
    <row r="86" spans="2:5">
      <c r="B86" s="132">
        <f t="shared" si="1"/>
        <v>68</v>
      </c>
      <c r="C86" s="132">
        <f>IF(VLOOKUP(B86,PROPONENTES!$B$19:$E$108,2,0)="","",VLOOKUP(B86,PROPONENTES!$B$19:$E$108,2,0))</f>
        <v>68</v>
      </c>
      <c r="D86" s="133" t="str">
        <f>VLOOKUP(B86,PROPONENTES!$B$19:$D$108,3,FALSE)</f>
        <v>SOLUCIONES PARA LA INGENIERÍA S.A.S.</v>
      </c>
      <c r="E86" s="435" t="s">
        <v>1105</v>
      </c>
    </row>
    <row r="87" spans="2:5">
      <c r="B87" s="132">
        <f t="shared" si="1"/>
        <v>69</v>
      </c>
      <c r="C87" s="132">
        <f>IF(VLOOKUP(B87,PROPONENTES!$B$19:$E$108,2,0)="","",VLOOKUP(B87,PROPONENTES!$B$19:$E$108,2,0))</f>
        <v>69</v>
      </c>
      <c r="D87" s="133" t="str">
        <f>VLOOKUP(B87,PROPONENTES!$B$19:$D$108,3,FALSE)</f>
        <v>Unión Temporal Intervías Tolima</v>
      </c>
      <c r="E87" s="435" t="s">
        <v>1105</v>
      </c>
    </row>
    <row r="88" spans="2:5">
      <c r="B88" s="132">
        <f t="shared" si="1"/>
        <v>70</v>
      </c>
      <c r="C88" s="132">
        <f>IF(VLOOKUP(B88,PROPONENTES!$B$19:$E$108,2,0)="","",VLOOKUP(B88,PROPONENTES!$B$19:$E$108,2,0))</f>
        <v>70</v>
      </c>
      <c r="D88" s="133" t="str">
        <f>VLOOKUP(B88,PROPONENTES!$B$19:$D$108,3,FALSE)</f>
        <v>CONSORCIO DT TOLIMA ZP</v>
      </c>
      <c r="E88" s="435" t="s">
        <v>1105</v>
      </c>
    </row>
    <row r="89" spans="2:5">
      <c r="B89" s="132">
        <f t="shared" si="1"/>
        <v>71</v>
      </c>
      <c r="C89" s="132">
        <f>IF(VLOOKUP(B89,PROPONENTES!$B$19:$E$108,2,0)="","",VLOOKUP(B89,PROPONENTES!$B$19:$E$108,2,0))</f>
        <v>71</v>
      </c>
      <c r="D89" s="133" t="str">
        <f>VLOOKUP(B89,PROPONENTES!$B$19:$D$108,3,FALSE)</f>
        <v>INGENIEROS CIVILES ESPECIALISTAS S.A.S.</v>
      </c>
      <c r="E89" s="435" t="s">
        <v>1105</v>
      </c>
    </row>
    <row r="90" spans="2:5">
      <c r="B90" s="132">
        <f t="shared" si="1"/>
        <v>72</v>
      </c>
      <c r="C90" s="132">
        <f>IF(VLOOKUP(B90,PROPONENTES!$B$19:$E$108,2,0)="","",VLOOKUP(B90,PROPONENTES!$B$19:$E$108,2,0))</f>
        <v>72</v>
      </c>
      <c r="D90" s="133" t="str">
        <f>VLOOKUP(B90,PROPONENTES!$B$19:$D$108,3,FALSE)</f>
        <v>GRUPO QUIMBAYA S.A.S.</v>
      </c>
      <c r="E90" s="435" t="s">
        <v>1105</v>
      </c>
    </row>
    <row r="91" spans="2:5">
      <c r="B91" s="132">
        <f t="shared" si="1"/>
        <v>73</v>
      </c>
      <c r="C91" s="132">
        <f>IF(VLOOKUP(B91,PROPONENTES!$B$19:$E$108,2,0)="","",VLOOKUP(B91,PROPONENTES!$B$19:$E$108,2,0))</f>
        <v>73</v>
      </c>
      <c r="D91" s="133" t="str">
        <f>VLOOKUP(B91,PROPONENTES!$B$19:$D$108,3,FALSE)</f>
        <v>CONSORCIO TOLIMA JI 001</v>
      </c>
      <c r="E91" s="435" t="s">
        <v>1105</v>
      </c>
    </row>
    <row r="92" spans="2:5">
      <c r="B92" s="132">
        <f t="shared" si="1"/>
        <v>74</v>
      </c>
      <c r="C92" s="132">
        <f>IF(VLOOKUP(B92,PROPONENTES!$B$19:$E$108,2,0)="","",VLOOKUP(B92,PROPONENTES!$B$19:$E$108,2,0))</f>
        <v>74</v>
      </c>
      <c r="D92" s="133" t="str">
        <f>VLOOKUP(B92,PROPONENTES!$B$19:$D$108,3,FALSE)</f>
        <v>INGENIERIA CONUSLTORIA Y PLANEACION S.A – INCOPLAN S.A</v>
      </c>
      <c r="E92" s="435" t="s">
        <v>1105</v>
      </c>
    </row>
    <row r="93" spans="2:5">
      <c r="B93" s="132">
        <f t="shared" si="1"/>
        <v>75</v>
      </c>
      <c r="C93" s="132">
        <f>IF(VLOOKUP(B93,PROPONENTES!$B$19:$E$108,2,0)="","",VLOOKUP(B93,PROPONENTES!$B$19:$E$108,2,0))</f>
        <v>75</v>
      </c>
      <c r="D93" s="133" t="str">
        <f>VLOOKUP(B93,PROPONENTES!$B$19:$D$108,3,FALSE)</f>
        <v>JAIME MORENO ESPAÑA</v>
      </c>
      <c r="E93" s="435" t="s">
        <v>1105</v>
      </c>
    </row>
    <row r="94" spans="2:5">
      <c r="B94" s="132">
        <f t="shared" si="1"/>
        <v>76</v>
      </c>
      <c r="C94" s="132">
        <f>IF(VLOOKUP(B94,PROPONENTES!$B$19:$E$108,2,0)="","",VLOOKUP(B94,PROPONENTES!$B$19:$E$108,2,0))</f>
        <v>76</v>
      </c>
      <c r="D94" s="133" t="str">
        <f>VLOOKUP(B94,PROPONENTES!$B$19:$D$108,3,FALSE)</f>
        <v>CONSORCIO DIN ISUTECH</v>
      </c>
      <c r="E94" s="435" t="s">
        <v>1105</v>
      </c>
    </row>
    <row r="95" spans="2:5">
      <c r="B95" s="132">
        <f t="shared" si="1"/>
        <v>77</v>
      </c>
      <c r="C95" s="132">
        <f>IF(VLOOKUP(B95,PROPONENTES!$B$19:$E$108,2,0)="","",VLOOKUP(B95,PROPONENTES!$B$19:$E$108,2,0))</f>
        <v>77</v>
      </c>
      <c r="D95" s="133" t="str">
        <f>VLOOKUP(B95,PROPONENTES!$B$19:$D$108,3,FALSE)</f>
        <v>CONSORCIO CASTORES – INGES INVIAS 2022</v>
      </c>
      <c r="E95" s="435" t="s">
        <v>1105</v>
      </c>
    </row>
    <row r="96" spans="2:5">
      <c r="B96" s="132">
        <f t="shared" si="1"/>
        <v>78</v>
      </c>
      <c r="C96" s="132">
        <f>IF(VLOOKUP(B96,PROPONENTES!$B$19:$E$108,2,0)="","",VLOOKUP(B96,PROPONENTES!$B$19:$E$108,2,0))</f>
        <v>78</v>
      </c>
      <c r="D96" s="133" t="str">
        <f>VLOOKUP(B96,PROPONENTES!$B$19:$D$108,3,FALSE)</f>
        <v>NUBIA ISABEL QUEVEDO ÁNGEL</v>
      </c>
      <c r="E96" s="435" t="s">
        <v>1105</v>
      </c>
    </row>
    <row r="97" spans="2:5">
      <c r="B97" s="132">
        <f t="shared" si="1"/>
        <v>79</v>
      </c>
      <c r="C97" s="132">
        <f>IF(VLOOKUP(B97,PROPONENTES!$B$19:$E$108,2,0)="","",VLOOKUP(B97,PROPONENTES!$B$19:$E$108,2,0))</f>
        <v>79</v>
      </c>
      <c r="D97" s="133" t="str">
        <f>VLOOKUP(B97,PROPONENTES!$B$19:$D$108,3,FALSE)</f>
        <v>CONSORCIO TOLIMA BD</v>
      </c>
      <c r="E97" s="435" t="s">
        <v>1105</v>
      </c>
    </row>
    <row r="98" spans="2:5">
      <c r="B98" s="132">
        <f t="shared" si="1"/>
        <v>80</v>
      </c>
      <c r="C98" s="132">
        <f>IF(VLOOKUP(B98,PROPONENTES!$B$19:$E$108,2,0)="","",VLOOKUP(B98,PROPONENTES!$B$19:$E$108,2,0))</f>
        <v>80</v>
      </c>
      <c r="D98" s="133" t="str">
        <f>VLOOKUP(B98,PROPONENTES!$B$19:$D$108,3,FALSE)</f>
        <v>CB INGENIEROS S.A.S</v>
      </c>
      <c r="E98" s="435" t="s">
        <v>1105</v>
      </c>
    </row>
    <row r="99" spans="2:5">
      <c r="B99" s="132">
        <f t="shared" si="1"/>
        <v>81</v>
      </c>
      <c r="C99" s="132">
        <f>IF(VLOOKUP(B99,PROPONENTES!$B$19:$E$108,2,0)="","",VLOOKUP(B99,PROPONENTES!$B$19:$E$108,2,0))</f>
        <v>81</v>
      </c>
      <c r="D99" s="133" t="str">
        <f>VLOOKUP(B99,PROPONENTES!$B$19:$D$108,3,FALSE)</f>
        <v>CONSORCIO INVIAS JP 2022</v>
      </c>
      <c r="E99" s="435" t="s">
        <v>1105</v>
      </c>
    </row>
    <row r="100" spans="2:5">
      <c r="B100" s="132">
        <f t="shared" si="1"/>
        <v>82</v>
      </c>
      <c r="C100" s="132">
        <f>IF(VLOOKUP(B100,PROPONENTES!$B$19:$E$108,2,0)="","",VLOOKUP(B100,PROPONENTES!$B$19:$E$108,2,0))</f>
        <v>82</v>
      </c>
      <c r="D100" s="133" t="str">
        <f>VLOOKUP(B100,PROPONENTES!$B$19:$D$108,3,FALSE)</f>
        <v>SOCIEDAD TECNICA SOTA LTDA</v>
      </c>
      <c r="E100" s="435" t="s">
        <v>1105</v>
      </c>
    </row>
    <row r="101" spans="2:5">
      <c r="B101" s="132">
        <f t="shared" si="1"/>
        <v>83</v>
      </c>
      <c r="C101" s="132">
        <f>IF(VLOOKUP(B101,PROPONENTES!$B$19:$E$108,2,0)="","",VLOOKUP(B101,PROPONENTES!$B$19:$E$108,2,0))</f>
        <v>83</v>
      </c>
      <c r="D101" s="133" t="str">
        <f>VLOOKUP(B101,PROPONENTES!$B$19:$D$108,3,FALSE)</f>
        <v>CONSORCIO INTERVENTORES ASOCIADOS DEL TOLIMA</v>
      </c>
      <c r="E101" s="435" t="s">
        <v>1105</v>
      </c>
    </row>
    <row r="102" spans="2:5">
      <c r="B102" s="132">
        <f t="shared" si="1"/>
        <v>84</v>
      </c>
      <c r="C102" s="132">
        <f>IF(VLOOKUP(B102,PROPONENTES!$B$19:$E$108,2,0)="","",VLOOKUP(B102,PROPONENTES!$B$19:$E$108,2,0))</f>
        <v>84</v>
      </c>
      <c r="D102" s="133" t="str">
        <f>VLOOKUP(B102,PROPONENTES!$B$19:$D$108,3,FALSE)</f>
        <v>GRUPO EMPRESARIAL DE INFRAESTRUCTURA COLOMBIANO S.A.S.</v>
      </c>
      <c r="E102" s="435" t="s">
        <v>1105</v>
      </c>
    </row>
    <row r="103" spans="2:5">
      <c r="B103" s="132">
        <f t="shared" si="1"/>
        <v>85</v>
      </c>
      <c r="C103" s="132">
        <f>IF(VLOOKUP(B103,PROPONENTES!$B$19:$E$108,2,0)="","",VLOOKUP(B103,PROPONENTES!$B$19:$E$108,2,0))</f>
        <v>85</v>
      </c>
      <c r="D103" s="133" t="str">
        <f>VLOOKUP(B103,PROPONENTES!$B$19:$D$108,3,FALSE)</f>
        <v>DBB INGENIERÍA S.A.S.</v>
      </c>
      <c r="E103" s="435" t="s">
        <v>1105</v>
      </c>
    </row>
    <row r="104" spans="2:5">
      <c r="B104" s="132">
        <f t="shared" si="1"/>
        <v>86</v>
      </c>
      <c r="C104" s="132">
        <f>IF(VLOOKUP(B104,PROPONENTES!$B$19:$E$108,2,0)="","",VLOOKUP(B104,PROPONENTES!$B$19:$E$108,2,0))</f>
        <v>86</v>
      </c>
      <c r="D104" s="133" t="str">
        <f>VLOOKUP(B104,PROPONENTES!$B$19:$D$108,3,FALSE)</f>
        <v>CARLOS ANDRES CHAVARRO CASTRO</v>
      </c>
      <c r="E104" s="435" t="s">
        <v>1105</v>
      </c>
    </row>
    <row r="105" spans="2:5">
      <c r="B105" s="132">
        <f t="shared" si="1"/>
        <v>87</v>
      </c>
      <c r="C105" s="132">
        <f>IF(VLOOKUP(B105,PROPONENTES!$B$19:$E$108,2,0)="","",VLOOKUP(B105,PROPONENTES!$B$19:$E$108,2,0))</f>
        <v>87</v>
      </c>
      <c r="D105" s="133" t="str">
        <f>VLOOKUP(B105,PROPONENTES!$B$19:$D$108,3,FALSE)</f>
        <v>CONSORCIO INTERVÍAS TOLIMA 22</v>
      </c>
      <c r="E105" s="435" t="s">
        <v>1105</v>
      </c>
    </row>
    <row r="106" spans="2:5">
      <c r="B106" s="132">
        <f t="shared" si="1"/>
        <v>88</v>
      </c>
      <c r="C106" s="132">
        <f>IF(VLOOKUP(B106,PROPONENTES!$B$19:$E$108,2,0)="","",VLOOKUP(B106,PROPONENTES!$B$19:$E$108,2,0))</f>
        <v>88</v>
      </c>
      <c r="D106" s="133" t="str">
        <f>VLOOKUP(B106,PROPONENTES!$B$19:$D$108,3,FALSE)</f>
        <v>INGENIERÍA Y CONSULTORÍA INGECON SAS</v>
      </c>
      <c r="E106" s="435" t="s">
        <v>1105</v>
      </c>
    </row>
    <row r="107" spans="2:5">
      <c r="B107" s="132">
        <f t="shared" si="1"/>
        <v>89</v>
      </c>
      <c r="C107" s="132">
        <f>IF(VLOOKUP(B107,PROPONENTES!$B$19:$E$108,2,0)="","",VLOOKUP(B107,PROPONENTES!$B$19:$E$108,2,0))</f>
        <v>89</v>
      </c>
      <c r="D107" s="133" t="str">
        <f>VLOOKUP(B107,PROPONENTES!$B$19:$D$108,3,FALSE)</f>
        <v>CONSORCIO INTER C&amp;R</v>
      </c>
      <c r="E107" s="435" t="s">
        <v>1105</v>
      </c>
    </row>
    <row r="108" spans="2:5">
      <c r="B108" s="132">
        <f t="shared" ref="B108" si="2">ROW()-18</f>
        <v>90</v>
      </c>
      <c r="C108" s="132">
        <f>IF(VLOOKUP(B108,PROPONENTES!$B$19:$E$108,2,0)="","",VLOOKUP(B108,PROPONENTES!$B$19:$E$108,2,0))</f>
        <v>90</v>
      </c>
      <c r="D108" s="133" t="str">
        <f>VLOOKUP(B108,PROPONENTES!$B$19:$D$108,3,FALSE)</f>
        <v>GM SOLUTIONS S.A.S</v>
      </c>
      <c r="E108" s="435" t="s">
        <v>1105</v>
      </c>
    </row>
    <row r="109" spans="2:5" ht="3" customHeight="1" thickBot="1">
      <c r="B109" s="449" t="s">
        <v>134</v>
      </c>
      <c r="C109" s="449" t="s">
        <v>134</v>
      </c>
      <c r="D109" s="135"/>
      <c r="E109" s="135"/>
    </row>
    <row r="110" spans="2:5" ht="15.75" thickTop="1"/>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C19:E19 E108 C20:D108">
    <cfRule type="expression" dxfId="86" priority="15" stopIfTrue="1">
      <formula>MOD(ROW(),2)</formula>
    </cfRule>
  </conditionalFormatting>
  <conditionalFormatting sqref="E19 E108">
    <cfRule type="cellIs" dxfId="85" priority="12" operator="equal">
      <formula>"NO CUMPLE-2"</formula>
    </cfRule>
    <cfRule type="cellIs" dxfId="84" priority="13" operator="equal">
      <formula>"NO CUMPLE-1"</formula>
    </cfRule>
    <cfRule type="cellIs" dxfId="83" priority="14" operator="equal">
      <formula>"CUMPLE"</formula>
    </cfRule>
  </conditionalFormatting>
  <conditionalFormatting sqref="B19 B108">
    <cfRule type="expression" dxfId="82" priority="11" stopIfTrue="1">
      <formula>MOD(ROW(),2)</formula>
    </cfRule>
  </conditionalFormatting>
  <conditionalFormatting sqref="E20:E107">
    <cfRule type="expression" dxfId="81" priority="10" stopIfTrue="1">
      <formula>MOD(ROW(),2)</formula>
    </cfRule>
  </conditionalFormatting>
  <conditionalFormatting sqref="E20:E107">
    <cfRule type="cellIs" dxfId="80" priority="7" operator="equal">
      <formula>"NO CUMPLE-2"</formula>
    </cfRule>
    <cfRule type="cellIs" dxfId="79" priority="8" operator="equal">
      <formula>"NO CUMPLE-1"</formula>
    </cfRule>
    <cfRule type="cellIs" dxfId="78" priority="9" operator="equal">
      <formula>"CUMPLE"</formula>
    </cfRule>
  </conditionalFormatting>
  <conditionalFormatting sqref="B20:B107">
    <cfRule type="expression" dxfId="77" priority="6" stopIfTrue="1">
      <formula>MOD(ROW(),2)</formula>
    </cfRule>
  </conditionalFormatting>
  <dataValidations count="2">
    <dataValidation type="list" allowBlank="1" showInputMessage="1" showErrorMessage="1" sqref="E109" xr:uid="{16FEE7AD-D79D-4D95-A4BA-ED4E4910A1D0}">
      <formula1>CUMPLIMIENTO</formula1>
    </dataValidation>
    <dataValidation type="list" allowBlank="1" showInputMessage="1" showErrorMessage="1" sqref="E19:E108" xr:uid="{E6259DC6-4A48-4084-9A96-E9D1B1407D9A}">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9">
    <tabColor theme="4" tint="0.59999389629810485"/>
    <pageSetUpPr fitToPage="1"/>
  </sheetPr>
  <dimension ref="A1:P411"/>
  <sheetViews>
    <sheetView showGridLines="0" topLeftCell="A54" zoomScaleNormal="100" zoomScaleSheetLayoutView="90" workbookViewId="0">
      <selection activeCell="B11" sqref="B11:L26"/>
    </sheetView>
  </sheetViews>
  <sheetFormatPr baseColWidth="10" defaultColWidth="0" defaultRowHeight="12.75" zeroHeight="1"/>
  <cols>
    <col min="1" max="1" width="1.28515625" style="58" customWidth="1"/>
    <col min="2" max="2" width="7.7109375" style="58" customWidth="1"/>
    <col min="3" max="3" width="11.5703125" style="58" customWidth="1"/>
    <col min="4" max="4" width="32.28515625" style="58" customWidth="1"/>
    <col min="5" max="5" width="15.7109375" style="58" bestFit="1" customWidth="1"/>
    <col min="6" max="9" width="16.140625" style="58" customWidth="1"/>
    <col min="10" max="10" width="18.28515625" style="58" customWidth="1"/>
    <col min="11" max="11" width="17.85546875" style="58" customWidth="1"/>
    <col min="12" max="12" width="14.7109375" style="58" customWidth="1"/>
    <col min="13" max="13" width="11.42578125" style="58" customWidth="1"/>
    <col min="14" max="14" width="11.42578125" style="254" customWidth="1"/>
    <col min="15" max="16" width="11.42578125" style="58" customWidth="1"/>
    <col min="17" max="16384" width="11.42578125" style="58" hidden="1"/>
  </cols>
  <sheetData>
    <row r="1" spans="1:14" s="2" customFormat="1" ht="18">
      <c r="A1" s="55"/>
      <c r="B1" s="825" t="str">
        <f>PROPONENTES!B1</f>
        <v>INSTITUTO NACIONAL DE VÍAS</v>
      </c>
      <c r="C1" s="825"/>
      <c r="D1" s="825"/>
      <c r="E1" s="825"/>
      <c r="F1" s="825"/>
      <c r="G1" s="825"/>
      <c r="H1" s="825"/>
      <c r="I1" s="825"/>
      <c r="J1" s="825"/>
      <c r="K1" s="825"/>
      <c r="L1" s="825"/>
      <c r="N1" s="255"/>
    </row>
    <row r="2" spans="1:14" s="2" customFormat="1" ht="18">
      <c r="A2" s="55"/>
      <c r="B2" s="825" t="str">
        <f>PROPONENTES!B2</f>
        <v>DIRECCIÓN GENERAL</v>
      </c>
      <c r="C2" s="825"/>
      <c r="D2" s="825"/>
      <c r="E2" s="825"/>
      <c r="F2" s="825"/>
      <c r="G2" s="825"/>
      <c r="H2" s="825"/>
      <c r="I2" s="825"/>
      <c r="J2" s="825"/>
      <c r="K2" s="825"/>
      <c r="L2" s="825"/>
      <c r="N2" s="255"/>
    </row>
    <row r="3" spans="1:14" s="2" customFormat="1" ht="15.75">
      <c r="A3" s="55"/>
      <c r="B3" s="897" t="str">
        <f>PROPONENTES!B3</f>
        <v>DIRECCION JURIDICA</v>
      </c>
      <c r="C3" s="897"/>
      <c r="D3" s="897"/>
      <c r="E3" s="897"/>
      <c r="F3" s="897"/>
      <c r="G3" s="897"/>
      <c r="H3" s="897"/>
      <c r="I3" s="897"/>
      <c r="J3" s="897"/>
      <c r="K3" s="897"/>
      <c r="L3" s="897"/>
      <c r="N3" s="255"/>
    </row>
    <row r="4" spans="1:14" s="2" customFormat="1" ht="15.75">
      <c r="A4" s="55"/>
      <c r="B4" s="897" t="str">
        <f>PROPONENTES!B4</f>
        <v>TERRITORIAL TOLIMA</v>
      </c>
      <c r="C4" s="897"/>
      <c r="D4" s="897"/>
      <c r="E4" s="897"/>
      <c r="F4" s="897"/>
      <c r="G4" s="897"/>
      <c r="H4" s="897"/>
      <c r="I4" s="897"/>
      <c r="J4" s="897"/>
      <c r="K4" s="897"/>
      <c r="L4" s="897"/>
      <c r="N4" s="255"/>
    </row>
    <row r="5" spans="1:14" s="2" customFormat="1" ht="15.75">
      <c r="A5" s="55"/>
      <c r="B5" s="79"/>
      <c r="C5" s="56"/>
      <c r="D5" s="57"/>
      <c r="E5" s="3"/>
      <c r="F5" s="3"/>
      <c r="G5" s="3"/>
      <c r="H5" s="3"/>
      <c r="I5" s="3"/>
      <c r="N5" s="255"/>
    </row>
    <row r="6" spans="1:14" s="2" customFormat="1" ht="15.75">
      <c r="A6" s="55"/>
      <c r="B6" s="897" t="str">
        <f>+PROPONENTES!B6</f>
        <v>CONCURSO DE MÉRITOS ABIERTO</v>
      </c>
      <c r="C6" s="897"/>
      <c r="D6" s="897"/>
      <c r="E6" s="897"/>
      <c r="F6" s="897"/>
      <c r="G6" s="897"/>
      <c r="H6" s="897"/>
      <c r="I6" s="897"/>
      <c r="J6" s="897"/>
      <c r="K6" s="897"/>
      <c r="L6" s="897"/>
      <c r="N6" s="255"/>
    </row>
    <row r="7" spans="1:14" s="2" customFormat="1" ht="15.75">
      <c r="A7" s="55"/>
      <c r="B7" s="897" t="str">
        <f>PROPONENTES!B7</f>
        <v>CMA-DT-TOL-001-2022</v>
      </c>
      <c r="C7" s="897"/>
      <c r="D7" s="897"/>
      <c r="E7" s="897"/>
      <c r="F7" s="897"/>
      <c r="G7" s="897"/>
      <c r="H7" s="897"/>
      <c r="I7" s="897"/>
      <c r="J7" s="897"/>
      <c r="K7" s="897"/>
      <c r="L7" s="897"/>
      <c r="N7" s="255"/>
    </row>
    <row r="8" spans="1:14" ht="15.75">
      <c r="B8" s="79"/>
      <c r="C8" s="56"/>
      <c r="D8" s="59"/>
      <c r="E8" s="59"/>
      <c r="F8" s="59"/>
      <c r="G8" s="59"/>
      <c r="H8" s="59"/>
      <c r="I8" s="59"/>
    </row>
    <row r="9" spans="1:14" ht="48.75" customHeight="1">
      <c r="B9" s="897" t="str">
        <f>PRESUPUESTOS!B9</f>
        <v>OBJETO: INTERVENTORÍA TECNICA, ADMINISTRATIVA, FINANCIERA Y AMBIENTAL PARA EL MANTENIMIENTO Y MEJORAMIENTO DE VIAS TERCIARIAS DEL PROGRAMA "COLOMBIA RURAL" EN LOS MUNICIPIOS DEL DEPARTAMENTO DEL TOLIMA - GRUPO II.</v>
      </c>
      <c r="C9" s="897"/>
      <c r="D9" s="897"/>
      <c r="E9" s="897"/>
      <c r="F9" s="897"/>
      <c r="G9" s="897"/>
      <c r="H9" s="897"/>
      <c r="I9" s="897"/>
      <c r="J9" s="897"/>
      <c r="K9" s="897"/>
      <c r="L9" s="897"/>
    </row>
    <row r="10" spans="1:14" ht="15.75">
      <c r="B10" s="79"/>
      <c r="C10" s="56"/>
      <c r="D10" s="59"/>
      <c r="E10" s="59"/>
      <c r="F10" s="59"/>
      <c r="G10" s="59"/>
      <c r="H10" s="59"/>
      <c r="I10" s="59"/>
    </row>
    <row r="11" spans="1:14" ht="15.75">
      <c r="B11" s="898" t="str">
        <f>"CUADRO No. 8"</f>
        <v>CUADRO No. 8</v>
      </c>
      <c r="C11" s="898"/>
      <c r="D11" s="898"/>
      <c r="E11" s="898"/>
      <c r="F11" s="898"/>
      <c r="G11" s="898"/>
      <c r="H11" s="898"/>
      <c r="I11" s="898"/>
      <c r="J11" s="898"/>
      <c r="K11" s="898"/>
      <c r="L11" s="898"/>
    </row>
    <row r="12" spans="1:14" ht="18">
      <c r="B12" s="899">
        <v>1</v>
      </c>
      <c r="C12" s="899"/>
      <c r="D12" s="899"/>
      <c r="E12" s="899"/>
      <c r="F12" s="899"/>
      <c r="G12" s="899"/>
      <c r="H12" s="899"/>
      <c r="I12" s="899"/>
      <c r="J12" s="899"/>
      <c r="K12" s="899"/>
      <c r="L12" s="899"/>
    </row>
    <row r="13" spans="1:14" ht="24" thickBot="1">
      <c r="B13" s="190" t="s">
        <v>1160</v>
      </c>
      <c r="C13" s="190"/>
      <c r="D13" s="225"/>
      <c r="E13" s="191"/>
      <c r="F13" s="191"/>
      <c r="G13" s="191"/>
      <c r="H13" s="191"/>
      <c r="I13" s="191"/>
    </row>
    <row r="14" spans="1:14" ht="24" customHeight="1" thickBot="1">
      <c r="B14" s="880" t="s">
        <v>1161</v>
      </c>
      <c r="C14" s="881"/>
      <c r="D14" s="881"/>
      <c r="E14" s="881"/>
      <c r="F14" s="881"/>
      <c r="G14" s="881"/>
      <c r="H14" s="881"/>
      <c r="I14" s="881"/>
      <c r="J14" s="881"/>
      <c r="K14" s="881"/>
      <c r="L14" s="882"/>
    </row>
    <row r="15" spans="1:14" ht="15" customHeight="1" thickBot="1">
      <c r="B15" s="883" t="s">
        <v>37</v>
      </c>
      <c r="C15" s="885" t="s">
        <v>1162</v>
      </c>
      <c r="D15" s="887" t="s">
        <v>139</v>
      </c>
      <c r="E15" s="889" t="s">
        <v>1163</v>
      </c>
      <c r="F15" s="890" t="s">
        <v>1164</v>
      </c>
      <c r="G15" s="889" t="s">
        <v>1165</v>
      </c>
      <c r="H15" s="893" t="s">
        <v>1166</v>
      </c>
      <c r="I15" s="893" t="s">
        <v>1159</v>
      </c>
      <c r="J15" s="890" t="s">
        <v>1167</v>
      </c>
      <c r="K15" s="896"/>
      <c r="L15" s="891" t="s">
        <v>1168</v>
      </c>
    </row>
    <row r="16" spans="1:14" ht="42.75" customHeight="1" thickBot="1">
      <c r="B16" s="883"/>
      <c r="C16" s="885"/>
      <c r="D16" s="887"/>
      <c r="E16" s="887"/>
      <c r="F16" s="885"/>
      <c r="G16" s="887"/>
      <c r="H16" s="894"/>
      <c r="I16" s="894"/>
      <c r="J16" s="571" t="s">
        <v>1169</v>
      </c>
      <c r="K16" s="571" t="s">
        <v>1170</v>
      </c>
      <c r="L16" s="892"/>
    </row>
    <row r="17" spans="2:12" ht="18.75" customHeight="1" thickBot="1">
      <c r="B17" s="884"/>
      <c r="C17" s="886"/>
      <c r="D17" s="888"/>
      <c r="E17" s="888"/>
      <c r="F17" s="886"/>
      <c r="G17" s="888"/>
      <c r="H17" s="895"/>
      <c r="I17" s="895"/>
      <c r="J17" s="572" t="s">
        <v>1171</v>
      </c>
      <c r="K17" s="572" t="s">
        <v>1171</v>
      </c>
      <c r="L17" s="573" t="s">
        <v>1171</v>
      </c>
    </row>
    <row r="18" spans="2:12" ht="3" customHeight="1">
      <c r="B18" s="119"/>
      <c r="C18" s="60"/>
      <c r="D18" s="61"/>
      <c r="E18" s="118"/>
      <c r="F18" s="120"/>
      <c r="G18" s="120"/>
      <c r="H18" s="120"/>
      <c r="I18" s="120"/>
      <c r="J18" s="193"/>
      <c r="K18" s="193"/>
      <c r="L18" s="193"/>
    </row>
    <row r="19" spans="2:12" ht="24">
      <c r="B19" s="114">
        <f>ROW()-18</f>
        <v>1</v>
      </c>
      <c r="C19" s="62">
        <f>IF(VLOOKUP(B19,PROPONENTES!$B$19:$E$109,2,0)="","",VLOOKUP(B19,PROPONENTES!$B$19:$E$109,2,0))</f>
        <v>1</v>
      </c>
      <c r="D19" s="63" t="str">
        <f>IF(VLOOKUP(B19,PROPONENTES!$B$19:$E$108,3,0)="","",VLOOKUP(B19,PROPONENTES!$B$19:$E$108,3,0))</f>
        <v>PROYECTOS URBANOS &amp; CONSTRUCCIONES DEL CARIBE S.A.S</v>
      </c>
      <c r="E19" s="65" t="s">
        <v>1139</v>
      </c>
      <c r="F19" s="65" t="s">
        <v>1139</v>
      </c>
      <c r="G19" s="65" t="s">
        <v>1139</v>
      </c>
      <c r="H19" s="65" t="str">
        <f>IF(VLOOKUP(B19,'EQUIPO DE TRABAJO'!$B$19:$F$108,4,FALSE)="CUMPLE","HÁBIL",IF(VLOOKUP(B19,'EQUIPO DE TRABAJO'!$B$19:$F$108,4,FALSE)="NO CUMPLE-1","NO HÁBIL","RECHAZO"))</f>
        <v>HÁBIL</v>
      </c>
      <c r="I19" s="65" t="str">
        <f>IF(VLOOKUP(C19,'EVAL. ECONOMICA'!$C$19:$F$108,3,FALSE)="CUMPLE","HÁBIL",IF(VLOOKUP(C19,'EVAL. ECONOMICA'!$C$19:$F$108,3,FALSE)="NO CUMPLE-1","NO HÁBIL","RECHAZO"))</f>
        <v>HÁBIL</v>
      </c>
      <c r="J19" s="194" t="str">
        <f ca="1">IF(ISNUMBER(D19),"",IF(VLOOKUP("S"&amp;C19,EXPERIENCIA!$A$20:$X$9193,15,0)="CUMPLE","HÁBIL","NO HÁBIL"))</f>
        <v>HÁBIL</v>
      </c>
      <c r="K19" s="194" t="str">
        <f>IF(ISNUMBER(D19),"",IF(VLOOKUP("T"&amp;C19,EXPERIENCIA!$A$20:$X$9193,11,0)="CUMPLE","HÁBIL","NO HÁBIL"))</f>
        <v>HÁBIL</v>
      </c>
      <c r="L19" s="194" t="str">
        <f ca="1">IF(OR(COUNTIF(E19:K19,"")=6,COUNTIF(E19:K19,"")&gt;0),"",IF(COUNTIF(E19:K19,"RECHAZO")&gt;0,"RECHAZO",IF(COUNTIF(E19:K19,"NO HÁBIL")=0,"HÁBIL","NO HÁBIL")))</f>
        <v>HÁBIL</v>
      </c>
    </row>
    <row r="20" spans="2:12" ht="13.5">
      <c r="B20" s="114">
        <f t="shared" ref="B20:B83" si="0">ROW()-18</f>
        <v>2</v>
      </c>
      <c r="C20" s="62">
        <f>IF(VLOOKUP(B20,PROPONENTES!$B$19:$E$109,2,0)="","",VLOOKUP(B20,PROPONENTES!$B$19:$E$109,2,0))</f>
        <v>2</v>
      </c>
      <c r="D20" s="63" t="str">
        <f>IF(VLOOKUP(B20,PROPONENTES!$B$19:$E$108,3,0)="","",VLOOKUP(B20,PROPONENTES!$B$19:$E$108,3,0))</f>
        <v>MIGUEL MORALES INGENIERIA SAS</v>
      </c>
      <c r="E20" s="65" t="s">
        <v>1139</v>
      </c>
      <c r="F20" s="65" t="s">
        <v>1139</v>
      </c>
      <c r="G20" s="65" t="s">
        <v>1139</v>
      </c>
      <c r="H20" s="65" t="str">
        <f>IF(VLOOKUP(B20,'EQUIPO DE TRABAJO'!$B$19:$F$108,4,FALSE)="CUMPLE","HÁBIL",IF(VLOOKUP(B20,'EQUIPO DE TRABAJO'!$B$19:$F$108,4,FALSE)="NO CUMPLE-1","NO HÁBIL","RECHAZO"))</f>
        <v>HÁBIL</v>
      </c>
      <c r="I20" s="65" t="str">
        <f>IF(VLOOKUP(C20,'EVAL. ECONOMICA'!$C$19:$F$108,3,FALSE)="CUMPLE","HÁBIL",IF(VLOOKUP(C20,'EVAL. ECONOMICA'!$C$19:$F$108,3,FALSE)="NO CUMPLE-1","NO HÁBIL","RECHAZO"))</f>
        <v>HÁBIL</v>
      </c>
      <c r="J20" s="194" t="str">
        <f ca="1">IF(ISNUMBER(D20),"",IF(VLOOKUP("S"&amp;C20,EXPERIENCIA!$A$20:$X$9193,15,0)="CUMPLE","HÁBIL","NO HÁBIL"))</f>
        <v>HÁBIL</v>
      </c>
      <c r="K20" s="194" t="str">
        <f>IF(ISNUMBER(D20),"",IF(VLOOKUP("T"&amp;C20,EXPERIENCIA!$A$20:$X$9193,11,0)="CUMPLE","HÁBIL","NO HÁBIL"))</f>
        <v>HÁBIL</v>
      </c>
      <c r="L20" s="194" t="str">
        <f t="shared" ref="L20:L83" ca="1" si="1">IF(OR(COUNTIF(E20:K20,"")=5,COUNTIF(E20:K20,"")&gt;0),"",IF(COUNTIF(E20:K20,"RECHAZO")&gt;0,"RECHAZO",IF(COUNTIF(E20:K20,"NO HÁBIL")=0,"HÁBIL","NO HÁBIL")))</f>
        <v>HÁBIL</v>
      </c>
    </row>
    <row r="21" spans="2:12" ht="13.5">
      <c r="B21" s="114">
        <f t="shared" si="0"/>
        <v>3</v>
      </c>
      <c r="C21" s="62">
        <f>IF(VLOOKUP(B21,PROPONENTES!$B$19:$E$109,2,0)="","",VLOOKUP(B21,PROPONENTES!$B$19:$E$109,2,0))</f>
        <v>3</v>
      </c>
      <c r="D21" s="63" t="str">
        <f>IF(VLOOKUP(B21,PROPONENTES!$B$19:$E$108,3,0)="","",VLOOKUP(B21,PROPONENTES!$B$19:$E$108,3,0))</f>
        <v>CONSULTORES DONOVAN SAS</v>
      </c>
      <c r="E21" s="65" t="s">
        <v>1139</v>
      </c>
      <c r="F21" s="65" t="s">
        <v>1139</v>
      </c>
      <c r="G21" s="65" t="s">
        <v>1139</v>
      </c>
      <c r="H21" s="65" t="str">
        <f>IF(VLOOKUP(B21,'EQUIPO DE TRABAJO'!$B$19:$F$108,4,FALSE)="CUMPLE","HÁBIL",IF(VLOOKUP(B21,'EQUIPO DE TRABAJO'!$B$19:$F$108,4,FALSE)="NO CUMPLE-1","NO HÁBIL","RECHAZO"))</f>
        <v>HÁBIL</v>
      </c>
      <c r="I21" s="65" t="str">
        <f>IF(VLOOKUP(C21,'EVAL. ECONOMICA'!$C$19:$F$108,3,FALSE)="CUMPLE","HÁBIL",IF(VLOOKUP(C21,'EVAL. ECONOMICA'!$C$19:$F$108,3,FALSE)="NO CUMPLE-1","NO HÁBIL","RECHAZO"))</f>
        <v>HÁBIL</v>
      </c>
      <c r="J21" s="194" t="str">
        <f ca="1">IF(ISNUMBER(D21),"",IF(VLOOKUP("S"&amp;C21,EXPERIENCIA!$A$20:$X$9193,15,0)="CUMPLE","HÁBIL","NO HÁBIL"))</f>
        <v>HÁBIL</v>
      </c>
      <c r="K21" s="194" t="str">
        <f>IF(ISNUMBER(D21),"",IF(VLOOKUP("T"&amp;C21,EXPERIENCIA!$A$20:$X$9193,11,0)="CUMPLE","HÁBIL","NO HÁBIL"))</f>
        <v>HÁBIL</v>
      </c>
      <c r="L21" s="194" t="str">
        <f t="shared" ca="1" si="1"/>
        <v>HÁBIL</v>
      </c>
    </row>
    <row r="22" spans="2:12" ht="24">
      <c r="B22" s="114">
        <f t="shared" si="0"/>
        <v>4</v>
      </c>
      <c r="C22" s="62">
        <f>IF(VLOOKUP(B22,PROPONENTES!$B$19:$E$109,2,0)="","",VLOOKUP(B22,PROPONENTES!$B$19:$E$109,2,0))</f>
        <v>4</v>
      </c>
      <c r="D22" s="63" t="str">
        <f>IF(VLOOKUP(B22,PROPONENTES!$B$19:$E$108,3,0)="","",VLOOKUP(B22,PROPONENTES!$B$19:$E$108,3,0))</f>
        <v>COMPAÑIA DE PROYECTOS TÉCNICOS CPT S.A</v>
      </c>
      <c r="E22" s="65" t="s">
        <v>1139</v>
      </c>
      <c r="F22" s="65" t="s">
        <v>1139</v>
      </c>
      <c r="G22" s="65" t="s">
        <v>1139</v>
      </c>
      <c r="H22" s="65" t="str">
        <f>IF(VLOOKUP(B22,'EQUIPO DE TRABAJO'!$B$19:$F$108,4,FALSE)="CUMPLE","HÁBIL",IF(VLOOKUP(B22,'EQUIPO DE TRABAJO'!$B$19:$F$108,4,FALSE)="NO CUMPLE-1","NO HÁBIL","RECHAZO"))</f>
        <v>HÁBIL</v>
      </c>
      <c r="I22" s="65" t="str">
        <f>IF(VLOOKUP(C22,'EVAL. ECONOMICA'!$C$19:$F$108,3,FALSE)="CUMPLE","HÁBIL",IF(VLOOKUP(C22,'EVAL. ECONOMICA'!$C$19:$F$108,3,FALSE)="NO CUMPLE-1","NO HÁBIL","RECHAZO"))</f>
        <v>HÁBIL</v>
      </c>
      <c r="J22" s="194" t="str">
        <f ca="1">IF(ISNUMBER(D22),"",IF(VLOOKUP("S"&amp;C22,EXPERIENCIA!$A$20:$X$9193,15,0)="CUMPLE","HÁBIL","NO HÁBIL"))</f>
        <v>HÁBIL</v>
      </c>
      <c r="K22" s="194" t="str">
        <f>IF(ISNUMBER(D22),"",IF(VLOOKUP("T"&amp;C22,EXPERIENCIA!$A$20:$X$9193,11,0)="CUMPLE","HÁBIL","NO HÁBIL"))</f>
        <v>HÁBIL</v>
      </c>
      <c r="L22" s="194" t="str">
        <f t="shared" ca="1" si="1"/>
        <v>HÁBIL</v>
      </c>
    </row>
    <row r="23" spans="2:12" ht="24">
      <c r="B23" s="114">
        <f t="shared" si="0"/>
        <v>5</v>
      </c>
      <c r="C23" s="62">
        <f>IF(VLOOKUP(B23,PROPONENTES!$B$19:$E$109,2,0)="","",VLOOKUP(B23,PROPONENTES!$B$19:$E$109,2,0))</f>
        <v>5</v>
      </c>
      <c r="D23" s="63" t="str">
        <f>IF(VLOOKUP(B23,PROPONENTES!$B$19:$E$108,3,0)="","",VLOOKUP(B23,PROPONENTES!$B$19:$E$108,3,0))</f>
        <v>GAVINCO INGENIEROS CONSULTORES SAS</v>
      </c>
      <c r="E23" s="65" t="s">
        <v>1139</v>
      </c>
      <c r="F23" s="65" t="s">
        <v>1139</v>
      </c>
      <c r="G23" s="65" t="s">
        <v>1139</v>
      </c>
      <c r="H23" s="65" t="str">
        <f>IF(VLOOKUP(B23,'EQUIPO DE TRABAJO'!$B$19:$F$108,4,FALSE)="CUMPLE","HÁBIL",IF(VLOOKUP(B23,'EQUIPO DE TRABAJO'!$B$19:$F$108,4,FALSE)="NO CUMPLE-1","NO HÁBIL","RECHAZO"))</f>
        <v>HÁBIL</v>
      </c>
      <c r="I23" s="65" t="str">
        <f>IF(VLOOKUP(C23,'EVAL. ECONOMICA'!$C$19:$F$108,3,FALSE)="CUMPLE","HÁBIL",IF(VLOOKUP(C23,'EVAL. ECONOMICA'!$C$19:$F$108,3,FALSE)="NO CUMPLE-1","NO HÁBIL","RECHAZO"))</f>
        <v>HÁBIL</v>
      </c>
      <c r="J23" s="194" t="str">
        <f ca="1">IF(ISNUMBER(D23),"",IF(VLOOKUP("S"&amp;C23,EXPERIENCIA!$A$20:$X$9193,15,0)="CUMPLE","HÁBIL","NO HÁBIL"))</f>
        <v>HÁBIL</v>
      </c>
      <c r="K23" s="194" t="str">
        <f>IF(ISNUMBER(D23),"",IF(VLOOKUP("T"&amp;C23,EXPERIENCIA!$A$20:$X$9193,11,0)="CUMPLE","HÁBIL","NO HÁBIL"))</f>
        <v>HÁBIL</v>
      </c>
      <c r="L23" s="194" t="str">
        <f t="shared" ca="1" si="1"/>
        <v>HÁBIL</v>
      </c>
    </row>
    <row r="24" spans="2:12" ht="13.5">
      <c r="B24" s="114">
        <f t="shared" si="0"/>
        <v>6</v>
      </c>
      <c r="C24" s="62">
        <f>IF(VLOOKUP(B24,PROPONENTES!$B$19:$E$109,2,0)="","",VLOOKUP(B24,PROPONENTES!$B$19:$E$109,2,0))</f>
        <v>6</v>
      </c>
      <c r="D24" s="63" t="str">
        <f>IF(VLOOKUP(B24,PROPONENTES!$B$19:$E$108,3,0)="","",VLOOKUP(B24,PROPONENTES!$B$19:$E$108,3,0))</f>
        <v>RD INGENIEROS CIVILES SAS</v>
      </c>
      <c r="E24" s="65" t="s">
        <v>1139</v>
      </c>
      <c r="F24" s="65" t="s">
        <v>1139</v>
      </c>
      <c r="G24" s="65" t="s">
        <v>1139</v>
      </c>
      <c r="H24" s="65" t="str">
        <f>IF(VLOOKUP(B24,'EQUIPO DE TRABAJO'!$B$19:$F$108,4,FALSE)="CUMPLE","HÁBIL",IF(VLOOKUP(B24,'EQUIPO DE TRABAJO'!$B$19:$F$108,4,FALSE)="NO CUMPLE-1","NO HÁBIL","RECHAZO"))</f>
        <v>HÁBIL</v>
      </c>
      <c r="I24" s="65" t="str">
        <f>IF(VLOOKUP(C24,'EVAL. ECONOMICA'!$C$19:$F$108,3,FALSE)="CUMPLE","HÁBIL",IF(VLOOKUP(C24,'EVAL. ECONOMICA'!$C$19:$F$108,3,FALSE)="NO CUMPLE-1","NO HÁBIL","RECHAZO"))</f>
        <v>HÁBIL</v>
      </c>
      <c r="J24" s="194" t="str">
        <f ca="1">IF(ISNUMBER(D24),"",IF(VLOOKUP("S"&amp;C24,EXPERIENCIA!$A$20:$X$9193,15,0)="CUMPLE","HÁBIL","NO HÁBIL"))</f>
        <v>HÁBIL</v>
      </c>
      <c r="K24" s="194" t="str">
        <f>IF(ISNUMBER(D24),"",IF(VLOOKUP("T"&amp;C24,EXPERIENCIA!$A$20:$X$9193,11,0)="CUMPLE","HÁBIL","NO HÁBIL"))</f>
        <v>HÁBIL</v>
      </c>
      <c r="L24" s="194" t="str">
        <f t="shared" ca="1" si="1"/>
        <v>HÁBIL</v>
      </c>
    </row>
    <row r="25" spans="2:12" ht="13.5">
      <c r="B25" s="114">
        <f t="shared" si="0"/>
        <v>7</v>
      </c>
      <c r="C25" s="62">
        <f>IF(VLOOKUP(B25,PROPONENTES!$B$19:$E$109,2,0)="","",VLOOKUP(B25,PROPONENTES!$B$19:$E$109,2,0))</f>
        <v>7</v>
      </c>
      <c r="D25" s="63" t="str">
        <f>IF(VLOOKUP(B25,PROPONENTES!$B$19:$E$108,3,0)="","",VLOOKUP(B25,PROPONENTES!$B$19:$E$108,3,0))</f>
        <v>CONSORCIO FEEC TOLIMA</v>
      </c>
      <c r="E25" s="65" t="s">
        <v>1172</v>
      </c>
      <c r="F25" s="65" t="s">
        <v>1139</v>
      </c>
      <c r="G25" s="65" t="s">
        <v>1139</v>
      </c>
      <c r="H25" s="65" t="str">
        <f>IF(VLOOKUP(B25,'EQUIPO DE TRABAJO'!$B$19:$F$108,4,FALSE)="CUMPLE","HÁBIL",IF(VLOOKUP(B25,'EQUIPO DE TRABAJO'!$B$19:$F$108,4,FALSE)="NO CUMPLE-1","NO HÁBIL","RECHAZO"))</f>
        <v>HÁBIL</v>
      </c>
      <c r="I25" s="65" t="str">
        <f>IF(VLOOKUP(C25,'EVAL. ECONOMICA'!$C$19:$F$108,3,FALSE)="CUMPLE","HÁBIL",IF(VLOOKUP(C25,'EVAL. ECONOMICA'!$C$19:$F$108,3,FALSE)="NO CUMPLE-1","NO HÁBIL","RECHAZO"))</f>
        <v>HÁBIL</v>
      </c>
      <c r="J25" s="194" t="str">
        <f ca="1">IF(ISNUMBER(D25),"",IF(VLOOKUP("S"&amp;C25,EXPERIENCIA!$A$20:$X$9193,15,0)="CUMPLE","HÁBIL","NO HÁBIL"))</f>
        <v>HÁBIL</v>
      </c>
      <c r="K25" s="194" t="str">
        <f ca="1">IF(ISNUMBER(D25),"",IF(VLOOKUP("T"&amp;C25,EXPERIENCIA!$A$20:$X$9193,11,0)="CUMPLE","HÁBIL","NO HÁBIL"))</f>
        <v>HÁBIL</v>
      </c>
      <c r="L25" s="194" t="str">
        <f t="shared" ca="1" si="1"/>
        <v>RECHAZO</v>
      </c>
    </row>
    <row r="26" spans="2:12" ht="13.5">
      <c r="B26" s="114">
        <f t="shared" si="0"/>
        <v>8</v>
      </c>
      <c r="C26" s="62">
        <f>IF(VLOOKUP(B26,PROPONENTES!$B$19:$E$109,2,0)="","",VLOOKUP(B26,PROPONENTES!$B$19:$E$109,2,0))</f>
        <v>8</v>
      </c>
      <c r="D26" s="63" t="str">
        <f>IF(VLOOKUP(B26,PROPONENTES!$B$19:$E$108,3,0)="","",VLOOKUP(B26,PROPONENTES!$B$19:$E$108,3,0))</f>
        <v>CARLOS ALBERTO PALTA MUÑOZ</v>
      </c>
      <c r="E26" s="65" t="s">
        <v>1139</v>
      </c>
      <c r="F26" s="65" t="s">
        <v>1139</v>
      </c>
      <c r="G26" s="65" t="s">
        <v>1139</v>
      </c>
      <c r="H26" s="65" t="str">
        <f>IF(VLOOKUP(B26,'EQUIPO DE TRABAJO'!$B$19:$F$108,4,FALSE)="CUMPLE","HÁBIL",IF(VLOOKUP(B26,'EQUIPO DE TRABAJO'!$B$19:$F$108,4,FALSE)="NO CUMPLE-1","NO HÁBIL","RECHAZO"))</f>
        <v>HÁBIL</v>
      </c>
      <c r="I26" s="65" t="str">
        <f>IF(VLOOKUP(C26,'EVAL. ECONOMICA'!$C$19:$F$108,3,FALSE)="CUMPLE","HÁBIL",IF(VLOOKUP(C26,'EVAL. ECONOMICA'!$C$19:$F$108,3,FALSE)="NO CUMPLE-1","NO HÁBIL","RECHAZO"))</f>
        <v>HÁBIL</v>
      </c>
      <c r="J26" s="194" t="str">
        <f ca="1">IF(ISNUMBER(D26),"",IF(VLOOKUP("S"&amp;C26,EXPERIENCIA!$A$20:$X$9193,15,0)="CUMPLE","HÁBIL","NO HÁBIL"))</f>
        <v>HÁBIL</v>
      </c>
      <c r="K26" s="194" t="str">
        <f>IF(ISNUMBER(D26),"",IF(VLOOKUP("T"&amp;C26,EXPERIENCIA!$A$20:$X$9193,11,0)="CUMPLE","HÁBIL","NO HÁBIL"))</f>
        <v>HÁBIL</v>
      </c>
      <c r="L26" s="194" t="str">
        <f t="shared" ca="1" si="1"/>
        <v>HÁBIL</v>
      </c>
    </row>
    <row r="27" spans="2:12" ht="13.5">
      <c r="B27" s="114">
        <f t="shared" si="0"/>
        <v>9</v>
      </c>
      <c r="C27" s="62">
        <f>IF(VLOOKUP(B27,PROPONENTES!$B$19:$E$109,2,0)="","",VLOOKUP(B27,PROPONENTES!$B$19:$E$109,2,0))</f>
        <v>9</v>
      </c>
      <c r="D27" s="63" t="str">
        <f>IF(VLOOKUP(B27,PROPONENTES!$B$19:$E$108,3,0)="","",VLOOKUP(B27,PROPONENTES!$B$19:$E$108,3,0))</f>
        <v>CONSORCIO GMC</v>
      </c>
      <c r="E27" s="65" t="s">
        <v>1139</v>
      </c>
      <c r="F27" s="65" t="s">
        <v>1139</v>
      </c>
      <c r="G27" s="65" t="s">
        <v>1139</v>
      </c>
      <c r="H27" s="65" t="str">
        <f>IF(VLOOKUP(B27,'EQUIPO DE TRABAJO'!$B$19:$F$108,4,FALSE)="CUMPLE","HÁBIL",IF(VLOOKUP(B27,'EQUIPO DE TRABAJO'!$B$19:$F$108,4,FALSE)="NO CUMPLE-1","NO HÁBIL","RECHAZO"))</f>
        <v>HÁBIL</v>
      </c>
      <c r="I27" s="65" t="str">
        <f>IF(VLOOKUP(C27,'EVAL. ECONOMICA'!$C$19:$F$108,3,FALSE)="CUMPLE","HÁBIL",IF(VLOOKUP(C27,'EVAL. ECONOMICA'!$C$19:$F$108,3,FALSE)="NO CUMPLE-1","NO HÁBIL","RECHAZO"))</f>
        <v>HÁBIL</v>
      </c>
      <c r="J27" s="194" t="str">
        <f ca="1">IF(ISNUMBER(D27),"",IF(VLOOKUP("S"&amp;C27,EXPERIENCIA!$A$20:$X$9193,15,0)="CUMPLE","HÁBIL","NO HÁBIL"))</f>
        <v>HÁBIL</v>
      </c>
      <c r="K27" s="194" t="str">
        <f ca="1">IF(ISNUMBER(D27),"",IF(VLOOKUP("T"&amp;C27,EXPERIENCIA!$A$20:$X$9193,11,0)="CUMPLE","HÁBIL","NO HÁBIL"))</f>
        <v>HÁBIL</v>
      </c>
      <c r="L27" s="194" t="str">
        <f t="shared" ca="1" si="1"/>
        <v>HÁBIL</v>
      </c>
    </row>
    <row r="28" spans="2:12" ht="24">
      <c r="B28" s="114">
        <f t="shared" si="0"/>
        <v>10</v>
      </c>
      <c r="C28" s="62">
        <f>IF(VLOOKUP(B28,PROPONENTES!$B$19:$E$109,2,0)="","",VLOOKUP(B28,PROPONENTES!$B$19:$E$109,2,0))</f>
        <v>10</v>
      </c>
      <c r="D28" s="63" t="str">
        <f>IF(VLOOKUP(B28,PROPONENTES!$B$19:$E$108,3,0)="","",VLOOKUP(B28,PROPONENTES!$B$19:$E$108,3,0))</f>
        <v>R&amp;M CONSTRUCCIONES E INTERVENTORIAS S.A.S</v>
      </c>
      <c r="E28" s="65" t="s">
        <v>1139</v>
      </c>
      <c r="F28" s="65" t="s">
        <v>1139</v>
      </c>
      <c r="G28" s="65" t="s">
        <v>1139</v>
      </c>
      <c r="H28" s="65" t="str">
        <f>IF(VLOOKUP(B28,'EQUIPO DE TRABAJO'!$B$19:$F$108,4,FALSE)="CUMPLE","HÁBIL",IF(VLOOKUP(B28,'EQUIPO DE TRABAJO'!$B$19:$F$108,4,FALSE)="NO CUMPLE-1","NO HÁBIL","RECHAZO"))</f>
        <v>HÁBIL</v>
      </c>
      <c r="I28" s="65" t="str">
        <f>IF(VLOOKUP(C28,'EVAL. ECONOMICA'!$C$19:$F$108,3,FALSE)="CUMPLE","HÁBIL",IF(VLOOKUP(C28,'EVAL. ECONOMICA'!$C$19:$F$108,3,FALSE)="NO CUMPLE-1","NO HÁBIL","RECHAZO"))</f>
        <v>HÁBIL</v>
      </c>
      <c r="J28" s="194" t="str">
        <f ca="1">IF(ISNUMBER(D28),"",IF(VLOOKUP("S"&amp;C28,EXPERIENCIA!$A$20:$X$9193,15,0)="CUMPLE","HÁBIL","NO HÁBIL"))</f>
        <v>HÁBIL</v>
      </c>
      <c r="K28" s="194" t="str">
        <f>IF(ISNUMBER(D28),"",IF(VLOOKUP("T"&amp;C28,EXPERIENCIA!$A$20:$X$9193,11,0)="CUMPLE","HÁBIL","NO HÁBIL"))</f>
        <v>HÁBIL</v>
      </c>
      <c r="L28" s="194" t="str">
        <f t="shared" ca="1" si="1"/>
        <v>HÁBIL</v>
      </c>
    </row>
    <row r="29" spans="2:12" ht="24">
      <c r="B29" s="114">
        <f t="shared" si="0"/>
        <v>11</v>
      </c>
      <c r="C29" s="62">
        <f>IF(VLOOKUP(B29,PROPONENTES!$B$19:$E$109,2,0)="","",VLOOKUP(B29,PROPONENTES!$B$19:$E$109,2,0))</f>
        <v>11</v>
      </c>
      <c r="D29" s="63" t="str">
        <f>IF(VLOOKUP(B29,PROPONENTES!$B$19:$E$108,3,0)="","",VLOOKUP(B29,PROPONENTES!$B$19:$E$108,3,0))</f>
        <v>CUBIKO OBRAS Y CONSULTORÍAS SAS</v>
      </c>
      <c r="E29" s="65" t="s">
        <v>1139</v>
      </c>
      <c r="F29" s="65" t="s">
        <v>1139</v>
      </c>
      <c r="G29" s="65" t="s">
        <v>1139</v>
      </c>
      <c r="H29" s="65" t="str">
        <f>IF(VLOOKUP(B29,'EQUIPO DE TRABAJO'!$B$19:$F$108,4,FALSE)="CUMPLE","HÁBIL",IF(VLOOKUP(B29,'EQUIPO DE TRABAJO'!$B$19:$F$108,4,FALSE)="NO CUMPLE-1","NO HÁBIL","RECHAZO"))</f>
        <v>HÁBIL</v>
      </c>
      <c r="I29" s="65" t="str">
        <f>IF(VLOOKUP(C29,'EVAL. ECONOMICA'!$C$19:$F$108,3,FALSE)="CUMPLE","HÁBIL",IF(VLOOKUP(C29,'EVAL. ECONOMICA'!$C$19:$F$108,3,FALSE)="NO CUMPLE-1","NO HÁBIL","RECHAZO"))</f>
        <v>HÁBIL</v>
      </c>
      <c r="J29" s="194" t="str">
        <f ca="1">IF(ISNUMBER(D29),"",IF(VLOOKUP("S"&amp;C29,EXPERIENCIA!$A$20:$X$9193,15,0)="CUMPLE","HÁBIL","NO HÁBIL"))</f>
        <v>HÁBIL</v>
      </c>
      <c r="K29" s="194" t="str">
        <f>IF(ISNUMBER(D29),"",IF(VLOOKUP("T"&amp;C29,EXPERIENCIA!$A$20:$X$9193,11,0)="CUMPLE","HÁBIL","NO HÁBIL"))</f>
        <v>HÁBIL</v>
      </c>
      <c r="L29" s="194" t="str">
        <f t="shared" ca="1" si="1"/>
        <v>HÁBIL</v>
      </c>
    </row>
    <row r="30" spans="2:12" ht="33.75" customHeight="1">
      <c r="B30" s="114">
        <f t="shared" si="0"/>
        <v>12</v>
      </c>
      <c r="C30" s="62">
        <f>IF(VLOOKUP(B30,PROPONENTES!$B$19:$E$109,2,0)="","",VLOOKUP(B30,PROPONENTES!$B$19:$E$109,2,0))</f>
        <v>12</v>
      </c>
      <c r="D30" s="63" t="str">
        <f>IF(VLOOKUP(B30,PROPONENTES!$B$19:$E$108,3,0)="","",VLOOKUP(B30,PROPONENTES!$B$19:$E$108,3,0))</f>
        <v>CONSTRUCTORES DEL DESARROLLO TERRITORIAL CONSTRUDET Y COMPAÑÍA LTDA</v>
      </c>
      <c r="E30" s="65" t="s">
        <v>1172</v>
      </c>
      <c r="F30" s="65" t="s">
        <v>1139</v>
      </c>
      <c r="G30" s="65" t="s">
        <v>1139</v>
      </c>
      <c r="H30" s="65" t="str">
        <f>IF(VLOOKUP(B30,'EQUIPO DE TRABAJO'!$B$19:$F$108,4,FALSE)="CUMPLE","HÁBIL",IF(VLOOKUP(B30,'EQUIPO DE TRABAJO'!$B$19:$F$108,4,FALSE)="NO CUMPLE-1","NO HÁBIL","RECHAZO"))</f>
        <v>HÁBIL</v>
      </c>
      <c r="I30" s="65" t="str">
        <f>IF(VLOOKUP(C30,'EVAL. ECONOMICA'!$C$19:$F$108,3,FALSE)="CUMPLE","HÁBIL",IF(VLOOKUP(C30,'EVAL. ECONOMICA'!$C$19:$F$108,3,FALSE)="NO CUMPLE-1","NO HÁBIL","RECHAZO"))</f>
        <v>HÁBIL</v>
      </c>
      <c r="J30" s="194" t="str">
        <f ca="1">IF(ISNUMBER(D30),"",IF(VLOOKUP("S"&amp;C30,EXPERIENCIA!$A$20:$X$9193,15,0)="CUMPLE","HÁBIL","NO HÁBIL"))</f>
        <v>HÁBIL</v>
      </c>
      <c r="K30" s="194" t="str">
        <f>IF(ISNUMBER(D30),"",IF(VLOOKUP("T"&amp;C30,EXPERIENCIA!$A$20:$X$9193,11,0)="CUMPLE","HÁBIL","NO HÁBIL"))</f>
        <v>HÁBIL</v>
      </c>
      <c r="L30" s="194" t="str">
        <f t="shared" ca="1" si="1"/>
        <v>RECHAZO</v>
      </c>
    </row>
    <row r="31" spans="2:12" ht="13.5">
      <c r="B31" s="114">
        <f t="shared" si="0"/>
        <v>13</v>
      </c>
      <c r="C31" s="62">
        <f>IF(VLOOKUP(B31,PROPONENTES!$B$19:$E$109,2,0)="","",VLOOKUP(B31,PROPONENTES!$B$19:$E$109,2,0))</f>
        <v>13</v>
      </c>
      <c r="D31" s="63" t="str">
        <f>IF(VLOOKUP(B31,PROPONENTES!$B$19:$E$108,3,0)="","",VLOOKUP(B31,PROPONENTES!$B$19:$E$108,3,0))</f>
        <v>NICOLAS REDONDO MOLINA</v>
      </c>
      <c r="E31" s="65" t="s">
        <v>1139</v>
      </c>
      <c r="F31" s="65" t="s">
        <v>1139</v>
      </c>
      <c r="G31" s="65" t="s">
        <v>1139</v>
      </c>
      <c r="H31" s="65" t="str">
        <f>IF(VLOOKUP(B31,'EQUIPO DE TRABAJO'!$B$19:$F$108,4,FALSE)="CUMPLE","HÁBIL",IF(VLOOKUP(B31,'EQUIPO DE TRABAJO'!$B$19:$F$108,4,FALSE)="NO CUMPLE-1","NO HÁBIL","RECHAZO"))</f>
        <v>HÁBIL</v>
      </c>
      <c r="I31" s="65" t="str">
        <f>IF(VLOOKUP(C31,'EVAL. ECONOMICA'!$C$19:$F$108,3,FALSE)="CUMPLE","HÁBIL",IF(VLOOKUP(C31,'EVAL. ECONOMICA'!$C$19:$F$108,3,FALSE)="NO CUMPLE-1","NO HÁBIL","RECHAZO"))</f>
        <v>HÁBIL</v>
      </c>
      <c r="J31" s="194" t="str">
        <f ca="1">IF(ISNUMBER(D31),"",IF(VLOOKUP("S"&amp;C31,EXPERIENCIA!$A$20:$X$9193,15,0)="CUMPLE","HÁBIL","NO HÁBIL"))</f>
        <v>HÁBIL</v>
      </c>
      <c r="K31" s="194" t="str">
        <f>IF(ISNUMBER(D31),"",IF(VLOOKUP("T"&amp;C31,EXPERIENCIA!$A$20:$X$9193,11,0)="CUMPLE","HÁBIL","NO HÁBIL"))</f>
        <v>HÁBIL</v>
      </c>
      <c r="L31" s="194" t="str">
        <f t="shared" ca="1" si="1"/>
        <v>HÁBIL</v>
      </c>
    </row>
    <row r="32" spans="2:12" ht="13.5">
      <c r="B32" s="114">
        <f t="shared" si="0"/>
        <v>14</v>
      </c>
      <c r="C32" s="62">
        <f>IF(VLOOKUP(B32,PROPONENTES!$B$19:$E$109,2,0)="","",VLOOKUP(B32,PROPONENTES!$B$19:$E$109,2,0))</f>
        <v>14</v>
      </c>
      <c r="D32" s="63" t="str">
        <f>IF(VLOOKUP(B32,PROPONENTES!$B$19:$E$108,3,0)="","",VLOOKUP(B32,PROPONENTES!$B$19:$E$108,3,0))</f>
        <v>CONSORCIO INTER CB 2022</v>
      </c>
      <c r="E32" s="65" t="s">
        <v>1172</v>
      </c>
      <c r="F32" s="65" t="s">
        <v>1139</v>
      </c>
      <c r="G32" s="65" t="s">
        <v>1139</v>
      </c>
      <c r="H32" s="65" t="str">
        <f>IF(VLOOKUP(B32,'EQUIPO DE TRABAJO'!$B$19:$F$108,4,FALSE)="CUMPLE","HÁBIL",IF(VLOOKUP(B32,'EQUIPO DE TRABAJO'!$B$19:$F$108,4,FALSE)="NO CUMPLE-1","NO HÁBIL","RECHAZO"))</f>
        <v>HÁBIL</v>
      </c>
      <c r="I32" s="65" t="str">
        <f>IF(VLOOKUP(C32,'EVAL. ECONOMICA'!$C$19:$F$108,3,FALSE)="CUMPLE","HÁBIL",IF(VLOOKUP(C32,'EVAL. ECONOMICA'!$C$19:$F$108,3,FALSE)="NO CUMPLE-1","NO HÁBIL","RECHAZO"))</f>
        <v>HÁBIL</v>
      </c>
      <c r="J32" s="194" t="str">
        <f ca="1">IF(ISNUMBER(D32),"",IF(VLOOKUP("S"&amp;C32,EXPERIENCIA!$A$20:$X$9193,15,0)="CUMPLE","HÁBIL","NO HÁBIL"))</f>
        <v>HÁBIL</v>
      </c>
      <c r="K32" s="194" t="str">
        <f ca="1">IF(ISNUMBER(D32),"",IF(VLOOKUP("T"&amp;C32,EXPERIENCIA!$A$20:$X$9193,11,0)="CUMPLE","HÁBIL","NO HÁBIL"))</f>
        <v>HÁBIL</v>
      </c>
      <c r="L32" s="194" t="str">
        <f t="shared" ca="1" si="1"/>
        <v>RECHAZO</v>
      </c>
    </row>
    <row r="33" spans="2:12" ht="13.5">
      <c r="B33" s="114">
        <f t="shared" si="0"/>
        <v>15</v>
      </c>
      <c r="C33" s="62">
        <f>IF(VLOOKUP(B33,PROPONENTES!$B$19:$E$109,2,0)="","",VLOOKUP(B33,PROPONENTES!$B$19:$E$109,2,0))</f>
        <v>15</v>
      </c>
      <c r="D33" s="63" t="str">
        <f>IF(VLOOKUP(B33,PROPONENTES!$B$19:$E$108,3,0)="","",VLOOKUP(B33,PROPONENTES!$B$19:$E$108,3,0))</f>
        <v>EMPROCIV SAS</v>
      </c>
      <c r="E33" s="65" t="s">
        <v>1139</v>
      </c>
      <c r="F33" s="65" t="s">
        <v>1139</v>
      </c>
      <c r="G33" s="65" t="s">
        <v>1139</v>
      </c>
      <c r="H33" s="65" t="str">
        <f>IF(VLOOKUP(B33,'EQUIPO DE TRABAJO'!$B$19:$F$108,4,FALSE)="CUMPLE","HÁBIL",IF(VLOOKUP(B33,'EQUIPO DE TRABAJO'!$B$19:$F$108,4,FALSE)="NO CUMPLE-1","NO HÁBIL","RECHAZO"))</f>
        <v>HÁBIL</v>
      </c>
      <c r="I33" s="65" t="str">
        <f>IF(VLOOKUP(C33,'EVAL. ECONOMICA'!$C$19:$F$108,3,FALSE)="CUMPLE","HÁBIL",IF(VLOOKUP(C33,'EVAL. ECONOMICA'!$C$19:$F$108,3,FALSE)="NO CUMPLE-1","NO HÁBIL","RECHAZO"))</f>
        <v>HÁBIL</v>
      </c>
      <c r="J33" s="194" t="str">
        <f ca="1">IF(ISNUMBER(D33),"",IF(VLOOKUP("S"&amp;C33,EXPERIENCIA!$A$20:$X$9193,15,0)="CUMPLE","HÁBIL","NO HÁBIL"))</f>
        <v>HÁBIL</v>
      </c>
      <c r="K33" s="194" t="str">
        <f>IF(ISNUMBER(D33),"",IF(VLOOKUP("T"&amp;C33,EXPERIENCIA!$A$20:$X$9193,11,0)="CUMPLE","HÁBIL","NO HÁBIL"))</f>
        <v>HÁBIL</v>
      </c>
      <c r="L33" s="194" t="str">
        <f t="shared" ca="1" si="1"/>
        <v>HÁBIL</v>
      </c>
    </row>
    <row r="34" spans="2:12" ht="13.5">
      <c r="B34" s="114">
        <f t="shared" si="0"/>
        <v>16</v>
      </c>
      <c r="C34" s="62">
        <f>IF(VLOOKUP(B34,PROPONENTES!$B$19:$E$109,2,0)="","",VLOOKUP(B34,PROPONENTES!$B$19:$E$109,2,0))</f>
        <v>16</v>
      </c>
      <c r="D34" s="63" t="str">
        <f>IF(VLOOKUP(B34,PROPONENTES!$B$19:$E$108,3,0)="","",VLOOKUP(B34,PROPONENTES!$B$19:$E$108,3,0))</f>
        <v>CONSORCIO CAMCO</v>
      </c>
      <c r="E34" s="65" t="s">
        <v>1139</v>
      </c>
      <c r="F34" s="65" t="s">
        <v>1139</v>
      </c>
      <c r="G34" s="65" t="s">
        <v>1139</v>
      </c>
      <c r="H34" s="65" t="str">
        <f>IF(VLOOKUP(B34,'EQUIPO DE TRABAJO'!$B$19:$F$108,4,FALSE)="CUMPLE","HÁBIL",IF(VLOOKUP(B34,'EQUIPO DE TRABAJO'!$B$19:$F$108,4,FALSE)="NO CUMPLE-1","NO HÁBIL","RECHAZO"))</f>
        <v>HÁBIL</v>
      </c>
      <c r="I34" s="65" t="str">
        <f>IF(VLOOKUP(C34,'EVAL. ECONOMICA'!$C$19:$F$108,3,FALSE)="CUMPLE","HÁBIL",IF(VLOOKUP(C34,'EVAL. ECONOMICA'!$C$19:$F$108,3,FALSE)="NO CUMPLE-1","NO HÁBIL","RECHAZO"))</f>
        <v>HÁBIL</v>
      </c>
      <c r="J34" s="194" t="str">
        <f ca="1">IF(ISNUMBER(D34),"",IF(VLOOKUP("S"&amp;C34,EXPERIENCIA!$A$20:$X$9193,15,0)="CUMPLE","HÁBIL","NO HÁBIL"))</f>
        <v>HÁBIL</v>
      </c>
      <c r="K34" s="194" t="str">
        <f ca="1">IF(ISNUMBER(D34),"",IF(VLOOKUP("T"&amp;C34,EXPERIENCIA!$A$20:$X$9193,11,0)="CUMPLE","HÁBIL","NO HÁBIL"))</f>
        <v>HÁBIL</v>
      </c>
      <c r="L34" s="194" t="str">
        <f t="shared" ca="1" si="1"/>
        <v>HÁBIL</v>
      </c>
    </row>
    <row r="35" spans="2:12" ht="13.5">
      <c r="B35" s="114">
        <f t="shared" si="0"/>
        <v>17</v>
      </c>
      <c r="C35" s="62">
        <f>IF(VLOOKUP(B35,PROPONENTES!$B$19:$E$109,2,0)="","",VLOOKUP(B35,PROPONENTES!$B$19:$E$109,2,0))</f>
        <v>17</v>
      </c>
      <c r="D35" s="63" t="str">
        <f>IF(VLOOKUP(B35,PROPONENTES!$B$19:$E$108,3,0)="","",VLOOKUP(B35,PROPONENTES!$B$19:$E$108,3,0))</f>
        <v>ARCA AQUITECTURA E INGENIERÍA S.A</v>
      </c>
      <c r="E35" s="65" t="s">
        <v>1139</v>
      </c>
      <c r="F35" s="65" t="s">
        <v>1139</v>
      </c>
      <c r="G35" s="65" t="s">
        <v>1139</v>
      </c>
      <c r="H35" s="65" t="str">
        <f>IF(VLOOKUP(B35,'EQUIPO DE TRABAJO'!$B$19:$F$108,4,FALSE)="CUMPLE","HÁBIL",IF(VLOOKUP(B35,'EQUIPO DE TRABAJO'!$B$19:$F$108,4,FALSE)="NO CUMPLE-1","NO HÁBIL","RECHAZO"))</f>
        <v>HÁBIL</v>
      </c>
      <c r="I35" s="65" t="str">
        <f>IF(VLOOKUP(C35,'EVAL. ECONOMICA'!$C$19:$F$108,3,FALSE)="CUMPLE","HÁBIL",IF(VLOOKUP(C35,'EVAL. ECONOMICA'!$C$19:$F$108,3,FALSE)="NO CUMPLE-1","NO HÁBIL","RECHAZO"))</f>
        <v>HÁBIL</v>
      </c>
      <c r="J35" s="194" t="str">
        <f ca="1">IF(ISNUMBER(D35),"",IF(VLOOKUP("S"&amp;C35,EXPERIENCIA!$A$20:$X$9193,15,0)="CUMPLE","HÁBIL","NO HÁBIL"))</f>
        <v>HÁBIL</v>
      </c>
      <c r="K35" s="194" t="str">
        <f>IF(ISNUMBER(D35),"",IF(VLOOKUP("T"&amp;C35,EXPERIENCIA!$A$20:$X$9193,11,0)="CUMPLE","HÁBIL","NO HÁBIL"))</f>
        <v>HÁBIL</v>
      </c>
      <c r="L35" s="194" t="str">
        <f t="shared" ca="1" si="1"/>
        <v>HÁBIL</v>
      </c>
    </row>
    <row r="36" spans="2:12" ht="13.5">
      <c r="B36" s="114">
        <f t="shared" si="0"/>
        <v>18</v>
      </c>
      <c r="C36" s="62">
        <f>IF(VLOOKUP(B36,PROPONENTES!$B$19:$E$109,2,0)="","",VLOOKUP(B36,PROPONENTES!$B$19:$E$109,2,0))</f>
        <v>18</v>
      </c>
      <c r="D36" s="63" t="str">
        <f>IF(VLOOKUP(B36,PROPONENTES!$B$19:$E$108,3,0)="","",VLOOKUP(B36,PROPONENTES!$B$19:$E$108,3,0))</f>
        <v>ALPHA INGENIERIA INTEGRAL SAS</v>
      </c>
      <c r="E36" s="65" t="s">
        <v>1139</v>
      </c>
      <c r="F36" s="65" t="s">
        <v>1139</v>
      </c>
      <c r="G36" s="65" t="s">
        <v>1139</v>
      </c>
      <c r="H36" s="65" t="str">
        <f>IF(VLOOKUP(B36,'EQUIPO DE TRABAJO'!$B$19:$F$108,4,FALSE)="CUMPLE","HÁBIL",IF(VLOOKUP(B36,'EQUIPO DE TRABAJO'!$B$19:$F$108,4,FALSE)="NO CUMPLE-1","NO HÁBIL","RECHAZO"))</f>
        <v>HÁBIL</v>
      </c>
      <c r="I36" s="65" t="str">
        <f>IF(VLOOKUP(C36,'EVAL. ECONOMICA'!$C$19:$F$108,3,FALSE)="CUMPLE","HÁBIL",IF(VLOOKUP(C36,'EVAL. ECONOMICA'!$C$19:$F$108,3,FALSE)="NO CUMPLE-1","NO HÁBIL","RECHAZO"))</f>
        <v>HÁBIL</v>
      </c>
      <c r="J36" s="194" t="str">
        <f ca="1">IF(ISNUMBER(D36),"",IF(VLOOKUP("S"&amp;C36,EXPERIENCIA!$A$20:$X$9193,15,0)="CUMPLE","HÁBIL","NO HÁBIL"))</f>
        <v>HÁBIL</v>
      </c>
      <c r="K36" s="194" t="str">
        <f>IF(ISNUMBER(D36),"",IF(VLOOKUP("T"&amp;C36,EXPERIENCIA!$A$20:$X$9193,11,0)="CUMPLE","HÁBIL","NO HÁBIL"))</f>
        <v>HÁBIL</v>
      </c>
      <c r="L36" s="194" t="str">
        <f t="shared" ca="1" si="1"/>
        <v>HÁBIL</v>
      </c>
    </row>
    <row r="37" spans="2:12" ht="24">
      <c r="B37" s="114">
        <f t="shared" si="0"/>
        <v>19</v>
      </c>
      <c r="C37" s="62">
        <f>IF(VLOOKUP(B37,PROPONENTES!$B$19:$E$109,2,0)="","",VLOOKUP(B37,PROPONENTES!$B$19:$E$109,2,0))</f>
        <v>19</v>
      </c>
      <c r="D37" s="63" t="str">
        <f>IF(VLOOKUP(B37,PROPONENTES!$B$19:$E$108,3,0)="","",VLOOKUP(B37,PROPONENTES!$B$19:$E$108,3,0))</f>
        <v>ELSA MARIA RUEDA LANDINEZ INGENIERIA SAS</v>
      </c>
      <c r="E37" s="65" t="s">
        <v>1139</v>
      </c>
      <c r="F37" s="65" t="s">
        <v>1139</v>
      </c>
      <c r="G37" s="65" t="s">
        <v>1139</v>
      </c>
      <c r="H37" s="65" t="str">
        <f>IF(VLOOKUP(B37,'EQUIPO DE TRABAJO'!$B$19:$F$108,4,FALSE)="CUMPLE","HÁBIL",IF(VLOOKUP(B37,'EQUIPO DE TRABAJO'!$B$19:$F$108,4,FALSE)="NO CUMPLE-1","NO HÁBIL","RECHAZO"))</f>
        <v>HÁBIL</v>
      </c>
      <c r="I37" s="65" t="str">
        <f>IF(VLOOKUP(C37,'EVAL. ECONOMICA'!$C$19:$F$108,3,FALSE)="CUMPLE","HÁBIL",IF(VLOOKUP(C37,'EVAL. ECONOMICA'!$C$19:$F$108,3,FALSE)="NO CUMPLE-1","NO HÁBIL","RECHAZO"))</f>
        <v>HÁBIL</v>
      </c>
      <c r="J37" s="194" t="str">
        <f ca="1">IF(ISNUMBER(D37),"",IF(VLOOKUP("S"&amp;C37,EXPERIENCIA!$A$20:$X$9193,15,0)="CUMPLE","HÁBIL","NO HÁBIL"))</f>
        <v>HÁBIL</v>
      </c>
      <c r="K37" s="194" t="str">
        <f>IF(ISNUMBER(D37),"",IF(VLOOKUP("T"&amp;C37,EXPERIENCIA!$A$20:$X$9193,11,0)="CUMPLE","HÁBIL","NO HÁBIL"))</f>
        <v>HÁBIL</v>
      </c>
      <c r="L37" s="194" t="str">
        <f t="shared" ca="1" si="1"/>
        <v>HÁBIL</v>
      </c>
    </row>
    <row r="38" spans="2:12" ht="13.5">
      <c r="B38" s="114">
        <f t="shared" si="0"/>
        <v>20</v>
      </c>
      <c r="C38" s="62">
        <f>IF(VLOOKUP(B38,PROPONENTES!$B$19:$E$109,2,0)="","",VLOOKUP(B38,PROPONENTES!$B$19:$E$109,2,0))</f>
        <v>20</v>
      </c>
      <c r="D38" s="63" t="str">
        <f>IF(VLOOKUP(B38,PROPONENTES!$B$19:$E$108,3,0)="","",VLOOKUP(B38,PROPONENTES!$B$19:$E$108,3,0))</f>
        <v>PROES INGENIERÍA S.A.S</v>
      </c>
      <c r="E38" s="65" t="s">
        <v>1139</v>
      </c>
      <c r="F38" s="65" t="s">
        <v>1139</v>
      </c>
      <c r="G38" s="65" t="s">
        <v>1139</v>
      </c>
      <c r="H38" s="65" t="str">
        <f>IF(VLOOKUP(B38,'EQUIPO DE TRABAJO'!$B$19:$F$108,4,FALSE)="CUMPLE","HÁBIL",IF(VLOOKUP(B38,'EQUIPO DE TRABAJO'!$B$19:$F$108,4,FALSE)="NO CUMPLE-1","NO HÁBIL","RECHAZO"))</f>
        <v>HÁBIL</v>
      </c>
      <c r="I38" s="65" t="str">
        <f>IF(VLOOKUP(C38,'EVAL. ECONOMICA'!$C$19:$F$108,3,FALSE)="CUMPLE","HÁBIL",IF(VLOOKUP(C38,'EVAL. ECONOMICA'!$C$19:$F$108,3,FALSE)="NO CUMPLE-1","NO HÁBIL","RECHAZO"))</f>
        <v>HÁBIL</v>
      </c>
      <c r="J38" s="194" t="str">
        <f ca="1">IF(ISNUMBER(D38),"",IF(VLOOKUP("S"&amp;C38,EXPERIENCIA!$A$20:$X$9193,15,0)="CUMPLE","HÁBIL","NO HÁBIL"))</f>
        <v>HÁBIL</v>
      </c>
      <c r="K38" s="194" t="str">
        <f>IF(ISNUMBER(D38),"",IF(VLOOKUP("T"&amp;C38,EXPERIENCIA!$A$20:$X$9193,11,0)="CUMPLE","HÁBIL","NO HÁBIL"))</f>
        <v>HÁBIL</v>
      </c>
      <c r="L38" s="194" t="str">
        <f t="shared" ca="1" si="1"/>
        <v>HÁBIL</v>
      </c>
    </row>
    <row r="39" spans="2:12" ht="24">
      <c r="B39" s="114">
        <f t="shared" si="0"/>
        <v>21</v>
      </c>
      <c r="C39" s="62">
        <f>IF(VLOOKUP(B39,PROPONENTES!$B$19:$E$109,2,0)="","",VLOOKUP(B39,PROPONENTES!$B$19:$E$109,2,0))</f>
        <v>21</v>
      </c>
      <c r="D39" s="63" t="str">
        <f>IF(VLOOKUP(B39,PROPONENTES!$B$19:$E$108,3,0)="","",VLOOKUP(B39,PROPONENTES!$B$19:$E$108,3,0))</f>
        <v>INGENIEROS CONSULTORES Y CONSTRUCTORES ARG SAS</v>
      </c>
      <c r="E39" s="65" t="s">
        <v>1139</v>
      </c>
      <c r="F39" s="65" t="s">
        <v>1139</v>
      </c>
      <c r="G39" s="65" t="s">
        <v>1139</v>
      </c>
      <c r="H39" s="65" t="str">
        <f>IF(VLOOKUP(B39,'EQUIPO DE TRABAJO'!$B$19:$F$108,4,FALSE)="CUMPLE","HÁBIL",IF(VLOOKUP(B39,'EQUIPO DE TRABAJO'!$B$19:$F$108,4,FALSE)="NO CUMPLE-1","NO HÁBIL","RECHAZO"))</f>
        <v>HÁBIL</v>
      </c>
      <c r="I39" s="65" t="str">
        <f>IF(VLOOKUP(C39,'EVAL. ECONOMICA'!$C$19:$F$108,3,FALSE)="CUMPLE","HÁBIL",IF(VLOOKUP(C39,'EVAL. ECONOMICA'!$C$19:$F$108,3,FALSE)="NO CUMPLE-1","NO HÁBIL","RECHAZO"))</f>
        <v>HÁBIL</v>
      </c>
      <c r="J39" s="194" t="str">
        <f ca="1">IF(ISNUMBER(D39),"",IF(VLOOKUP("S"&amp;C39,EXPERIENCIA!$A$20:$X$9193,15,0)="CUMPLE","HÁBIL","NO HÁBIL"))</f>
        <v>HÁBIL</v>
      </c>
      <c r="K39" s="194" t="str">
        <f>IF(ISNUMBER(D39),"",IF(VLOOKUP("T"&amp;C39,EXPERIENCIA!$A$20:$X$9193,11,0)="CUMPLE","HÁBIL","NO HÁBIL"))</f>
        <v>HÁBIL</v>
      </c>
      <c r="L39" s="194" t="str">
        <f t="shared" ca="1" si="1"/>
        <v>HÁBIL</v>
      </c>
    </row>
    <row r="40" spans="2:12" ht="13.5">
      <c r="B40" s="114">
        <f t="shared" si="0"/>
        <v>22</v>
      </c>
      <c r="C40" s="62">
        <f>IF(VLOOKUP(B40,PROPONENTES!$B$19:$E$109,2,0)="","",VLOOKUP(B40,PROPONENTES!$B$19:$E$109,2,0))</f>
        <v>22</v>
      </c>
      <c r="D40" s="63" t="str">
        <f>IF(VLOOKUP(B40,PROPONENTES!$B$19:$E$108,3,0)="","",VLOOKUP(B40,PROPONENTES!$B$19:$E$108,3,0))</f>
        <v>CONSORCIO GABRIELA TOLIMA</v>
      </c>
      <c r="E40" s="65" t="s">
        <v>1139</v>
      </c>
      <c r="F40" s="65" t="s">
        <v>1139</v>
      </c>
      <c r="G40" s="65" t="s">
        <v>1139</v>
      </c>
      <c r="H40" s="65" t="str">
        <f>IF(VLOOKUP(B40,'EQUIPO DE TRABAJO'!$B$19:$F$108,4,FALSE)="CUMPLE","HÁBIL",IF(VLOOKUP(B40,'EQUIPO DE TRABAJO'!$B$19:$F$108,4,FALSE)="NO CUMPLE-1","NO HÁBIL","RECHAZO"))</f>
        <v>HÁBIL</v>
      </c>
      <c r="I40" s="65" t="str">
        <f>IF(VLOOKUP(C40,'EVAL. ECONOMICA'!$C$19:$F$108,3,FALSE)="CUMPLE","HÁBIL",IF(VLOOKUP(C40,'EVAL. ECONOMICA'!$C$19:$F$108,3,FALSE)="NO CUMPLE-1","NO HÁBIL","RECHAZO"))</f>
        <v>HÁBIL</v>
      </c>
      <c r="J40" s="194" t="str">
        <f ca="1">IF(ISNUMBER(D40),"",IF(VLOOKUP("S"&amp;C40,EXPERIENCIA!$A$20:$X$9193,15,0)="CUMPLE","HÁBIL","NO HÁBIL"))</f>
        <v>HÁBIL</v>
      </c>
      <c r="K40" s="194" t="str">
        <f ca="1">IF(ISNUMBER(D40),"",IF(VLOOKUP("T"&amp;C40,EXPERIENCIA!$A$20:$X$9193,11,0)="CUMPLE","HÁBIL","NO HÁBIL"))</f>
        <v>HÁBIL</v>
      </c>
      <c r="L40" s="194" t="str">
        <f t="shared" ref="L40" ca="1" si="2">IF(OR(COUNTIF(E40:K40,"")=5,COUNTIF(E40:K40,"")&gt;0),"",IF(COUNTIF(E40:K40,"RECHAZO")&gt;0,"RECHAZO",IF(COUNTIF(E40:K40,"NO HÁBIL")=0,"HÁBIL","NO HÁBIL")))</f>
        <v>HÁBIL</v>
      </c>
    </row>
    <row r="41" spans="2:12" ht="13.5">
      <c r="B41" s="114">
        <f t="shared" si="0"/>
        <v>23</v>
      </c>
      <c r="C41" s="62">
        <f>IF(VLOOKUP(B41,PROPONENTES!$B$19:$E$109,2,0)="","",VLOOKUP(B41,PROPONENTES!$B$19:$E$109,2,0))</f>
        <v>23</v>
      </c>
      <c r="D41" s="63" t="str">
        <f>IF(VLOOKUP(B41,PROPONENTES!$B$19:$E$108,3,0)="","",VLOOKUP(B41,PROPONENTES!$B$19:$E$108,3,0))</f>
        <v>VELNEC S.A</v>
      </c>
      <c r="E41" s="65" t="s">
        <v>1139</v>
      </c>
      <c r="F41" s="65" t="s">
        <v>1139</v>
      </c>
      <c r="G41" s="65" t="s">
        <v>1139</v>
      </c>
      <c r="H41" s="65" t="str">
        <f>IF(VLOOKUP(B41,'EQUIPO DE TRABAJO'!$B$19:$F$108,4,FALSE)="CUMPLE","HÁBIL",IF(VLOOKUP(B41,'EQUIPO DE TRABAJO'!$B$19:$F$108,4,FALSE)="NO CUMPLE-1","NO HÁBIL","RECHAZO"))</f>
        <v>HÁBIL</v>
      </c>
      <c r="I41" s="65" t="str">
        <f>IF(VLOOKUP(C41,'EVAL. ECONOMICA'!$C$19:$F$108,3,FALSE)="CUMPLE","HÁBIL",IF(VLOOKUP(C41,'EVAL. ECONOMICA'!$C$19:$F$108,3,FALSE)="NO CUMPLE-1","NO HÁBIL","RECHAZO"))</f>
        <v>HÁBIL</v>
      </c>
      <c r="J41" s="194" t="str">
        <f ca="1">IF(ISNUMBER(D41),"",IF(VLOOKUP("S"&amp;C41,EXPERIENCIA!$A$20:$X$9193,15,0)="CUMPLE","HÁBIL","NO HÁBIL"))</f>
        <v>HÁBIL</v>
      </c>
      <c r="K41" s="194" t="str">
        <f>IF(ISNUMBER(D41),"",IF(VLOOKUP("T"&amp;C41,EXPERIENCIA!$A$20:$X$9193,11,0)="CUMPLE","HÁBIL","NO HÁBIL"))</f>
        <v>HÁBIL</v>
      </c>
      <c r="L41" s="194" t="str">
        <f t="shared" ca="1" si="1"/>
        <v>HÁBIL</v>
      </c>
    </row>
    <row r="42" spans="2:12" ht="24">
      <c r="B42" s="114">
        <f t="shared" si="0"/>
        <v>24</v>
      </c>
      <c r="C42" s="62">
        <f>IF(VLOOKUP(B42,PROPONENTES!$B$19:$E$109,2,0)="","",VLOOKUP(B42,PROPONENTES!$B$19:$E$109,2,0))</f>
        <v>24</v>
      </c>
      <c r="D42" s="63" t="str">
        <f>IF(VLOOKUP(B42,PROPONENTES!$B$19:$E$108,3,0)="","",VLOOKUP(B42,PROPONENTES!$B$19:$E$108,3,0))</f>
        <v>ARQUITECTOS  INGENIEROS CONSTRUCTORES S.A.S</v>
      </c>
      <c r="E42" s="65" t="s">
        <v>1139</v>
      </c>
      <c r="F42" s="65" t="s">
        <v>1139</v>
      </c>
      <c r="G42" s="65" t="s">
        <v>1139</v>
      </c>
      <c r="H42" s="65" t="str">
        <f>IF(VLOOKUP(B42,'EQUIPO DE TRABAJO'!$B$19:$F$108,4,FALSE)="CUMPLE","HÁBIL",IF(VLOOKUP(B42,'EQUIPO DE TRABAJO'!$B$19:$F$108,4,FALSE)="NO CUMPLE-1","NO HÁBIL","RECHAZO"))</f>
        <v>HÁBIL</v>
      </c>
      <c r="I42" s="65" t="str">
        <f>IF(VLOOKUP(C42,'EVAL. ECONOMICA'!$C$19:$F$108,3,FALSE)="CUMPLE","HÁBIL",IF(VLOOKUP(C42,'EVAL. ECONOMICA'!$C$19:$F$108,3,FALSE)="NO CUMPLE-1","NO HÁBIL","RECHAZO"))</f>
        <v>HÁBIL</v>
      </c>
      <c r="J42" s="194" t="str">
        <f ca="1">IF(ISNUMBER(D42),"",IF(VLOOKUP("S"&amp;C42,EXPERIENCIA!$A$20:$X$9193,15,0)="CUMPLE","HÁBIL","NO HÁBIL"))</f>
        <v>HÁBIL</v>
      </c>
      <c r="K42" s="194" t="str">
        <f>IF(ISNUMBER(D42),"",IF(VLOOKUP("T"&amp;C42,EXPERIENCIA!$A$20:$X$9193,11,0)="CUMPLE","HÁBIL","NO HÁBIL"))</f>
        <v>HÁBIL</v>
      </c>
      <c r="L42" s="194" t="str">
        <f t="shared" ca="1" si="1"/>
        <v>HÁBIL</v>
      </c>
    </row>
    <row r="43" spans="2:12" ht="13.5">
      <c r="B43" s="114">
        <f t="shared" si="0"/>
        <v>25</v>
      </c>
      <c r="C43" s="62">
        <f>IF(VLOOKUP(B43,PROPONENTES!$B$19:$E$109,2,0)="","",VLOOKUP(B43,PROPONENTES!$B$19:$E$109,2,0))</f>
        <v>25</v>
      </c>
      <c r="D43" s="63" t="str">
        <f>IF(VLOOKUP(B43,PROPONENTES!$B$19:$E$108,3,0)="","",VLOOKUP(B43,PROPONENTES!$B$19:$E$108,3,0))</f>
        <v>CONSORCIO RUTA TOLIMA 1</v>
      </c>
      <c r="E43" s="65" t="s">
        <v>1139</v>
      </c>
      <c r="F43" s="65" t="s">
        <v>1139</v>
      </c>
      <c r="G43" s="65" t="s">
        <v>1139</v>
      </c>
      <c r="H43" s="65" t="str">
        <f>IF(VLOOKUP(B43,'EQUIPO DE TRABAJO'!$B$19:$F$108,4,FALSE)="CUMPLE","HÁBIL",IF(VLOOKUP(B43,'EQUIPO DE TRABAJO'!$B$19:$F$108,4,FALSE)="NO CUMPLE-1","NO HÁBIL","RECHAZO"))</f>
        <v>HÁBIL</v>
      </c>
      <c r="I43" s="65" t="str">
        <f>IF(VLOOKUP(C43,'EVAL. ECONOMICA'!$C$19:$F$108,3,FALSE)="CUMPLE","HÁBIL",IF(VLOOKUP(C43,'EVAL. ECONOMICA'!$C$19:$F$108,3,FALSE)="NO CUMPLE-1","NO HÁBIL","RECHAZO"))</f>
        <v>HÁBIL</v>
      </c>
      <c r="J43" s="194" t="str">
        <f ca="1">IF(ISNUMBER(D43),"",IF(VLOOKUP("S"&amp;C43,EXPERIENCIA!$A$20:$X$9193,15,0)="CUMPLE","HÁBIL","NO HÁBIL"))</f>
        <v>HÁBIL</v>
      </c>
      <c r="K43" s="194" t="str">
        <f ca="1">IF(ISNUMBER(D43),"",IF(VLOOKUP("T"&amp;C43,EXPERIENCIA!$A$20:$X$9193,11,0)="CUMPLE","HÁBIL","NO HÁBIL"))</f>
        <v>HÁBIL</v>
      </c>
      <c r="L43" s="194" t="str">
        <f t="shared" ca="1" si="1"/>
        <v>HÁBIL</v>
      </c>
    </row>
    <row r="44" spans="2:12" ht="24">
      <c r="B44" s="114">
        <f t="shared" si="0"/>
        <v>26</v>
      </c>
      <c r="C44" s="62">
        <f>IF(VLOOKUP(B44,PROPONENTES!$B$19:$E$109,2,0)="","",VLOOKUP(B44,PROPONENTES!$B$19:$E$109,2,0))</f>
        <v>26</v>
      </c>
      <c r="D44" s="63" t="str">
        <f>IF(VLOOKUP(B44,PROPONENTES!$B$19:$E$108,3,0)="","",VLOOKUP(B44,PROPONENTES!$B$19:$E$108,3,0))</f>
        <v>INGENIEROS CONSTRUCTORES Y ASESORES SAS</v>
      </c>
      <c r="E44" s="65" t="s">
        <v>1139</v>
      </c>
      <c r="F44" s="65" t="s">
        <v>1139</v>
      </c>
      <c r="G44" s="65" t="s">
        <v>1139</v>
      </c>
      <c r="H44" s="65" t="str">
        <f>IF(VLOOKUP(B44,'EQUIPO DE TRABAJO'!$B$19:$F$108,4,FALSE)="CUMPLE","HÁBIL",IF(VLOOKUP(B44,'EQUIPO DE TRABAJO'!$B$19:$F$108,4,FALSE)="NO CUMPLE-1","NO HÁBIL","RECHAZO"))</f>
        <v>HÁBIL</v>
      </c>
      <c r="I44" s="65" t="str">
        <f>IF(VLOOKUP(C44,'EVAL. ECONOMICA'!$C$19:$F$108,3,FALSE)="CUMPLE","HÁBIL",IF(VLOOKUP(C44,'EVAL. ECONOMICA'!$C$19:$F$108,3,FALSE)="NO CUMPLE-1","NO HÁBIL","RECHAZO"))</f>
        <v>HÁBIL</v>
      </c>
      <c r="J44" s="194" t="str">
        <f ca="1">IF(ISNUMBER(D44),"",IF(VLOOKUP("S"&amp;C44,EXPERIENCIA!$A$20:$X$9193,15,0)="CUMPLE","HÁBIL","NO HÁBIL"))</f>
        <v>HÁBIL</v>
      </c>
      <c r="K44" s="194" t="str">
        <f>IF(ISNUMBER(D44),"",IF(VLOOKUP("T"&amp;C44,EXPERIENCIA!$A$20:$X$9193,11,0)="CUMPLE","HÁBIL","NO HÁBIL"))</f>
        <v>HÁBIL</v>
      </c>
      <c r="L44" s="194" t="str">
        <f t="shared" ca="1" si="1"/>
        <v>HÁBIL</v>
      </c>
    </row>
    <row r="45" spans="2:12" ht="24">
      <c r="B45" s="114">
        <f t="shared" si="0"/>
        <v>27</v>
      </c>
      <c r="C45" s="62">
        <f>IF(VLOOKUP(B45,PROPONENTES!$B$19:$E$109,2,0)="","",VLOOKUP(B45,PROPONENTES!$B$19:$E$109,2,0))</f>
        <v>27</v>
      </c>
      <c r="D45" s="63" t="str">
        <f>IF(VLOOKUP(B45,PROPONENTES!$B$19:$E$108,3,0)="","",VLOOKUP(B45,PROPONENTES!$B$19:$E$108,3,0))</f>
        <v>CONSULTORIA Y CONSTRUCCIONES DARLEV SAS</v>
      </c>
      <c r="E45" s="65" t="s">
        <v>1139</v>
      </c>
      <c r="F45" s="65" t="s">
        <v>1139</v>
      </c>
      <c r="G45" s="65" t="s">
        <v>1139</v>
      </c>
      <c r="H45" s="65" t="str">
        <f>IF(VLOOKUP(B45,'EQUIPO DE TRABAJO'!$B$19:$F$108,4,FALSE)="CUMPLE","HÁBIL",IF(VLOOKUP(B45,'EQUIPO DE TRABAJO'!$B$19:$F$108,4,FALSE)="NO CUMPLE-1","NO HÁBIL","RECHAZO"))</f>
        <v>HÁBIL</v>
      </c>
      <c r="I45" s="65" t="str">
        <f>IF(VLOOKUP(C45,'EVAL. ECONOMICA'!$C$19:$F$108,3,FALSE)="CUMPLE","HÁBIL",IF(VLOOKUP(C45,'EVAL. ECONOMICA'!$C$19:$F$108,3,FALSE)="NO CUMPLE-1","NO HÁBIL","RECHAZO"))</f>
        <v>HÁBIL</v>
      </c>
      <c r="J45" s="194" t="str">
        <f ca="1">IF(ISNUMBER(D45),"",IF(VLOOKUP("S"&amp;C45,EXPERIENCIA!$A$20:$X$9193,15,0)="CUMPLE","HÁBIL","NO HÁBIL"))</f>
        <v>HÁBIL</v>
      </c>
      <c r="K45" s="194" t="str">
        <f>IF(ISNUMBER(D45),"",IF(VLOOKUP("T"&amp;C45,EXPERIENCIA!$A$20:$X$9193,11,0)="CUMPLE","HÁBIL","NO HÁBIL"))</f>
        <v>HÁBIL</v>
      </c>
      <c r="L45" s="194" t="str">
        <f t="shared" ca="1" si="1"/>
        <v>HÁBIL</v>
      </c>
    </row>
    <row r="46" spans="2:12" ht="13.5">
      <c r="B46" s="114">
        <f t="shared" si="0"/>
        <v>28</v>
      </c>
      <c r="C46" s="62">
        <f>IF(VLOOKUP(B46,PROPONENTES!$B$19:$E$109,2,0)="","",VLOOKUP(B46,PROPONENTES!$B$19:$E$109,2,0))</f>
        <v>28</v>
      </c>
      <c r="D46" s="63" t="str">
        <f>IF(VLOOKUP(B46,PROPONENTES!$B$19:$E$108,3,0)="","",VLOOKUP(B46,PROPONENTES!$B$19:$E$108,3,0))</f>
        <v>CONSORCIO TOLIMA</v>
      </c>
      <c r="E46" s="65" t="s">
        <v>1139</v>
      </c>
      <c r="F46" s="65" t="s">
        <v>1139</v>
      </c>
      <c r="G46" s="65" t="s">
        <v>1139</v>
      </c>
      <c r="H46" s="65" t="str">
        <f>IF(VLOOKUP(B46,'EQUIPO DE TRABAJO'!$B$19:$F$108,4,FALSE)="CUMPLE","HÁBIL",IF(VLOOKUP(B46,'EQUIPO DE TRABAJO'!$B$19:$F$108,4,FALSE)="NO CUMPLE-1","NO HÁBIL","RECHAZO"))</f>
        <v>HÁBIL</v>
      </c>
      <c r="I46" s="65" t="str">
        <f>IF(VLOOKUP(C46,'EVAL. ECONOMICA'!$C$19:$F$108,3,FALSE)="CUMPLE","HÁBIL",IF(VLOOKUP(C46,'EVAL. ECONOMICA'!$C$19:$F$108,3,FALSE)="NO CUMPLE-1","NO HÁBIL","RECHAZO"))</f>
        <v>HÁBIL</v>
      </c>
      <c r="J46" s="194" t="str">
        <f ca="1">IF(ISNUMBER(D46),"",IF(VLOOKUP("S"&amp;C46,EXPERIENCIA!$A$20:$X$9193,15,0)="CUMPLE","HÁBIL","NO HÁBIL"))</f>
        <v>HÁBIL</v>
      </c>
      <c r="K46" s="194" t="str">
        <f ca="1">IF(ISNUMBER(D46),"",IF(VLOOKUP("T"&amp;C46,EXPERIENCIA!$A$20:$X$9193,11,0)="CUMPLE","HÁBIL","NO HÁBIL"))</f>
        <v>HÁBIL</v>
      </c>
      <c r="L46" s="194" t="str">
        <f t="shared" ca="1" si="1"/>
        <v>HÁBIL</v>
      </c>
    </row>
    <row r="47" spans="2:12" ht="13.5">
      <c r="B47" s="114">
        <f t="shared" si="0"/>
        <v>29</v>
      </c>
      <c r="C47" s="62">
        <f>IF(VLOOKUP(B47,PROPONENTES!$B$19:$E$109,2,0)="","",VLOOKUP(B47,PROPONENTES!$B$19:$E$109,2,0))</f>
        <v>29</v>
      </c>
      <c r="D47" s="63" t="str">
        <f>IF(VLOOKUP(B47,PROPONENTES!$B$19:$E$108,3,0)="","",VLOOKUP(B47,PROPONENTES!$B$19:$E$108,3,0))</f>
        <v>CONSORCIO MT 2022 TOLIMA</v>
      </c>
      <c r="E47" s="65" t="s">
        <v>1139</v>
      </c>
      <c r="F47" s="65" t="s">
        <v>1139</v>
      </c>
      <c r="G47" s="65" t="s">
        <v>1139</v>
      </c>
      <c r="H47" s="65" t="str">
        <f>IF(VLOOKUP(B47,'EQUIPO DE TRABAJO'!$B$19:$F$108,4,FALSE)="CUMPLE","HÁBIL",IF(VLOOKUP(B47,'EQUIPO DE TRABAJO'!$B$19:$F$108,4,FALSE)="NO CUMPLE-1","NO HÁBIL","RECHAZO"))</f>
        <v>HÁBIL</v>
      </c>
      <c r="I47" s="65" t="str">
        <f>IF(VLOOKUP(C47,'EVAL. ECONOMICA'!$C$19:$F$108,3,FALSE)="CUMPLE","HÁBIL",IF(VLOOKUP(C47,'EVAL. ECONOMICA'!$C$19:$F$108,3,FALSE)="NO CUMPLE-1","NO HÁBIL","RECHAZO"))</f>
        <v>HÁBIL</v>
      </c>
      <c r="J47" s="194" t="str">
        <f ca="1">IF(ISNUMBER(D47),"",IF(VLOOKUP("S"&amp;C47,EXPERIENCIA!$A$20:$X$9193,15,0)="CUMPLE","HÁBIL","NO HÁBIL"))</f>
        <v>HÁBIL</v>
      </c>
      <c r="K47" s="194" t="str">
        <f ca="1">IF(ISNUMBER(D47),"",IF(VLOOKUP("T"&amp;C47,EXPERIENCIA!$A$20:$X$9193,11,0)="CUMPLE","HÁBIL","NO HÁBIL"))</f>
        <v>HÁBIL</v>
      </c>
      <c r="L47" s="194" t="str">
        <f t="shared" ca="1" si="1"/>
        <v>HÁBIL</v>
      </c>
    </row>
    <row r="48" spans="2:12" ht="13.5">
      <c r="B48" s="114">
        <f t="shared" si="0"/>
        <v>30</v>
      </c>
      <c r="C48" s="62">
        <f>IF(VLOOKUP(B48,PROPONENTES!$B$19:$E$109,2,0)="","",VLOOKUP(B48,PROPONENTES!$B$19:$E$109,2,0))</f>
        <v>30</v>
      </c>
      <c r="D48" s="63" t="str">
        <f>IF(VLOOKUP(B48,PROPONENTES!$B$19:$E$108,3,0)="","",VLOOKUP(B48,PROPONENTES!$B$19:$E$108,3,0))</f>
        <v>CONSORCIO INTER TOLIMA</v>
      </c>
      <c r="E48" s="65" t="s">
        <v>1139</v>
      </c>
      <c r="F48" s="65" t="s">
        <v>1139</v>
      </c>
      <c r="G48" s="65" t="s">
        <v>1139</v>
      </c>
      <c r="H48" s="65" t="str">
        <f>IF(VLOOKUP(B48,'EQUIPO DE TRABAJO'!$B$19:$F$108,4,FALSE)="CUMPLE","HÁBIL",IF(VLOOKUP(B48,'EQUIPO DE TRABAJO'!$B$19:$F$108,4,FALSE)="NO CUMPLE-1","NO HÁBIL","RECHAZO"))</f>
        <v>HÁBIL</v>
      </c>
      <c r="I48" s="65" t="str">
        <f>IF(VLOOKUP(C48,'EVAL. ECONOMICA'!$C$19:$F$108,3,FALSE)="CUMPLE","HÁBIL",IF(VLOOKUP(C48,'EVAL. ECONOMICA'!$C$19:$F$108,3,FALSE)="NO CUMPLE-1","NO HÁBIL","RECHAZO"))</f>
        <v>HÁBIL</v>
      </c>
      <c r="J48" s="194" t="str">
        <f ca="1">IF(ISNUMBER(D48),"",IF(VLOOKUP("S"&amp;C48,EXPERIENCIA!$A$20:$X$9193,15,0)="CUMPLE","HÁBIL","NO HÁBIL"))</f>
        <v>HÁBIL</v>
      </c>
      <c r="K48" s="194" t="str">
        <f ca="1">IF(ISNUMBER(D48),"",IF(VLOOKUP("T"&amp;C48,EXPERIENCIA!$A$20:$X$9193,11,0)="CUMPLE","HÁBIL","NO HÁBIL"))</f>
        <v>HÁBIL</v>
      </c>
      <c r="L48" s="194" t="str">
        <f t="shared" ca="1" si="1"/>
        <v>HÁBIL</v>
      </c>
    </row>
    <row r="49" spans="2:12" ht="13.5">
      <c r="B49" s="114">
        <f t="shared" si="0"/>
        <v>31</v>
      </c>
      <c r="C49" s="62">
        <f>IF(VLOOKUP(B49,PROPONENTES!$B$19:$E$109,2,0)="","",VLOOKUP(B49,PROPONENTES!$B$19:$E$109,2,0))</f>
        <v>31</v>
      </c>
      <c r="D49" s="63" t="str">
        <f>IF(VLOOKUP(B49,PROPONENTES!$B$19:$E$108,3,0)="","",VLOOKUP(B49,PROPONENTES!$B$19:$E$108,3,0))</f>
        <v>INGENIERIA MASTER S.A.S.</v>
      </c>
      <c r="E49" s="65" t="s">
        <v>1139</v>
      </c>
      <c r="F49" s="65" t="s">
        <v>1139</v>
      </c>
      <c r="G49" s="65" t="s">
        <v>1139</v>
      </c>
      <c r="H49" s="65" t="str">
        <f>IF(VLOOKUP(B49,'EQUIPO DE TRABAJO'!$B$19:$F$108,4,FALSE)="CUMPLE","HÁBIL",IF(VLOOKUP(B49,'EQUIPO DE TRABAJO'!$B$19:$F$108,4,FALSE)="NO CUMPLE-1","NO HÁBIL","RECHAZO"))</f>
        <v>HÁBIL</v>
      </c>
      <c r="I49" s="65" t="str">
        <f>IF(VLOOKUP(C49,'EVAL. ECONOMICA'!$C$19:$F$108,3,FALSE)="CUMPLE","HÁBIL",IF(VLOOKUP(C49,'EVAL. ECONOMICA'!$C$19:$F$108,3,FALSE)="NO CUMPLE-1","NO HÁBIL","RECHAZO"))</f>
        <v>HÁBIL</v>
      </c>
      <c r="J49" s="194" t="str">
        <f ca="1">IF(ISNUMBER(D49),"",IF(VLOOKUP("S"&amp;C49,EXPERIENCIA!$A$20:$X$9193,15,0)="CUMPLE","HÁBIL","NO HÁBIL"))</f>
        <v>HÁBIL</v>
      </c>
      <c r="K49" s="194" t="str">
        <f>IF(ISNUMBER(D49),"",IF(VLOOKUP("T"&amp;C49,EXPERIENCIA!$A$20:$X$9193,11,0)="CUMPLE","HÁBIL","NO HÁBIL"))</f>
        <v>HÁBIL</v>
      </c>
      <c r="L49" s="194" t="str">
        <f t="shared" ca="1" si="1"/>
        <v>HÁBIL</v>
      </c>
    </row>
    <row r="50" spans="2:12" ht="13.5">
      <c r="B50" s="114">
        <f t="shared" si="0"/>
        <v>32</v>
      </c>
      <c r="C50" s="62">
        <f>IF(VLOOKUP(B50,PROPONENTES!$B$19:$E$109,2,0)="","",VLOOKUP(B50,PROPONENTES!$B$19:$E$109,2,0))</f>
        <v>32</v>
      </c>
      <c r="D50" s="63" t="str">
        <f>IF(VLOOKUP(B50,PROPONENTES!$B$19:$E$108,3,0)="","",VLOOKUP(B50,PROPONENTES!$B$19:$E$108,3,0))</f>
        <v xml:space="preserve">GYG CONSTRUCCIONES S.A.S. </v>
      </c>
      <c r="E50" s="65" t="s">
        <v>1139</v>
      </c>
      <c r="F50" s="65" t="s">
        <v>1139</v>
      </c>
      <c r="G50" s="65" t="s">
        <v>1139</v>
      </c>
      <c r="H50" s="65" t="str">
        <f>IF(VLOOKUP(B50,'EQUIPO DE TRABAJO'!$B$19:$F$108,4,FALSE)="CUMPLE","HÁBIL",IF(VLOOKUP(B50,'EQUIPO DE TRABAJO'!$B$19:$F$108,4,FALSE)="NO CUMPLE-1","NO HÁBIL","RECHAZO"))</f>
        <v>HÁBIL</v>
      </c>
      <c r="I50" s="65" t="str">
        <f>IF(VLOOKUP(C50,'EVAL. ECONOMICA'!$C$19:$F$108,3,FALSE)="CUMPLE","HÁBIL",IF(VLOOKUP(C50,'EVAL. ECONOMICA'!$C$19:$F$108,3,FALSE)="NO CUMPLE-1","NO HÁBIL","RECHAZO"))</f>
        <v>HÁBIL</v>
      </c>
      <c r="J50" s="194" t="str">
        <f ca="1">IF(ISNUMBER(D50),"",IF(VLOOKUP("S"&amp;C50,EXPERIENCIA!$A$20:$X$9193,15,0)="CUMPLE","HÁBIL","NO HÁBIL"))</f>
        <v>HÁBIL</v>
      </c>
      <c r="K50" s="194" t="str">
        <f>IF(ISNUMBER(D50),"",IF(VLOOKUP("T"&amp;C50,EXPERIENCIA!$A$20:$X$9193,11,0)="CUMPLE","HÁBIL","NO HÁBIL"))</f>
        <v>HÁBIL</v>
      </c>
      <c r="L50" s="194" t="str">
        <f t="shared" ca="1" si="1"/>
        <v>HÁBIL</v>
      </c>
    </row>
    <row r="51" spans="2:12" ht="13.5">
      <c r="B51" s="114">
        <f t="shared" si="0"/>
        <v>33</v>
      </c>
      <c r="C51" s="62">
        <f>IF(VLOOKUP(B51,PROPONENTES!$B$19:$E$109,2,0)="","",VLOOKUP(B51,PROPONENTES!$B$19:$E$109,2,0))</f>
        <v>33</v>
      </c>
      <c r="D51" s="63" t="str">
        <f>IF(VLOOKUP(B51,PROPONENTES!$B$19:$E$108,3,0)="","",VLOOKUP(B51,PROPONENTES!$B$19:$E$108,3,0))</f>
        <v>CONSORCIO TOLIMA RURAL</v>
      </c>
      <c r="E51" s="65" t="s">
        <v>1139</v>
      </c>
      <c r="F51" s="65" t="s">
        <v>1139</v>
      </c>
      <c r="G51" s="65" t="s">
        <v>1139</v>
      </c>
      <c r="H51" s="65" t="str">
        <f>IF(VLOOKUP(B51,'EQUIPO DE TRABAJO'!$B$19:$F$108,4,FALSE)="CUMPLE","HÁBIL",IF(VLOOKUP(B51,'EQUIPO DE TRABAJO'!$B$19:$F$108,4,FALSE)="NO CUMPLE-1","NO HÁBIL","RECHAZO"))</f>
        <v>HÁBIL</v>
      </c>
      <c r="I51" s="65" t="str">
        <f>IF(VLOOKUP(C51,'EVAL. ECONOMICA'!$C$19:$F$108,3,FALSE)="CUMPLE","HÁBIL",IF(VLOOKUP(C51,'EVAL. ECONOMICA'!$C$19:$F$108,3,FALSE)="NO CUMPLE-1","NO HÁBIL","RECHAZO"))</f>
        <v>HÁBIL</v>
      </c>
      <c r="J51" s="194" t="str">
        <f ca="1">IF(ISNUMBER(D51),"",IF(VLOOKUP("S"&amp;C51,EXPERIENCIA!$A$20:$X$9193,15,0)="CUMPLE","HÁBIL","NO HÁBIL"))</f>
        <v>HÁBIL</v>
      </c>
      <c r="K51" s="194" t="str">
        <f ca="1">IF(ISNUMBER(D51),"",IF(VLOOKUP("T"&amp;C51,EXPERIENCIA!$A$20:$X$9193,11,0)="CUMPLE","HÁBIL","NO HÁBIL"))</f>
        <v>HÁBIL</v>
      </c>
      <c r="L51" s="194" t="str">
        <f t="shared" ca="1" si="1"/>
        <v>HÁBIL</v>
      </c>
    </row>
    <row r="52" spans="2:12" ht="13.5">
      <c r="B52" s="114">
        <f t="shared" si="0"/>
        <v>34</v>
      </c>
      <c r="C52" s="62">
        <f>IF(VLOOKUP(B52,PROPONENTES!$B$19:$E$109,2,0)="","",VLOOKUP(B52,PROPONENTES!$B$19:$E$109,2,0))</f>
        <v>34</v>
      </c>
      <c r="D52" s="63" t="str">
        <f>IF(VLOOKUP(B52,PROPONENTES!$B$19:$E$108,3,0)="","",VLOOKUP(B52,PROPONENTES!$B$19:$E$108,3,0))</f>
        <v>CONSORCIO OPHAIH 2022</v>
      </c>
      <c r="E52" s="65" t="s">
        <v>1139</v>
      </c>
      <c r="F52" s="65" t="s">
        <v>1139</v>
      </c>
      <c r="G52" s="65" t="s">
        <v>1139</v>
      </c>
      <c r="H52" s="65" t="str">
        <f>IF(VLOOKUP(B52,'EQUIPO DE TRABAJO'!$B$19:$F$108,4,FALSE)="CUMPLE","HÁBIL",IF(VLOOKUP(B52,'EQUIPO DE TRABAJO'!$B$19:$F$108,4,FALSE)="NO CUMPLE-1","NO HÁBIL","RECHAZO"))</f>
        <v>HÁBIL</v>
      </c>
      <c r="I52" s="65" t="str">
        <f>IF(VLOOKUP(C52,'EVAL. ECONOMICA'!$C$19:$F$108,3,FALSE)="CUMPLE","HÁBIL",IF(VLOOKUP(C52,'EVAL. ECONOMICA'!$C$19:$F$108,3,FALSE)="NO CUMPLE-1","NO HÁBIL","RECHAZO"))</f>
        <v>HÁBIL</v>
      </c>
      <c r="J52" s="194" t="str">
        <f ca="1">IF(ISNUMBER(D52),"",IF(VLOOKUP("S"&amp;C52,EXPERIENCIA!$A$20:$X$9193,15,0)="CUMPLE","HÁBIL","NO HÁBIL"))</f>
        <v>HÁBIL</v>
      </c>
      <c r="K52" s="194" t="str">
        <f ca="1">IF(ISNUMBER(D52),"",IF(VLOOKUP("T"&amp;C52,EXPERIENCIA!$A$20:$X$9193,11,0)="CUMPLE","HÁBIL","NO HÁBIL"))</f>
        <v>HÁBIL</v>
      </c>
      <c r="L52" s="194" t="str">
        <f t="shared" ca="1" si="1"/>
        <v>HÁBIL</v>
      </c>
    </row>
    <row r="53" spans="2:12" ht="13.5">
      <c r="B53" s="114">
        <f t="shared" si="0"/>
        <v>35</v>
      </c>
      <c r="C53" s="62">
        <f>IF(VLOOKUP(B53,PROPONENTES!$B$19:$E$109,2,0)="","",VLOOKUP(B53,PROPONENTES!$B$19:$E$109,2,0))</f>
        <v>35</v>
      </c>
      <c r="D53" s="63" t="str">
        <f>IF(VLOOKUP(B53,PROPONENTES!$B$19:$E$108,3,0)="","",VLOOKUP(B53,PROPONENTES!$B$19:$E$108,3,0))</f>
        <v xml:space="preserve">ING INGENIERIA SAS </v>
      </c>
      <c r="E53" s="65" t="s">
        <v>1139</v>
      </c>
      <c r="F53" s="65" t="s">
        <v>1139</v>
      </c>
      <c r="G53" s="65" t="s">
        <v>1139</v>
      </c>
      <c r="H53" s="65" t="str">
        <f>IF(VLOOKUP(B53,'EQUIPO DE TRABAJO'!$B$19:$F$108,4,FALSE)="CUMPLE","HÁBIL",IF(VLOOKUP(B53,'EQUIPO DE TRABAJO'!$B$19:$F$108,4,FALSE)="NO CUMPLE-1","NO HÁBIL","RECHAZO"))</f>
        <v>HÁBIL</v>
      </c>
      <c r="I53" s="65" t="str">
        <f>IF(VLOOKUP(C53,'EVAL. ECONOMICA'!$C$19:$F$108,3,FALSE)="CUMPLE","HÁBIL",IF(VLOOKUP(C53,'EVAL. ECONOMICA'!$C$19:$F$108,3,FALSE)="NO CUMPLE-1","NO HÁBIL","RECHAZO"))</f>
        <v>HÁBIL</v>
      </c>
      <c r="J53" s="194" t="str">
        <f ca="1">IF(ISNUMBER(D53),"",IF(VLOOKUP("S"&amp;C53,EXPERIENCIA!$A$20:$X$9193,15,0)="CUMPLE","HÁBIL","NO HÁBIL"))</f>
        <v>HÁBIL</v>
      </c>
      <c r="K53" s="194" t="str">
        <f>IF(ISNUMBER(D53),"",IF(VLOOKUP("T"&amp;C53,EXPERIENCIA!$A$20:$X$9193,11,0)="CUMPLE","HÁBIL","NO HÁBIL"))</f>
        <v>HÁBIL</v>
      </c>
      <c r="L53" s="194" t="str">
        <f t="shared" ca="1" si="1"/>
        <v>HÁBIL</v>
      </c>
    </row>
    <row r="54" spans="2:12" ht="13.5">
      <c r="B54" s="114">
        <f t="shared" si="0"/>
        <v>36</v>
      </c>
      <c r="C54" s="62">
        <f>IF(VLOOKUP(B54,PROPONENTES!$B$19:$E$109,2,0)="","",VLOOKUP(B54,PROPONENTES!$B$19:$E$109,2,0))</f>
        <v>36</v>
      </c>
      <c r="D54" s="63" t="str">
        <f>IF(VLOOKUP(B54,PROPONENTES!$B$19:$E$108,3,0)="","",VLOOKUP(B54,PROPONENTES!$B$19:$E$108,3,0))</f>
        <v>EJE GROUP S.A.S</v>
      </c>
      <c r="E54" s="65" t="s">
        <v>1139</v>
      </c>
      <c r="F54" s="65" t="s">
        <v>1139</v>
      </c>
      <c r="G54" s="65" t="s">
        <v>1139</v>
      </c>
      <c r="H54" s="65" t="str">
        <f>IF(VLOOKUP(B54,'EQUIPO DE TRABAJO'!$B$19:$F$108,4,FALSE)="CUMPLE","HÁBIL",IF(VLOOKUP(B54,'EQUIPO DE TRABAJO'!$B$19:$F$108,4,FALSE)="NO CUMPLE-1","NO HÁBIL","RECHAZO"))</f>
        <v>HÁBIL</v>
      </c>
      <c r="I54" s="65" t="str">
        <f>IF(VLOOKUP(C54,'EVAL. ECONOMICA'!$C$19:$F$108,3,FALSE)="CUMPLE","HÁBIL",IF(VLOOKUP(C54,'EVAL. ECONOMICA'!$C$19:$F$108,3,FALSE)="NO CUMPLE-1","NO HÁBIL","RECHAZO"))</f>
        <v>HÁBIL</v>
      </c>
      <c r="J54" s="194" t="str">
        <f ca="1">IF(ISNUMBER(D54),"",IF(VLOOKUP("S"&amp;C54,EXPERIENCIA!$A$20:$X$9193,15,0)="CUMPLE","HÁBIL","NO HÁBIL"))</f>
        <v>HÁBIL</v>
      </c>
      <c r="K54" s="194" t="str">
        <f>IF(ISNUMBER(D54),"",IF(VLOOKUP("T"&amp;C54,EXPERIENCIA!$A$20:$X$9193,11,0)="CUMPLE","HÁBIL","NO HÁBIL"))</f>
        <v>HÁBIL</v>
      </c>
      <c r="L54" s="194" t="str">
        <f t="shared" ca="1" si="1"/>
        <v>HÁBIL</v>
      </c>
    </row>
    <row r="55" spans="2:12" ht="24">
      <c r="B55" s="114">
        <f t="shared" si="0"/>
        <v>37</v>
      </c>
      <c r="C55" s="62">
        <f>IF(VLOOKUP(B55,PROPONENTES!$B$19:$E$109,2,0)="","",VLOOKUP(B55,PROPONENTES!$B$19:$E$109,2,0))</f>
        <v>37</v>
      </c>
      <c r="D55" s="63" t="str">
        <f>IF(VLOOKUP(B55,PROPONENTES!$B$19:$E$108,3,0)="","",VLOOKUP(B55,PROPONENTES!$B$19:$E$108,3,0))</f>
        <v>JORES INGENIERIA LTDA. JORES LTDA</v>
      </c>
      <c r="E55" s="65" t="s">
        <v>1139</v>
      </c>
      <c r="F55" s="65" t="s">
        <v>1139</v>
      </c>
      <c r="G55" s="65" t="s">
        <v>1139</v>
      </c>
      <c r="H55" s="65" t="str">
        <f>IF(VLOOKUP(B55,'EQUIPO DE TRABAJO'!$B$19:$F$108,4,FALSE)="CUMPLE","HÁBIL",IF(VLOOKUP(B55,'EQUIPO DE TRABAJO'!$B$19:$F$108,4,FALSE)="NO CUMPLE-1","NO HÁBIL","RECHAZO"))</f>
        <v>HÁBIL</v>
      </c>
      <c r="I55" s="65" t="str">
        <f>IF(VLOOKUP(C55,'EVAL. ECONOMICA'!$C$19:$F$108,3,FALSE)="CUMPLE","HÁBIL",IF(VLOOKUP(C55,'EVAL. ECONOMICA'!$C$19:$F$108,3,FALSE)="NO CUMPLE-1","NO HÁBIL","RECHAZO"))</f>
        <v>HÁBIL</v>
      </c>
      <c r="J55" s="194" t="str">
        <f ca="1">IF(ISNUMBER(D55),"",IF(VLOOKUP("S"&amp;C55,EXPERIENCIA!$A$20:$X$9193,15,0)="CUMPLE","HÁBIL","NO HÁBIL"))</f>
        <v>HÁBIL</v>
      </c>
      <c r="K55" s="194" t="str">
        <f>IF(ISNUMBER(D55),"",IF(VLOOKUP("T"&amp;C55,EXPERIENCIA!$A$20:$X$9193,11,0)="CUMPLE","HÁBIL","NO HÁBIL"))</f>
        <v>HÁBIL</v>
      </c>
      <c r="L55" s="194" t="str">
        <f t="shared" ca="1" si="1"/>
        <v>HÁBIL</v>
      </c>
    </row>
    <row r="56" spans="2:12" ht="13.5">
      <c r="B56" s="114">
        <f t="shared" si="0"/>
        <v>38</v>
      </c>
      <c r="C56" s="62">
        <f>IF(VLOOKUP(B56,PROPONENTES!$B$19:$E$109,2,0)="","",VLOOKUP(B56,PROPONENTES!$B$19:$E$109,2,0))</f>
        <v>38</v>
      </c>
      <c r="D56" s="63" t="str">
        <f>IF(VLOOKUP(B56,PROPONENTES!$B$19:$E$108,3,0)="","",VLOOKUP(B56,PROPONENTES!$B$19:$E$108,3,0))</f>
        <v>CONSORCIO INTERTOLIMA CR</v>
      </c>
      <c r="E56" s="65" t="s">
        <v>1139</v>
      </c>
      <c r="F56" s="65" t="s">
        <v>1139</v>
      </c>
      <c r="G56" s="65" t="s">
        <v>1139</v>
      </c>
      <c r="H56" s="65" t="str">
        <f>IF(VLOOKUP(B56,'EQUIPO DE TRABAJO'!$B$19:$F$108,4,FALSE)="CUMPLE","HÁBIL",IF(VLOOKUP(B56,'EQUIPO DE TRABAJO'!$B$19:$F$108,4,FALSE)="NO CUMPLE-1","NO HÁBIL","RECHAZO"))</f>
        <v>HÁBIL</v>
      </c>
      <c r="I56" s="65" t="str">
        <f>IF(VLOOKUP(C56,'EVAL. ECONOMICA'!$C$19:$F$108,3,FALSE)="CUMPLE","HÁBIL",IF(VLOOKUP(C56,'EVAL. ECONOMICA'!$C$19:$F$108,3,FALSE)="NO CUMPLE-1","NO HÁBIL","RECHAZO"))</f>
        <v>HÁBIL</v>
      </c>
      <c r="J56" s="194" t="str">
        <f ca="1">IF(ISNUMBER(D56),"",IF(VLOOKUP("S"&amp;C56,EXPERIENCIA!$A$20:$X$9193,15,0)="CUMPLE","HÁBIL","NO HÁBIL"))</f>
        <v>HÁBIL</v>
      </c>
      <c r="K56" s="194" t="str">
        <f ca="1">IF(ISNUMBER(D56),"",IF(VLOOKUP("T"&amp;C56,EXPERIENCIA!$A$20:$X$9193,11,0)="CUMPLE","HÁBIL","NO HÁBIL"))</f>
        <v>HÁBIL</v>
      </c>
      <c r="L56" s="194" t="str">
        <f t="shared" ca="1" si="1"/>
        <v>HÁBIL</v>
      </c>
    </row>
    <row r="57" spans="2:12" ht="13.5">
      <c r="B57" s="114">
        <f t="shared" si="0"/>
        <v>39</v>
      </c>
      <c r="C57" s="62">
        <f>IF(VLOOKUP(B57,PROPONENTES!$B$19:$E$109,2,0)="","",VLOOKUP(B57,PROPONENTES!$B$19:$E$109,2,0))</f>
        <v>39</v>
      </c>
      <c r="D57" s="63" t="str">
        <f>IF(VLOOKUP(B57,PROPONENTES!$B$19:$E$108,3,0)="","",VLOOKUP(B57,PROPONENTES!$B$19:$E$108,3,0))</f>
        <v>CONSORCIO TOLIMA G2</v>
      </c>
      <c r="E57" s="65" t="s">
        <v>1139</v>
      </c>
      <c r="F57" s="65" t="s">
        <v>1139</v>
      </c>
      <c r="G57" s="65" t="s">
        <v>1139</v>
      </c>
      <c r="H57" s="65" t="str">
        <f>IF(VLOOKUP(B57,'EQUIPO DE TRABAJO'!$B$19:$F$108,4,FALSE)="CUMPLE","HÁBIL",IF(VLOOKUP(B57,'EQUIPO DE TRABAJO'!$B$19:$F$108,4,FALSE)="NO CUMPLE-1","NO HÁBIL","RECHAZO"))</f>
        <v>HÁBIL</v>
      </c>
      <c r="I57" s="65" t="str">
        <f>IF(VLOOKUP(C57,'EVAL. ECONOMICA'!$C$19:$F$108,3,FALSE)="CUMPLE","HÁBIL",IF(VLOOKUP(C57,'EVAL. ECONOMICA'!$C$19:$F$108,3,FALSE)="NO CUMPLE-1","NO HÁBIL","RECHAZO"))</f>
        <v>HÁBIL</v>
      </c>
      <c r="J57" s="194" t="str">
        <f ca="1">IF(ISNUMBER(D57),"",IF(VLOOKUP("S"&amp;C57,EXPERIENCIA!$A$20:$X$9193,15,0)="CUMPLE","HÁBIL","NO HÁBIL"))</f>
        <v>HÁBIL</v>
      </c>
      <c r="K57" s="194" t="str">
        <f ca="1">IF(ISNUMBER(D57),"",IF(VLOOKUP("T"&amp;C57,EXPERIENCIA!$A$20:$X$9193,11,0)="CUMPLE","HÁBIL","NO HÁBIL"))</f>
        <v>HÁBIL</v>
      </c>
      <c r="L57" s="194" t="str">
        <f t="shared" ca="1" si="1"/>
        <v>HÁBIL</v>
      </c>
    </row>
    <row r="58" spans="2:12" ht="13.5">
      <c r="B58" s="114">
        <f t="shared" si="0"/>
        <v>40</v>
      </c>
      <c r="C58" s="62">
        <f>IF(VLOOKUP(B58,PROPONENTES!$B$19:$E$109,2,0)="","",VLOOKUP(B58,PROPONENTES!$B$19:$E$109,2,0))</f>
        <v>40</v>
      </c>
      <c r="D58" s="63" t="str">
        <f>IF(VLOOKUP(B58,PROPONENTES!$B$19:$E$108,3,0)="","",VLOOKUP(B58,PROPONENTES!$B$19:$E$108,3,0))</f>
        <v>CONSORCIO INVIAS 001</v>
      </c>
      <c r="E58" s="65" t="s">
        <v>1139</v>
      </c>
      <c r="F58" s="65" t="s">
        <v>1139</v>
      </c>
      <c r="G58" s="65" t="s">
        <v>1139</v>
      </c>
      <c r="H58" s="65" t="str">
        <f>IF(VLOOKUP(B58,'EQUIPO DE TRABAJO'!$B$19:$F$108,4,FALSE)="CUMPLE","HÁBIL",IF(VLOOKUP(B58,'EQUIPO DE TRABAJO'!$B$19:$F$108,4,FALSE)="NO CUMPLE-1","NO HÁBIL","RECHAZO"))</f>
        <v>HÁBIL</v>
      </c>
      <c r="I58" s="65" t="str">
        <f>IF(VLOOKUP(C58,'EVAL. ECONOMICA'!$C$19:$F$108,3,FALSE)="CUMPLE","HÁBIL",IF(VLOOKUP(C58,'EVAL. ECONOMICA'!$C$19:$F$108,3,FALSE)="NO CUMPLE-1","NO HÁBIL","RECHAZO"))</f>
        <v>HÁBIL</v>
      </c>
      <c r="J58" s="194" t="str">
        <f ca="1">IF(ISNUMBER(D58),"",IF(VLOOKUP("S"&amp;C58,EXPERIENCIA!$A$20:$X$9193,15,0)="CUMPLE","HÁBIL","NO HÁBIL"))</f>
        <v>HÁBIL</v>
      </c>
      <c r="K58" s="194" t="str">
        <f ca="1">IF(ISNUMBER(D58),"",IF(VLOOKUP("T"&amp;C58,EXPERIENCIA!$A$20:$X$9193,11,0)="CUMPLE","HÁBIL","NO HÁBIL"))</f>
        <v>HÁBIL</v>
      </c>
      <c r="L58" s="194" t="str">
        <f t="shared" ca="1" si="1"/>
        <v>HÁBIL</v>
      </c>
    </row>
    <row r="59" spans="2:12" ht="13.5">
      <c r="B59" s="114">
        <f t="shared" si="0"/>
        <v>41</v>
      </c>
      <c r="C59" s="62">
        <f>IF(VLOOKUP(B59,PROPONENTES!$B$19:$E$109,2,0)="","",VLOOKUP(B59,PROPONENTES!$B$19:$E$109,2,0))</f>
        <v>41</v>
      </c>
      <c r="D59" s="63" t="str">
        <f>IF(VLOOKUP(B59,PROPONENTES!$B$19:$E$108,3,0)="","",VLOOKUP(B59,PROPONENTES!$B$19:$E$108,3,0))</f>
        <v>CONSORCIO SF</v>
      </c>
      <c r="E59" s="65" t="s">
        <v>1139</v>
      </c>
      <c r="F59" s="65" t="s">
        <v>1139</v>
      </c>
      <c r="G59" s="65" t="s">
        <v>1139</v>
      </c>
      <c r="H59" s="65" t="str">
        <f>IF(VLOOKUP(B59,'EQUIPO DE TRABAJO'!$B$19:$F$108,4,FALSE)="CUMPLE","HÁBIL",IF(VLOOKUP(B59,'EQUIPO DE TRABAJO'!$B$19:$F$108,4,FALSE)="NO CUMPLE-1","NO HÁBIL","RECHAZO"))</f>
        <v>HÁBIL</v>
      </c>
      <c r="I59" s="65" t="str">
        <f>IF(VLOOKUP(C59,'EVAL. ECONOMICA'!$C$19:$F$108,3,FALSE)="CUMPLE","HÁBIL",IF(VLOOKUP(C59,'EVAL. ECONOMICA'!$C$19:$F$108,3,FALSE)="NO CUMPLE-1","NO HÁBIL","RECHAZO"))</f>
        <v>HÁBIL</v>
      </c>
      <c r="J59" s="194" t="str">
        <f ca="1">IF(ISNUMBER(D59),"",IF(VLOOKUP("S"&amp;C59,EXPERIENCIA!$A$20:$X$9193,15,0)="CUMPLE","HÁBIL","NO HÁBIL"))</f>
        <v>HÁBIL</v>
      </c>
      <c r="K59" s="194" t="str">
        <f ca="1">IF(ISNUMBER(D59),"",IF(VLOOKUP("T"&amp;C59,EXPERIENCIA!$A$20:$X$9193,11,0)="CUMPLE","HÁBIL","NO HÁBIL"))</f>
        <v>HÁBIL</v>
      </c>
      <c r="L59" s="194" t="str">
        <f t="shared" ca="1" si="1"/>
        <v>HÁBIL</v>
      </c>
    </row>
    <row r="60" spans="2:12" ht="13.5">
      <c r="B60" s="114">
        <f t="shared" si="0"/>
        <v>42</v>
      </c>
      <c r="C60" s="62">
        <f>IF(VLOOKUP(B60,PROPONENTES!$B$19:$E$109,2,0)="","",VLOOKUP(B60,PROPONENTES!$B$19:$E$109,2,0))</f>
        <v>42</v>
      </c>
      <c r="D60" s="63" t="str">
        <f>IF(VLOOKUP(B60,PROPONENTES!$B$19:$E$108,3,0)="","",VLOOKUP(B60,PROPONENTES!$B$19:$E$108,3,0))</f>
        <v>CONSORCIO VIAL ORIEMH”</v>
      </c>
      <c r="E60" s="65" t="s">
        <v>1139</v>
      </c>
      <c r="F60" s="65" t="s">
        <v>1139</v>
      </c>
      <c r="G60" s="65" t="s">
        <v>1139</v>
      </c>
      <c r="H60" s="65" t="str">
        <f>IF(VLOOKUP(B60,'EQUIPO DE TRABAJO'!$B$19:$F$108,4,FALSE)="CUMPLE","HÁBIL",IF(VLOOKUP(B60,'EQUIPO DE TRABAJO'!$B$19:$F$108,4,FALSE)="NO CUMPLE-1","NO HÁBIL","RECHAZO"))</f>
        <v>HÁBIL</v>
      </c>
      <c r="I60" s="65" t="str">
        <f>IF(VLOOKUP(C60,'EVAL. ECONOMICA'!$C$19:$F$108,3,FALSE)="CUMPLE","HÁBIL",IF(VLOOKUP(C60,'EVAL. ECONOMICA'!$C$19:$F$108,3,FALSE)="NO CUMPLE-1","NO HÁBIL","RECHAZO"))</f>
        <v>HÁBIL</v>
      </c>
      <c r="J60" s="194" t="str">
        <f ca="1">IF(ISNUMBER(D60),"",IF(VLOOKUP("S"&amp;C60,EXPERIENCIA!$A$20:$X$9193,15,0)="CUMPLE","HÁBIL","NO HÁBIL"))</f>
        <v>HÁBIL</v>
      </c>
      <c r="K60" s="194" t="str">
        <f ca="1">IF(ISNUMBER(D60),"",IF(VLOOKUP("T"&amp;C60,EXPERIENCIA!$A$20:$X$9193,11,0)="CUMPLE","HÁBIL","NO HÁBIL"))</f>
        <v>HÁBIL</v>
      </c>
      <c r="L60" s="194" t="str">
        <f t="shared" ca="1" si="1"/>
        <v>HÁBIL</v>
      </c>
    </row>
    <row r="61" spans="2:12" ht="13.5">
      <c r="B61" s="114">
        <f t="shared" si="0"/>
        <v>43</v>
      </c>
      <c r="C61" s="62">
        <f>IF(VLOOKUP(B61,PROPONENTES!$B$19:$E$109,2,0)="","",VLOOKUP(B61,PROPONENTES!$B$19:$E$109,2,0))</f>
        <v>43</v>
      </c>
      <c r="D61" s="63" t="str">
        <f>IF(VLOOKUP(B61,PROPONENTES!$B$19:$E$108,3,0)="","",VLOOKUP(B61,PROPONENTES!$B$19:$E$108,3,0))</f>
        <v>CONSORCIO INTERFEDCO TOLIMA</v>
      </c>
      <c r="E61" s="65" t="s">
        <v>1139</v>
      </c>
      <c r="F61" s="65" t="s">
        <v>1139</v>
      </c>
      <c r="G61" s="65" t="s">
        <v>1139</v>
      </c>
      <c r="H61" s="65" t="str">
        <f>IF(VLOOKUP(B61,'EQUIPO DE TRABAJO'!$B$19:$F$108,4,FALSE)="CUMPLE","HÁBIL",IF(VLOOKUP(B61,'EQUIPO DE TRABAJO'!$B$19:$F$108,4,FALSE)="NO CUMPLE-1","NO HÁBIL","RECHAZO"))</f>
        <v>HÁBIL</v>
      </c>
      <c r="I61" s="65" t="str">
        <f>IF(VLOOKUP(C61,'EVAL. ECONOMICA'!$C$19:$F$108,3,FALSE)="CUMPLE","HÁBIL",IF(VLOOKUP(C61,'EVAL. ECONOMICA'!$C$19:$F$108,3,FALSE)="NO CUMPLE-1","NO HÁBIL","RECHAZO"))</f>
        <v>HÁBIL</v>
      </c>
      <c r="J61" s="194" t="str">
        <f ca="1">IF(ISNUMBER(D61),"",IF(VLOOKUP("S"&amp;C61,EXPERIENCIA!$A$20:$X$9193,15,0)="CUMPLE","HÁBIL","NO HÁBIL"))</f>
        <v>HÁBIL</v>
      </c>
      <c r="K61" s="194" t="str">
        <f ca="1">IF(ISNUMBER(D61),"",IF(VLOOKUP("T"&amp;C61,EXPERIENCIA!$A$20:$X$9193,11,0)="CUMPLE","HÁBIL","NO HÁBIL"))</f>
        <v>HÁBIL</v>
      </c>
      <c r="L61" s="194" t="str">
        <f t="shared" ca="1" si="1"/>
        <v>HÁBIL</v>
      </c>
    </row>
    <row r="62" spans="2:12" ht="13.5">
      <c r="B62" s="114">
        <f t="shared" si="0"/>
        <v>44</v>
      </c>
      <c r="C62" s="62">
        <f>IF(VLOOKUP(B62,PROPONENTES!$B$19:$E$109,2,0)="","",VLOOKUP(B62,PROPONENTES!$B$19:$E$109,2,0))</f>
        <v>44</v>
      </c>
      <c r="D62" s="63" t="str">
        <f>IF(VLOOKUP(B62,PROPONENTES!$B$19:$E$108,3,0)="","",VLOOKUP(B62,PROPONENTES!$B$19:$E$108,3,0))</f>
        <v>CONSORCIO VIAS RURALES TOL</v>
      </c>
      <c r="E62" s="65" t="s">
        <v>1139</v>
      </c>
      <c r="F62" s="65" t="s">
        <v>1139</v>
      </c>
      <c r="G62" s="65" t="s">
        <v>1139</v>
      </c>
      <c r="H62" s="65" t="str">
        <f>IF(VLOOKUP(B62,'EQUIPO DE TRABAJO'!$B$19:$F$108,4,FALSE)="CUMPLE","HÁBIL",IF(VLOOKUP(B62,'EQUIPO DE TRABAJO'!$B$19:$F$108,4,FALSE)="NO CUMPLE-1","NO HÁBIL","RECHAZO"))</f>
        <v>HÁBIL</v>
      </c>
      <c r="I62" s="65" t="str">
        <f>IF(VLOOKUP(C62,'EVAL. ECONOMICA'!$C$19:$F$108,3,FALSE)="CUMPLE","HÁBIL",IF(VLOOKUP(C62,'EVAL. ECONOMICA'!$C$19:$F$108,3,FALSE)="NO CUMPLE-1","NO HÁBIL","RECHAZO"))</f>
        <v>HÁBIL</v>
      </c>
      <c r="J62" s="194" t="str">
        <f ca="1">IF(ISNUMBER(D62),"",IF(VLOOKUP("S"&amp;C62,EXPERIENCIA!$A$20:$X$9193,15,0)="CUMPLE","HÁBIL","NO HÁBIL"))</f>
        <v>HÁBIL</v>
      </c>
      <c r="K62" s="194" t="str">
        <f ca="1">IF(ISNUMBER(D62),"",IF(VLOOKUP("T"&amp;C62,EXPERIENCIA!$A$20:$X$9193,11,0)="CUMPLE","HÁBIL","NO HÁBIL"))</f>
        <v>HÁBIL</v>
      </c>
      <c r="L62" s="194" t="str">
        <f t="shared" ca="1" si="1"/>
        <v>HÁBIL</v>
      </c>
    </row>
    <row r="63" spans="2:12" ht="36">
      <c r="B63" s="114">
        <f t="shared" si="0"/>
        <v>45</v>
      </c>
      <c r="C63" s="62">
        <f>IF(VLOOKUP(B63,PROPONENTES!$B$19:$E$109,2,0)="","",VLOOKUP(B63,PROPONENTES!$B$19:$E$109,2,0))</f>
        <v>45</v>
      </c>
      <c r="D63" s="63" t="str">
        <f>IF(VLOOKUP(B63,PROPONENTES!$B$19:$E$108,3,0)="","",VLOOKUP(B63,PROPONENTES!$B$19:$E$108,3,0))</f>
        <v>TECNOLOGÍA DE NUEVAS MEDICIONES COLOMBIA S.A.S. – TECNUMEC S.A.S.</v>
      </c>
      <c r="E63" s="65" t="s">
        <v>1139</v>
      </c>
      <c r="F63" s="65" t="s">
        <v>1139</v>
      </c>
      <c r="G63" s="65" t="s">
        <v>1139</v>
      </c>
      <c r="H63" s="65" t="str">
        <f>IF(VLOOKUP(B63,'EQUIPO DE TRABAJO'!$B$19:$F$108,4,FALSE)="CUMPLE","HÁBIL",IF(VLOOKUP(B63,'EQUIPO DE TRABAJO'!$B$19:$F$108,4,FALSE)="NO CUMPLE-1","NO HÁBIL","RECHAZO"))</f>
        <v>HÁBIL</v>
      </c>
      <c r="I63" s="65" t="str">
        <f>IF(VLOOKUP(C63,'EVAL. ECONOMICA'!$C$19:$F$108,3,FALSE)="CUMPLE","HÁBIL",IF(VLOOKUP(C63,'EVAL. ECONOMICA'!$C$19:$F$108,3,FALSE)="NO CUMPLE-1","NO HÁBIL","RECHAZO"))</f>
        <v>HÁBIL</v>
      </c>
      <c r="J63" s="194" t="str">
        <f ca="1">IF(ISNUMBER(D63),"",IF(VLOOKUP("S"&amp;C63,EXPERIENCIA!$A$20:$X$9193,15,0)="CUMPLE","HÁBIL","NO HÁBIL"))</f>
        <v>HÁBIL</v>
      </c>
      <c r="K63" s="194" t="str">
        <f>IF(ISNUMBER(D63),"",IF(VLOOKUP("T"&amp;C63,EXPERIENCIA!$A$20:$X$9193,11,0)="CUMPLE","HÁBIL","NO HÁBIL"))</f>
        <v>HÁBIL</v>
      </c>
      <c r="L63" s="194" t="str">
        <f t="shared" ca="1" si="1"/>
        <v>HÁBIL</v>
      </c>
    </row>
    <row r="64" spans="2:12" ht="13.5">
      <c r="B64" s="114">
        <f t="shared" si="0"/>
        <v>46</v>
      </c>
      <c r="C64" s="62">
        <f>IF(VLOOKUP(B64,PROPONENTES!$B$19:$E$109,2,0)="","",VLOOKUP(B64,PROPONENTES!$B$19:$E$109,2,0))</f>
        <v>46</v>
      </c>
      <c r="D64" s="63" t="str">
        <f>IF(VLOOKUP(B64,PROPONENTES!$B$19:$E$108,3,0)="","",VLOOKUP(B64,PROPONENTES!$B$19:$E$108,3,0))</f>
        <v>CONSULTORES SOLANO NAVAS LTDA</v>
      </c>
      <c r="E64" s="65" t="s">
        <v>1139</v>
      </c>
      <c r="F64" s="65" t="s">
        <v>1139</v>
      </c>
      <c r="G64" s="65" t="s">
        <v>1139</v>
      </c>
      <c r="H64" s="65" t="str">
        <f>IF(VLOOKUP(B64,'EQUIPO DE TRABAJO'!$B$19:$F$108,4,FALSE)="CUMPLE","HÁBIL",IF(VLOOKUP(B64,'EQUIPO DE TRABAJO'!$B$19:$F$108,4,FALSE)="NO CUMPLE-1","NO HÁBIL","RECHAZO"))</f>
        <v>HÁBIL</v>
      </c>
      <c r="I64" s="65" t="str">
        <f>IF(VLOOKUP(C64,'EVAL. ECONOMICA'!$C$19:$F$108,3,FALSE)="CUMPLE","HÁBIL",IF(VLOOKUP(C64,'EVAL. ECONOMICA'!$C$19:$F$108,3,FALSE)="NO CUMPLE-1","NO HÁBIL","RECHAZO"))</f>
        <v>HÁBIL</v>
      </c>
      <c r="J64" s="194" t="str">
        <f ca="1">IF(ISNUMBER(D64),"",IF(VLOOKUP("S"&amp;C64,EXPERIENCIA!$A$20:$X$9193,15,0)="CUMPLE","HÁBIL","NO HÁBIL"))</f>
        <v>HÁBIL</v>
      </c>
      <c r="K64" s="194" t="str">
        <f>IF(ISNUMBER(D64),"",IF(VLOOKUP("T"&amp;C64,EXPERIENCIA!$A$20:$X$9193,11,0)="CUMPLE","HÁBIL","NO HÁBIL"))</f>
        <v>HÁBIL</v>
      </c>
      <c r="L64" s="194" t="str">
        <f t="shared" ca="1" si="1"/>
        <v>HÁBIL</v>
      </c>
    </row>
    <row r="65" spans="2:12" ht="13.5">
      <c r="B65" s="114">
        <f t="shared" si="0"/>
        <v>47</v>
      </c>
      <c r="C65" s="62">
        <f>IF(VLOOKUP(B65,PROPONENTES!$B$19:$E$109,2,0)="","",VLOOKUP(B65,PROPONENTES!$B$19:$E$109,2,0))</f>
        <v>47</v>
      </c>
      <c r="D65" s="63" t="str">
        <f>IF(VLOOKUP(B65,PROPONENTES!$B$19:$E$108,3,0)="","",VLOOKUP(B65,PROPONENTES!$B$19:$E$108,3,0))</f>
        <v>CONSORCIO VIAS TOLIMA 22</v>
      </c>
      <c r="E65" s="65" t="s">
        <v>1139</v>
      </c>
      <c r="F65" s="65" t="s">
        <v>1139</v>
      </c>
      <c r="G65" s="65" t="s">
        <v>1139</v>
      </c>
      <c r="H65" s="65" t="str">
        <f>IF(VLOOKUP(B65,'EQUIPO DE TRABAJO'!$B$19:$F$108,4,FALSE)="CUMPLE","HÁBIL",IF(VLOOKUP(B65,'EQUIPO DE TRABAJO'!$B$19:$F$108,4,FALSE)="NO CUMPLE-1","NO HÁBIL","RECHAZO"))</f>
        <v>HÁBIL</v>
      </c>
      <c r="I65" s="65" t="str">
        <f>IF(VLOOKUP(C65,'EVAL. ECONOMICA'!$C$19:$F$108,3,FALSE)="CUMPLE","HÁBIL",IF(VLOOKUP(C65,'EVAL. ECONOMICA'!$C$19:$F$108,3,FALSE)="NO CUMPLE-1","NO HÁBIL","RECHAZO"))</f>
        <v>HÁBIL</v>
      </c>
      <c r="J65" s="194" t="str">
        <f ca="1">IF(ISNUMBER(D65),"",IF(VLOOKUP("S"&amp;C65,EXPERIENCIA!$A$20:$X$9193,15,0)="CUMPLE","HÁBIL","NO HÁBIL"))</f>
        <v>HÁBIL</v>
      </c>
      <c r="K65" s="194" t="str">
        <f ca="1">IF(ISNUMBER(D65),"",IF(VLOOKUP("T"&amp;C65,EXPERIENCIA!$A$20:$X$9193,11,0)="CUMPLE","HÁBIL","NO HÁBIL"))</f>
        <v>HÁBIL</v>
      </c>
      <c r="L65" s="194" t="str">
        <f t="shared" ca="1" si="1"/>
        <v>HÁBIL</v>
      </c>
    </row>
    <row r="66" spans="2:12" ht="13.5">
      <c r="B66" s="114">
        <f t="shared" si="0"/>
        <v>48</v>
      </c>
      <c r="C66" s="62">
        <f>IF(VLOOKUP(B66,PROPONENTES!$B$19:$E$109,2,0)="","",VLOOKUP(B66,PROPONENTES!$B$19:$E$109,2,0))</f>
        <v>48</v>
      </c>
      <c r="D66" s="63" t="str">
        <f>IF(VLOOKUP(B66,PROPONENTES!$B$19:$E$108,3,0)="","",VLOOKUP(B66,PROPONENTES!$B$19:$E$108,3,0))</f>
        <v>BRAIN INGENIERIA VIAL SAS</v>
      </c>
      <c r="E66" s="65" t="s">
        <v>1139</v>
      </c>
      <c r="F66" s="65" t="s">
        <v>1139</v>
      </c>
      <c r="G66" s="65" t="s">
        <v>1139</v>
      </c>
      <c r="H66" s="65" t="str">
        <f>IF(VLOOKUP(B66,'EQUIPO DE TRABAJO'!$B$19:$F$108,4,FALSE)="CUMPLE","HÁBIL",IF(VLOOKUP(B66,'EQUIPO DE TRABAJO'!$B$19:$F$108,4,FALSE)="NO CUMPLE-1","NO HÁBIL","RECHAZO"))</f>
        <v>HÁBIL</v>
      </c>
      <c r="I66" s="65" t="str">
        <f>IF(VLOOKUP(C66,'EVAL. ECONOMICA'!$C$19:$F$108,3,FALSE)="CUMPLE","HÁBIL",IF(VLOOKUP(C66,'EVAL. ECONOMICA'!$C$19:$F$108,3,FALSE)="NO CUMPLE-1","NO HÁBIL","RECHAZO"))</f>
        <v>HÁBIL</v>
      </c>
      <c r="J66" s="194" t="str">
        <f ca="1">IF(ISNUMBER(D66),"",IF(VLOOKUP("S"&amp;C66,EXPERIENCIA!$A$20:$X$9193,15,0)="CUMPLE","HÁBIL","NO HÁBIL"))</f>
        <v>HÁBIL</v>
      </c>
      <c r="K66" s="194" t="str">
        <f>IF(ISNUMBER(D66),"",IF(VLOOKUP("T"&amp;C66,EXPERIENCIA!$A$20:$X$9193,11,0)="CUMPLE","HÁBIL","NO HÁBIL"))</f>
        <v>HÁBIL</v>
      </c>
      <c r="L66" s="194" t="str">
        <f t="shared" ca="1" si="1"/>
        <v>HÁBIL</v>
      </c>
    </row>
    <row r="67" spans="2:12" ht="13.5">
      <c r="B67" s="114">
        <f t="shared" si="0"/>
        <v>49</v>
      </c>
      <c r="C67" s="62">
        <f>IF(VLOOKUP(B67,PROPONENTES!$B$19:$E$109,2,0)="","",VLOOKUP(B67,PROPONENTES!$B$19:$E$109,2,0))</f>
        <v>49</v>
      </c>
      <c r="D67" s="63" t="str">
        <f>IF(VLOOKUP(B67,PROPONENTES!$B$19:$E$108,3,0)="","",VLOOKUP(B67,PROPONENTES!$B$19:$E$108,3,0))</f>
        <v>CONSORCIO LAPP</v>
      </c>
      <c r="E67" s="65" t="s">
        <v>1139</v>
      </c>
      <c r="F67" s="65" t="s">
        <v>1139</v>
      </c>
      <c r="G67" s="65" t="s">
        <v>1139</v>
      </c>
      <c r="H67" s="65" t="str">
        <f>IF(VLOOKUP(B67,'EQUIPO DE TRABAJO'!$B$19:$F$108,4,FALSE)="CUMPLE","HÁBIL",IF(VLOOKUP(B67,'EQUIPO DE TRABAJO'!$B$19:$F$108,4,FALSE)="NO CUMPLE-1","NO HÁBIL","RECHAZO"))</f>
        <v>HÁBIL</v>
      </c>
      <c r="I67" s="65" t="str">
        <f>IF(VLOOKUP(C67,'EVAL. ECONOMICA'!$C$19:$F$108,3,FALSE)="CUMPLE","HÁBIL",IF(VLOOKUP(C67,'EVAL. ECONOMICA'!$C$19:$F$108,3,FALSE)="NO CUMPLE-1","NO HÁBIL","RECHAZO"))</f>
        <v>HÁBIL</v>
      </c>
      <c r="J67" s="194" t="str">
        <f ca="1">IF(ISNUMBER(D67),"",IF(VLOOKUP("S"&amp;C67,EXPERIENCIA!$A$20:$X$9193,15,0)="CUMPLE","HÁBIL","NO HÁBIL"))</f>
        <v>HÁBIL</v>
      </c>
      <c r="K67" s="194" t="str">
        <f ca="1">IF(ISNUMBER(D67),"",IF(VLOOKUP("T"&amp;C67,EXPERIENCIA!$A$20:$X$9193,11,0)="CUMPLE","HÁBIL","NO HÁBIL"))</f>
        <v>HÁBIL</v>
      </c>
      <c r="L67" s="194" t="str">
        <f t="shared" ca="1" si="1"/>
        <v>HÁBIL</v>
      </c>
    </row>
    <row r="68" spans="2:12" ht="13.5">
      <c r="B68" s="114">
        <f t="shared" si="0"/>
        <v>50</v>
      </c>
      <c r="C68" s="62">
        <f>IF(VLOOKUP(B68,PROPONENTES!$B$19:$E$109,2,0)="","",VLOOKUP(B68,PROPONENTES!$B$19:$E$109,2,0))</f>
        <v>50</v>
      </c>
      <c r="D68" s="63" t="str">
        <f>IF(VLOOKUP(B68,PROPONENTES!$B$19:$E$108,3,0)="","",VLOOKUP(B68,PROPONENTES!$B$19:$E$108,3,0))</f>
        <v>PROYECTISTAS ASOCIADOS SAS</v>
      </c>
      <c r="E68" s="65" t="s">
        <v>1139</v>
      </c>
      <c r="F68" s="65" t="s">
        <v>1139</v>
      </c>
      <c r="G68" s="65" t="s">
        <v>1139</v>
      </c>
      <c r="H68" s="65" t="str">
        <f>IF(VLOOKUP(B68,'EQUIPO DE TRABAJO'!$B$19:$F$108,4,FALSE)="CUMPLE","HÁBIL",IF(VLOOKUP(B68,'EQUIPO DE TRABAJO'!$B$19:$F$108,4,FALSE)="NO CUMPLE-1","NO HÁBIL","RECHAZO"))</f>
        <v>HÁBIL</v>
      </c>
      <c r="I68" s="65" t="str">
        <f>IF(VLOOKUP(C68,'EVAL. ECONOMICA'!$C$19:$F$108,3,FALSE)="CUMPLE","HÁBIL",IF(VLOOKUP(C68,'EVAL. ECONOMICA'!$C$19:$F$108,3,FALSE)="NO CUMPLE-1","NO HÁBIL","RECHAZO"))</f>
        <v>HÁBIL</v>
      </c>
      <c r="J68" s="194" t="str">
        <f ca="1">IF(ISNUMBER(D68),"",IF(VLOOKUP("S"&amp;C68,EXPERIENCIA!$A$20:$X$9193,15,0)="CUMPLE","HÁBIL","NO HÁBIL"))</f>
        <v>HÁBIL</v>
      </c>
      <c r="K68" s="194" t="str">
        <f>IF(ISNUMBER(D68),"",IF(VLOOKUP("T"&amp;C68,EXPERIENCIA!$A$20:$X$9193,11,0)="CUMPLE","HÁBIL","NO HÁBIL"))</f>
        <v>HÁBIL</v>
      </c>
      <c r="L68" s="194" t="str">
        <f t="shared" ca="1" si="1"/>
        <v>HÁBIL</v>
      </c>
    </row>
    <row r="69" spans="2:12" ht="13.5">
      <c r="B69" s="114">
        <f t="shared" si="0"/>
        <v>51</v>
      </c>
      <c r="C69" s="62">
        <f>IF(VLOOKUP(B69,PROPONENTES!$B$19:$E$109,2,0)="","",VLOOKUP(B69,PROPONENTES!$B$19:$E$109,2,0))</f>
        <v>51</v>
      </c>
      <c r="D69" s="63" t="str">
        <f>IF(VLOOKUP(B69,PROPONENTES!$B$19:$E$108,3,0)="","",VLOOKUP(B69,PROPONENTES!$B$19:$E$108,3,0))</f>
        <v>DAM SOLUCIONES E INGENIERIA SAS</v>
      </c>
      <c r="E69" s="65" t="s">
        <v>1139</v>
      </c>
      <c r="F69" s="65" t="s">
        <v>1139</v>
      </c>
      <c r="G69" s="65" t="s">
        <v>1139</v>
      </c>
      <c r="H69" s="65" t="str">
        <f>IF(VLOOKUP(B69,'EQUIPO DE TRABAJO'!$B$19:$F$108,4,FALSE)="CUMPLE","HÁBIL",IF(VLOOKUP(B69,'EQUIPO DE TRABAJO'!$B$19:$F$108,4,FALSE)="NO CUMPLE-1","NO HÁBIL","RECHAZO"))</f>
        <v>HÁBIL</v>
      </c>
      <c r="I69" s="65" t="str">
        <f>IF(VLOOKUP(C69,'EVAL. ECONOMICA'!$C$19:$F$108,3,FALSE)="CUMPLE","HÁBIL",IF(VLOOKUP(C69,'EVAL. ECONOMICA'!$C$19:$F$108,3,FALSE)="NO CUMPLE-1","NO HÁBIL","RECHAZO"))</f>
        <v>RECHAZO</v>
      </c>
      <c r="J69" s="194" t="str">
        <f ca="1">IF(ISNUMBER(D69),"",IF(VLOOKUP("S"&amp;C69,EXPERIENCIA!$A$20:$X$9193,15,0)="CUMPLE","HÁBIL","NO HÁBIL"))</f>
        <v>HÁBIL</v>
      </c>
      <c r="K69" s="194" t="str">
        <f>IF(ISNUMBER(D69),"",IF(VLOOKUP("T"&amp;C69,EXPERIENCIA!$A$20:$X$9193,11,0)="CUMPLE","HÁBIL","NO HÁBIL"))</f>
        <v>HÁBIL</v>
      </c>
      <c r="L69" s="194" t="str">
        <f t="shared" ca="1" si="1"/>
        <v>RECHAZO</v>
      </c>
    </row>
    <row r="70" spans="2:12" ht="13.5">
      <c r="B70" s="114">
        <f t="shared" si="0"/>
        <v>52</v>
      </c>
      <c r="C70" s="62">
        <f>IF(VLOOKUP(B70,PROPONENTES!$B$19:$E$109,2,0)="","",VLOOKUP(B70,PROPONENTES!$B$19:$E$109,2,0))</f>
        <v>52</v>
      </c>
      <c r="D70" s="63" t="str">
        <f>IF(VLOOKUP(B70,PROPONENTES!$B$19:$E$108,3,0)="","",VLOOKUP(B70,PROPONENTES!$B$19:$E$108,3,0))</f>
        <v>COINZA ING SAS</v>
      </c>
      <c r="E70" s="65" t="s">
        <v>1139</v>
      </c>
      <c r="F70" s="65" t="s">
        <v>1139</v>
      </c>
      <c r="G70" s="65" t="s">
        <v>1139</v>
      </c>
      <c r="H70" s="65" t="str">
        <f>IF(VLOOKUP(B70,'EQUIPO DE TRABAJO'!$B$19:$F$108,4,FALSE)="CUMPLE","HÁBIL",IF(VLOOKUP(B70,'EQUIPO DE TRABAJO'!$B$19:$F$108,4,FALSE)="NO CUMPLE-1","NO HÁBIL","RECHAZO"))</f>
        <v>HÁBIL</v>
      </c>
      <c r="I70" s="65" t="str">
        <f>IF(VLOOKUP(C70,'EVAL. ECONOMICA'!$C$19:$F$108,3,FALSE)="CUMPLE","HÁBIL",IF(VLOOKUP(C70,'EVAL. ECONOMICA'!$C$19:$F$108,3,FALSE)="NO CUMPLE-1","NO HÁBIL","RECHAZO"))</f>
        <v>HÁBIL</v>
      </c>
      <c r="J70" s="194" t="str">
        <f ca="1">IF(ISNUMBER(D70),"",IF(VLOOKUP("S"&amp;C70,EXPERIENCIA!$A$20:$X$9193,15,0)="CUMPLE","HÁBIL","NO HÁBIL"))</f>
        <v>HÁBIL</v>
      </c>
      <c r="K70" s="194" t="str">
        <f>IF(ISNUMBER(D70),"",IF(VLOOKUP("T"&amp;C70,EXPERIENCIA!$A$20:$X$9193,11,0)="CUMPLE","HÁBIL","NO HÁBIL"))</f>
        <v>HÁBIL</v>
      </c>
      <c r="L70" s="194" t="str">
        <f t="shared" ca="1" si="1"/>
        <v>HÁBIL</v>
      </c>
    </row>
    <row r="71" spans="2:12" ht="13.5">
      <c r="B71" s="114">
        <f t="shared" si="0"/>
        <v>53</v>
      </c>
      <c r="C71" s="62">
        <f>IF(VLOOKUP(B71,PROPONENTES!$B$19:$E$109,2,0)="","",VLOOKUP(B71,PROPONENTES!$B$19:$E$109,2,0))</f>
        <v>53</v>
      </c>
      <c r="D71" s="63" t="str">
        <f>IF(VLOOKUP(B71,PROPONENTES!$B$19:$E$108,3,0)="","",VLOOKUP(B71,PROPONENTES!$B$19:$E$108,3,0))</f>
        <v>NORBERTO BAYONA ESPITIA</v>
      </c>
      <c r="E71" s="65" t="s">
        <v>1139</v>
      </c>
      <c r="F71" s="65" t="s">
        <v>1139</v>
      </c>
      <c r="G71" s="65" t="s">
        <v>1139</v>
      </c>
      <c r="H71" s="65" t="str">
        <f>IF(VLOOKUP(B71,'EQUIPO DE TRABAJO'!$B$19:$F$108,4,FALSE)="CUMPLE","HÁBIL",IF(VLOOKUP(B71,'EQUIPO DE TRABAJO'!$B$19:$F$108,4,FALSE)="NO CUMPLE-1","NO HÁBIL","RECHAZO"))</f>
        <v>HÁBIL</v>
      </c>
      <c r="I71" s="65" t="str">
        <f>IF(VLOOKUP(C71,'EVAL. ECONOMICA'!$C$19:$F$108,3,FALSE)="CUMPLE","HÁBIL",IF(VLOOKUP(C71,'EVAL. ECONOMICA'!$C$19:$F$108,3,FALSE)="NO CUMPLE-1","NO HÁBIL","RECHAZO"))</f>
        <v>HÁBIL</v>
      </c>
      <c r="J71" s="194" t="str">
        <f ca="1">IF(ISNUMBER(D71),"",IF(VLOOKUP("S"&amp;C71,EXPERIENCIA!$A$20:$X$9193,15,0)="CUMPLE","HÁBIL","NO HÁBIL"))</f>
        <v>HÁBIL</v>
      </c>
      <c r="K71" s="194" t="str">
        <f>IF(ISNUMBER(D71),"",IF(VLOOKUP("T"&amp;C71,EXPERIENCIA!$A$20:$X$9193,11,0)="CUMPLE","HÁBIL","NO HÁBIL"))</f>
        <v>HÁBIL</v>
      </c>
      <c r="L71" s="194" t="str">
        <f t="shared" ca="1" si="1"/>
        <v>HÁBIL</v>
      </c>
    </row>
    <row r="72" spans="2:12" ht="24">
      <c r="B72" s="114">
        <f t="shared" si="0"/>
        <v>54</v>
      </c>
      <c r="C72" s="62">
        <f>IF(VLOOKUP(B72,PROPONENTES!$B$19:$E$109,2,0)="","",VLOOKUP(B72,PROPONENTES!$B$19:$E$109,2,0))</f>
        <v>54</v>
      </c>
      <c r="D72" s="63" t="str">
        <f>IF(VLOOKUP(B72,PROPONENTES!$B$19:$E$108,3,0)="","",VLOOKUP(B72,PROPONENTES!$B$19:$E$108,3,0))</f>
        <v>CONSORCIO HC INTERVENTORES 2022</v>
      </c>
      <c r="E72" s="65" t="s">
        <v>1172</v>
      </c>
      <c r="F72" s="65" t="s">
        <v>1139</v>
      </c>
      <c r="G72" s="65" t="s">
        <v>1139</v>
      </c>
      <c r="H72" s="65" t="str">
        <f>IF(VLOOKUP(B72,'EQUIPO DE TRABAJO'!$B$19:$F$108,4,FALSE)="CUMPLE","HÁBIL",IF(VLOOKUP(B72,'EQUIPO DE TRABAJO'!$B$19:$F$108,4,FALSE)="NO CUMPLE-1","NO HÁBIL","RECHAZO"))</f>
        <v>HÁBIL</v>
      </c>
      <c r="I72" s="65" t="str">
        <f>IF(VLOOKUP(C72,'EVAL. ECONOMICA'!$C$19:$F$108,3,FALSE)="CUMPLE","HÁBIL",IF(VLOOKUP(C72,'EVAL. ECONOMICA'!$C$19:$F$108,3,FALSE)="NO CUMPLE-1","NO HÁBIL","RECHAZO"))</f>
        <v>HÁBIL</v>
      </c>
      <c r="J72" s="194" t="str">
        <f ca="1">IF(ISNUMBER(D72),"",IF(VLOOKUP("S"&amp;C72,EXPERIENCIA!$A$20:$X$9193,15,0)="CUMPLE","HÁBIL","NO HÁBIL"))</f>
        <v>HÁBIL</v>
      </c>
      <c r="K72" s="194" t="str">
        <f ca="1">IF(ISNUMBER(D72),"",IF(VLOOKUP("T"&amp;C72,EXPERIENCIA!$A$20:$X$9193,11,0)="CUMPLE","HÁBIL","NO HÁBIL"))</f>
        <v>HÁBIL</v>
      </c>
      <c r="L72" s="194" t="str">
        <f t="shared" ca="1" si="1"/>
        <v>RECHAZO</v>
      </c>
    </row>
    <row r="73" spans="2:12" ht="13.5">
      <c r="B73" s="114">
        <f t="shared" si="0"/>
        <v>55</v>
      </c>
      <c r="C73" s="62">
        <f>IF(VLOOKUP(B73,PROPONENTES!$B$19:$E$109,2,0)="","",VLOOKUP(B73,PROPONENTES!$B$19:$E$109,2,0))</f>
        <v>55</v>
      </c>
      <c r="D73" s="63" t="str">
        <f>IF(VLOOKUP(B73,PROPONENTES!$B$19:$E$108,3,0)="","",VLOOKUP(B73,PROPONENTES!$B$19:$E$108,3,0))</f>
        <v>MARIO DE JESUS GIL CARDONA</v>
      </c>
      <c r="E73" s="65" t="s">
        <v>1139</v>
      </c>
      <c r="F73" s="65" t="s">
        <v>1139</v>
      </c>
      <c r="G73" s="65" t="s">
        <v>1139</v>
      </c>
      <c r="H73" s="65" t="str">
        <f>IF(VLOOKUP(B73,'EQUIPO DE TRABAJO'!$B$19:$F$108,4,FALSE)="CUMPLE","HÁBIL",IF(VLOOKUP(B73,'EQUIPO DE TRABAJO'!$B$19:$F$108,4,FALSE)="NO CUMPLE-1","NO HÁBIL","RECHAZO"))</f>
        <v>HÁBIL</v>
      </c>
      <c r="I73" s="65" t="str">
        <f>IF(VLOOKUP(C73,'EVAL. ECONOMICA'!$C$19:$F$108,3,FALSE)="CUMPLE","HÁBIL",IF(VLOOKUP(C73,'EVAL. ECONOMICA'!$C$19:$F$108,3,FALSE)="NO CUMPLE-1","NO HÁBIL","RECHAZO"))</f>
        <v>HÁBIL</v>
      </c>
      <c r="J73" s="194" t="str">
        <f ca="1">IF(ISNUMBER(D73),"",IF(VLOOKUP("S"&amp;C73,EXPERIENCIA!$A$20:$X$9193,15,0)="CUMPLE","HÁBIL","NO HÁBIL"))</f>
        <v>HÁBIL</v>
      </c>
      <c r="K73" s="194" t="str">
        <f>IF(ISNUMBER(D73),"",IF(VLOOKUP("T"&amp;C73,EXPERIENCIA!$A$20:$X$9193,11,0)="CUMPLE","HÁBIL","NO HÁBIL"))</f>
        <v>HÁBIL</v>
      </c>
      <c r="L73" s="194" t="str">
        <f t="shared" ca="1" si="1"/>
        <v>HÁBIL</v>
      </c>
    </row>
    <row r="74" spans="2:12" ht="13.5">
      <c r="B74" s="114">
        <f t="shared" si="0"/>
        <v>56</v>
      </c>
      <c r="C74" s="62">
        <f>IF(VLOOKUP(B74,PROPONENTES!$B$19:$E$109,2,0)="","",VLOOKUP(B74,PROPONENTES!$B$19:$E$109,2,0))</f>
        <v>56</v>
      </c>
      <c r="D74" s="63" t="str">
        <f>IF(VLOOKUP(B74,PROPONENTES!$B$19:$E$108,3,0)="","",VLOOKUP(B74,PROPONENTES!$B$19:$E$108,3,0))</f>
        <v>CONSORCIO COLOMBIA RURAL ET</v>
      </c>
      <c r="E74" s="65" t="s">
        <v>1139</v>
      </c>
      <c r="F74" s="65" t="s">
        <v>1139</v>
      </c>
      <c r="G74" s="65" t="s">
        <v>1139</v>
      </c>
      <c r="H74" s="65" t="str">
        <f>IF(VLOOKUP(B74,'EQUIPO DE TRABAJO'!$B$19:$F$108,4,FALSE)="CUMPLE","HÁBIL",IF(VLOOKUP(B74,'EQUIPO DE TRABAJO'!$B$19:$F$108,4,FALSE)="NO CUMPLE-1","NO HÁBIL","RECHAZO"))</f>
        <v>HÁBIL</v>
      </c>
      <c r="I74" s="65" t="str">
        <f>IF(VLOOKUP(C74,'EVAL. ECONOMICA'!$C$19:$F$108,3,FALSE)="CUMPLE","HÁBIL",IF(VLOOKUP(C74,'EVAL. ECONOMICA'!$C$19:$F$108,3,FALSE)="NO CUMPLE-1","NO HÁBIL","RECHAZO"))</f>
        <v>HÁBIL</v>
      </c>
      <c r="J74" s="194" t="str">
        <f ca="1">IF(ISNUMBER(D74),"",IF(VLOOKUP("S"&amp;C74,EXPERIENCIA!$A$20:$X$9193,15,0)="CUMPLE","HÁBIL","NO HÁBIL"))</f>
        <v>HÁBIL</v>
      </c>
      <c r="K74" s="194" t="str">
        <f ca="1">IF(ISNUMBER(D74),"",IF(VLOOKUP("T"&amp;C74,EXPERIENCIA!$A$20:$X$9193,11,0)="CUMPLE","HÁBIL","NO HÁBIL"))</f>
        <v>HÁBIL</v>
      </c>
      <c r="L74" s="194" t="str">
        <f t="shared" ca="1" si="1"/>
        <v>HÁBIL</v>
      </c>
    </row>
    <row r="75" spans="2:12" ht="13.5">
      <c r="B75" s="114">
        <f t="shared" si="0"/>
        <v>57</v>
      </c>
      <c r="C75" s="62">
        <f>IF(VLOOKUP(B75,PROPONENTES!$B$19:$E$109,2,0)="","",VLOOKUP(B75,PROPONENTES!$B$19:$E$109,2,0))</f>
        <v>57</v>
      </c>
      <c r="D75" s="63" t="str">
        <f>IF(VLOOKUP(B75,PROPONENTES!$B$19:$E$108,3,0)="","",VLOOKUP(B75,PROPONENTES!$B$19:$E$108,3,0))</f>
        <v>CONSORCIO ROGER 20</v>
      </c>
      <c r="E75" s="65" t="s">
        <v>1139</v>
      </c>
      <c r="F75" s="65" t="s">
        <v>1139</v>
      </c>
      <c r="G75" s="65" t="s">
        <v>1139</v>
      </c>
      <c r="H75" s="65" t="str">
        <f>IF(VLOOKUP(B75,'EQUIPO DE TRABAJO'!$B$19:$F$108,4,FALSE)="CUMPLE","HÁBIL",IF(VLOOKUP(B75,'EQUIPO DE TRABAJO'!$B$19:$F$108,4,FALSE)="NO CUMPLE-1","NO HÁBIL","RECHAZO"))</f>
        <v>HÁBIL</v>
      </c>
      <c r="I75" s="65" t="str">
        <f>IF(VLOOKUP(C75,'EVAL. ECONOMICA'!$C$19:$F$108,3,FALSE)="CUMPLE","HÁBIL",IF(VLOOKUP(C75,'EVAL. ECONOMICA'!$C$19:$F$108,3,FALSE)="NO CUMPLE-1","NO HÁBIL","RECHAZO"))</f>
        <v>HÁBIL</v>
      </c>
      <c r="J75" s="194" t="str">
        <f ca="1">IF(ISNUMBER(D75),"",IF(VLOOKUP("S"&amp;C75,EXPERIENCIA!$A$20:$X$9193,15,0)="CUMPLE","HÁBIL","NO HÁBIL"))</f>
        <v>HÁBIL</v>
      </c>
      <c r="K75" s="194" t="str">
        <f ca="1">IF(ISNUMBER(D75),"",IF(VLOOKUP("T"&amp;C75,EXPERIENCIA!$A$20:$X$9193,11,0)="CUMPLE","HÁBIL","NO HÁBIL"))</f>
        <v>HÁBIL</v>
      </c>
      <c r="L75" s="194" t="str">
        <f t="shared" ca="1" si="1"/>
        <v>HÁBIL</v>
      </c>
    </row>
    <row r="76" spans="2:12" ht="22.5" customHeight="1">
      <c r="B76" s="114">
        <f t="shared" si="0"/>
        <v>58</v>
      </c>
      <c r="C76" s="62">
        <f>IF(VLOOKUP(B76,PROPONENTES!$B$19:$E$109,2,0)="","",VLOOKUP(B76,PROPONENTES!$B$19:$E$109,2,0))</f>
        <v>58</v>
      </c>
      <c r="D76" s="63" t="str">
        <f>IF(VLOOKUP(B76,PROPONENTES!$B$19:$E$108,3,0)="","",VLOOKUP(B76,PROPONENTES!$B$19:$E$108,3,0))</f>
        <v>VALLEJO H INGENIEROS CONSULTORES CONSTRUCTORES C S.A.S -BIC</v>
      </c>
      <c r="E76" s="65" t="s">
        <v>1139</v>
      </c>
      <c r="F76" s="65" t="s">
        <v>1139</v>
      </c>
      <c r="G76" s="65" t="s">
        <v>1139</v>
      </c>
      <c r="H76" s="65" t="str">
        <f>IF(VLOOKUP(B76,'EQUIPO DE TRABAJO'!$B$19:$F$108,4,FALSE)="CUMPLE","HÁBIL",IF(VLOOKUP(B76,'EQUIPO DE TRABAJO'!$B$19:$F$108,4,FALSE)="NO CUMPLE-1","NO HÁBIL","RECHAZO"))</f>
        <v>HÁBIL</v>
      </c>
      <c r="I76" s="65" t="str">
        <f>IF(VLOOKUP(C76,'EVAL. ECONOMICA'!$C$19:$F$108,3,FALSE)="CUMPLE","HÁBIL",IF(VLOOKUP(C76,'EVAL. ECONOMICA'!$C$19:$F$108,3,FALSE)="NO CUMPLE-1","NO HÁBIL","RECHAZO"))</f>
        <v>HÁBIL</v>
      </c>
      <c r="J76" s="194" t="str">
        <f ca="1">IF(ISNUMBER(D76),"",IF(VLOOKUP("S"&amp;C76,EXPERIENCIA!$A$20:$X$9193,15,0)="CUMPLE","HÁBIL","NO HÁBIL"))</f>
        <v>NO HÁBIL</v>
      </c>
      <c r="K76" s="194" t="str">
        <f>IF(ISNUMBER(D76),"",IF(VLOOKUP("T"&amp;C76,EXPERIENCIA!$A$20:$X$9193,11,0)="CUMPLE","HÁBIL","NO HÁBIL"))</f>
        <v>HÁBIL</v>
      </c>
      <c r="L76" s="194" t="str">
        <f t="shared" ca="1" si="1"/>
        <v>NO HÁBIL</v>
      </c>
    </row>
    <row r="77" spans="2:12" ht="13.5">
      <c r="B77" s="114">
        <f t="shared" si="0"/>
        <v>59</v>
      </c>
      <c r="C77" s="62">
        <f>IF(VLOOKUP(B77,PROPONENTES!$B$19:$E$109,2,0)="","",VLOOKUP(B77,PROPONENTES!$B$19:$E$109,2,0))</f>
        <v>59</v>
      </c>
      <c r="D77" s="63" t="str">
        <f>IF(VLOOKUP(B77,PROPONENTES!$B$19:$E$108,3,0)="","",VLOOKUP(B77,PROPONENTES!$B$19:$E$108,3,0))</f>
        <v>Consorcio JR</v>
      </c>
      <c r="E77" s="65" t="s">
        <v>1139</v>
      </c>
      <c r="F77" s="65" t="s">
        <v>1139</v>
      </c>
      <c r="G77" s="65" t="s">
        <v>1139</v>
      </c>
      <c r="H77" s="65" t="str">
        <f>IF(VLOOKUP(B77,'EQUIPO DE TRABAJO'!$B$19:$F$108,4,FALSE)="CUMPLE","HÁBIL",IF(VLOOKUP(B77,'EQUIPO DE TRABAJO'!$B$19:$F$108,4,FALSE)="NO CUMPLE-1","NO HÁBIL","RECHAZO"))</f>
        <v>HÁBIL</v>
      </c>
      <c r="I77" s="65" t="str">
        <f>IF(VLOOKUP(C77,'EVAL. ECONOMICA'!$C$19:$F$108,3,FALSE)="CUMPLE","HÁBIL",IF(VLOOKUP(C77,'EVAL. ECONOMICA'!$C$19:$F$108,3,FALSE)="NO CUMPLE-1","NO HÁBIL","RECHAZO"))</f>
        <v>HÁBIL</v>
      </c>
      <c r="J77" s="194" t="str">
        <f ca="1">IF(ISNUMBER(D77),"",IF(VLOOKUP("S"&amp;C77,EXPERIENCIA!$A$20:$X$9193,15,0)="CUMPLE","HÁBIL","NO HÁBIL"))</f>
        <v>HÁBIL</v>
      </c>
      <c r="K77" s="194" t="str">
        <f ca="1">IF(ISNUMBER(D77),"",IF(VLOOKUP("T"&amp;C77,EXPERIENCIA!$A$20:$X$9193,11,0)="CUMPLE","HÁBIL","NO HÁBIL"))</f>
        <v>HÁBIL</v>
      </c>
      <c r="L77" s="194" t="str">
        <f t="shared" ca="1" si="1"/>
        <v>HÁBIL</v>
      </c>
    </row>
    <row r="78" spans="2:12" ht="13.5">
      <c r="B78" s="114">
        <f t="shared" si="0"/>
        <v>60</v>
      </c>
      <c r="C78" s="62">
        <f>IF(VLOOKUP(B78,PROPONENTES!$B$19:$E$109,2,0)="","",VLOOKUP(B78,PROPONENTES!$B$19:$E$109,2,0))</f>
        <v>60</v>
      </c>
      <c r="D78" s="63" t="str">
        <f>IF(VLOOKUP(B78,PROPONENTES!$B$19:$E$108,3,0)="","",VLOOKUP(B78,PROPONENTES!$B$19:$E$108,3,0))</f>
        <v>ARA INGENIERIA S.A.S</v>
      </c>
      <c r="E78" s="65" t="s">
        <v>1139</v>
      </c>
      <c r="F78" s="65" t="s">
        <v>1139</v>
      </c>
      <c r="G78" s="65" t="s">
        <v>1139</v>
      </c>
      <c r="H78" s="65" t="str">
        <f>IF(VLOOKUP(B78,'EQUIPO DE TRABAJO'!$B$19:$F$108,4,FALSE)="CUMPLE","HÁBIL",IF(VLOOKUP(B78,'EQUIPO DE TRABAJO'!$B$19:$F$108,4,FALSE)="NO CUMPLE-1","NO HÁBIL","RECHAZO"))</f>
        <v>HÁBIL</v>
      </c>
      <c r="I78" s="65" t="str">
        <f>IF(VLOOKUP(C78,'EVAL. ECONOMICA'!$C$19:$F$108,3,FALSE)="CUMPLE","HÁBIL",IF(VLOOKUP(C78,'EVAL. ECONOMICA'!$C$19:$F$108,3,FALSE)="NO CUMPLE-1","NO HÁBIL","RECHAZO"))</f>
        <v>RECHAZO</v>
      </c>
      <c r="J78" s="194" t="str">
        <f ca="1">IF(ISNUMBER(D78),"",IF(VLOOKUP("S"&amp;C78,EXPERIENCIA!$A$20:$X$9193,15,0)="CUMPLE","HÁBIL","NO HÁBIL"))</f>
        <v>HÁBIL</v>
      </c>
      <c r="K78" s="194" t="str">
        <f>IF(ISNUMBER(D78),"",IF(VLOOKUP("T"&amp;C78,EXPERIENCIA!$A$20:$X$9193,11,0)="CUMPLE","HÁBIL","NO HÁBIL"))</f>
        <v>HÁBIL</v>
      </c>
      <c r="L78" s="194" t="str">
        <f t="shared" ca="1" si="1"/>
        <v>RECHAZO</v>
      </c>
    </row>
    <row r="79" spans="2:12" ht="13.5">
      <c r="B79" s="114">
        <f t="shared" si="0"/>
        <v>61</v>
      </c>
      <c r="C79" s="62">
        <f>IF(VLOOKUP(B79,PROPONENTES!$B$19:$E$109,2,0)="","",VLOOKUP(B79,PROPONENTES!$B$19:$E$109,2,0))</f>
        <v>61</v>
      </c>
      <c r="D79" s="63" t="str">
        <f>IF(VLOOKUP(B79,PROPONENTES!$B$19:$E$108,3,0)="","",VLOOKUP(B79,PROPONENTES!$B$19:$E$108,3,0))</f>
        <v>CONSORCIO INVITOL 2022</v>
      </c>
      <c r="E79" s="65" t="s">
        <v>1139</v>
      </c>
      <c r="F79" s="65" t="s">
        <v>1139</v>
      </c>
      <c r="G79" s="65" t="s">
        <v>1139</v>
      </c>
      <c r="H79" s="65" t="str">
        <f>IF(VLOOKUP(B79,'EQUIPO DE TRABAJO'!$B$19:$F$108,4,FALSE)="CUMPLE","HÁBIL",IF(VLOOKUP(B79,'EQUIPO DE TRABAJO'!$B$19:$F$108,4,FALSE)="NO CUMPLE-1","NO HÁBIL","RECHAZO"))</f>
        <v>HÁBIL</v>
      </c>
      <c r="I79" s="65" t="str">
        <f>IF(VLOOKUP(C79,'EVAL. ECONOMICA'!$C$19:$F$108,3,FALSE)="CUMPLE","HÁBIL",IF(VLOOKUP(C79,'EVAL. ECONOMICA'!$C$19:$F$108,3,FALSE)="NO CUMPLE-1","NO HÁBIL","RECHAZO"))</f>
        <v>HÁBIL</v>
      </c>
      <c r="J79" s="194" t="str">
        <f ca="1">IF(ISNUMBER(D79),"",IF(VLOOKUP("S"&amp;C79,EXPERIENCIA!$A$20:$X$9193,15,0)="CUMPLE","HÁBIL","NO HÁBIL"))</f>
        <v>HÁBIL</v>
      </c>
      <c r="K79" s="194" t="str">
        <f ca="1">IF(ISNUMBER(D79),"",IF(VLOOKUP("T"&amp;C79,EXPERIENCIA!$A$20:$X$9193,11,0)="CUMPLE","HÁBIL","NO HÁBIL"))</f>
        <v>HÁBIL</v>
      </c>
      <c r="L79" s="194" t="str">
        <f t="shared" ca="1" si="1"/>
        <v>HÁBIL</v>
      </c>
    </row>
    <row r="80" spans="2:12" ht="13.5">
      <c r="B80" s="114">
        <f t="shared" si="0"/>
        <v>62</v>
      </c>
      <c r="C80" s="62">
        <f>IF(VLOOKUP(B80,PROPONENTES!$B$19:$E$109,2,0)="","",VLOOKUP(B80,PROPONENTES!$B$19:$E$109,2,0))</f>
        <v>62</v>
      </c>
      <c r="D80" s="63" t="str">
        <f>IF(VLOOKUP(B80,PROPONENTES!$B$19:$E$108,3,0)="","",VLOOKUP(B80,PROPONENTES!$B$19:$E$108,3,0))</f>
        <v>CONSORCIO INTERVIAL TOL 001</v>
      </c>
      <c r="E80" s="65" t="s">
        <v>1139</v>
      </c>
      <c r="F80" s="65" t="s">
        <v>1139</v>
      </c>
      <c r="G80" s="65" t="s">
        <v>1139</v>
      </c>
      <c r="H80" s="65" t="str">
        <f>IF(VLOOKUP(B80,'EQUIPO DE TRABAJO'!$B$19:$F$108,4,FALSE)="CUMPLE","HÁBIL",IF(VLOOKUP(B80,'EQUIPO DE TRABAJO'!$B$19:$F$108,4,FALSE)="NO CUMPLE-1","NO HÁBIL","RECHAZO"))</f>
        <v>HÁBIL</v>
      </c>
      <c r="I80" s="65" t="str">
        <f>IF(VLOOKUP(C80,'EVAL. ECONOMICA'!$C$19:$F$108,3,FALSE)="CUMPLE","HÁBIL",IF(VLOOKUP(C80,'EVAL. ECONOMICA'!$C$19:$F$108,3,FALSE)="NO CUMPLE-1","NO HÁBIL","RECHAZO"))</f>
        <v>HÁBIL</v>
      </c>
      <c r="J80" s="194" t="str">
        <f ca="1">IF(ISNUMBER(D80),"",IF(VLOOKUP("S"&amp;C80,EXPERIENCIA!$A$20:$X$9193,15,0)="CUMPLE","HÁBIL","NO HÁBIL"))</f>
        <v>HÁBIL</v>
      </c>
      <c r="K80" s="194" t="str">
        <f ca="1">IF(ISNUMBER(D80),"",IF(VLOOKUP("T"&amp;C80,EXPERIENCIA!$A$20:$X$9193,11,0)="CUMPLE","HÁBIL","NO HÁBIL"))</f>
        <v>HÁBIL</v>
      </c>
      <c r="L80" s="194" t="str">
        <f t="shared" ca="1" si="1"/>
        <v>HÁBIL</v>
      </c>
    </row>
    <row r="81" spans="2:12" ht="24">
      <c r="B81" s="114">
        <f t="shared" si="0"/>
        <v>63</v>
      </c>
      <c r="C81" s="62">
        <f>IF(VLOOKUP(B81,PROPONENTES!$B$19:$E$109,2,0)="","",VLOOKUP(B81,PROPONENTES!$B$19:$E$109,2,0))</f>
        <v>63</v>
      </c>
      <c r="D81" s="63" t="str">
        <f>IF(VLOOKUP(B81,PROPONENTES!$B$19:$E$108,3,0)="","",VLOOKUP(B81,PROPONENTES!$B$19:$E$108,3,0))</f>
        <v>COMPAÑIA CONSULTORA COLOMBIANA TRIPLE C BIC SAS</v>
      </c>
      <c r="E81" s="65" t="s">
        <v>1139</v>
      </c>
      <c r="F81" s="65" t="s">
        <v>1139</v>
      </c>
      <c r="G81" s="65" t="s">
        <v>1139</v>
      </c>
      <c r="H81" s="65" t="str">
        <f>IF(VLOOKUP(B81,'EQUIPO DE TRABAJO'!$B$19:$F$108,4,FALSE)="CUMPLE","HÁBIL",IF(VLOOKUP(B81,'EQUIPO DE TRABAJO'!$B$19:$F$108,4,FALSE)="NO CUMPLE-1","NO HÁBIL","RECHAZO"))</f>
        <v>HÁBIL</v>
      </c>
      <c r="I81" s="65" t="str">
        <f>IF(VLOOKUP(C81,'EVAL. ECONOMICA'!$C$19:$F$108,3,FALSE)="CUMPLE","HÁBIL",IF(VLOOKUP(C81,'EVAL. ECONOMICA'!$C$19:$F$108,3,FALSE)="NO CUMPLE-1","NO HÁBIL","RECHAZO"))</f>
        <v>HÁBIL</v>
      </c>
      <c r="J81" s="194" t="str">
        <f ca="1">IF(ISNUMBER(D81),"",IF(VLOOKUP("S"&amp;C81,EXPERIENCIA!$A$20:$X$9193,15,0)="CUMPLE","HÁBIL","NO HÁBIL"))</f>
        <v>HÁBIL</v>
      </c>
      <c r="K81" s="194" t="str">
        <f>IF(ISNUMBER(D81),"",IF(VLOOKUP("T"&amp;C81,EXPERIENCIA!$A$20:$X$9193,11,0)="CUMPLE","HÁBIL","NO HÁBIL"))</f>
        <v>HÁBIL</v>
      </c>
      <c r="L81" s="194" t="str">
        <f t="shared" ca="1" si="1"/>
        <v>HÁBIL</v>
      </c>
    </row>
    <row r="82" spans="2:12" ht="24">
      <c r="B82" s="114">
        <f t="shared" si="0"/>
        <v>64</v>
      </c>
      <c r="C82" s="62">
        <f>IF(VLOOKUP(B82,PROPONENTES!$B$19:$E$109,2,0)="","",VLOOKUP(B82,PROPONENTES!$B$19:$E$109,2,0))</f>
        <v>64</v>
      </c>
      <c r="D82" s="63" t="str">
        <f>IF(VLOOKUP(B82,PROPONENTES!$B$19:$E$108,3,0)="","",VLOOKUP(B82,PROPONENTES!$B$19:$E$108,3,0))</f>
        <v>UNION TEMPORAL INTERTOL 001 2022</v>
      </c>
      <c r="E82" s="65" t="s">
        <v>1139</v>
      </c>
      <c r="F82" s="65" t="s">
        <v>1139</v>
      </c>
      <c r="G82" s="65" t="s">
        <v>1139</v>
      </c>
      <c r="H82" s="65" t="str">
        <f>IF(VLOOKUP(B82,'EQUIPO DE TRABAJO'!$B$19:$F$108,4,FALSE)="CUMPLE","HÁBIL",IF(VLOOKUP(B82,'EQUIPO DE TRABAJO'!$B$19:$F$108,4,FALSE)="NO CUMPLE-1","NO HÁBIL","RECHAZO"))</f>
        <v>HÁBIL</v>
      </c>
      <c r="I82" s="65" t="str">
        <f>IF(VLOOKUP(C82,'EVAL. ECONOMICA'!$C$19:$F$108,3,FALSE)="CUMPLE","HÁBIL",IF(VLOOKUP(C82,'EVAL. ECONOMICA'!$C$19:$F$108,3,FALSE)="NO CUMPLE-1","NO HÁBIL","RECHAZO"))</f>
        <v>HÁBIL</v>
      </c>
      <c r="J82" s="194" t="str">
        <f ca="1">IF(ISNUMBER(D82),"",IF(VLOOKUP("S"&amp;C82,EXPERIENCIA!$A$20:$X$9193,15,0)="CUMPLE","HÁBIL","NO HÁBIL"))</f>
        <v>HÁBIL</v>
      </c>
      <c r="K82" s="194" t="str">
        <f ca="1">IF(ISNUMBER(D82),"",IF(VLOOKUP("T"&amp;C82,EXPERIENCIA!$A$20:$X$9193,11,0)="CUMPLE","HÁBIL","NO HÁBIL"))</f>
        <v>HÁBIL</v>
      </c>
      <c r="L82" s="194" t="str">
        <f t="shared" ca="1" si="1"/>
        <v>HÁBIL</v>
      </c>
    </row>
    <row r="83" spans="2:12" ht="24">
      <c r="B83" s="114">
        <f t="shared" si="0"/>
        <v>65</v>
      </c>
      <c r="C83" s="62">
        <f>IF(VLOOKUP(B83,PROPONENTES!$B$19:$E$109,2,0)="","",VLOOKUP(B83,PROPONENTES!$B$19:$E$109,2,0))</f>
        <v>65</v>
      </c>
      <c r="D83" s="63" t="str">
        <f>IF(VLOOKUP(B83,PROPONENTES!$B$19:$E$108,3,0)="","",VLOOKUP(B83,PROPONENTES!$B$19:$E$108,3,0))</f>
        <v>PROYECTISTAS DE COLOMBIA &amp; CIA SAS</v>
      </c>
      <c r="E83" s="654" t="s">
        <v>1172</v>
      </c>
      <c r="F83" s="65" t="s">
        <v>1139</v>
      </c>
      <c r="G83" s="65" t="s">
        <v>1139</v>
      </c>
      <c r="H83" s="65" t="str">
        <f>IF(VLOOKUP(B83,'EQUIPO DE TRABAJO'!$B$19:$F$108,4,FALSE)="CUMPLE","HÁBIL",IF(VLOOKUP(B83,'EQUIPO DE TRABAJO'!$B$19:$F$108,4,FALSE)="NO CUMPLE-1","NO HÁBIL","RECHAZO"))</f>
        <v>HÁBIL</v>
      </c>
      <c r="I83" s="65" t="str">
        <f>IF(VLOOKUP(C83,'EVAL. ECONOMICA'!$C$19:$F$108,3,FALSE)="CUMPLE","HÁBIL",IF(VLOOKUP(C83,'EVAL. ECONOMICA'!$C$19:$F$108,3,FALSE)="NO CUMPLE-1","NO HÁBIL","RECHAZO"))</f>
        <v>HÁBIL</v>
      </c>
      <c r="J83" s="194" t="str">
        <f ca="1">IF(ISNUMBER(D83),"",IF(VLOOKUP("S"&amp;C83,EXPERIENCIA!$A$20:$X$9193,15,0)="CUMPLE","HÁBIL","NO HÁBIL"))</f>
        <v>HÁBIL</v>
      </c>
      <c r="K83" s="194" t="str">
        <f>IF(ISNUMBER(D83),"",IF(VLOOKUP("T"&amp;C83,EXPERIENCIA!$A$20:$X$9193,11,0)="CUMPLE","HÁBIL","NO HÁBIL"))</f>
        <v>HÁBIL</v>
      </c>
      <c r="L83" s="194" t="str">
        <f t="shared" ca="1" si="1"/>
        <v>RECHAZO</v>
      </c>
    </row>
    <row r="84" spans="2:12" ht="13.5">
      <c r="B84" s="114">
        <f t="shared" ref="B84:B108" si="3">ROW()-18</f>
        <v>66</v>
      </c>
      <c r="C84" s="62">
        <f>IF(VLOOKUP(B84,PROPONENTES!$B$19:$E$109,2,0)="","",VLOOKUP(B84,PROPONENTES!$B$19:$E$109,2,0))</f>
        <v>66</v>
      </c>
      <c r="D84" s="63" t="str">
        <f>IF(VLOOKUP(B84,PROPONENTES!$B$19:$E$108,3,0)="","",VLOOKUP(B84,PROPONENTES!$B$19:$E$108,3,0))</f>
        <v>CONSORCIO VIAL INGENIERIA 2022</v>
      </c>
      <c r="E84" s="65" t="s">
        <v>1139</v>
      </c>
      <c r="F84" s="65" t="s">
        <v>1139</v>
      </c>
      <c r="G84" s="65" t="s">
        <v>1139</v>
      </c>
      <c r="H84" s="65" t="str">
        <f>IF(VLOOKUP(B84,'EQUIPO DE TRABAJO'!$B$19:$F$108,4,FALSE)="CUMPLE","HÁBIL",IF(VLOOKUP(B84,'EQUIPO DE TRABAJO'!$B$19:$F$108,4,FALSE)="NO CUMPLE-1","NO HÁBIL","RECHAZO"))</f>
        <v>HÁBIL</v>
      </c>
      <c r="I84" s="65" t="str">
        <f>IF(VLOOKUP(C84,'EVAL. ECONOMICA'!$C$19:$F$108,3,FALSE)="CUMPLE","HÁBIL",IF(VLOOKUP(C84,'EVAL. ECONOMICA'!$C$19:$F$108,3,FALSE)="NO CUMPLE-1","NO HÁBIL","RECHAZO"))</f>
        <v>HÁBIL</v>
      </c>
      <c r="J84" s="194" t="str">
        <f ca="1">IF(ISNUMBER(D84),"",IF(VLOOKUP("S"&amp;C84,EXPERIENCIA!$A$20:$X$9193,15,0)="CUMPLE","HÁBIL","NO HÁBIL"))</f>
        <v>HÁBIL</v>
      </c>
      <c r="K84" s="194" t="str">
        <f ca="1">IF(ISNUMBER(D84),"",IF(VLOOKUP("T"&amp;C84,EXPERIENCIA!$A$20:$X$9193,11,0)="CUMPLE","HÁBIL","NO HÁBIL"))</f>
        <v>HÁBIL</v>
      </c>
      <c r="L84" s="194" t="str">
        <f t="shared" ref="L84:L108" ca="1" si="4">IF(OR(COUNTIF(E84:K84,"")=5,COUNTIF(E84:K84,"")&gt;0),"",IF(COUNTIF(E84:K84,"RECHAZO")&gt;0,"RECHAZO",IF(COUNTIF(E84:K84,"NO HÁBIL")=0,"HÁBIL","NO HÁBIL")))</f>
        <v>HÁBIL</v>
      </c>
    </row>
    <row r="85" spans="2:12" ht="13.5">
      <c r="B85" s="114">
        <f t="shared" si="3"/>
        <v>67</v>
      </c>
      <c r="C85" s="62">
        <f>IF(VLOOKUP(B85,PROPONENTES!$B$19:$E$109,2,0)="","",VLOOKUP(B85,PROPONENTES!$B$19:$E$109,2,0))</f>
        <v>67</v>
      </c>
      <c r="D85" s="63" t="str">
        <f>IF(VLOOKUP(B85,PROPONENTES!$B$19:$E$108,3,0)="","",VLOOKUP(B85,PROPONENTES!$B$19:$E$108,3,0))</f>
        <v>CONSORCIO AV</v>
      </c>
      <c r="E85" s="65" t="s">
        <v>1139</v>
      </c>
      <c r="F85" s="65" t="s">
        <v>1139</v>
      </c>
      <c r="G85" s="65" t="s">
        <v>1139</v>
      </c>
      <c r="H85" s="65" t="str">
        <f>IF(VLOOKUP(B85,'EQUIPO DE TRABAJO'!$B$19:$F$108,4,FALSE)="CUMPLE","HÁBIL",IF(VLOOKUP(B85,'EQUIPO DE TRABAJO'!$B$19:$F$108,4,FALSE)="NO CUMPLE-1","NO HÁBIL","RECHAZO"))</f>
        <v>HÁBIL</v>
      </c>
      <c r="I85" s="65" t="str">
        <f>IF(VLOOKUP(C85,'EVAL. ECONOMICA'!$C$19:$F$108,3,FALSE)="CUMPLE","HÁBIL",IF(VLOOKUP(C85,'EVAL. ECONOMICA'!$C$19:$F$108,3,FALSE)="NO CUMPLE-1","NO HÁBIL","RECHAZO"))</f>
        <v>HÁBIL</v>
      </c>
      <c r="J85" s="194" t="str">
        <f ca="1">IF(ISNUMBER(D85),"",IF(VLOOKUP("S"&amp;C85,EXPERIENCIA!$A$20:$X$9193,15,0)="CUMPLE","HÁBIL","NO HÁBIL"))</f>
        <v>HÁBIL</v>
      </c>
      <c r="K85" s="194" t="str">
        <f ca="1">IF(ISNUMBER(D85),"",IF(VLOOKUP("T"&amp;C85,EXPERIENCIA!$A$20:$X$9193,11,0)="CUMPLE","HÁBIL","NO HÁBIL"))</f>
        <v>HÁBIL</v>
      </c>
      <c r="L85" s="194" t="str">
        <f t="shared" ca="1" si="4"/>
        <v>HÁBIL</v>
      </c>
    </row>
    <row r="86" spans="2:12" ht="24">
      <c r="B86" s="114">
        <f t="shared" si="3"/>
        <v>68</v>
      </c>
      <c r="C86" s="62">
        <f>IF(VLOOKUP(B86,PROPONENTES!$B$19:$E$109,2,0)="","",VLOOKUP(B86,PROPONENTES!$B$19:$E$109,2,0))</f>
        <v>68</v>
      </c>
      <c r="D86" s="63" t="str">
        <f>IF(VLOOKUP(B86,PROPONENTES!$B$19:$E$108,3,0)="","",VLOOKUP(B86,PROPONENTES!$B$19:$E$108,3,0))</f>
        <v>SOLUCIONES PARA LA INGENIERÍA S.A.S.</v>
      </c>
      <c r="E86" s="65" t="s">
        <v>1139</v>
      </c>
      <c r="F86" s="65" t="s">
        <v>1139</v>
      </c>
      <c r="G86" s="65" t="s">
        <v>1139</v>
      </c>
      <c r="H86" s="65" t="str">
        <f>IF(VLOOKUP(B86,'EQUIPO DE TRABAJO'!$B$19:$F$108,4,FALSE)="CUMPLE","HÁBIL",IF(VLOOKUP(B86,'EQUIPO DE TRABAJO'!$B$19:$F$108,4,FALSE)="NO CUMPLE-1","NO HÁBIL","RECHAZO"))</f>
        <v>HÁBIL</v>
      </c>
      <c r="I86" s="65" t="str">
        <f>IF(VLOOKUP(C86,'EVAL. ECONOMICA'!$C$19:$F$108,3,FALSE)="CUMPLE","HÁBIL",IF(VLOOKUP(C86,'EVAL. ECONOMICA'!$C$19:$F$108,3,FALSE)="NO CUMPLE-1","NO HÁBIL","RECHAZO"))</f>
        <v>HÁBIL</v>
      </c>
      <c r="J86" s="194" t="str">
        <f ca="1">IF(ISNUMBER(D86),"",IF(VLOOKUP("S"&amp;C86,EXPERIENCIA!$A$20:$X$9193,15,0)="CUMPLE","HÁBIL","NO HÁBIL"))</f>
        <v>HÁBIL</v>
      </c>
      <c r="K86" s="194" t="str">
        <f>IF(ISNUMBER(D86),"",IF(VLOOKUP("T"&amp;C86,EXPERIENCIA!$A$20:$X$9193,11,0)="CUMPLE","HÁBIL","NO HÁBIL"))</f>
        <v>HÁBIL</v>
      </c>
      <c r="L86" s="194" t="str">
        <f t="shared" ca="1" si="4"/>
        <v>HÁBIL</v>
      </c>
    </row>
    <row r="87" spans="2:12" ht="13.5">
      <c r="B87" s="114">
        <f t="shared" si="3"/>
        <v>69</v>
      </c>
      <c r="C87" s="62">
        <f>IF(VLOOKUP(B87,PROPONENTES!$B$19:$E$109,2,0)="","",VLOOKUP(B87,PROPONENTES!$B$19:$E$109,2,0))</f>
        <v>69</v>
      </c>
      <c r="D87" s="63" t="str">
        <f>IF(VLOOKUP(B87,PROPONENTES!$B$19:$E$108,3,0)="","",VLOOKUP(B87,PROPONENTES!$B$19:$E$108,3,0))</f>
        <v>Unión Temporal Intervías Tolima</v>
      </c>
      <c r="E87" s="65" t="s">
        <v>1139</v>
      </c>
      <c r="F87" s="65" t="s">
        <v>1139</v>
      </c>
      <c r="G87" s="65" t="s">
        <v>1139</v>
      </c>
      <c r="H87" s="65" t="str">
        <f>IF(VLOOKUP(B87,'EQUIPO DE TRABAJO'!$B$19:$F$108,4,FALSE)="CUMPLE","HÁBIL",IF(VLOOKUP(B87,'EQUIPO DE TRABAJO'!$B$19:$F$108,4,FALSE)="NO CUMPLE-1","NO HÁBIL","RECHAZO"))</f>
        <v>HÁBIL</v>
      </c>
      <c r="I87" s="65" t="str">
        <f>IF(VLOOKUP(C87,'EVAL. ECONOMICA'!$C$19:$F$108,3,FALSE)="CUMPLE","HÁBIL",IF(VLOOKUP(C87,'EVAL. ECONOMICA'!$C$19:$F$108,3,FALSE)="NO CUMPLE-1","NO HÁBIL","RECHAZO"))</f>
        <v>HÁBIL</v>
      </c>
      <c r="J87" s="194" t="str">
        <f ca="1">IF(ISNUMBER(D87),"",IF(VLOOKUP("S"&amp;C87,EXPERIENCIA!$A$20:$X$9193,15,0)="CUMPLE","HÁBIL","NO HÁBIL"))</f>
        <v>HÁBIL</v>
      </c>
      <c r="K87" s="194" t="str">
        <f ca="1">IF(ISNUMBER(D87),"",IF(VLOOKUP("T"&amp;C87,EXPERIENCIA!$A$20:$X$9193,11,0)="CUMPLE","HÁBIL","NO HÁBIL"))</f>
        <v>HÁBIL</v>
      </c>
      <c r="L87" s="194" t="str">
        <f t="shared" ca="1" si="4"/>
        <v>HÁBIL</v>
      </c>
    </row>
    <row r="88" spans="2:12" ht="13.5">
      <c r="B88" s="114">
        <f t="shared" si="3"/>
        <v>70</v>
      </c>
      <c r="C88" s="62">
        <f>IF(VLOOKUP(B88,PROPONENTES!$B$19:$E$109,2,0)="","",VLOOKUP(B88,PROPONENTES!$B$19:$E$109,2,0))</f>
        <v>70</v>
      </c>
      <c r="D88" s="63" t="str">
        <f>IF(VLOOKUP(B88,PROPONENTES!$B$19:$E$108,3,0)="","",VLOOKUP(B88,PROPONENTES!$B$19:$E$108,3,0))</f>
        <v>CONSORCIO DT TOLIMA ZP</v>
      </c>
      <c r="E88" s="65" t="s">
        <v>1139</v>
      </c>
      <c r="F88" s="65" t="s">
        <v>1139</v>
      </c>
      <c r="G88" s="65" t="s">
        <v>1139</v>
      </c>
      <c r="H88" s="65" t="str">
        <f>IF(VLOOKUP(B88,'EQUIPO DE TRABAJO'!$B$19:$F$108,4,FALSE)="CUMPLE","HÁBIL",IF(VLOOKUP(B88,'EQUIPO DE TRABAJO'!$B$19:$F$108,4,FALSE)="NO CUMPLE-1","NO HÁBIL","RECHAZO"))</f>
        <v>HÁBIL</v>
      </c>
      <c r="I88" s="65" t="str">
        <f>IF(VLOOKUP(C88,'EVAL. ECONOMICA'!$C$19:$F$108,3,FALSE)="CUMPLE","HÁBIL",IF(VLOOKUP(C88,'EVAL. ECONOMICA'!$C$19:$F$108,3,FALSE)="NO CUMPLE-1","NO HÁBIL","RECHAZO"))</f>
        <v>HÁBIL</v>
      </c>
      <c r="J88" s="194" t="str">
        <f ca="1">IF(ISNUMBER(D88),"",IF(VLOOKUP("S"&amp;C88,EXPERIENCIA!$A$20:$X$9193,15,0)="CUMPLE","HÁBIL","NO HÁBIL"))</f>
        <v>HÁBIL</v>
      </c>
      <c r="K88" s="194" t="str">
        <f ca="1">IF(ISNUMBER(D88),"",IF(VLOOKUP("T"&amp;C88,EXPERIENCIA!$A$20:$X$9193,11,0)="CUMPLE","HÁBIL","NO HÁBIL"))</f>
        <v>HÁBIL</v>
      </c>
      <c r="L88" s="194" t="str">
        <f t="shared" ca="1" si="4"/>
        <v>HÁBIL</v>
      </c>
    </row>
    <row r="89" spans="2:12" ht="24">
      <c r="B89" s="114">
        <f t="shared" si="3"/>
        <v>71</v>
      </c>
      <c r="C89" s="62">
        <f>IF(VLOOKUP(B89,PROPONENTES!$B$19:$E$109,2,0)="","",VLOOKUP(B89,PROPONENTES!$B$19:$E$109,2,0))</f>
        <v>71</v>
      </c>
      <c r="D89" s="63" t="str">
        <f>IF(VLOOKUP(B89,PROPONENTES!$B$19:$E$108,3,0)="","",VLOOKUP(B89,PROPONENTES!$B$19:$E$108,3,0))</f>
        <v>INGENIEROS CIVILES ESPECIALISTAS S.A.S.</v>
      </c>
      <c r="E89" s="65" t="s">
        <v>1139</v>
      </c>
      <c r="F89" s="65" t="s">
        <v>1139</v>
      </c>
      <c r="G89" s="65" t="s">
        <v>1139</v>
      </c>
      <c r="H89" s="65" t="str">
        <f>IF(VLOOKUP(B89,'EQUIPO DE TRABAJO'!$B$19:$F$108,4,FALSE)="CUMPLE","HÁBIL",IF(VLOOKUP(B89,'EQUIPO DE TRABAJO'!$B$19:$F$108,4,FALSE)="NO CUMPLE-1","NO HÁBIL","RECHAZO"))</f>
        <v>HÁBIL</v>
      </c>
      <c r="I89" s="65" t="str">
        <f>IF(VLOOKUP(C89,'EVAL. ECONOMICA'!$C$19:$F$108,3,FALSE)="CUMPLE","HÁBIL",IF(VLOOKUP(C89,'EVAL. ECONOMICA'!$C$19:$F$108,3,FALSE)="NO CUMPLE-1","NO HÁBIL","RECHAZO"))</f>
        <v>HÁBIL</v>
      </c>
      <c r="J89" s="194" t="str">
        <f ca="1">IF(ISNUMBER(D89),"",IF(VLOOKUP("S"&amp;C89,EXPERIENCIA!$A$20:$X$9193,15,0)="CUMPLE","HÁBIL","NO HÁBIL"))</f>
        <v>HÁBIL</v>
      </c>
      <c r="K89" s="194" t="str">
        <f>IF(ISNUMBER(D89),"",IF(VLOOKUP("T"&amp;C89,EXPERIENCIA!$A$20:$X$9193,11,0)="CUMPLE","HÁBIL","NO HÁBIL"))</f>
        <v>HÁBIL</v>
      </c>
      <c r="L89" s="194" t="str">
        <f t="shared" ca="1" si="4"/>
        <v>HÁBIL</v>
      </c>
    </row>
    <row r="90" spans="2:12" ht="13.5">
      <c r="B90" s="114">
        <f t="shared" si="3"/>
        <v>72</v>
      </c>
      <c r="C90" s="62">
        <f>IF(VLOOKUP(B90,PROPONENTES!$B$19:$E$109,2,0)="","",VLOOKUP(B90,PROPONENTES!$B$19:$E$109,2,0))</f>
        <v>72</v>
      </c>
      <c r="D90" s="63" t="str">
        <f>IF(VLOOKUP(B90,PROPONENTES!$B$19:$E$108,3,0)="","",VLOOKUP(B90,PROPONENTES!$B$19:$E$108,3,0))</f>
        <v>GRUPO QUIMBAYA S.A.S.</v>
      </c>
      <c r="E90" s="65" t="s">
        <v>1139</v>
      </c>
      <c r="F90" s="65" t="s">
        <v>1139</v>
      </c>
      <c r="G90" s="65" t="s">
        <v>1139</v>
      </c>
      <c r="H90" s="65" t="str">
        <f>IF(VLOOKUP(B90,'EQUIPO DE TRABAJO'!$B$19:$F$108,4,FALSE)="CUMPLE","HÁBIL",IF(VLOOKUP(B90,'EQUIPO DE TRABAJO'!$B$19:$F$108,4,FALSE)="NO CUMPLE-1","NO HÁBIL","RECHAZO"))</f>
        <v>HÁBIL</v>
      </c>
      <c r="I90" s="65" t="str">
        <f>IF(VLOOKUP(C90,'EVAL. ECONOMICA'!$C$19:$F$108,3,FALSE)="CUMPLE","HÁBIL",IF(VLOOKUP(C90,'EVAL. ECONOMICA'!$C$19:$F$108,3,FALSE)="NO CUMPLE-1","NO HÁBIL","RECHAZO"))</f>
        <v>HÁBIL</v>
      </c>
      <c r="J90" s="194" t="str">
        <f ca="1">IF(ISNUMBER(D90),"",IF(VLOOKUP("S"&amp;C90,EXPERIENCIA!$A$20:$X$9193,15,0)="CUMPLE","HÁBIL","NO HÁBIL"))</f>
        <v>HÁBIL</v>
      </c>
      <c r="K90" s="194" t="str">
        <f>IF(ISNUMBER(D90),"",IF(VLOOKUP("T"&amp;C90,EXPERIENCIA!$A$20:$X$9193,11,0)="CUMPLE","HÁBIL","NO HÁBIL"))</f>
        <v>HÁBIL</v>
      </c>
      <c r="L90" s="194" t="str">
        <f t="shared" ca="1" si="4"/>
        <v>HÁBIL</v>
      </c>
    </row>
    <row r="91" spans="2:12" ht="13.5">
      <c r="B91" s="114">
        <f t="shared" si="3"/>
        <v>73</v>
      </c>
      <c r="C91" s="62">
        <f>IF(VLOOKUP(B91,PROPONENTES!$B$19:$E$109,2,0)="","",VLOOKUP(B91,PROPONENTES!$B$19:$E$109,2,0))</f>
        <v>73</v>
      </c>
      <c r="D91" s="63" t="str">
        <f>IF(VLOOKUP(B91,PROPONENTES!$B$19:$E$108,3,0)="","",VLOOKUP(B91,PROPONENTES!$B$19:$E$108,3,0))</f>
        <v>CONSORCIO TOLIMA JI 001</v>
      </c>
      <c r="E91" s="65" t="s">
        <v>1139</v>
      </c>
      <c r="F91" s="65" t="s">
        <v>1139</v>
      </c>
      <c r="G91" s="65" t="s">
        <v>1139</v>
      </c>
      <c r="H91" s="65" t="str">
        <f>IF(VLOOKUP(B91,'EQUIPO DE TRABAJO'!$B$19:$F$108,4,FALSE)="CUMPLE","HÁBIL",IF(VLOOKUP(B91,'EQUIPO DE TRABAJO'!$B$19:$F$108,4,FALSE)="NO CUMPLE-1","NO HÁBIL","RECHAZO"))</f>
        <v>HÁBIL</v>
      </c>
      <c r="I91" s="65" t="str">
        <f>IF(VLOOKUP(C91,'EVAL. ECONOMICA'!$C$19:$F$108,3,FALSE)="CUMPLE","HÁBIL",IF(VLOOKUP(C91,'EVAL. ECONOMICA'!$C$19:$F$108,3,FALSE)="NO CUMPLE-1","NO HÁBIL","RECHAZO"))</f>
        <v>HÁBIL</v>
      </c>
      <c r="J91" s="194" t="str">
        <f ca="1">IF(ISNUMBER(D91),"",IF(VLOOKUP("S"&amp;C91,EXPERIENCIA!$A$20:$X$9193,15,0)="CUMPLE","HÁBIL","NO HÁBIL"))</f>
        <v>HÁBIL</v>
      </c>
      <c r="K91" s="194" t="str">
        <f ca="1">IF(ISNUMBER(D91),"",IF(VLOOKUP("T"&amp;C91,EXPERIENCIA!$A$20:$X$9193,11,0)="CUMPLE","HÁBIL","NO HÁBIL"))</f>
        <v>NO HÁBIL</v>
      </c>
      <c r="L91" s="194" t="str">
        <f t="shared" ca="1" si="4"/>
        <v>NO HÁBIL</v>
      </c>
    </row>
    <row r="92" spans="2:12" ht="24">
      <c r="B92" s="114">
        <f t="shared" si="3"/>
        <v>74</v>
      </c>
      <c r="C92" s="62">
        <f>IF(VLOOKUP(B92,PROPONENTES!$B$19:$E$109,2,0)="","",VLOOKUP(B92,PROPONENTES!$B$19:$E$109,2,0))</f>
        <v>74</v>
      </c>
      <c r="D92" s="63" t="str">
        <f>IF(VLOOKUP(B92,PROPONENTES!$B$19:$E$108,3,0)="","",VLOOKUP(B92,PROPONENTES!$B$19:$E$108,3,0))</f>
        <v>INGENIERIA CONUSLTORIA Y PLANEACION S.A – INCOPLAN S.A</v>
      </c>
      <c r="E92" s="65" t="s">
        <v>1139</v>
      </c>
      <c r="F92" s="65" t="s">
        <v>1139</v>
      </c>
      <c r="G92" s="65" t="s">
        <v>1139</v>
      </c>
      <c r="H92" s="65" t="str">
        <f>IF(VLOOKUP(B92,'EQUIPO DE TRABAJO'!$B$19:$F$108,4,FALSE)="CUMPLE","HÁBIL",IF(VLOOKUP(B92,'EQUIPO DE TRABAJO'!$B$19:$F$108,4,FALSE)="NO CUMPLE-1","NO HÁBIL","RECHAZO"))</f>
        <v>HÁBIL</v>
      </c>
      <c r="I92" s="65" t="str">
        <f>IF(VLOOKUP(C92,'EVAL. ECONOMICA'!$C$19:$F$108,3,FALSE)="CUMPLE","HÁBIL",IF(VLOOKUP(C92,'EVAL. ECONOMICA'!$C$19:$F$108,3,FALSE)="NO CUMPLE-1","NO HÁBIL","RECHAZO"))</f>
        <v>HÁBIL</v>
      </c>
      <c r="J92" s="194" t="str">
        <f ca="1">IF(ISNUMBER(D92),"",IF(VLOOKUP("S"&amp;C92,EXPERIENCIA!$A$20:$X$9193,15,0)="CUMPLE","HÁBIL","NO HÁBIL"))</f>
        <v>HÁBIL</v>
      </c>
      <c r="K92" s="194" t="str">
        <f>IF(ISNUMBER(D92),"",IF(VLOOKUP("T"&amp;C92,EXPERIENCIA!$A$20:$X$9193,11,0)="CUMPLE","HÁBIL","NO HÁBIL"))</f>
        <v>HÁBIL</v>
      </c>
      <c r="L92" s="194" t="str">
        <f t="shared" ca="1" si="4"/>
        <v>HÁBIL</v>
      </c>
    </row>
    <row r="93" spans="2:12" ht="13.5">
      <c r="B93" s="114">
        <f t="shared" si="3"/>
        <v>75</v>
      </c>
      <c r="C93" s="62">
        <f>IF(VLOOKUP(B93,PROPONENTES!$B$19:$E$109,2,0)="","",VLOOKUP(B93,PROPONENTES!$B$19:$E$109,2,0))</f>
        <v>75</v>
      </c>
      <c r="D93" s="63" t="str">
        <f>IF(VLOOKUP(B93,PROPONENTES!$B$19:$E$108,3,0)="","",VLOOKUP(B93,PROPONENTES!$B$19:$E$108,3,0))</f>
        <v>JAIME MORENO ESPAÑA</v>
      </c>
      <c r="E93" s="65" t="s">
        <v>1139</v>
      </c>
      <c r="F93" s="65" t="s">
        <v>1139</v>
      </c>
      <c r="G93" s="65" t="s">
        <v>1139</v>
      </c>
      <c r="H93" s="65" t="str">
        <f>IF(VLOOKUP(B93,'EQUIPO DE TRABAJO'!$B$19:$F$108,4,FALSE)="CUMPLE","HÁBIL",IF(VLOOKUP(B93,'EQUIPO DE TRABAJO'!$B$19:$F$108,4,FALSE)="NO CUMPLE-1","NO HÁBIL","RECHAZO"))</f>
        <v>HÁBIL</v>
      </c>
      <c r="I93" s="65" t="str">
        <f>IF(VLOOKUP(C93,'EVAL. ECONOMICA'!$C$19:$F$108,3,FALSE)="CUMPLE","HÁBIL",IF(VLOOKUP(C93,'EVAL. ECONOMICA'!$C$19:$F$108,3,FALSE)="NO CUMPLE-1","NO HÁBIL","RECHAZO"))</f>
        <v>HÁBIL</v>
      </c>
      <c r="J93" s="194" t="str">
        <f ca="1">IF(ISNUMBER(D93),"",IF(VLOOKUP("S"&amp;C93,EXPERIENCIA!$A$20:$X$9193,15,0)="CUMPLE","HÁBIL","NO HÁBIL"))</f>
        <v>HÁBIL</v>
      </c>
      <c r="K93" s="194" t="str">
        <f>IF(ISNUMBER(D93),"",IF(VLOOKUP("T"&amp;C93,EXPERIENCIA!$A$20:$X$9193,11,0)="CUMPLE","HÁBIL","NO HÁBIL"))</f>
        <v>HÁBIL</v>
      </c>
      <c r="L93" s="194" t="str">
        <f t="shared" ca="1" si="4"/>
        <v>HÁBIL</v>
      </c>
    </row>
    <row r="94" spans="2:12" ht="13.5">
      <c r="B94" s="114">
        <f t="shared" si="3"/>
        <v>76</v>
      </c>
      <c r="C94" s="62">
        <f>IF(VLOOKUP(B94,PROPONENTES!$B$19:$E$109,2,0)="","",VLOOKUP(B94,PROPONENTES!$B$19:$E$109,2,0))</f>
        <v>76</v>
      </c>
      <c r="D94" s="63" t="str">
        <f>IF(VLOOKUP(B94,PROPONENTES!$B$19:$E$108,3,0)="","",VLOOKUP(B94,PROPONENTES!$B$19:$E$108,3,0))</f>
        <v>CONSORCIO DIN ISUTECH</v>
      </c>
      <c r="E94" s="65" t="s">
        <v>1139</v>
      </c>
      <c r="F94" s="65" t="s">
        <v>1139</v>
      </c>
      <c r="G94" s="65" t="s">
        <v>1139</v>
      </c>
      <c r="H94" s="65" t="str">
        <f>IF(VLOOKUP(B94,'EQUIPO DE TRABAJO'!$B$19:$F$108,4,FALSE)="CUMPLE","HÁBIL",IF(VLOOKUP(B94,'EQUIPO DE TRABAJO'!$B$19:$F$108,4,FALSE)="NO CUMPLE-1","NO HÁBIL","RECHAZO"))</f>
        <v>HÁBIL</v>
      </c>
      <c r="I94" s="65" t="str">
        <f>IF(VLOOKUP(C94,'EVAL. ECONOMICA'!$C$19:$F$108,3,FALSE)="CUMPLE","HÁBIL",IF(VLOOKUP(C94,'EVAL. ECONOMICA'!$C$19:$F$108,3,FALSE)="NO CUMPLE-1","NO HÁBIL","RECHAZO"))</f>
        <v>HÁBIL</v>
      </c>
      <c r="J94" s="194" t="str">
        <f ca="1">IF(ISNUMBER(D94),"",IF(VLOOKUP("S"&amp;C94,EXPERIENCIA!$A$20:$X$9193,15,0)="CUMPLE","HÁBIL","NO HÁBIL"))</f>
        <v>HÁBIL</v>
      </c>
      <c r="K94" s="194" t="str">
        <f ca="1">IF(ISNUMBER(D94),"",IF(VLOOKUP("T"&amp;C94,EXPERIENCIA!$A$20:$X$9193,11,0)="CUMPLE","HÁBIL","NO HÁBIL"))</f>
        <v>HÁBIL</v>
      </c>
      <c r="L94" s="194" t="str">
        <f t="shared" ca="1" si="4"/>
        <v>HÁBIL</v>
      </c>
    </row>
    <row r="95" spans="2:12" ht="24">
      <c r="B95" s="114">
        <f t="shared" si="3"/>
        <v>77</v>
      </c>
      <c r="C95" s="62">
        <f>IF(VLOOKUP(B95,PROPONENTES!$B$19:$E$109,2,0)="","",VLOOKUP(B95,PROPONENTES!$B$19:$E$109,2,0))</f>
        <v>77</v>
      </c>
      <c r="D95" s="63" t="str">
        <f>IF(VLOOKUP(B95,PROPONENTES!$B$19:$E$108,3,0)="","",VLOOKUP(B95,PROPONENTES!$B$19:$E$108,3,0))</f>
        <v>CONSORCIO CASTORES – INGES INVIAS 2022</v>
      </c>
      <c r="E95" s="65" t="s">
        <v>1139</v>
      </c>
      <c r="F95" s="65" t="s">
        <v>1139</v>
      </c>
      <c r="G95" s="65" t="s">
        <v>1139</v>
      </c>
      <c r="H95" s="65" t="str">
        <f>IF(VLOOKUP(B95,'EQUIPO DE TRABAJO'!$B$19:$F$108,4,FALSE)="CUMPLE","HÁBIL",IF(VLOOKUP(B95,'EQUIPO DE TRABAJO'!$B$19:$F$108,4,FALSE)="NO CUMPLE-1","NO HÁBIL","RECHAZO"))</f>
        <v>HÁBIL</v>
      </c>
      <c r="I95" s="65" t="str">
        <f>IF(VLOOKUP(C95,'EVAL. ECONOMICA'!$C$19:$F$108,3,FALSE)="CUMPLE","HÁBIL",IF(VLOOKUP(C95,'EVAL. ECONOMICA'!$C$19:$F$108,3,FALSE)="NO CUMPLE-1","NO HÁBIL","RECHAZO"))</f>
        <v>HÁBIL</v>
      </c>
      <c r="J95" s="194" t="str">
        <f ca="1">IF(ISNUMBER(D95),"",IF(VLOOKUP("S"&amp;C95,EXPERIENCIA!$A$20:$X$9193,15,0)="CUMPLE","HÁBIL","NO HÁBIL"))</f>
        <v>HÁBIL</v>
      </c>
      <c r="K95" s="194" t="str">
        <f ca="1">IF(ISNUMBER(D95),"",IF(VLOOKUP("T"&amp;C95,EXPERIENCIA!$A$20:$X$9193,11,0)="CUMPLE","HÁBIL","NO HÁBIL"))</f>
        <v>HÁBIL</v>
      </c>
      <c r="L95" s="194" t="str">
        <f t="shared" ca="1" si="4"/>
        <v>HÁBIL</v>
      </c>
    </row>
    <row r="96" spans="2:12" ht="13.5">
      <c r="B96" s="114">
        <f t="shared" si="3"/>
        <v>78</v>
      </c>
      <c r="C96" s="62">
        <f>IF(VLOOKUP(B96,PROPONENTES!$B$19:$E$109,2,0)="","",VLOOKUP(B96,PROPONENTES!$B$19:$E$109,2,0))</f>
        <v>78</v>
      </c>
      <c r="D96" s="63" t="str">
        <f>IF(VLOOKUP(B96,PROPONENTES!$B$19:$E$108,3,0)="","",VLOOKUP(B96,PROPONENTES!$B$19:$E$108,3,0))</f>
        <v>NUBIA ISABEL QUEVEDO ÁNGEL</v>
      </c>
      <c r="E96" s="65" t="s">
        <v>1139</v>
      </c>
      <c r="F96" s="65" t="s">
        <v>1139</v>
      </c>
      <c r="G96" s="65" t="s">
        <v>1139</v>
      </c>
      <c r="H96" s="65" t="str">
        <f>IF(VLOOKUP(B96,'EQUIPO DE TRABAJO'!$B$19:$F$108,4,FALSE)="CUMPLE","HÁBIL",IF(VLOOKUP(B96,'EQUIPO DE TRABAJO'!$B$19:$F$108,4,FALSE)="NO CUMPLE-1","NO HÁBIL","RECHAZO"))</f>
        <v>HÁBIL</v>
      </c>
      <c r="I96" s="65" t="str">
        <f>IF(VLOOKUP(C96,'EVAL. ECONOMICA'!$C$19:$F$108,3,FALSE)="CUMPLE","HÁBIL",IF(VLOOKUP(C96,'EVAL. ECONOMICA'!$C$19:$F$108,3,FALSE)="NO CUMPLE-1","NO HÁBIL","RECHAZO"))</f>
        <v>HÁBIL</v>
      </c>
      <c r="J96" s="194" t="str">
        <f ca="1">IF(ISNUMBER(D96),"",IF(VLOOKUP("S"&amp;C96,EXPERIENCIA!$A$20:$X$9193,15,0)="CUMPLE","HÁBIL","NO HÁBIL"))</f>
        <v>HÁBIL</v>
      </c>
      <c r="K96" s="194" t="str">
        <f>IF(ISNUMBER(D96),"",IF(VLOOKUP("T"&amp;C96,EXPERIENCIA!$A$20:$X$9193,11,0)="CUMPLE","HÁBIL","NO HÁBIL"))</f>
        <v>HÁBIL</v>
      </c>
      <c r="L96" s="194" t="str">
        <f t="shared" ca="1" si="4"/>
        <v>HÁBIL</v>
      </c>
    </row>
    <row r="97" spans="2:12" ht="13.5">
      <c r="B97" s="114">
        <f t="shared" si="3"/>
        <v>79</v>
      </c>
      <c r="C97" s="62">
        <f>IF(VLOOKUP(B97,PROPONENTES!$B$19:$E$109,2,0)="","",VLOOKUP(B97,PROPONENTES!$B$19:$E$109,2,0))</f>
        <v>79</v>
      </c>
      <c r="D97" s="63" t="str">
        <f>IF(VLOOKUP(B97,PROPONENTES!$B$19:$E$108,3,0)="","",VLOOKUP(B97,PROPONENTES!$B$19:$E$108,3,0))</f>
        <v>CONSORCIO TOLIMA BD</v>
      </c>
      <c r="E97" s="65" t="s">
        <v>1139</v>
      </c>
      <c r="F97" s="65" t="s">
        <v>1139</v>
      </c>
      <c r="G97" s="65" t="s">
        <v>1139</v>
      </c>
      <c r="H97" s="65" t="str">
        <f>IF(VLOOKUP(B97,'EQUIPO DE TRABAJO'!$B$19:$F$108,4,FALSE)="CUMPLE","HÁBIL",IF(VLOOKUP(B97,'EQUIPO DE TRABAJO'!$B$19:$F$108,4,FALSE)="NO CUMPLE-1","NO HÁBIL","RECHAZO"))</f>
        <v>HÁBIL</v>
      </c>
      <c r="I97" s="65" t="str">
        <f>IF(VLOOKUP(C97,'EVAL. ECONOMICA'!$C$19:$F$108,3,FALSE)="CUMPLE","HÁBIL",IF(VLOOKUP(C97,'EVAL. ECONOMICA'!$C$19:$F$108,3,FALSE)="NO CUMPLE-1","NO HÁBIL","RECHAZO"))</f>
        <v>HÁBIL</v>
      </c>
      <c r="J97" s="194" t="str">
        <f ca="1">IF(ISNUMBER(D97),"",IF(VLOOKUP("S"&amp;C97,EXPERIENCIA!$A$20:$X$9193,15,0)="CUMPLE","HÁBIL","NO HÁBIL"))</f>
        <v>HÁBIL</v>
      </c>
      <c r="K97" s="194" t="str">
        <f ca="1">IF(ISNUMBER(D97),"",IF(VLOOKUP("T"&amp;C97,EXPERIENCIA!$A$20:$X$9193,11,0)="CUMPLE","HÁBIL","NO HÁBIL"))</f>
        <v>HÁBIL</v>
      </c>
      <c r="L97" s="194" t="str">
        <f t="shared" ca="1" si="4"/>
        <v>HÁBIL</v>
      </c>
    </row>
    <row r="98" spans="2:12" ht="13.5">
      <c r="B98" s="114">
        <f t="shared" si="3"/>
        <v>80</v>
      </c>
      <c r="C98" s="62">
        <f>IF(VLOOKUP(B98,PROPONENTES!$B$19:$E$109,2,0)="","",VLOOKUP(B98,PROPONENTES!$B$19:$E$109,2,0))</f>
        <v>80</v>
      </c>
      <c r="D98" s="63" t="str">
        <f>IF(VLOOKUP(B98,PROPONENTES!$B$19:$E$108,3,0)="","",VLOOKUP(B98,PROPONENTES!$B$19:$E$108,3,0))</f>
        <v>CB INGENIEROS S.A.S</v>
      </c>
      <c r="E98" s="65" t="s">
        <v>1139</v>
      </c>
      <c r="F98" s="65" t="s">
        <v>1139</v>
      </c>
      <c r="G98" s="65" t="s">
        <v>1139</v>
      </c>
      <c r="H98" s="65" t="str">
        <f>IF(VLOOKUP(B98,'EQUIPO DE TRABAJO'!$B$19:$F$108,4,FALSE)="CUMPLE","HÁBIL",IF(VLOOKUP(B98,'EQUIPO DE TRABAJO'!$B$19:$F$108,4,FALSE)="NO CUMPLE-1","NO HÁBIL","RECHAZO"))</f>
        <v>HÁBIL</v>
      </c>
      <c r="I98" s="65" t="str">
        <f>IF(VLOOKUP(C98,'EVAL. ECONOMICA'!$C$19:$F$108,3,FALSE)="CUMPLE","HÁBIL",IF(VLOOKUP(C98,'EVAL. ECONOMICA'!$C$19:$F$108,3,FALSE)="NO CUMPLE-1","NO HÁBIL","RECHAZO"))</f>
        <v>HÁBIL</v>
      </c>
      <c r="J98" s="194" t="str">
        <f ca="1">IF(ISNUMBER(D98),"",IF(VLOOKUP("S"&amp;C98,EXPERIENCIA!$A$20:$X$9193,15,0)="CUMPLE","HÁBIL","NO HÁBIL"))</f>
        <v>HÁBIL</v>
      </c>
      <c r="K98" s="194" t="str">
        <f>IF(ISNUMBER(D98),"",IF(VLOOKUP("T"&amp;C98,EXPERIENCIA!$A$20:$X$9193,11,0)="CUMPLE","HÁBIL","NO HÁBIL"))</f>
        <v>HÁBIL</v>
      </c>
      <c r="L98" s="194" t="str">
        <f t="shared" ca="1" si="4"/>
        <v>HÁBIL</v>
      </c>
    </row>
    <row r="99" spans="2:12" ht="13.5">
      <c r="B99" s="114">
        <f t="shared" si="3"/>
        <v>81</v>
      </c>
      <c r="C99" s="62">
        <f>IF(VLOOKUP(B99,PROPONENTES!$B$19:$E$109,2,0)="","",VLOOKUP(B99,PROPONENTES!$B$19:$E$109,2,0))</f>
        <v>81</v>
      </c>
      <c r="D99" s="63" t="str">
        <f>IF(VLOOKUP(B99,PROPONENTES!$B$19:$E$108,3,0)="","",VLOOKUP(B99,PROPONENTES!$B$19:$E$108,3,0))</f>
        <v>CONSORCIO INVIAS JP 2022</v>
      </c>
      <c r="E99" s="65" t="s">
        <v>1139</v>
      </c>
      <c r="F99" s="65" t="s">
        <v>1139</v>
      </c>
      <c r="G99" s="65" t="s">
        <v>1139</v>
      </c>
      <c r="H99" s="65" t="str">
        <f>IF(VLOOKUP(B99,'EQUIPO DE TRABAJO'!$B$19:$F$108,4,FALSE)="CUMPLE","HÁBIL",IF(VLOOKUP(B99,'EQUIPO DE TRABAJO'!$B$19:$F$108,4,FALSE)="NO CUMPLE-1","NO HÁBIL","RECHAZO"))</f>
        <v>HÁBIL</v>
      </c>
      <c r="I99" s="65" t="str">
        <f>IF(VLOOKUP(C99,'EVAL. ECONOMICA'!$C$19:$F$108,3,FALSE)="CUMPLE","HÁBIL",IF(VLOOKUP(C99,'EVAL. ECONOMICA'!$C$19:$F$108,3,FALSE)="NO CUMPLE-1","NO HÁBIL","RECHAZO"))</f>
        <v>HÁBIL</v>
      </c>
      <c r="J99" s="194" t="str">
        <f ca="1">IF(ISNUMBER(D99),"",IF(VLOOKUP("S"&amp;C99,EXPERIENCIA!$A$20:$X$9193,15,0)="CUMPLE","HÁBIL","NO HÁBIL"))</f>
        <v>HÁBIL</v>
      </c>
      <c r="K99" s="194" t="str">
        <f ca="1">IF(ISNUMBER(D99),"",IF(VLOOKUP("T"&amp;C99,EXPERIENCIA!$A$20:$X$9193,11,0)="CUMPLE","HÁBIL","NO HÁBIL"))</f>
        <v>HÁBIL</v>
      </c>
      <c r="L99" s="194" t="str">
        <f t="shared" ca="1" si="4"/>
        <v>HÁBIL</v>
      </c>
    </row>
    <row r="100" spans="2:12" ht="13.5">
      <c r="B100" s="114">
        <f t="shared" si="3"/>
        <v>82</v>
      </c>
      <c r="C100" s="62">
        <f>IF(VLOOKUP(B100,PROPONENTES!$B$19:$E$109,2,0)="","",VLOOKUP(B100,PROPONENTES!$B$19:$E$109,2,0))</f>
        <v>82</v>
      </c>
      <c r="D100" s="63" t="str">
        <f>IF(VLOOKUP(B100,PROPONENTES!$B$19:$E$108,3,0)="","",VLOOKUP(B100,PROPONENTES!$B$19:$E$108,3,0))</f>
        <v>SOCIEDAD TECNICA SOTA LTDA</v>
      </c>
      <c r="E100" s="65" t="s">
        <v>1139</v>
      </c>
      <c r="F100" s="65" t="s">
        <v>1139</v>
      </c>
      <c r="G100" s="65" t="s">
        <v>1139</v>
      </c>
      <c r="H100" s="65" t="str">
        <f>IF(VLOOKUP(B100,'EQUIPO DE TRABAJO'!$B$19:$F$108,4,FALSE)="CUMPLE","HÁBIL",IF(VLOOKUP(B100,'EQUIPO DE TRABAJO'!$B$19:$F$108,4,FALSE)="NO CUMPLE-1","NO HÁBIL","RECHAZO"))</f>
        <v>HÁBIL</v>
      </c>
      <c r="I100" s="65" t="str">
        <f>IF(VLOOKUP(C100,'EVAL. ECONOMICA'!$C$19:$F$108,3,FALSE)="CUMPLE","HÁBIL",IF(VLOOKUP(C100,'EVAL. ECONOMICA'!$C$19:$F$108,3,FALSE)="NO CUMPLE-1","NO HÁBIL","RECHAZO"))</f>
        <v>HÁBIL</v>
      </c>
      <c r="J100" s="194" t="str">
        <f ca="1">IF(ISNUMBER(D100),"",IF(VLOOKUP("S"&amp;C100,EXPERIENCIA!$A$20:$X$9193,15,0)="CUMPLE","HÁBIL","NO HÁBIL"))</f>
        <v>HÁBIL</v>
      </c>
      <c r="K100" s="194" t="str">
        <f>IF(ISNUMBER(D100),"",IF(VLOOKUP("T"&amp;C100,EXPERIENCIA!$A$20:$X$9193,11,0)="CUMPLE","HÁBIL","NO HÁBIL"))</f>
        <v>HÁBIL</v>
      </c>
      <c r="L100" s="194" t="str">
        <f t="shared" ca="1" si="4"/>
        <v>HÁBIL</v>
      </c>
    </row>
    <row r="101" spans="2:12" ht="24">
      <c r="B101" s="114">
        <f t="shared" si="3"/>
        <v>83</v>
      </c>
      <c r="C101" s="62">
        <f>IF(VLOOKUP(B101,PROPONENTES!$B$19:$E$109,2,0)="","",VLOOKUP(B101,PROPONENTES!$B$19:$E$109,2,0))</f>
        <v>83</v>
      </c>
      <c r="D101" s="63" t="str">
        <f>IF(VLOOKUP(B101,PROPONENTES!$B$19:$E$108,3,0)="","",VLOOKUP(B101,PROPONENTES!$B$19:$E$108,3,0))</f>
        <v>CONSORCIO INTERVENTORES ASOCIADOS DEL TOLIMA</v>
      </c>
      <c r="E101" s="65" t="s">
        <v>1139</v>
      </c>
      <c r="F101" s="65" t="s">
        <v>1139</v>
      </c>
      <c r="G101" s="65" t="s">
        <v>1139</v>
      </c>
      <c r="H101" s="65" t="str">
        <f>IF(VLOOKUP(B101,'EQUIPO DE TRABAJO'!$B$19:$F$108,4,FALSE)="CUMPLE","HÁBIL",IF(VLOOKUP(B101,'EQUIPO DE TRABAJO'!$B$19:$F$108,4,FALSE)="NO CUMPLE-1","NO HÁBIL","RECHAZO"))</f>
        <v>HÁBIL</v>
      </c>
      <c r="I101" s="65" t="str">
        <f>IF(VLOOKUP(C101,'EVAL. ECONOMICA'!$C$19:$F$108,3,FALSE)="CUMPLE","HÁBIL",IF(VLOOKUP(C101,'EVAL. ECONOMICA'!$C$19:$F$108,3,FALSE)="NO CUMPLE-1","NO HÁBIL","RECHAZO"))</f>
        <v>HÁBIL</v>
      </c>
      <c r="J101" s="194" t="str">
        <f ca="1">IF(ISNUMBER(D101),"",IF(VLOOKUP("S"&amp;C101,EXPERIENCIA!$A$20:$X$9193,15,0)="CUMPLE","HÁBIL","NO HÁBIL"))</f>
        <v>HÁBIL</v>
      </c>
      <c r="K101" s="194" t="str">
        <f ca="1">IF(ISNUMBER(D101),"",IF(VLOOKUP("T"&amp;C101,EXPERIENCIA!$A$20:$X$9193,11,0)="CUMPLE","HÁBIL","NO HÁBIL"))</f>
        <v>HÁBIL</v>
      </c>
      <c r="L101" s="194" t="str">
        <f t="shared" ca="1" si="4"/>
        <v>HÁBIL</v>
      </c>
    </row>
    <row r="102" spans="2:12" ht="36">
      <c r="B102" s="114">
        <f t="shared" si="3"/>
        <v>84</v>
      </c>
      <c r="C102" s="62">
        <f>IF(VLOOKUP(B102,PROPONENTES!$B$19:$E$109,2,0)="","",VLOOKUP(B102,PROPONENTES!$B$19:$E$109,2,0))</f>
        <v>84</v>
      </c>
      <c r="D102" s="63" t="str">
        <f>IF(VLOOKUP(B102,PROPONENTES!$B$19:$E$108,3,0)="","",VLOOKUP(B102,PROPONENTES!$B$19:$E$108,3,0))</f>
        <v>GRUPO EMPRESARIAL DE INFRAESTRUCTURA COLOMBIANO S.A.S.</v>
      </c>
      <c r="E102" s="65" t="s">
        <v>1139</v>
      </c>
      <c r="F102" s="65" t="s">
        <v>1139</v>
      </c>
      <c r="G102" s="65" t="s">
        <v>1139</v>
      </c>
      <c r="H102" s="65" t="str">
        <f>IF(VLOOKUP(B102,'EQUIPO DE TRABAJO'!$B$19:$F$108,4,FALSE)="CUMPLE","HÁBIL",IF(VLOOKUP(B102,'EQUIPO DE TRABAJO'!$B$19:$F$108,4,FALSE)="NO CUMPLE-1","NO HÁBIL","RECHAZO"))</f>
        <v>HÁBIL</v>
      </c>
      <c r="I102" s="65" t="str">
        <f>IF(VLOOKUP(C102,'EVAL. ECONOMICA'!$C$19:$F$108,3,FALSE)="CUMPLE","HÁBIL",IF(VLOOKUP(C102,'EVAL. ECONOMICA'!$C$19:$F$108,3,FALSE)="NO CUMPLE-1","NO HÁBIL","RECHAZO"))</f>
        <v>HÁBIL</v>
      </c>
      <c r="J102" s="194" t="str">
        <f ca="1">IF(ISNUMBER(D102),"",IF(VLOOKUP("S"&amp;C102,EXPERIENCIA!$A$20:$X$9193,15,0)="CUMPLE","HÁBIL","NO HÁBIL"))</f>
        <v>HÁBIL</v>
      </c>
      <c r="K102" s="194" t="str">
        <f>IF(ISNUMBER(D102),"",IF(VLOOKUP("T"&amp;C102,EXPERIENCIA!$A$20:$X$9193,11,0)="CUMPLE","HÁBIL","NO HÁBIL"))</f>
        <v>HÁBIL</v>
      </c>
      <c r="L102" s="194" t="str">
        <f t="shared" ca="1" si="4"/>
        <v>HÁBIL</v>
      </c>
    </row>
    <row r="103" spans="2:12" ht="13.5">
      <c r="B103" s="114">
        <f t="shared" si="3"/>
        <v>85</v>
      </c>
      <c r="C103" s="62">
        <f>IF(VLOOKUP(B103,PROPONENTES!$B$19:$E$109,2,0)="","",VLOOKUP(B103,PROPONENTES!$B$19:$E$109,2,0))</f>
        <v>85</v>
      </c>
      <c r="D103" s="63" t="str">
        <f>IF(VLOOKUP(B103,PROPONENTES!$B$19:$E$108,3,0)="","",VLOOKUP(B103,PROPONENTES!$B$19:$E$108,3,0))</f>
        <v>DBB INGENIERÍA S.A.S.</v>
      </c>
      <c r="E103" s="65" t="s">
        <v>1139</v>
      </c>
      <c r="F103" s="65" t="s">
        <v>1139</v>
      </c>
      <c r="G103" s="65" t="s">
        <v>1139</v>
      </c>
      <c r="H103" s="65" t="str">
        <f>IF(VLOOKUP(B103,'EQUIPO DE TRABAJO'!$B$19:$F$108,4,FALSE)="CUMPLE","HÁBIL",IF(VLOOKUP(B103,'EQUIPO DE TRABAJO'!$B$19:$F$108,4,FALSE)="NO CUMPLE-1","NO HÁBIL","RECHAZO"))</f>
        <v>HÁBIL</v>
      </c>
      <c r="I103" s="65" t="str">
        <f>IF(VLOOKUP(C103,'EVAL. ECONOMICA'!$C$19:$F$108,3,FALSE)="CUMPLE","HÁBIL",IF(VLOOKUP(C103,'EVAL. ECONOMICA'!$C$19:$F$108,3,FALSE)="NO CUMPLE-1","NO HÁBIL","RECHAZO"))</f>
        <v>HÁBIL</v>
      </c>
      <c r="J103" s="194" t="str">
        <f ca="1">IF(ISNUMBER(D103),"",IF(VLOOKUP("S"&amp;C103,EXPERIENCIA!$A$20:$X$9193,15,0)="CUMPLE","HÁBIL","NO HÁBIL"))</f>
        <v>HÁBIL</v>
      </c>
      <c r="K103" s="194" t="str">
        <f>IF(ISNUMBER(D103),"",IF(VLOOKUP("T"&amp;C103,EXPERIENCIA!$A$20:$X$9193,11,0)="CUMPLE","HÁBIL","NO HÁBIL"))</f>
        <v>HÁBIL</v>
      </c>
      <c r="L103" s="194" t="str">
        <f t="shared" ca="1" si="4"/>
        <v>HÁBIL</v>
      </c>
    </row>
    <row r="104" spans="2:12" ht="24">
      <c r="B104" s="114">
        <f t="shared" si="3"/>
        <v>86</v>
      </c>
      <c r="C104" s="62">
        <f>IF(VLOOKUP(B104,PROPONENTES!$B$19:$E$109,2,0)="","",VLOOKUP(B104,PROPONENTES!$B$19:$E$109,2,0))</f>
        <v>86</v>
      </c>
      <c r="D104" s="63" t="str">
        <f>IF(VLOOKUP(B104,PROPONENTES!$B$19:$E$108,3,0)="","",VLOOKUP(B104,PROPONENTES!$B$19:$E$108,3,0))</f>
        <v>CARLOS ANDRES CHAVARRO CASTRO</v>
      </c>
      <c r="E104" s="65" t="s">
        <v>1139</v>
      </c>
      <c r="F104" s="65" t="s">
        <v>1139</v>
      </c>
      <c r="G104" s="65" t="s">
        <v>1139</v>
      </c>
      <c r="H104" s="65" t="str">
        <f>IF(VLOOKUP(B104,'EQUIPO DE TRABAJO'!$B$19:$F$108,4,FALSE)="CUMPLE","HÁBIL",IF(VLOOKUP(B104,'EQUIPO DE TRABAJO'!$B$19:$F$108,4,FALSE)="NO CUMPLE-1","NO HÁBIL","RECHAZO"))</f>
        <v>HÁBIL</v>
      </c>
      <c r="I104" s="65" t="str">
        <f>IF(VLOOKUP(C104,'EVAL. ECONOMICA'!$C$19:$F$108,3,FALSE)="CUMPLE","HÁBIL",IF(VLOOKUP(C104,'EVAL. ECONOMICA'!$C$19:$F$108,3,FALSE)="NO CUMPLE-1","NO HÁBIL","RECHAZO"))</f>
        <v>HÁBIL</v>
      </c>
      <c r="J104" s="194" t="str">
        <f ca="1">IF(ISNUMBER(D104),"",IF(VLOOKUP("S"&amp;C104,EXPERIENCIA!$A$20:$X$9193,15,0)="CUMPLE","HÁBIL","NO HÁBIL"))</f>
        <v>HÁBIL</v>
      </c>
      <c r="K104" s="194" t="str">
        <f>IF(ISNUMBER(D104),"",IF(VLOOKUP("T"&amp;C104,EXPERIENCIA!$A$20:$X$9193,11,0)="CUMPLE","HÁBIL","NO HÁBIL"))</f>
        <v>HÁBIL</v>
      </c>
      <c r="L104" s="194" t="str">
        <f t="shared" ca="1" si="4"/>
        <v>HÁBIL</v>
      </c>
    </row>
    <row r="105" spans="2:12" ht="13.5">
      <c r="B105" s="114">
        <f t="shared" si="3"/>
        <v>87</v>
      </c>
      <c r="C105" s="62">
        <f>IF(VLOOKUP(B105,PROPONENTES!$B$19:$E$109,2,0)="","",VLOOKUP(B105,PROPONENTES!$B$19:$E$109,2,0))</f>
        <v>87</v>
      </c>
      <c r="D105" s="63" t="str">
        <f>IF(VLOOKUP(B105,PROPONENTES!$B$19:$E$108,3,0)="","",VLOOKUP(B105,PROPONENTES!$B$19:$E$108,3,0))</f>
        <v>CONSORCIO INTERVÍAS TOLIMA 22</v>
      </c>
      <c r="E105" s="65" t="s">
        <v>1139</v>
      </c>
      <c r="F105" s="65" t="s">
        <v>1139</v>
      </c>
      <c r="G105" s="65" t="s">
        <v>1139</v>
      </c>
      <c r="H105" s="65" t="str">
        <f>IF(VLOOKUP(B105,'EQUIPO DE TRABAJO'!$B$19:$F$108,4,FALSE)="CUMPLE","HÁBIL",IF(VLOOKUP(B105,'EQUIPO DE TRABAJO'!$B$19:$F$108,4,FALSE)="NO CUMPLE-1","NO HÁBIL","RECHAZO"))</f>
        <v>HÁBIL</v>
      </c>
      <c r="I105" s="65" t="str">
        <f>IF(VLOOKUP(C105,'EVAL. ECONOMICA'!$C$19:$F$108,3,FALSE)="CUMPLE","HÁBIL",IF(VLOOKUP(C105,'EVAL. ECONOMICA'!$C$19:$F$108,3,FALSE)="NO CUMPLE-1","NO HÁBIL","RECHAZO"))</f>
        <v>HÁBIL</v>
      </c>
      <c r="J105" s="194" t="str">
        <f ca="1">IF(ISNUMBER(D105),"",IF(VLOOKUP("S"&amp;C105,EXPERIENCIA!$A$20:$X$9193,15,0)="CUMPLE","HÁBIL","NO HÁBIL"))</f>
        <v>HÁBIL</v>
      </c>
      <c r="K105" s="194" t="str">
        <f ca="1">IF(ISNUMBER(D105),"",IF(VLOOKUP("T"&amp;C105,EXPERIENCIA!$A$20:$X$9193,11,0)="CUMPLE","HÁBIL","NO HÁBIL"))</f>
        <v>HÁBIL</v>
      </c>
      <c r="L105" s="194" t="str">
        <f t="shared" ca="1" si="4"/>
        <v>HÁBIL</v>
      </c>
    </row>
    <row r="106" spans="2:12" ht="24">
      <c r="B106" s="114">
        <f t="shared" si="3"/>
        <v>88</v>
      </c>
      <c r="C106" s="62">
        <f>IF(VLOOKUP(B106,PROPONENTES!$B$19:$E$109,2,0)="","",VLOOKUP(B106,PROPONENTES!$B$19:$E$109,2,0))</f>
        <v>88</v>
      </c>
      <c r="D106" s="63" t="str">
        <f>IF(VLOOKUP(B106,PROPONENTES!$B$19:$E$108,3,0)="","",VLOOKUP(B106,PROPONENTES!$B$19:$E$108,3,0))</f>
        <v>INGENIERÍA Y CONSULTORÍA INGECON SAS</v>
      </c>
      <c r="E106" s="65" t="s">
        <v>1139</v>
      </c>
      <c r="F106" s="65" t="s">
        <v>1139</v>
      </c>
      <c r="G106" s="65" t="s">
        <v>1139</v>
      </c>
      <c r="H106" s="65" t="str">
        <f>IF(VLOOKUP(B106,'EQUIPO DE TRABAJO'!$B$19:$F$108,4,FALSE)="CUMPLE","HÁBIL",IF(VLOOKUP(B106,'EQUIPO DE TRABAJO'!$B$19:$F$108,4,FALSE)="NO CUMPLE-1","NO HÁBIL","RECHAZO"))</f>
        <v>HÁBIL</v>
      </c>
      <c r="I106" s="65" t="str">
        <f>IF(VLOOKUP(C106,'EVAL. ECONOMICA'!$C$19:$F$108,3,FALSE)="CUMPLE","HÁBIL",IF(VLOOKUP(C106,'EVAL. ECONOMICA'!$C$19:$F$108,3,FALSE)="NO CUMPLE-1","NO HÁBIL","RECHAZO"))</f>
        <v>HÁBIL</v>
      </c>
      <c r="J106" s="194" t="str">
        <f ca="1">IF(ISNUMBER(D106),"",IF(VLOOKUP("S"&amp;C106,EXPERIENCIA!$A$20:$X$9193,15,0)="CUMPLE","HÁBIL","NO HÁBIL"))</f>
        <v>HÁBIL</v>
      </c>
      <c r="K106" s="194" t="str">
        <f>IF(ISNUMBER(D106),"",IF(VLOOKUP("T"&amp;C106,EXPERIENCIA!$A$20:$X$9193,11,0)="CUMPLE","HÁBIL","NO HÁBIL"))</f>
        <v>HÁBIL</v>
      </c>
      <c r="L106" s="194" t="str">
        <f t="shared" ca="1" si="4"/>
        <v>HÁBIL</v>
      </c>
    </row>
    <row r="107" spans="2:12" ht="13.5">
      <c r="B107" s="114">
        <f t="shared" si="3"/>
        <v>89</v>
      </c>
      <c r="C107" s="62">
        <f>IF(VLOOKUP(B107,PROPONENTES!$B$19:$E$109,2,0)="","",VLOOKUP(B107,PROPONENTES!$B$19:$E$109,2,0))</f>
        <v>89</v>
      </c>
      <c r="D107" s="63" t="str">
        <f>IF(VLOOKUP(B107,PROPONENTES!$B$19:$E$108,3,0)="","",VLOOKUP(B107,PROPONENTES!$B$19:$E$108,3,0))</f>
        <v>CONSORCIO INTER C&amp;R</v>
      </c>
      <c r="E107" s="65" t="s">
        <v>1139</v>
      </c>
      <c r="F107" s="65" t="s">
        <v>1139</v>
      </c>
      <c r="G107" s="65" t="s">
        <v>1139</v>
      </c>
      <c r="H107" s="65" t="str">
        <f>IF(VLOOKUP(B107,'EQUIPO DE TRABAJO'!$B$19:$F$108,4,FALSE)="CUMPLE","HÁBIL",IF(VLOOKUP(B107,'EQUIPO DE TRABAJO'!$B$19:$F$108,4,FALSE)="NO CUMPLE-1","NO HÁBIL","RECHAZO"))</f>
        <v>HÁBIL</v>
      </c>
      <c r="I107" s="65" t="str">
        <f>IF(VLOOKUP(C107,'EVAL. ECONOMICA'!$C$19:$F$108,3,FALSE)="CUMPLE","HÁBIL",IF(VLOOKUP(C107,'EVAL. ECONOMICA'!$C$19:$F$108,3,FALSE)="NO CUMPLE-1","NO HÁBIL","RECHAZO"))</f>
        <v>HÁBIL</v>
      </c>
      <c r="J107" s="194" t="str">
        <f ca="1">IF(ISNUMBER(D107),"",IF(VLOOKUP("S"&amp;C107,EXPERIENCIA!$A$20:$X$9193,15,0)="CUMPLE","HÁBIL","NO HÁBIL"))</f>
        <v>HÁBIL</v>
      </c>
      <c r="K107" s="194" t="str">
        <f ca="1">IF(ISNUMBER(D107),"",IF(VLOOKUP("T"&amp;C107,EXPERIENCIA!$A$20:$X$9193,11,0)="CUMPLE","HÁBIL","NO HÁBIL"))</f>
        <v>HÁBIL</v>
      </c>
      <c r="L107" s="194" t="str">
        <f t="shared" ca="1" si="4"/>
        <v>HÁBIL</v>
      </c>
    </row>
    <row r="108" spans="2:12" ht="13.5">
      <c r="B108" s="114">
        <f t="shared" si="3"/>
        <v>90</v>
      </c>
      <c r="C108" s="62">
        <f>IF(VLOOKUP(B108,PROPONENTES!$B$19:$E$109,2,0)="","",VLOOKUP(B108,PROPONENTES!$B$19:$E$109,2,0))</f>
        <v>90</v>
      </c>
      <c r="D108" s="63" t="str">
        <f>IF(VLOOKUP(B108,PROPONENTES!$B$19:$E$108,3,0)="","",VLOOKUP(B108,PROPONENTES!$B$19:$E$108,3,0))</f>
        <v>GM SOLUTIONS S.A.S</v>
      </c>
      <c r="E108" s="65" t="s">
        <v>1139</v>
      </c>
      <c r="F108" s="65" t="s">
        <v>1139</v>
      </c>
      <c r="G108" s="65" t="s">
        <v>1139</v>
      </c>
      <c r="H108" s="65" t="str">
        <f>IF(VLOOKUP(B108,'EQUIPO DE TRABAJO'!$B$19:$F$108,4,FALSE)="CUMPLE","HÁBIL",IF(VLOOKUP(B108,'EQUIPO DE TRABAJO'!$B$19:$F$108,4,FALSE)="NO CUMPLE-1","NO HÁBIL","RECHAZO"))</f>
        <v>HÁBIL</v>
      </c>
      <c r="I108" s="65" t="str">
        <f>IF(VLOOKUP(C108,'EVAL. ECONOMICA'!$C$19:$F$108,3,FALSE)="CUMPLE","HÁBIL",IF(VLOOKUP(C108,'EVAL. ECONOMICA'!$C$19:$F$108,3,FALSE)="NO CUMPLE-1","NO HÁBIL","RECHAZO"))</f>
        <v>HÁBIL</v>
      </c>
      <c r="J108" s="194" t="str">
        <f ca="1">IF(ISNUMBER(D108),"",IF(VLOOKUP("S"&amp;C108,EXPERIENCIA!$A$20:$X$9193,15,0)="CUMPLE","HÁBIL","NO HÁBIL"))</f>
        <v>HÁBIL</v>
      </c>
      <c r="K108" s="194" t="str">
        <f>IF(ISNUMBER(D108),"",IF(VLOOKUP("T"&amp;C108,EXPERIENCIA!$A$20:$X$9193,11,0)="CUMPLE","HÁBIL","NO HÁBIL"))</f>
        <v>HÁBIL</v>
      </c>
      <c r="L108" s="194" t="str">
        <f t="shared" ca="1" si="4"/>
        <v>HÁBIL</v>
      </c>
    </row>
    <row r="109" spans="2:12" ht="3.95" customHeight="1" thickBot="1">
      <c r="B109" s="268" t="s">
        <v>134</v>
      </c>
      <c r="C109" s="115"/>
      <c r="D109" s="116"/>
      <c r="E109" s="117"/>
      <c r="F109" s="117"/>
      <c r="G109" s="117"/>
      <c r="H109" s="117"/>
      <c r="I109" s="117"/>
      <c r="J109" s="466"/>
      <c r="K109" s="467"/>
      <c r="L109" s="192"/>
    </row>
    <row r="110" spans="2:12" ht="18" customHeight="1">
      <c r="B110" s="64"/>
      <c r="C110" s="64"/>
      <c r="D110" s="59"/>
    </row>
    <row r="111" spans="2:12"/>
    <row r="112" spans="2: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9:D108 J19:L108">
    <cfRule type="expression" dxfId="76" priority="376" stopIfTrue="1">
      <formula>MOD(ROW(),2)</formula>
    </cfRule>
  </conditionalFormatting>
  <conditionalFormatting sqref="E19:L108">
    <cfRule type="cellIs" dxfId="75" priority="357" stopIfTrue="1" operator="equal">
      <formula>"RECHAZO"</formula>
    </cfRule>
    <cfRule type="cellIs" dxfId="74" priority="358" stopIfTrue="1" operator="equal">
      <formula>"CUMPLE"</formula>
    </cfRule>
    <cfRule type="cellIs" dxfId="73" priority="359" stopIfTrue="1" operator="equal">
      <formula>"NO CUMPLE"</formula>
    </cfRule>
    <cfRule type="cellIs" dxfId="72" priority="360" stopIfTrue="1" operator="equal">
      <formula>"HÁBIL"</formula>
    </cfRule>
    <cfRule type="cellIs" dxfId="71" priority="361" stopIfTrue="1" operator="equal">
      <formula>"NO HÁBIL"</formula>
    </cfRule>
    <cfRule type="cellIs" dxfId="70" priority="362" stopIfTrue="1" operator="equal">
      <formula>"NO APLICA"</formula>
    </cfRule>
  </conditionalFormatting>
  <dataValidations count="1">
    <dataValidation type="list" allowBlank="1" showInputMessage="1" showErrorMessage="1" sqref="E19:G108" xr:uid="{00000000-0002-0000-0D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20">
    <tabColor rgb="FF7030A0"/>
    <pageSetUpPr fitToPage="1"/>
  </sheetPr>
  <dimension ref="A1:Q412"/>
  <sheetViews>
    <sheetView showGridLines="0" topLeftCell="A52" zoomScale="80" zoomScaleNormal="80" workbookViewId="0">
      <selection activeCell="G82" sqref="G82"/>
    </sheetView>
  </sheetViews>
  <sheetFormatPr baseColWidth="10" defaultColWidth="0" defaultRowHeight="15" zeroHeight="1"/>
  <cols>
    <col min="1" max="1" width="1.42578125" style="128" customWidth="1"/>
    <col min="2" max="2" width="7.7109375" style="128" customWidth="1"/>
    <col min="3" max="3" width="15.42578125" style="128" customWidth="1"/>
    <col min="4" max="4" width="68.5703125" style="128" customWidth="1"/>
    <col min="5" max="5" width="20.85546875" style="128" customWidth="1"/>
    <col min="6" max="6" width="20.7109375" style="128" customWidth="1"/>
    <col min="7" max="7" width="15.28515625" style="128" customWidth="1"/>
    <col min="8" max="8" width="18.85546875" style="128" customWidth="1"/>
    <col min="9" max="10" width="15.28515625" style="128" customWidth="1"/>
    <col min="11" max="13" width="16.7109375" style="128" customWidth="1"/>
    <col min="14" max="14" width="41.28515625" style="128" customWidth="1"/>
    <col min="15" max="17" width="11.42578125" style="128" customWidth="1"/>
    <col min="18" max="16384" width="11.42578125" style="128" hidden="1"/>
  </cols>
  <sheetData>
    <row r="1" spans="1:15" s="4" customFormat="1" ht="15" customHeight="1">
      <c r="A1" s="121"/>
      <c r="B1" s="850" t="str">
        <f>PROPONENTES!B1</f>
        <v>INSTITUTO NACIONAL DE VÍAS</v>
      </c>
      <c r="C1" s="850"/>
      <c r="D1" s="850"/>
      <c r="E1" s="850"/>
      <c r="F1" s="850"/>
      <c r="G1" s="850"/>
      <c r="H1" s="850"/>
      <c r="I1" s="850"/>
      <c r="J1" s="850"/>
      <c r="K1" s="850"/>
      <c r="L1" s="850"/>
      <c r="M1" s="850"/>
      <c r="N1" s="850"/>
    </row>
    <row r="2" spans="1:15" s="2" customFormat="1" ht="15" customHeight="1">
      <c r="A2" s="123"/>
      <c r="B2" s="850" t="str">
        <f>PROPONENTES!B2</f>
        <v>DIRECCIÓN GENERAL</v>
      </c>
      <c r="C2" s="850"/>
      <c r="D2" s="850"/>
      <c r="E2" s="850"/>
      <c r="F2" s="850"/>
      <c r="G2" s="850"/>
      <c r="H2" s="850"/>
      <c r="I2" s="850"/>
      <c r="J2" s="850"/>
      <c r="K2" s="850"/>
      <c r="L2" s="850"/>
      <c r="M2" s="850"/>
      <c r="N2" s="850"/>
    </row>
    <row r="3" spans="1:15" s="2" customFormat="1" ht="15" customHeight="1">
      <c r="A3" s="123"/>
      <c r="B3" s="850" t="str">
        <f>PROPONENTES!B3</f>
        <v>DIRECCION JURIDICA</v>
      </c>
      <c r="C3" s="850"/>
      <c r="D3" s="850"/>
      <c r="E3" s="850"/>
      <c r="F3" s="850"/>
      <c r="G3" s="850"/>
      <c r="H3" s="850"/>
      <c r="I3" s="850"/>
      <c r="J3" s="850"/>
      <c r="K3" s="850"/>
      <c r="L3" s="850"/>
      <c r="M3" s="850"/>
      <c r="N3" s="850"/>
    </row>
    <row r="4" spans="1:15" s="2" customFormat="1" ht="12.75" customHeight="1">
      <c r="A4" s="123"/>
      <c r="B4" s="850" t="str">
        <f>PROPONENTES!B4</f>
        <v>TERRITORIAL TOLIMA</v>
      </c>
      <c r="C4" s="850"/>
      <c r="D4" s="850"/>
      <c r="E4" s="850"/>
      <c r="F4" s="850"/>
      <c r="G4" s="850"/>
      <c r="H4" s="850"/>
      <c r="I4" s="850"/>
      <c r="J4" s="850"/>
      <c r="K4" s="850"/>
      <c r="L4" s="850"/>
      <c r="M4" s="850"/>
      <c r="N4" s="850"/>
    </row>
    <row r="5" spans="1:15" s="2" customFormat="1" ht="12.75">
      <c r="A5" s="123"/>
      <c r="B5" s="122"/>
      <c r="C5" s="3"/>
      <c r="D5" s="57"/>
      <c r="E5" s="57"/>
      <c r="F5" s="57"/>
      <c r="G5" s="57"/>
      <c r="H5" s="57"/>
      <c r="I5" s="57"/>
      <c r="J5" s="57"/>
      <c r="K5" s="57"/>
      <c r="L5" s="57"/>
      <c r="M5" s="57"/>
      <c r="N5" s="57"/>
    </row>
    <row r="6" spans="1:15" s="2" customFormat="1" ht="12.75">
      <c r="A6" s="123"/>
      <c r="B6" s="850" t="str">
        <f>+PROPONENTES!B6</f>
        <v>CONCURSO DE MÉRITOS ABIERTO</v>
      </c>
      <c r="C6" s="850"/>
      <c r="D6" s="850"/>
      <c r="E6" s="850"/>
      <c r="F6" s="850"/>
      <c r="G6" s="850"/>
      <c r="H6" s="850"/>
      <c r="I6" s="850"/>
      <c r="J6" s="850"/>
      <c r="K6" s="850"/>
      <c r="L6" s="850"/>
      <c r="M6" s="850"/>
      <c r="N6" s="850"/>
    </row>
    <row r="7" spans="1:15" s="2" customFormat="1" ht="12.75" customHeight="1">
      <c r="A7" s="123"/>
      <c r="B7" s="850" t="str">
        <f>PROPONENTES!B7</f>
        <v>CMA-DT-TOL-001-2022</v>
      </c>
      <c r="C7" s="850"/>
      <c r="D7" s="850"/>
      <c r="E7" s="850"/>
      <c r="F7" s="850"/>
      <c r="G7" s="850"/>
      <c r="H7" s="850"/>
      <c r="I7" s="850"/>
      <c r="J7" s="850"/>
      <c r="K7" s="850"/>
      <c r="L7" s="850"/>
      <c r="M7" s="850"/>
      <c r="N7" s="850"/>
    </row>
    <row r="8" spans="1:15" s="2" customFormat="1" ht="15.75">
      <c r="A8" s="123"/>
      <c r="B8" s="122"/>
      <c r="C8" s="125"/>
      <c r="D8" s="57"/>
      <c r="E8" s="57"/>
      <c r="F8" s="57"/>
      <c r="G8" s="57"/>
      <c r="H8" s="57"/>
      <c r="I8" s="57"/>
      <c r="J8" s="57"/>
      <c r="K8" s="57"/>
      <c r="L8" s="57"/>
      <c r="M8" s="57"/>
      <c r="N8" s="57"/>
    </row>
    <row r="9" spans="1:15" s="2" customFormat="1" ht="36" customHeight="1">
      <c r="A9" s="123"/>
      <c r="B9" s="850" t="str">
        <f>PROPONENTES!B9</f>
        <v>OBJETO: INTERVENTORÍA TECNICA, ADMINISTRATIVA, FINANCIERA Y AMBIENTAL PARA EL MANTENIMIENTO Y MEJORAMIENTO DE VIAS TERCIARIAS DEL PROGRAMA "COLOMBIA RURAL" EN LOS MUNICIPIOS DEL DEPARTAMENTO DEL TOLIMA - GRUPO II.</v>
      </c>
      <c r="C9" s="850"/>
      <c r="D9" s="850"/>
      <c r="E9" s="850"/>
      <c r="F9" s="850"/>
      <c r="G9" s="850"/>
      <c r="H9" s="850"/>
      <c r="I9" s="850"/>
      <c r="J9" s="850"/>
      <c r="K9" s="850"/>
      <c r="L9" s="850"/>
      <c r="M9" s="850"/>
      <c r="N9" s="850"/>
    </row>
    <row r="10" spans="1:15" s="2" customFormat="1" ht="15.75">
      <c r="A10" s="123"/>
      <c r="B10" s="122"/>
      <c r="C10" s="125"/>
      <c r="D10" s="57"/>
      <c r="E10" s="57"/>
      <c r="F10" s="57"/>
      <c r="G10" s="57"/>
      <c r="H10" s="57"/>
      <c r="I10" s="57"/>
      <c r="J10" s="57"/>
      <c r="K10" s="57"/>
      <c r="L10" s="57"/>
      <c r="M10" s="57"/>
      <c r="N10" s="57"/>
    </row>
    <row r="11" spans="1:15" s="2" customFormat="1" ht="15.75" customHeight="1">
      <c r="A11" s="123"/>
      <c r="B11" s="850">
        <f>PROPONENTES!B11</f>
        <v>0</v>
      </c>
      <c r="C11" s="850"/>
      <c r="D11" s="850"/>
      <c r="E11" s="850"/>
      <c r="F11" s="850"/>
      <c r="G11" s="850"/>
      <c r="H11" s="850"/>
      <c r="I11" s="850"/>
      <c r="J11" s="850"/>
      <c r="K11" s="850"/>
      <c r="L11" s="850"/>
      <c r="M11" s="850"/>
      <c r="N11" s="850"/>
    </row>
    <row r="12" spans="1:15" s="2" customFormat="1" ht="15.75">
      <c r="A12" s="123"/>
      <c r="B12" s="122"/>
      <c r="C12" s="125"/>
      <c r="D12" s="57"/>
      <c r="E12" s="57"/>
      <c r="F12" s="57"/>
      <c r="G12" s="57"/>
      <c r="H12" s="57"/>
      <c r="I12" s="57"/>
      <c r="J12" s="57"/>
      <c r="K12" s="57"/>
      <c r="L12" s="57"/>
      <c r="M12" s="57"/>
      <c r="N12" s="57"/>
    </row>
    <row r="13" spans="1:15" s="2" customFormat="1" ht="12.75">
      <c r="A13" s="123"/>
      <c r="B13" s="693" t="s">
        <v>1173</v>
      </c>
      <c r="C13" s="693"/>
      <c r="D13" s="693"/>
      <c r="E13" s="693"/>
      <c r="F13" s="693"/>
      <c r="G13" s="693"/>
      <c r="H13" s="693"/>
      <c r="I13" s="693"/>
      <c r="J13" s="693"/>
      <c r="K13" s="693"/>
      <c r="L13" s="693"/>
      <c r="M13" s="693"/>
      <c r="N13" s="693"/>
    </row>
    <row r="14" spans="1:15">
      <c r="A14" s="126"/>
      <c r="B14" s="693" t="s">
        <v>1174</v>
      </c>
      <c r="C14" s="693"/>
      <c r="D14" s="693"/>
      <c r="E14" s="693"/>
      <c r="F14" s="693"/>
      <c r="G14" s="693"/>
      <c r="H14" s="693"/>
      <c r="I14" s="693"/>
      <c r="J14" s="693"/>
      <c r="K14" s="693"/>
      <c r="L14" s="693"/>
      <c r="M14" s="693"/>
      <c r="N14" s="693"/>
    </row>
    <row r="15" spans="1:15" ht="15.75" thickBot="1">
      <c r="L15" s="617">
        <v>12</v>
      </c>
    </row>
    <row r="16" spans="1:15" s="155" customFormat="1" ht="15.75" customHeight="1" thickTop="1">
      <c r="B16" s="905" t="s">
        <v>37</v>
      </c>
      <c r="C16" s="908" t="s">
        <v>138</v>
      </c>
      <c r="D16" s="908" t="s">
        <v>139</v>
      </c>
      <c r="E16" s="912" t="s">
        <v>1121</v>
      </c>
      <c r="F16" s="915" t="s">
        <v>1118</v>
      </c>
      <c r="G16" s="916"/>
      <c r="H16" s="916"/>
      <c r="I16" s="917"/>
      <c r="J16" s="574"/>
      <c r="K16" s="918" t="s">
        <v>1119</v>
      </c>
      <c r="L16" s="918" t="s">
        <v>1175</v>
      </c>
      <c r="M16" s="918" t="s">
        <v>1119</v>
      </c>
      <c r="N16" s="901" t="s">
        <v>1120</v>
      </c>
      <c r="O16" s="900"/>
    </row>
    <row r="17" spans="2:15" s="155" customFormat="1" ht="15" customHeight="1">
      <c r="B17" s="906"/>
      <c r="C17" s="909"/>
      <c r="D17" s="909"/>
      <c r="E17" s="913"/>
      <c r="F17" s="910" t="s">
        <v>1122</v>
      </c>
      <c r="G17" s="910" t="s">
        <v>1103</v>
      </c>
      <c r="H17" s="910" t="s">
        <v>1123</v>
      </c>
      <c r="I17" s="910" t="s">
        <v>31</v>
      </c>
      <c r="J17" s="910" t="s">
        <v>1176</v>
      </c>
      <c r="K17" s="919"/>
      <c r="L17" s="919"/>
      <c r="M17" s="919"/>
      <c r="N17" s="902"/>
      <c r="O17" s="900"/>
    </row>
    <row r="18" spans="2:15" s="155" customFormat="1" ht="70.5" customHeight="1">
      <c r="B18" s="906"/>
      <c r="C18" s="910"/>
      <c r="D18" s="910"/>
      <c r="E18" s="913"/>
      <c r="F18" s="913"/>
      <c r="G18" s="913"/>
      <c r="H18" s="913"/>
      <c r="I18" s="913"/>
      <c r="J18" s="913"/>
      <c r="K18" s="919"/>
      <c r="L18" s="919"/>
      <c r="M18" s="919"/>
      <c r="N18" s="903"/>
      <c r="O18" s="900"/>
    </row>
    <row r="19" spans="2:15" s="155" customFormat="1" ht="34.5" customHeight="1" thickBot="1">
      <c r="B19" s="907"/>
      <c r="C19" s="911"/>
      <c r="D19" s="911"/>
      <c r="E19" s="914"/>
      <c r="F19" s="575">
        <v>69</v>
      </c>
      <c r="G19" s="575">
        <v>10</v>
      </c>
      <c r="H19" s="575">
        <v>1</v>
      </c>
      <c r="I19" s="575">
        <v>20</v>
      </c>
      <c r="J19" s="575" t="s">
        <v>1177</v>
      </c>
      <c r="K19" s="576">
        <f>SUM(F19:J19)</f>
        <v>100</v>
      </c>
      <c r="L19" s="618" t="s">
        <v>1178</v>
      </c>
      <c r="M19" s="576">
        <f>SUM(F19:J19)</f>
        <v>100</v>
      </c>
      <c r="N19" s="904"/>
      <c r="O19" s="900"/>
    </row>
    <row r="20" spans="2:15" s="156" customFormat="1" ht="8.25" customHeight="1">
      <c r="B20" s="157"/>
      <c r="C20" s="158"/>
      <c r="D20" s="159"/>
      <c r="E20" s="159"/>
      <c r="F20" s="159"/>
      <c r="G20" s="160"/>
      <c r="H20" s="159"/>
      <c r="I20" s="160"/>
      <c r="J20" s="160"/>
      <c r="K20" s="160"/>
      <c r="L20" s="160"/>
      <c r="M20" s="160"/>
      <c r="N20" s="161"/>
    </row>
    <row r="21" spans="2:15" s="156" customFormat="1" ht="13.5">
      <c r="B21" s="162">
        <f>ROW()-20</f>
        <v>1</v>
      </c>
      <c r="C21" s="163">
        <f>IF(VLOOKUP(B21,PROPONENTES!$B$19:$E$109,2,0)="","",VLOOKUP(B21,PROPONENTES!$B$19:$E$109,2,0))</f>
        <v>1</v>
      </c>
      <c r="D21" s="164" t="str">
        <f>VLOOKUP(C21,PROPONENTES!$C$19:$E$108,2,FALSE)</f>
        <v>PROYECTOS URBANOS &amp; CONSTRUCCIONES DEL CARIBE S.A.S</v>
      </c>
      <c r="E21" s="65" t="str">
        <f ca="1">IF(COUNTIF('HAB.GEN.'!E19:L19,"RECHAZO")&gt;0,"RECHAZO",IF(AND(IF(COUNTIF('HAB.GEN.'!E19:L19,"NO HÁBIL")&gt;0,'HAB.GEN.'!J19="NO HÁBIL")),"NO HÁBIL","HÁBIL"))</f>
        <v>HÁBIL</v>
      </c>
      <c r="F21" s="262">
        <f ca="1">IF(ISNUMBER(D21),"",IF(ISTEXT(N21),0,VLOOKUP(C21,'PONDERACION EXP.'!$C$44:$L$133,9,FALSE)))</f>
        <v>24.165261550670401</v>
      </c>
      <c r="G21" s="211">
        <v>10</v>
      </c>
      <c r="H21" s="212">
        <f>IF(ISNUMBER(D21),"",VLOOKUP(C21,'VIN.PERS.DISC.'!$C$19:$G$108,5,FALSE))</f>
        <v>1</v>
      </c>
      <c r="I21" s="211">
        <f>IF(ISNUMBER(D21),"",VLOOKUP(C21,'APOYO A IND. NAL.'!$C$19:$E$108,3,FALSE))</f>
        <v>20</v>
      </c>
      <c r="J21" s="211">
        <f>IF(ISNUMBER(D21),"",VLOOKUP(C21,RNOCI!$C$19:$F$108,4,FALSE))</f>
        <v>0</v>
      </c>
      <c r="K21" s="263">
        <f ca="1">IF(ISNUMBER(D21),"",IF(OR(E21&lt;&gt;"HÁBIL"),0,SUM(F21:J21)))</f>
        <v>55.165261550670401</v>
      </c>
      <c r="L21" s="263">
        <f>IF(ISNUMBER(D21),"",IF('MULTAS Y SANCIONES'!E19="SI",K21*-2%,0))</f>
        <v>0</v>
      </c>
      <c r="M21" s="263">
        <f ca="1">IF(ISNUMBER(D21),"",IF(OR(E21&lt;&gt;"HÁBIL"),0,SUM(K21:L21)))</f>
        <v>55.165261550670401</v>
      </c>
      <c r="N21" s="436"/>
      <c r="O21" s="653"/>
    </row>
    <row r="22" spans="2:15" s="156" customFormat="1" ht="13.5">
      <c r="B22" s="162">
        <f t="shared" ref="B22:B85" si="0">ROW()-20</f>
        <v>2</v>
      </c>
      <c r="C22" s="163">
        <f>IF(VLOOKUP(B22,PROPONENTES!$B$19:$E$109,2,0)="","",VLOOKUP(B22,PROPONENTES!$B$19:$E$109,2,0))</f>
        <v>2</v>
      </c>
      <c r="D22" s="164" t="str">
        <f>VLOOKUP(C22,PROPONENTES!$C$19:$E$108,2,FALSE)</f>
        <v>MIGUEL MORALES INGENIERIA SAS</v>
      </c>
      <c r="E22" s="65" t="str">
        <f ca="1">IF(COUNTIF('HAB.GEN.'!E20:L20,"RECHAZO")&gt;0,"RECHAZO",IF(AND(IF(COUNTIF('HAB.GEN.'!E20:L20,"NO HÁBIL")&gt;0,'HAB.GEN.'!J20="NO HÁBIL")),"NO HÁBIL","HÁBIL"))</f>
        <v>HÁBIL</v>
      </c>
      <c r="F22" s="262">
        <f ca="1">IF(ISNUMBER(D22),"",IF(ISTEXT(N22),0,VLOOKUP(C22,'PONDERACION EXP.'!$C$44:$L$133,9,FALSE)))</f>
        <v>32.626360078739552</v>
      </c>
      <c r="G22" s="211">
        <v>10</v>
      </c>
      <c r="H22" s="212">
        <f>IF(ISNUMBER(D22),"",VLOOKUP(C22,'VIN.PERS.DISC.'!$C$19:$G$108,5,FALSE))</f>
        <v>1</v>
      </c>
      <c r="I22" s="211">
        <f>IF(ISNUMBER(D22),"",VLOOKUP(C22,'APOYO A IND. NAL.'!$C$19:$E$108,3,FALSE))</f>
        <v>20</v>
      </c>
      <c r="J22" s="211">
        <f>IF(ISNUMBER(D22),"",VLOOKUP(C22,RNOCI!$C$19:$F$108,4,FALSE))</f>
        <v>0</v>
      </c>
      <c r="K22" s="263">
        <f t="shared" ref="K22:K85" ca="1" si="1">IF(ISNUMBER(D22),"",IF(OR(E22&lt;&gt;"HÁBIL"),0,SUM(F22:J22)))</f>
        <v>63.626360078739552</v>
      </c>
      <c r="L22" s="263">
        <f>IF(ISNUMBER(D22),"",IF('MULTAS Y SANCIONES'!E20="SI",K22*-2%,0))</f>
        <v>0</v>
      </c>
      <c r="M22" s="263">
        <f t="shared" ref="M22:M85" ca="1" si="2">IF(ISNUMBER(D22),"",IF(OR(E22&lt;&gt;"HÁBIL"),0,SUM(K22:L22)))</f>
        <v>63.626360078739552</v>
      </c>
      <c r="N22" s="436"/>
      <c r="O22" s="653"/>
    </row>
    <row r="23" spans="2:15" s="156" customFormat="1" ht="13.5">
      <c r="B23" s="162">
        <f t="shared" si="0"/>
        <v>3</v>
      </c>
      <c r="C23" s="163">
        <f>IF(VLOOKUP(B23,PROPONENTES!$B$19:$E$109,2,0)="","",VLOOKUP(B23,PROPONENTES!$B$19:$E$109,2,0))</f>
        <v>3</v>
      </c>
      <c r="D23" s="164" t="str">
        <f>VLOOKUP(C23,PROPONENTES!$C$19:$E$108,2,FALSE)</f>
        <v>CONSULTORES DONOVAN SAS</v>
      </c>
      <c r="E23" s="65" t="str">
        <f ca="1">IF(COUNTIF('HAB.GEN.'!E21:L21,"RECHAZO")&gt;0,"RECHAZO",IF(AND(IF(COUNTIF('HAB.GEN.'!E21:L21,"NO HÁBIL")&gt;0,'HAB.GEN.'!J21="NO HÁBIL")),"NO HÁBIL","HÁBIL"))</f>
        <v>HÁBIL</v>
      </c>
      <c r="F23" s="262">
        <f ca="1">IF(ISNUMBER(D23),"",IF(ISTEXT(N23),0,VLOOKUP(C23,'PONDERACION EXP.'!$C$44:$L$133,9,FALSE)))</f>
        <v>36.762142841775677</v>
      </c>
      <c r="G23" s="211">
        <v>10</v>
      </c>
      <c r="H23" s="212">
        <f>IF(ISNUMBER(D23),"",VLOOKUP(C23,'VIN.PERS.DISC.'!$C$19:$G$108,5,FALSE))</f>
        <v>1</v>
      </c>
      <c r="I23" s="211">
        <f>IF(ISNUMBER(D23),"",VLOOKUP(C23,'APOYO A IND. NAL.'!$C$19:$E$108,3,FALSE))</f>
        <v>20</v>
      </c>
      <c r="J23" s="211">
        <f>IF(ISNUMBER(D23),"",VLOOKUP(C23,RNOCI!$C$19:$F$108,4,FALSE))</f>
        <v>0</v>
      </c>
      <c r="K23" s="263">
        <f t="shared" ca="1" si="1"/>
        <v>67.76214284177567</v>
      </c>
      <c r="L23" s="263">
        <f>IF(ISNUMBER(D23),"",IF('MULTAS Y SANCIONES'!E21="SI",K23*-2%,0))</f>
        <v>0</v>
      </c>
      <c r="M23" s="263">
        <f t="shared" ca="1" si="2"/>
        <v>67.76214284177567</v>
      </c>
      <c r="N23" s="436"/>
      <c r="O23" s="653"/>
    </row>
    <row r="24" spans="2:15" s="156" customFormat="1" ht="13.5">
      <c r="B24" s="162">
        <f t="shared" si="0"/>
        <v>4</v>
      </c>
      <c r="C24" s="163">
        <f>IF(VLOOKUP(B24,PROPONENTES!$B$19:$E$109,2,0)="","",VLOOKUP(B24,PROPONENTES!$B$19:$E$109,2,0))</f>
        <v>4</v>
      </c>
      <c r="D24" s="164" t="str">
        <f>VLOOKUP(C24,PROPONENTES!$C$19:$E$108,2,FALSE)</f>
        <v>COMPAÑIA DE PROYECTOS TÉCNICOS CPT S.A</v>
      </c>
      <c r="E24" s="65" t="str">
        <f ca="1">IF(COUNTIF('HAB.GEN.'!E22:L22,"RECHAZO")&gt;0,"RECHAZO",IF(AND(IF(COUNTIF('HAB.GEN.'!E22:L22,"NO HÁBIL")&gt;0,'HAB.GEN.'!J22="NO HÁBIL")),"NO HÁBIL","HÁBIL"))</f>
        <v>HÁBIL</v>
      </c>
      <c r="F24" s="262">
        <f ca="1">IF(ISNUMBER(D24),"",IF(ISTEXT(N24),0,VLOOKUP(C24,'PONDERACION EXP.'!$C$44:$L$133,9,FALSE)))</f>
        <v>38.40044570582765</v>
      </c>
      <c r="G24" s="211">
        <v>10</v>
      </c>
      <c r="H24" s="212">
        <f>IF(ISNUMBER(D24),"",VLOOKUP(C24,'VIN.PERS.DISC.'!$C$19:$G$108,5,FALSE))</f>
        <v>1</v>
      </c>
      <c r="I24" s="211">
        <f>IF(ISNUMBER(D24),"",VLOOKUP(C24,'APOYO A IND. NAL.'!$C$19:$E$108,3,FALSE))</f>
        <v>20</v>
      </c>
      <c r="J24" s="211">
        <f>IF(ISNUMBER(D24),"",VLOOKUP(C24,RNOCI!$C$19:$F$108,4,FALSE))</f>
        <v>0</v>
      </c>
      <c r="K24" s="263">
        <f t="shared" ca="1" si="1"/>
        <v>69.40044570582765</v>
      </c>
      <c r="L24" s="263">
        <f>IF(ISNUMBER(D24),"",IF('MULTAS Y SANCIONES'!E22="SI",K24*-2%,0))</f>
        <v>0</v>
      </c>
      <c r="M24" s="263">
        <f t="shared" ca="1" si="2"/>
        <v>69.40044570582765</v>
      </c>
      <c r="N24" s="436"/>
      <c r="O24" s="653"/>
    </row>
    <row r="25" spans="2:15" s="156" customFormat="1" ht="13.5">
      <c r="B25" s="162">
        <f t="shared" si="0"/>
        <v>5</v>
      </c>
      <c r="C25" s="163">
        <f>IF(VLOOKUP(B25,PROPONENTES!$B$19:$E$109,2,0)="","",VLOOKUP(B25,PROPONENTES!$B$19:$E$109,2,0))</f>
        <v>5</v>
      </c>
      <c r="D25" s="164" t="str">
        <f>VLOOKUP(C25,PROPONENTES!$C$19:$E$108,2,FALSE)</f>
        <v>GAVINCO INGENIEROS CONSULTORES SAS</v>
      </c>
      <c r="E25" s="65" t="str">
        <f ca="1">IF(COUNTIF('HAB.GEN.'!E23:L23,"RECHAZO")&gt;0,"RECHAZO",IF(AND(IF(COUNTIF('HAB.GEN.'!E23:L23,"NO HÁBIL")&gt;0,'HAB.GEN.'!J23="NO HÁBIL")),"NO HÁBIL","HÁBIL"))</f>
        <v>HÁBIL</v>
      </c>
      <c r="F25" s="262">
        <f ca="1">IF(ISNUMBER(D25),"",IF(ISTEXT(N25),0,VLOOKUP(C25,'PONDERACION EXP.'!$C$44:$L$133,9,FALSE)))</f>
        <v>37.255752703498068</v>
      </c>
      <c r="G25" s="211">
        <v>10</v>
      </c>
      <c r="H25" s="212">
        <f>IF(ISNUMBER(D25),"",VLOOKUP(C25,'VIN.PERS.DISC.'!$C$19:$G$108,5,FALSE))</f>
        <v>1</v>
      </c>
      <c r="I25" s="211">
        <f>IF(ISNUMBER(D25),"",VLOOKUP(C25,'APOYO A IND. NAL.'!$C$19:$E$108,3,FALSE))</f>
        <v>20</v>
      </c>
      <c r="J25" s="211">
        <f>IF(ISNUMBER(D25),"",VLOOKUP(C25,RNOCI!$C$19:$F$108,4,FALSE))</f>
        <v>0</v>
      </c>
      <c r="K25" s="263">
        <f t="shared" ca="1" si="1"/>
        <v>68.255752703498075</v>
      </c>
      <c r="L25" s="263">
        <f>IF(ISNUMBER(D25),"",IF('MULTAS Y SANCIONES'!E23="SI",K25*-2%,0))</f>
        <v>0</v>
      </c>
      <c r="M25" s="263">
        <f t="shared" ca="1" si="2"/>
        <v>68.255752703498075</v>
      </c>
      <c r="N25" s="436"/>
      <c r="O25" s="653"/>
    </row>
    <row r="26" spans="2:15" s="156" customFormat="1" ht="13.5">
      <c r="B26" s="162">
        <f t="shared" si="0"/>
        <v>6</v>
      </c>
      <c r="C26" s="163">
        <f>IF(VLOOKUP(B26,PROPONENTES!$B$19:$E$109,2,0)="","",VLOOKUP(B26,PROPONENTES!$B$19:$E$109,2,0))</f>
        <v>6</v>
      </c>
      <c r="D26" s="164" t="str">
        <f>VLOOKUP(C26,PROPONENTES!$C$19:$E$108,2,FALSE)</f>
        <v>RD INGENIEROS CIVILES SAS</v>
      </c>
      <c r="E26" s="65" t="str">
        <f ca="1">IF(COUNTIF('HAB.GEN.'!E24:L24,"RECHAZO")&gt;0,"RECHAZO",IF(AND(IF(COUNTIF('HAB.GEN.'!E24:L24,"NO HÁBIL")&gt;0,'HAB.GEN.'!J24="NO HÁBIL")),"NO HÁBIL","HÁBIL"))</f>
        <v>HÁBIL</v>
      </c>
      <c r="F26" s="262">
        <f ca="1">IF(ISNUMBER(D26),"",IF(ISTEXT(N26),0,VLOOKUP(C26,'PONDERACION EXP.'!$C$44:$L$133,9,FALSE)))</f>
        <v>39.772264384256225</v>
      </c>
      <c r="G26" s="211">
        <v>10</v>
      </c>
      <c r="H26" s="212">
        <f>IF(ISNUMBER(D26),"",VLOOKUP(C26,'VIN.PERS.DISC.'!$C$19:$G$108,5,FALSE))</f>
        <v>1</v>
      </c>
      <c r="I26" s="211">
        <f>IF(ISNUMBER(D26),"",VLOOKUP(C26,'APOYO A IND. NAL.'!$C$19:$E$108,3,FALSE))</f>
        <v>20</v>
      </c>
      <c r="J26" s="211">
        <f>IF(ISNUMBER(D26),"",VLOOKUP(C26,RNOCI!$C$19:$F$108,4,FALSE))</f>
        <v>0</v>
      </c>
      <c r="K26" s="263">
        <f t="shared" ca="1" si="1"/>
        <v>70.772264384256232</v>
      </c>
      <c r="L26" s="263">
        <f>IF(ISNUMBER(D26),"",IF('MULTAS Y SANCIONES'!E24="SI",K26*-2%,0))</f>
        <v>0</v>
      </c>
      <c r="M26" s="263">
        <f t="shared" ca="1" si="2"/>
        <v>70.772264384256232</v>
      </c>
      <c r="N26" s="436"/>
      <c r="O26" s="653"/>
    </row>
    <row r="27" spans="2:15" s="156" customFormat="1" ht="13.5">
      <c r="B27" s="162">
        <f t="shared" si="0"/>
        <v>7</v>
      </c>
      <c r="C27" s="163">
        <f>IF(VLOOKUP(B27,PROPONENTES!$B$19:$E$109,2,0)="","",VLOOKUP(B27,PROPONENTES!$B$19:$E$109,2,0))</f>
        <v>7</v>
      </c>
      <c r="D27" s="164" t="str">
        <f>VLOOKUP(C27,PROPONENTES!$C$19:$E$108,2,FALSE)</f>
        <v>CONSORCIO FEEC TOLIMA</v>
      </c>
      <c r="E27" s="65" t="str">
        <f ca="1">IF(COUNTIF('HAB.GEN.'!E25:L25,"RECHAZO")&gt;0,"RECHAZO",IF(AND(IF(COUNTIF('HAB.GEN.'!E25:L25,"NO HÁBIL")&gt;0,'HAB.GEN.'!J25="NO HÁBIL")),"NO HÁBIL","HÁBIL"))</f>
        <v>RECHAZO</v>
      </c>
      <c r="F27" s="262">
        <f ca="1">IF(ISNUMBER(D27),"",IF(ISTEXT(N27),0,VLOOKUP(C27,'PONDERACION EXP.'!$C$44:$L$133,9,FALSE)))</f>
        <v>41.317197719332761</v>
      </c>
      <c r="G27" s="211">
        <v>10</v>
      </c>
      <c r="H27" s="212">
        <f ca="1">IF(ISNUMBER(D27),"",VLOOKUP(C27,'VIN.PERS.DISC.'!$C$19:$G$108,5,FALSE))</f>
        <v>1</v>
      </c>
      <c r="I27" s="211">
        <f>IF(ISNUMBER(D27),"",VLOOKUP(C27,'APOYO A IND. NAL.'!$C$19:$E$108,3,FALSE))</f>
        <v>20</v>
      </c>
      <c r="J27" s="211">
        <f>IF(ISNUMBER(D27),"",VLOOKUP(C27,RNOCI!$C$19:$F$108,4,FALSE))</f>
        <v>0</v>
      </c>
      <c r="K27" s="263">
        <f t="shared" ca="1" si="1"/>
        <v>0</v>
      </c>
      <c r="L27" s="263">
        <f>IF(ISNUMBER(D27),"",IF('MULTAS Y SANCIONES'!E25="SI",K27*-2%,0))</f>
        <v>0</v>
      </c>
      <c r="M27" s="263">
        <f t="shared" ca="1" si="2"/>
        <v>0</v>
      </c>
      <c r="N27" s="436"/>
      <c r="O27" s="653"/>
    </row>
    <row r="28" spans="2:15" s="156" customFormat="1" ht="13.5">
      <c r="B28" s="162">
        <f t="shared" si="0"/>
        <v>8</v>
      </c>
      <c r="C28" s="163">
        <f>IF(VLOOKUP(B28,PROPONENTES!$B$19:$E$109,2,0)="","",VLOOKUP(B28,PROPONENTES!$B$19:$E$109,2,0))</f>
        <v>8</v>
      </c>
      <c r="D28" s="164" t="str">
        <f>VLOOKUP(C28,PROPONENTES!$C$19:$E$108,2,FALSE)</f>
        <v>CARLOS ALBERTO PALTA MUÑOZ</v>
      </c>
      <c r="E28" s="65" t="str">
        <f ca="1">IF(COUNTIF('HAB.GEN.'!E26:L26,"RECHAZO")&gt;0,"RECHAZO",IF(AND(IF(COUNTIF('HAB.GEN.'!E26:L26,"NO HÁBIL")&gt;0,'HAB.GEN.'!J26="NO HÁBIL")),"NO HÁBIL","HÁBIL"))</f>
        <v>HÁBIL</v>
      </c>
      <c r="F28" s="262">
        <f ca="1">IF(ISNUMBER(D28),"",IF(ISTEXT(N28),0,VLOOKUP(C28,'PONDERACION EXP.'!$C$44:$L$133,9,FALSE)))</f>
        <v>41.231786221993929</v>
      </c>
      <c r="G28" s="211">
        <v>10</v>
      </c>
      <c r="H28" s="212">
        <f>IF(ISNUMBER(D28),"",VLOOKUP(C28,'VIN.PERS.DISC.'!$C$19:$G$108,5,FALSE))</f>
        <v>1</v>
      </c>
      <c r="I28" s="211">
        <f>IF(ISNUMBER(D28),"",VLOOKUP(C28,'APOYO A IND. NAL.'!$C$19:$E$108,3,FALSE))</f>
        <v>20</v>
      </c>
      <c r="J28" s="211">
        <f>IF(ISNUMBER(D28),"",VLOOKUP(C28,RNOCI!$C$19:$F$108,4,FALSE))</f>
        <v>0</v>
      </c>
      <c r="K28" s="263">
        <f t="shared" ca="1" si="1"/>
        <v>72.231786221993929</v>
      </c>
      <c r="L28" s="263">
        <f>IF(ISNUMBER(D28),"",IF('MULTAS Y SANCIONES'!E26="SI",K28*-2%,0))</f>
        <v>0</v>
      </c>
      <c r="M28" s="263">
        <f t="shared" ca="1" si="2"/>
        <v>72.231786221993929</v>
      </c>
      <c r="N28" s="436"/>
      <c r="O28" s="653"/>
    </row>
    <row r="29" spans="2:15" s="156" customFormat="1" ht="13.5">
      <c r="B29" s="162">
        <f t="shared" si="0"/>
        <v>9</v>
      </c>
      <c r="C29" s="163">
        <f>IF(VLOOKUP(B29,PROPONENTES!$B$19:$E$109,2,0)="","",VLOOKUP(B29,PROPONENTES!$B$19:$E$109,2,0))</f>
        <v>9</v>
      </c>
      <c r="D29" s="164" t="str">
        <f>VLOOKUP(C29,PROPONENTES!$C$19:$E$108,2,FALSE)</f>
        <v>CONSORCIO GMC</v>
      </c>
      <c r="E29" s="65" t="str">
        <f ca="1">IF(COUNTIF('HAB.GEN.'!E27:L27,"RECHAZO")&gt;0,"RECHAZO",IF(AND(IF(COUNTIF('HAB.GEN.'!E27:L27,"NO HÁBIL")&gt;0,'HAB.GEN.'!J27="NO HÁBIL")),"NO HÁBIL","HÁBIL"))</f>
        <v>HÁBIL</v>
      </c>
      <c r="F29" s="262">
        <f ca="1">IF(ISNUMBER(D29),"",IF(ISTEXT(N29),0,VLOOKUP(C29,'PONDERACION EXP.'!$C$44:$L$133,9,FALSE)))</f>
        <v>34.954343321652175</v>
      </c>
      <c r="G29" s="211">
        <v>10</v>
      </c>
      <c r="H29" s="212">
        <f ca="1">IF(ISNUMBER(D29),"",VLOOKUP(C29,'VIN.PERS.DISC.'!$C$19:$G$108,5,FALSE))</f>
        <v>1</v>
      </c>
      <c r="I29" s="211">
        <f>IF(ISNUMBER(D29),"",VLOOKUP(C29,'APOYO A IND. NAL.'!$C$19:$E$108,3,FALSE))</f>
        <v>20</v>
      </c>
      <c r="J29" s="211">
        <f>IF(ISNUMBER(D29),"",VLOOKUP(C29,RNOCI!$C$19:$F$108,4,FALSE))</f>
        <v>0</v>
      </c>
      <c r="K29" s="263">
        <f t="shared" ca="1" si="1"/>
        <v>65.954343321652175</v>
      </c>
      <c r="L29" s="263">
        <f>IF(ISNUMBER(D29),"",IF('MULTAS Y SANCIONES'!E27="SI",K29*-2%,0))</f>
        <v>0</v>
      </c>
      <c r="M29" s="263">
        <f t="shared" ca="1" si="2"/>
        <v>65.954343321652175</v>
      </c>
      <c r="N29" s="436"/>
      <c r="O29" s="653"/>
    </row>
    <row r="30" spans="2:15" s="156" customFormat="1" ht="13.5">
      <c r="B30" s="162">
        <f t="shared" si="0"/>
        <v>10</v>
      </c>
      <c r="C30" s="163">
        <f>IF(VLOOKUP(B30,PROPONENTES!$B$19:$E$109,2,0)="","",VLOOKUP(B30,PROPONENTES!$B$19:$E$109,2,0))</f>
        <v>10</v>
      </c>
      <c r="D30" s="164" t="str">
        <f>VLOOKUP(C30,PROPONENTES!$C$19:$E$108,2,FALSE)</f>
        <v>R&amp;M CONSTRUCCIONES E INTERVENTORIAS S.A.S</v>
      </c>
      <c r="E30" s="65" t="str">
        <f ca="1">IF(COUNTIF('HAB.GEN.'!E28:L28,"RECHAZO")&gt;0,"RECHAZO",IF(AND(IF(COUNTIF('HAB.GEN.'!E28:L28,"NO HÁBIL")&gt;0,'HAB.GEN.'!J28="NO HÁBIL")),"NO HÁBIL","HÁBIL"))</f>
        <v>HÁBIL</v>
      </c>
      <c r="F30" s="262">
        <f ca="1">IF(ISNUMBER(D30),"",IF(ISTEXT(N30),0,VLOOKUP(C30,'PONDERACION EXP.'!$C$44:$L$133,9,FALSE)))</f>
        <v>50.782287483280122</v>
      </c>
      <c r="G30" s="211">
        <v>10</v>
      </c>
      <c r="H30" s="212">
        <f>IF(ISNUMBER(D30),"",VLOOKUP(C30,'VIN.PERS.DISC.'!$C$19:$G$108,5,FALSE))</f>
        <v>1</v>
      </c>
      <c r="I30" s="211">
        <f>IF(ISNUMBER(D30),"",VLOOKUP(C30,'APOYO A IND. NAL.'!$C$19:$E$108,3,FALSE))</f>
        <v>20</v>
      </c>
      <c r="J30" s="211">
        <f>IF(ISNUMBER(D30),"",VLOOKUP(C30,RNOCI!$C$19:$F$108,4,FALSE))</f>
        <v>0</v>
      </c>
      <c r="K30" s="263">
        <f t="shared" ca="1" si="1"/>
        <v>81.782287483280129</v>
      </c>
      <c r="L30" s="263">
        <f>IF(ISNUMBER(D30),"",IF('MULTAS Y SANCIONES'!E28="SI",K30*-2%,0))</f>
        <v>0</v>
      </c>
      <c r="M30" s="263">
        <f t="shared" ca="1" si="2"/>
        <v>81.782287483280129</v>
      </c>
      <c r="N30" s="436"/>
      <c r="O30" s="653"/>
    </row>
    <row r="31" spans="2:15" s="156" customFormat="1" ht="13.5">
      <c r="B31" s="162">
        <f t="shared" si="0"/>
        <v>11</v>
      </c>
      <c r="C31" s="163">
        <f>IF(VLOOKUP(B31,PROPONENTES!$B$19:$E$109,2,0)="","",VLOOKUP(B31,PROPONENTES!$B$19:$E$109,2,0))</f>
        <v>11</v>
      </c>
      <c r="D31" s="164" t="str">
        <f>VLOOKUP(C31,PROPONENTES!$C$19:$E$108,2,FALSE)</f>
        <v>CUBIKO OBRAS Y CONSULTORÍAS SAS</v>
      </c>
      <c r="E31" s="65" t="str">
        <f ca="1">IF(COUNTIF('HAB.GEN.'!E29:L29,"RECHAZO")&gt;0,"RECHAZO",IF(AND(IF(COUNTIF('HAB.GEN.'!E29:L29,"NO HÁBIL")&gt;0,'HAB.GEN.'!J29="NO HÁBIL")),"NO HÁBIL","HÁBIL"))</f>
        <v>HÁBIL</v>
      </c>
      <c r="F31" s="262">
        <f ca="1">IF(ISNUMBER(D31),"",IF(ISTEXT(N31),0,VLOOKUP(C31,'PONDERACION EXP.'!$C$44:$L$133,9,FALSE)))</f>
        <v>29.52319862989571</v>
      </c>
      <c r="G31" s="211">
        <v>10</v>
      </c>
      <c r="H31" s="212">
        <f>IF(ISNUMBER(D31),"",VLOOKUP(C31,'VIN.PERS.DISC.'!$C$19:$G$108,5,FALSE))</f>
        <v>1</v>
      </c>
      <c r="I31" s="211">
        <f>IF(ISNUMBER(D31),"",VLOOKUP(C31,'APOYO A IND. NAL.'!$C$19:$E$108,3,FALSE))</f>
        <v>20</v>
      </c>
      <c r="J31" s="211">
        <f>IF(ISNUMBER(D31),"",VLOOKUP(C31,RNOCI!$C$19:$F$108,4,FALSE))</f>
        <v>0</v>
      </c>
      <c r="K31" s="263">
        <f t="shared" ca="1" si="1"/>
        <v>60.52319862989571</v>
      </c>
      <c r="L31" s="263">
        <f>IF(ISNUMBER(D31),"",IF('MULTAS Y SANCIONES'!E29="SI",K31*-2%,0))</f>
        <v>0</v>
      </c>
      <c r="M31" s="263">
        <f t="shared" ca="1" si="2"/>
        <v>60.52319862989571</v>
      </c>
      <c r="N31" s="436"/>
      <c r="O31" s="653"/>
    </row>
    <row r="32" spans="2:15" s="156" customFormat="1" ht="13.5">
      <c r="B32" s="162">
        <f t="shared" si="0"/>
        <v>12</v>
      </c>
      <c r="C32" s="163">
        <f>IF(VLOOKUP(B32,PROPONENTES!$B$19:$E$109,2,0)="","",VLOOKUP(B32,PROPONENTES!$B$19:$E$109,2,0))</f>
        <v>12</v>
      </c>
      <c r="D32" s="164" t="str">
        <f>VLOOKUP(C32,PROPONENTES!$C$19:$E$108,2,FALSE)</f>
        <v>CONSTRUCTORES DEL DESARROLLO TERRITORIAL CONSTRUDET Y COMPAÑÍA LTDA</v>
      </c>
      <c r="E32" s="65" t="str">
        <f ca="1">IF(COUNTIF('HAB.GEN.'!E30:L30,"RECHAZO")&gt;0,"RECHAZO",IF(AND(IF(COUNTIF('HAB.GEN.'!E30:L30,"NO HÁBIL")&gt;0,'HAB.GEN.'!J30="NO HÁBIL")),"NO HÁBIL","HÁBIL"))</f>
        <v>RECHAZO</v>
      </c>
      <c r="F32" s="262">
        <f ca="1">IF(ISNUMBER(D32),"",IF(ISTEXT(N32),0,VLOOKUP(C32,'PONDERACION EXP.'!$C$44:$L$133,9,FALSE)))</f>
        <v>35.30381130791524</v>
      </c>
      <c r="G32" s="211">
        <v>10</v>
      </c>
      <c r="H32" s="212">
        <f>IF(ISNUMBER(D32),"",VLOOKUP(C32,'VIN.PERS.DISC.'!$C$19:$G$108,5,FALSE))</f>
        <v>1</v>
      </c>
      <c r="I32" s="211">
        <f>IF(ISNUMBER(D32),"",VLOOKUP(C32,'APOYO A IND. NAL.'!$C$19:$E$108,3,FALSE))</f>
        <v>20</v>
      </c>
      <c r="J32" s="211">
        <f>IF(ISNUMBER(D32),"",VLOOKUP(C32,RNOCI!$C$19:$F$108,4,FALSE))</f>
        <v>0</v>
      </c>
      <c r="K32" s="263">
        <f t="shared" ca="1" si="1"/>
        <v>0</v>
      </c>
      <c r="L32" s="263">
        <f>IF(ISNUMBER(D32),"",IF('MULTAS Y SANCIONES'!E30="SI",K32*-2%,0))</f>
        <v>0</v>
      </c>
      <c r="M32" s="263">
        <f t="shared" ca="1" si="2"/>
        <v>0</v>
      </c>
      <c r="N32" s="436"/>
      <c r="O32" s="653"/>
    </row>
    <row r="33" spans="2:15" s="156" customFormat="1" ht="13.5">
      <c r="B33" s="162">
        <f t="shared" si="0"/>
        <v>13</v>
      </c>
      <c r="C33" s="163">
        <f>IF(VLOOKUP(B33,PROPONENTES!$B$19:$E$109,2,0)="","",VLOOKUP(B33,PROPONENTES!$B$19:$E$109,2,0))</f>
        <v>13</v>
      </c>
      <c r="D33" s="164" t="str">
        <f>VLOOKUP(C33,PROPONENTES!$C$19:$E$108,2,FALSE)</f>
        <v>NICOLAS REDONDO MOLINA</v>
      </c>
      <c r="E33" s="65" t="str">
        <f ca="1">IF(COUNTIF('HAB.GEN.'!E31:L31,"RECHAZO")&gt;0,"RECHAZO",IF(AND(IF(COUNTIF('HAB.GEN.'!E31:L31,"NO HÁBIL")&gt;0,'HAB.GEN.'!J31="NO HÁBIL")),"NO HÁBIL","HÁBIL"))</f>
        <v>HÁBIL</v>
      </c>
      <c r="F33" s="262">
        <f ca="1">IF(ISNUMBER(D33),"",IF(ISTEXT(N33),0,VLOOKUP(C33,'PONDERACION EXP.'!$C$44:$L$133,9,FALSE)))</f>
        <v>33.919814905203772</v>
      </c>
      <c r="G33" s="211">
        <v>10</v>
      </c>
      <c r="H33" s="212">
        <f>IF(ISNUMBER(D33),"",VLOOKUP(C33,'VIN.PERS.DISC.'!$C$19:$G$108,5,FALSE))</f>
        <v>1</v>
      </c>
      <c r="I33" s="211">
        <f>IF(ISNUMBER(D33),"",VLOOKUP(C33,'APOYO A IND. NAL.'!$C$19:$E$108,3,FALSE))</f>
        <v>20</v>
      </c>
      <c r="J33" s="211">
        <f>IF(ISNUMBER(D33),"",VLOOKUP(C33,RNOCI!$C$19:$F$108,4,FALSE))</f>
        <v>0</v>
      </c>
      <c r="K33" s="263">
        <f t="shared" ca="1" si="1"/>
        <v>64.919814905203765</v>
      </c>
      <c r="L33" s="263">
        <f>IF(ISNUMBER(D33),"",IF('MULTAS Y SANCIONES'!E31="SI",K33*-2%,0))</f>
        <v>0</v>
      </c>
      <c r="M33" s="263">
        <f t="shared" ca="1" si="2"/>
        <v>64.919814905203765</v>
      </c>
      <c r="N33" s="436"/>
      <c r="O33" s="653"/>
    </row>
    <row r="34" spans="2:15" s="156" customFormat="1" ht="13.5">
      <c r="B34" s="162">
        <f t="shared" si="0"/>
        <v>14</v>
      </c>
      <c r="C34" s="163">
        <f>IF(VLOOKUP(B34,PROPONENTES!$B$19:$E$109,2,0)="","",VLOOKUP(B34,PROPONENTES!$B$19:$E$109,2,0))</f>
        <v>14</v>
      </c>
      <c r="D34" s="164" t="str">
        <f>VLOOKUP(C34,PROPONENTES!$C$19:$E$108,2,FALSE)</f>
        <v>CONSORCIO INTER CB 2022</v>
      </c>
      <c r="E34" s="65" t="str">
        <f ca="1">IF(COUNTIF('HAB.GEN.'!E32:L32,"RECHAZO")&gt;0,"RECHAZO",IF(AND(IF(COUNTIF('HAB.GEN.'!E32:L32,"NO HÁBIL")&gt;0,'HAB.GEN.'!J32="NO HÁBIL")),"NO HÁBIL","HÁBIL"))</f>
        <v>RECHAZO</v>
      </c>
      <c r="F34" s="262">
        <f ca="1">IF(ISNUMBER(D34),"",IF(ISTEXT(N34),0,VLOOKUP(C34,'PONDERACION EXP.'!$C$44:$L$133,9,FALSE)))</f>
        <v>39.714685069225837</v>
      </c>
      <c r="G34" s="211">
        <v>10</v>
      </c>
      <c r="H34" s="212">
        <f ca="1">IF(ISNUMBER(D34),"",VLOOKUP(C34,'VIN.PERS.DISC.'!$C$19:$G$108,5,FALSE))</f>
        <v>1</v>
      </c>
      <c r="I34" s="211">
        <f>IF(ISNUMBER(D34),"",VLOOKUP(C34,'APOYO A IND. NAL.'!$C$19:$E$108,3,FALSE))</f>
        <v>20</v>
      </c>
      <c r="J34" s="211">
        <f>IF(ISNUMBER(D34),"",VLOOKUP(C34,RNOCI!$C$19:$F$108,4,FALSE))</f>
        <v>0</v>
      </c>
      <c r="K34" s="263">
        <f t="shared" ca="1" si="1"/>
        <v>0</v>
      </c>
      <c r="L34" s="263">
        <f>IF(ISNUMBER(D34),"",IF('MULTAS Y SANCIONES'!E32="SI",K34*-2%,0))</f>
        <v>0</v>
      </c>
      <c r="M34" s="263">
        <f t="shared" ca="1" si="2"/>
        <v>0</v>
      </c>
      <c r="N34" s="436"/>
      <c r="O34" s="653"/>
    </row>
    <row r="35" spans="2:15" s="156" customFormat="1" ht="13.5">
      <c r="B35" s="162">
        <f t="shared" si="0"/>
        <v>15</v>
      </c>
      <c r="C35" s="163">
        <f>IF(VLOOKUP(B35,PROPONENTES!$B$19:$E$109,2,0)="","",VLOOKUP(B35,PROPONENTES!$B$19:$E$109,2,0))</f>
        <v>15</v>
      </c>
      <c r="D35" s="164" t="str">
        <f>VLOOKUP(C35,PROPONENTES!$C$19:$E$108,2,FALSE)</f>
        <v>EMPROCIV SAS</v>
      </c>
      <c r="E35" s="65" t="str">
        <f ca="1">IF(COUNTIF('HAB.GEN.'!E33:L33,"RECHAZO")&gt;0,"RECHAZO",IF(AND(IF(COUNTIF('HAB.GEN.'!E33:L33,"NO HÁBIL")&gt;0,'HAB.GEN.'!J33="NO HÁBIL")),"NO HÁBIL","HÁBIL"))</f>
        <v>HÁBIL</v>
      </c>
      <c r="F35" s="262">
        <f ca="1">IF(ISNUMBER(D35),"",IF(ISTEXT(N35),0,VLOOKUP(C35,'PONDERACION EXP.'!$C$44:$L$133,9,FALSE)))</f>
        <v>44.788649652015486</v>
      </c>
      <c r="G35" s="211">
        <v>10</v>
      </c>
      <c r="H35" s="212">
        <f>IF(ISNUMBER(D35),"",VLOOKUP(C35,'VIN.PERS.DISC.'!$C$19:$G$108,5,FALSE))</f>
        <v>1</v>
      </c>
      <c r="I35" s="211">
        <f>IF(ISNUMBER(D35),"",VLOOKUP(C35,'APOYO A IND. NAL.'!$C$19:$E$108,3,FALSE))</f>
        <v>20</v>
      </c>
      <c r="J35" s="211">
        <f>IF(ISNUMBER(D35),"",VLOOKUP(C35,RNOCI!$C$19:$F$108,4,FALSE))</f>
        <v>0</v>
      </c>
      <c r="K35" s="263">
        <f t="shared" ca="1" si="1"/>
        <v>75.788649652015494</v>
      </c>
      <c r="L35" s="263">
        <f>IF(ISNUMBER(D35),"",IF('MULTAS Y SANCIONES'!E33="SI",K35*-2%,0))</f>
        <v>0</v>
      </c>
      <c r="M35" s="263">
        <f t="shared" ca="1" si="2"/>
        <v>75.788649652015494</v>
      </c>
      <c r="N35" s="436"/>
      <c r="O35" s="653"/>
    </row>
    <row r="36" spans="2:15" s="156" customFormat="1" ht="13.5">
      <c r="B36" s="162">
        <f t="shared" si="0"/>
        <v>16</v>
      </c>
      <c r="C36" s="163">
        <f>IF(VLOOKUP(B36,PROPONENTES!$B$19:$E$109,2,0)="","",VLOOKUP(B36,PROPONENTES!$B$19:$E$109,2,0))</f>
        <v>16</v>
      </c>
      <c r="D36" s="164" t="str">
        <f>VLOOKUP(C36,PROPONENTES!$C$19:$E$108,2,FALSE)</f>
        <v>CONSORCIO CAMCO</v>
      </c>
      <c r="E36" s="65" t="str">
        <f ca="1">IF(COUNTIF('HAB.GEN.'!E34:L34,"RECHAZO")&gt;0,"RECHAZO",IF(AND(IF(COUNTIF('HAB.GEN.'!E34:L34,"NO HÁBIL")&gt;0,'HAB.GEN.'!J34="NO HÁBIL")),"NO HÁBIL","HÁBIL"))</f>
        <v>HÁBIL</v>
      </c>
      <c r="F36" s="262">
        <f ca="1">IF(ISNUMBER(D36),"",IF(ISTEXT(N36),0,VLOOKUP(C36,'PONDERACION EXP.'!$C$44:$L$133,9,FALSE)))</f>
        <v>38.261937499378689</v>
      </c>
      <c r="G36" s="211">
        <v>10</v>
      </c>
      <c r="H36" s="212">
        <f ca="1">IF(ISNUMBER(D36),"",VLOOKUP(C36,'VIN.PERS.DISC.'!$C$19:$G$108,5,FALSE))</f>
        <v>1</v>
      </c>
      <c r="I36" s="211">
        <f>IF(ISNUMBER(D36),"",VLOOKUP(C36,'APOYO A IND. NAL.'!$C$19:$E$108,3,FALSE))</f>
        <v>20</v>
      </c>
      <c r="J36" s="211">
        <f>IF(ISNUMBER(D36),"",VLOOKUP(C36,RNOCI!$C$19:$F$108,4,FALSE))</f>
        <v>0</v>
      </c>
      <c r="K36" s="263">
        <f t="shared" ca="1" si="1"/>
        <v>69.261937499378689</v>
      </c>
      <c r="L36" s="263">
        <f>IF(ISNUMBER(D36),"",IF('MULTAS Y SANCIONES'!E34="SI",K36*-2%,0))</f>
        <v>0</v>
      </c>
      <c r="M36" s="263">
        <f t="shared" ca="1" si="2"/>
        <v>69.261937499378689</v>
      </c>
      <c r="N36" s="436"/>
      <c r="O36" s="653"/>
    </row>
    <row r="37" spans="2:15" s="156" customFormat="1" ht="13.5">
      <c r="B37" s="162">
        <f t="shared" si="0"/>
        <v>17</v>
      </c>
      <c r="C37" s="163">
        <f>IF(VLOOKUP(B37,PROPONENTES!$B$19:$E$109,2,0)="","",VLOOKUP(B37,PROPONENTES!$B$19:$E$109,2,0))</f>
        <v>17</v>
      </c>
      <c r="D37" s="164" t="str">
        <f>VLOOKUP(C37,PROPONENTES!$C$19:$E$108,2,FALSE)</f>
        <v>ARCA AQUITECTURA E INGENIERÍA S.A</v>
      </c>
      <c r="E37" s="65" t="str">
        <f ca="1">IF(COUNTIF('HAB.GEN.'!E35:L35,"RECHAZO")&gt;0,"RECHAZO",IF(AND(IF(COUNTIF('HAB.GEN.'!E35:L35,"NO HÁBIL")&gt;0,'HAB.GEN.'!J35="NO HÁBIL")),"NO HÁBIL","HÁBIL"))</f>
        <v>HÁBIL</v>
      </c>
      <c r="F37" s="262">
        <f ca="1">IF(ISNUMBER(D37),"",IF(ISTEXT(N37),0,VLOOKUP(C37,'PONDERACION EXP.'!$C$44:$L$133,9,FALSE)))</f>
        <v>37.796255305880145</v>
      </c>
      <c r="G37" s="211">
        <v>10</v>
      </c>
      <c r="H37" s="212">
        <f>IF(ISNUMBER(D37),"",VLOOKUP(C37,'VIN.PERS.DISC.'!$C$19:$G$108,5,FALSE))</f>
        <v>1</v>
      </c>
      <c r="I37" s="211">
        <f>IF(ISNUMBER(D37),"",VLOOKUP(C37,'APOYO A IND. NAL.'!$C$19:$E$108,3,FALSE))</f>
        <v>20</v>
      </c>
      <c r="J37" s="211">
        <f>IF(ISNUMBER(D37),"",VLOOKUP(C37,RNOCI!$C$19:$F$108,4,FALSE))</f>
        <v>0</v>
      </c>
      <c r="K37" s="263">
        <f t="shared" ca="1" si="1"/>
        <v>68.796255305880152</v>
      </c>
      <c r="L37" s="263">
        <f>IF(ISNUMBER(D37),"",IF('MULTAS Y SANCIONES'!E35="SI",K37*-2%,0))</f>
        <v>0</v>
      </c>
      <c r="M37" s="263">
        <f t="shared" ca="1" si="2"/>
        <v>68.796255305880152</v>
      </c>
      <c r="N37" s="436"/>
      <c r="O37" s="653"/>
    </row>
    <row r="38" spans="2:15" s="156" customFormat="1" ht="13.5">
      <c r="B38" s="162">
        <f t="shared" si="0"/>
        <v>18</v>
      </c>
      <c r="C38" s="163">
        <f>IF(VLOOKUP(B38,PROPONENTES!$B$19:$E$109,2,0)="","",VLOOKUP(B38,PROPONENTES!$B$19:$E$109,2,0))</f>
        <v>18</v>
      </c>
      <c r="D38" s="164" t="str">
        <f>VLOOKUP(C38,PROPONENTES!$C$19:$E$108,2,FALSE)</f>
        <v>ALPHA INGENIERIA INTEGRAL SAS</v>
      </c>
      <c r="E38" s="65" t="str">
        <f ca="1">IF(COUNTIF('HAB.GEN.'!E36:L36,"RECHAZO")&gt;0,"RECHAZO",IF(AND(IF(COUNTIF('HAB.GEN.'!E36:L36,"NO HÁBIL")&gt;0,'HAB.GEN.'!J36="NO HÁBIL")),"NO HÁBIL","HÁBIL"))</f>
        <v>HÁBIL</v>
      </c>
      <c r="F38" s="262">
        <f ca="1">IF(ISNUMBER(D38),"",IF(ISTEXT(N38),0,VLOOKUP(C38,'PONDERACION EXP.'!$C$44:$L$133,9,FALSE)))</f>
        <v>37.905030767895774</v>
      </c>
      <c r="G38" s="211">
        <v>10</v>
      </c>
      <c r="H38" s="212">
        <f>IF(ISNUMBER(D38),"",VLOOKUP(C38,'VIN.PERS.DISC.'!$C$19:$G$108,5,FALSE))</f>
        <v>1</v>
      </c>
      <c r="I38" s="211">
        <f>IF(ISNUMBER(D38),"",VLOOKUP(C38,'APOYO A IND. NAL.'!$C$19:$E$108,3,FALSE))</f>
        <v>20</v>
      </c>
      <c r="J38" s="211">
        <f>IF(ISNUMBER(D38),"",VLOOKUP(C38,RNOCI!$C$19:$F$108,4,FALSE))</f>
        <v>0</v>
      </c>
      <c r="K38" s="263">
        <f t="shared" ca="1" si="1"/>
        <v>68.905030767895767</v>
      </c>
      <c r="L38" s="263">
        <f>IF(ISNUMBER(D38),"",IF('MULTAS Y SANCIONES'!E36="SI",K38*-2%,0))</f>
        <v>0</v>
      </c>
      <c r="M38" s="263">
        <f t="shared" ca="1" si="2"/>
        <v>68.905030767895767</v>
      </c>
      <c r="N38" s="436"/>
      <c r="O38" s="653"/>
    </row>
    <row r="39" spans="2:15" s="156" customFormat="1" ht="13.5">
      <c r="B39" s="162">
        <f t="shared" si="0"/>
        <v>19</v>
      </c>
      <c r="C39" s="163">
        <f>IF(VLOOKUP(B39,PROPONENTES!$B$19:$E$109,2,0)="","",VLOOKUP(B39,PROPONENTES!$B$19:$E$109,2,0))</f>
        <v>19</v>
      </c>
      <c r="D39" s="164" t="str">
        <f>VLOOKUP(C39,PROPONENTES!$C$19:$E$108,2,FALSE)</f>
        <v>ELSA MARIA RUEDA LANDINEZ INGENIERIA SAS</v>
      </c>
      <c r="E39" s="65" t="str">
        <f ca="1">IF(COUNTIF('HAB.GEN.'!E37:L37,"RECHAZO")&gt;0,"RECHAZO",IF(AND(IF(COUNTIF('HAB.GEN.'!E37:L37,"NO HÁBIL")&gt;0,'HAB.GEN.'!J37="NO HÁBIL")),"NO HÁBIL","HÁBIL"))</f>
        <v>HÁBIL</v>
      </c>
      <c r="F39" s="262">
        <f ca="1">IF(ISNUMBER(D39),"",IF(ISTEXT(N39),0,VLOOKUP(C39,'PONDERACION EXP.'!$C$44:$L$133,9,FALSE)))</f>
        <v>38.668133275590719</v>
      </c>
      <c r="G39" s="211">
        <v>10</v>
      </c>
      <c r="H39" s="212">
        <f>IF(ISNUMBER(D39),"",VLOOKUP(C39,'VIN.PERS.DISC.'!$C$19:$G$108,5,FALSE))</f>
        <v>1</v>
      </c>
      <c r="I39" s="211">
        <f>IF(ISNUMBER(D39),"",VLOOKUP(C39,'APOYO A IND. NAL.'!$C$19:$E$108,3,FALSE))</f>
        <v>20</v>
      </c>
      <c r="J39" s="211">
        <f>IF(ISNUMBER(D39),"",VLOOKUP(C39,RNOCI!$C$19:$F$108,4,FALSE))</f>
        <v>0</v>
      </c>
      <c r="K39" s="263">
        <f t="shared" ca="1" si="1"/>
        <v>69.668133275590719</v>
      </c>
      <c r="L39" s="263">
        <f>IF(ISNUMBER(D39),"",IF('MULTAS Y SANCIONES'!E37="SI",K39*-2%,0))</f>
        <v>0</v>
      </c>
      <c r="M39" s="263">
        <f t="shared" ca="1" si="2"/>
        <v>69.668133275590719</v>
      </c>
      <c r="N39" s="436"/>
      <c r="O39" s="653"/>
    </row>
    <row r="40" spans="2:15" s="156" customFormat="1" ht="13.5">
      <c r="B40" s="162">
        <f t="shared" si="0"/>
        <v>20</v>
      </c>
      <c r="C40" s="163">
        <f>IF(VLOOKUP(B40,PROPONENTES!$B$19:$E$109,2,0)="","",VLOOKUP(B40,PROPONENTES!$B$19:$E$109,2,0))</f>
        <v>20</v>
      </c>
      <c r="D40" s="164" t="str">
        <f>VLOOKUP(C40,PROPONENTES!$C$19:$E$108,2,FALSE)</f>
        <v>PROES INGENIERÍA S.A.S</v>
      </c>
      <c r="E40" s="65" t="str">
        <f ca="1">IF(COUNTIF('HAB.GEN.'!E38:L38,"RECHAZO")&gt;0,"RECHAZO",IF(AND(IF(COUNTIF('HAB.GEN.'!E38:L38,"NO HÁBIL")&gt;0,'HAB.GEN.'!J38="NO HÁBIL")),"NO HÁBIL","HÁBIL"))</f>
        <v>HÁBIL</v>
      </c>
      <c r="F40" s="262">
        <f ca="1">IF(ISNUMBER(D40),"",IF(ISTEXT(N40),0,VLOOKUP(C40,'PONDERACION EXP.'!$C$44:$L$133,9,FALSE)))</f>
        <v>53.330953065039594</v>
      </c>
      <c r="G40" s="211">
        <v>10</v>
      </c>
      <c r="H40" s="212">
        <f>IF(ISNUMBER(D40),"",VLOOKUP(C40,'VIN.PERS.DISC.'!$C$19:$G$108,5,FALSE))</f>
        <v>1</v>
      </c>
      <c r="I40" s="211">
        <f>IF(ISNUMBER(D40),"",VLOOKUP(C40,'APOYO A IND. NAL.'!$C$19:$E$108,3,FALSE))</f>
        <v>20</v>
      </c>
      <c r="J40" s="211">
        <f>IF(ISNUMBER(D40),"",VLOOKUP(C40,RNOCI!$C$19:$F$108,4,FALSE))</f>
        <v>0</v>
      </c>
      <c r="K40" s="263">
        <f t="shared" ca="1" si="1"/>
        <v>84.330953065039594</v>
      </c>
      <c r="L40" s="263">
        <f>IF(ISNUMBER(D40),"",IF('MULTAS Y SANCIONES'!E38="SI",K40*-2%,0))</f>
        <v>0</v>
      </c>
      <c r="M40" s="263">
        <f t="shared" ca="1" si="2"/>
        <v>84.330953065039594</v>
      </c>
      <c r="N40" s="436"/>
      <c r="O40" s="653"/>
    </row>
    <row r="41" spans="2:15" s="156" customFormat="1" ht="13.5">
      <c r="B41" s="162">
        <f t="shared" si="0"/>
        <v>21</v>
      </c>
      <c r="C41" s="163">
        <f>IF(VLOOKUP(B41,PROPONENTES!$B$19:$E$109,2,0)="","",VLOOKUP(B41,PROPONENTES!$B$19:$E$109,2,0))</f>
        <v>21</v>
      </c>
      <c r="D41" s="164" t="str">
        <f>VLOOKUP(C41,PROPONENTES!$C$19:$E$108,2,FALSE)</f>
        <v>INGENIEROS CONSULTORES Y CONSTRUCTORES ARG SAS</v>
      </c>
      <c r="E41" s="65" t="str">
        <f ca="1">IF(COUNTIF('HAB.GEN.'!E39:L39,"RECHAZO")&gt;0,"RECHAZO",IF(AND(IF(COUNTIF('HAB.GEN.'!E39:L39,"NO HÁBIL")&gt;0,'HAB.GEN.'!J39="NO HÁBIL")),"NO HÁBIL","HÁBIL"))</f>
        <v>HÁBIL</v>
      </c>
      <c r="F41" s="262">
        <f ca="1">IF(ISNUMBER(D41),"",IF(ISTEXT(N41),0,VLOOKUP(C41,'PONDERACION EXP.'!$C$44:$L$133,9,FALSE)))</f>
        <v>42.251902975691209</v>
      </c>
      <c r="G41" s="211">
        <v>10</v>
      </c>
      <c r="H41" s="212">
        <f>IF(ISNUMBER(D41),"",VLOOKUP(C41,'VIN.PERS.DISC.'!$C$19:$G$108,5,FALSE))</f>
        <v>1</v>
      </c>
      <c r="I41" s="211">
        <f>IF(ISNUMBER(D41),"",VLOOKUP(C41,'APOYO A IND. NAL.'!$C$19:$E$108,3,FALSE))</f>
        <v>20</v>
      </c>
      <c r="J41" s="211">
        <f>IF(ISNUMBER(D41),"",VLOOKUP(C41,RNOCI!$C$19:$F$108,4,FALSE))</f>
        <v>0</v>
      </c>
      <c r="K41" s="263">
        <f t="shared" ca="1" si="1"/>
        <v>73.251902975691209</v>
      </c>
      <c r="L41" s="263">
        <f>IF(ISNUMBER(D41),"",IF('MULTAS Y SANCIONES'!E39="SI",K41*-2%,0))</f>
        <v>0</v>
      </c>
      <c r="M41" s="263">
        <f t="shared" ca="1" si="2"/>
        <v>73.251902975691209</v>
      </c>
      <c r="N41" s="436"/>
      <c r="O41" s="653"/>
    </row>
    <row r="42" spans="2:15" s="156" customFormat="1" ht="13.5">
      <c r="B42" s="162">
        <f t="shared" si="0"/>
        <v>22</v>
      </c>
      <c r="C42" s="163">
        <f>IF(VLOOKUP(B42,PROPONENTES!$B$19:$E$109,2,0)="","",VLOOKUP(B42,PROPONENTES!$B$19:$E$109,2,0))</f>
        <v>22</v>
      </c>
      <c r="D42" s="164" t="str">
        <f>VLOOKUP(C42,PROPONENTES!$C$19:$E$108,2,FALSE)</f>
        <v>CONSORCIO GABRIELA TOLIMA</v>
      </c>
      <c r="E42" s="65" t="str">
        <f ca="1">IF(COUNTIF('HAB.GEN.'!E40:L40,"RECHAZO")&gt;0,"RECHAZO",IF(AND(IF(COUNTIF('HAB.GEN.'!E40:L40,"NO HÁBIL")&gt;0,'HAB.GEN.'!J40="NO HÁBIL")),"NO HÁBIL","HÁBIL"))</f>
        <v>HÁBIL</v>
      </c>
      <c r="F42" s="262">
        <f ca="1">IF(ISNUMBER(D42),"",IF(ISTEXT(N42),0,VLOOKUP(C42,'PONDERACION EXP.'!$C$44:$L$133,9,FALSE)))</f>
        <v>38.442727653995703</v>
      </c>
      <c r="G42" s="211">
        <v>10</v>
      </c>
      <c r="H42" s="212">
        <f ca="1">IF(ISNUMBER(D42),"",VLOOKUP(C42,'VIN.PERS.DISC.'!$C$19:$G$108,5,FALSE))</f>
        <v>1</v>
      </c>
      <c r="I42" s="211">
        <f>IF(ISNUMBER(D42),"",VLOOKUP(C42,'APOYO A IND. NAL.'!$C$19:$E$108,3,FALSE))</f>
        <v>20</v>
      </c>
      <c r="J42" s="211">
        <f>IF(ISNUMBER(D42),"",VLOOKUP(C42,RNOCI!$C$19:$F$108,4,FALSE))</f>
        <v>0</v>
      </c>
      <c r="K42" s="263">
        <f t="shared" ca="1" si="1"/>
        <v>69.442727653995703</v>
      </c>
      <c r="L42" s="263">
        <f>IF(ISNUMBER(D42),"",IF('MULTAS Y SANCIONES'!E40="SI",K42*-2%,0))</f>
        <v>0</v>
      </c>
      <c r="M42" s="263">
        <f t="shared" ca="1" si="2"/>
        <v>69.442727653995703</v>
      </c>
      <c r="N42" s="436"/>
      <c r="O42" s="653"/>
    </row>
    <row r="43" spans="2:15" s="156" customFormat="1" ht="13.5">
      <c r="B43" s="162">
        <f t="shared" si="0"/>
        <v>23</v>
      </c>
      <c r="C43" s="163">
        <f>IF(VLOOKUP(B43,PROPONENTES!$B$19:$E$109,2,0)="","",VLOOKUP(B43,PROPONENTES!$B$19:$E$109,2,0))</f>
        <v>23</v>
      </c>
      <c r="D43" s="164" t="str">
        <f>VLOOKUP(C43,PROPONENTES!$C$19:$E$108,2,FALSE)</f>
        <v>VELNEC S.A</v>
      </c>
      <c r="E43" s="65" t="str">
        <f ca="1">IF(COUNTIF('HAB.GEN.'!E41:L41,"RECHAZO")&gt;0,"RECHAZO",IF(AND(IF(COUNTIF('HAB.GEN.'!E41:L41,"NO HÁBIL")&gt;0,'HAB.GEN.'!J41="NO HÁBIL")),"NO HÁBIL","HÁBIL"))</f>
        <v>HÁBIL</v>
      </c>
      <c r="F43" s="262">
        <f ca="1">IF(ISNUMBER(D43),"",IF(ISTEXT(N43),0,VLOOKUP(C43,'PONDERACION EXP.'!$C$44:$L$133,9,FALSE)))</f>
        <v>36.317479321907832</v>
      </c>
      <c r="G43" s="211">
        <v>10</v>
      </c>
      <c r="H43" s="212">
        <f>IF(ISNUMBER(D43),"",VLOOKUP(C43,'VIN.PERS.DISC.'!$C$19:$G$108,5,FALSE))</f>
        <v>1</v>
      </c>
      <c r="I43" s="211">
        <f>IF(ISNUMBER(D43),"",VLOOKUP(C43,'APOYO A IND. NAL.'!$C$19:$E$108,3,FALSE))</f>
        <v>20</v>
      </c>
      <c r="J43" s="211">
        <f>IF(ISNUMBER(D43),"",VLOOKUP(C43,RNOCI!$C$19:$F$108,4,FALSE))</f>
        <v>0</v>
      </c>
      <c r="K43" s="263">
        <f t="shared" ca="1" si="1"/>
        <v>67.317479321907825</v>
      </c>
      <c r="L43" s="263">
        <f>IF(ISNUMBER(D43),"",IF('MULTAS Y SANCIONES'!E41="SI",K43*-2%,0))</f>
        <v>0</v>
      </c>
      <c r="M43" s="263">
        <f t="shared" ca="1" si="2"/>
        <v>67.317479321907825</v>
      </c>
      <c r="N43" s="436"/>
      <c r="O43" s="653"/>
    </row>
    <row r="44" spans="2:15" s="156" customFormat="1" ht="13.5">
      <c r="B44" s="162">
        <f t="shared" si="0"/>
        <v>24</v>
      </c>
      <c r="C44" s="163">
        <f>IF(VLOOKUP(B44,PROPONENTES!$B$19:$E$109,2,0)="","",VLOOKUP(B44,PROPONENTES!$B$19:$E$109,2,0))</f>
        <v>24</v>
      </c>
      <c r="D44" s="164" t="str">
        <f>VLOOKUP(C44,PROPONENTES!$C$19:$E$108,2,FALSE)</f>
        <v>ARQUITECTOS  INGENIEROS CONSTRUCTORES S.A.S</v>
      </c>
      <c r="E44" s="65" t="str">
        <f ca="1">IF(COUNTIF('HAB.GEN.'!E42:L42,"RECHAZO")&gt;0,"RECHAZO",IF(AND(IF(COUNTIF('HAB.GEN.'!E42:L42,"NO HÁBIL")&gt;0,'HAB.GEN.'!J42="NO HÁBIL")),"NO HÁBIL","HÁBIL"))</f>
        <v>HÁBIL</v>
      </c>
      <c r="F44" s="262">
        <f ca="1">IF(ISNUMBER(D44),"",IF(ISTEXT(N44),0,VLOOKUP(C44,'PONDERACION EXP.'!$C$44:$L$133,9,FALSE)))</f>
        <v>25.134116585722921</v>
      </c>
      <c r="G44" s="211">
        <v>10</v>
      </c>
      <c r="H44" s="212">
        <f>IF(ISNUMBER(D44),"",VLOOKUP(C44,'VIN.PERS.DISC.'!$C$19:$G$108,5,FALSE))</f>
        <v>1</v>
      </c>
      <c r="I44" s="211">
        <f>IF(ISNUMBER(D44),"",VLOOKUP(C44,'APOYO A IND. NAL.'!$C$19:$E$108,3,FALSE))</f>
        <v>20</v>
      </c>
      <c r="J44" s="211">
        <f>IF(ISNUMBER(D44),"",VLOOKUP(C44,RNOCI!$C$19:$F$108,4,FALSE))</f>
        <v>0</v>
      </c>
      <c r="K44" s="263">
        <f t="shared" ca="1" si="1"/>
        <v>56.134116585722921</v>
      </c>
      <c r="L44" s="263">
        <f>IF(ISNUMBER(D44),"",IF('MULTAS Y SANCIONES'!E42="SI",K44*-2%,0))</f>
        <v>0</v>
      </c>
      <c r="M44" s="263">
        <f t="shared" ca="1" si="2"/>
        <v>56.134116585722921</v>
      </c>
      <c r="N44" s="436"/>
      <c r="O44" s="653"/>
    </row>
    <row r="45" spans="2:15" s="156" customFormat="1" ht="13.5">
      <c r="B45" s="162">
        <f t="shared" si="0"/>
        <v>25</v>
      </c>
      <c r="C45" s="163">
        <f>IF(VLOOKUP(B45,PROPONENTES!$B$19:$E$109,2,0)="","",VLOOKUP(B45,PROPONENTES!$B$19:$E$109,2,0))</f>
        <v>25</v>
      </c>
      <c r="D45" s="164" t="str">
        <f>VLOOKUP(C45,PROPONENTES!$C$19:$E$108,2,FALSE)</f>
        <v>CONSORCIO RUTA TOLIMA 1</v>
      </c>
      <c r="E45" s="65" t="str">
        <f ca="1">IF(COUNTIF('HAB.GEN.'!E43:L43,"RECHAZO")&gt;0,"RECHAZO",IF(AND(IF(COUNTIF('HAB.GEN.'!E43:L43,"NO HÁBIL")&gt;0,'HAB.GEN.'!J43="NO HÁBIL")),"NO HÁBIL","HÁBIL"))</f>
        <v>HÁBIL</v>
      </c>
      <c r="F45" s="262">
        <f ca="1">IF(ISNUMBER(D45),"",IF(ISTEXT(N45),0,VLOOKUP(C45,'PONDERACION EXP.'!$C$44:$L$133,9,FALSE)))</f>
        <v>32.426519829981189</v>
      </c>
      <c r="G45" s="211">
        <v>10</v>
      </c>
      <c r="H45" s="212">
        <f ca="1">IF(ISNUMBER(D45),"",VLOOKUP(C45,'VIN.PERS.DISC.'!$C$19:$G$108,5,FALSE))</f>
        <v>1</v>
      </c>
      <c r="I45" s="211">
        <f>IF(ISNUMBER(D45),"",VLOOKUP(C45,'APOYO A IND. NAL.'!$C$19:$E$108,3,FALSE))</f>
        <v>20</v>
      </c>
      <c r="J45" s="211">
        <f>IF(ISNUMBER(D45),"",VLOOKUP(C45,RNOCI!$C$19:$F$108,4,FALSE))</f>
        <v>0</v>
      </c>
      <c r="K45" s="263">
        <f t="shared" ca="1" si="1"/>
        <v>63.426519829981189</v>
      </c>
      <c r="L45" s="263">
        <f>IF(ISNUMBER(D45),"",IF('MULTAS Y SANCIONES'!E43="SI",K45*-2%,0))</f>
        <v>0</v>
      </c>
      <c r="M45" s="263">
        <f t="shared" ca="1" si="2"/>
        <v>63.426519829981189</v>
      </c>
      <c r="N45" s="436"/>
      <c r="O45" s="653"/>
    </row>
    <row r="46" spans="2:15" s="156" customFormat="1" ht="13.5">
      <c r="B46" s="162">
        <f t="shared" si="0"/>
        <v>26</v>
      </c>
      <c r="C46" s="163">
        <f>IF(VLOOKUP(B46,PROPONENTES!$B$19:$E$109,2,0)="","",VLOOKUP(B46,PROPONENTES!$B$19:$E$109,2,0))</f>
        <v>26</v>
      </c>
      <c r="D46" s="164" t="str">
        <f>VLOOKUP(C46,PROPONENTES!$C$19:$E$108,2,FALSE)</f>
        <v>INGENIEROS CONSTRUCTORES Y ASESORES SAS</v>
      </c>
      <c r="E46" s="65" t="str">
        <f ca="1">IF(COUNTIF('HAB.GEN.'!E44:L44,"RECHAZO")&gt;0,"RECHAZO",IF(AND(IF(COUNTIF('HAB.GEN.'!E44:L44,"NO HÁBIL")&gt;0,'HAB.GEN.'!J44="NO HÁBIL")),"NO HÁBIL","HÁBIL"))</f>
        <v>HÁBIL</v>
      </c>
      <c r="F46" s="262">
        <f ca="1">IF(ISNUMBER(D46),"",IF(ISTEXT(N46),0,VLOOKUP(C46,'PONDERACION EXP.'!$C$44:$L$133,9,FALSE)))</f>
        <v>34.199130828229443</v>
      </c>
      <c r="G46" s="211">
        <v>10</v>
      </c>
      <c r="H46" s="212">
        <f>IF(ISNUMBER(D46),"",VLOOKUP(C46,'VIN.PERS.DISC.'!$C$19:$G$108,5,FALSE))</f>
        <v>1</v>
      </c>
      <c r="I46" s="211">
        <f>IF(ISNUMBER(D46),"",VLOOKUP(C46,'APOYO A IND. NAL.'!$C$19:$E$108,3,FALSE))</f>
        <v>20</v>
      </c>
      <c r="J46" s="211">
        <f>IF(ISNUMBER(D46),"",VLOOKUP(C46,RNOCI!$C$19:$F$108,4,FALSE))</f>
        <v>0</v>
      </c>
      <c r="K46" s="263">
        <f t="shared" ca="1" si="1"/>
        <v>65.199130828229443</v>
      </c>
      <c r="L46" s="263">
        <f>IF(ISNUMBER(D46),"",IF('MULTAS Y SANCIONES'!E44="SI",K46*-2%,0))</f>
        <v>0</v>
      </c>
      <c r="M46" s="263">
        <f t="shared" ca="1" si="2"/>
        <v>65.199130828229443</v>
      </c>
      <c r="N46" s="436"/>
      <c r="O46" s="653"/>
    </row>
    <row r="47" spans="2:15" s="156" customFormat="1" ht="13.5">
      <c r="B47" s="162">
        <f t="shared" si="0"/>
        <v>27</v>
      </c>
      <c r="C47" s="163">
        <f>IF(VLOOKUP(B47,PROPONENTES!$B$19:$E$109,2,0)="","",VLOOKUP(B47,PROPONENTES!$B$19:$E$109,2,0))</f>
        <v>27</v>
      </c>
      <c r="D47" s="164" t="str">
        <f>VLOOKUP(C47,PROPONENTES!$C$19:$E$108,2,FALSE)</f>
        <v>CONSULTORIA Y CONSTRUCCIONES DARLEV SAS</v>
      </c>
      <c r="E47" s="65" t="str">
        <f ca="1">IF(COUNTIF('HAB.GEN.'!E45:L45,"RECHAZO")&gt;0,"RECHAZO",IF(AND(IF(COUNTIF('HAB.GEN.'!E45:L45,"NO HÁBIL")&gt;0,'HAB.GEN.'!J45="NO HÁBIL")),"NO HÁBIL","HÁBIL"))</f>
        <v>HÁBIL</v>
      </c>
      <c r="F47" s="262">
        <f ca="1">IF(ISNUMBER(D47),"",IF(ISTEXT(N47),0,VLOOKUP(C47,'PONDERACION EXP.'!$C$44:$L$133,9,FALSE)))</f>
        <v>22.979593318385284</v>
      </c>
      <c r="G47" s="211">
        <v>10</v>
      </c>
      <c r="H47" s="212">
        <f>IF(ISNUMBER(D47),"",VLOOKUP(C47,'VIN.PERS.DISC.'!$C$19:$G$108,5,FALSE))</f>
        <v>1</v>
      </c>
      <c r="I47" s="211">
        <f>IF(ISNUMBER(D47),"",VLOOKUP(C47,'APOYO A IND. NAL.'!$C$19:$E$108,3,FALSE))</f>
        <v>20</v>
      </c>
      <c r="J47" s="211">
        <f>IF(ISNUMBER(D47),"",VLOOKUP(C47,RNOCI!$C$19:$F$108,4,FALSE))</f>
        <v>0</v>
      </c>
      <c r="K47" s="263">
        <f t="shared" ca="1" si="1"/>
        <v>53.979593318385284</v>
      </c>
      <c r="L47" s="263">
        <f>IF(ISNUMBER(D47),"",IF('MULTAS Y SANCIONES'!E45="SI",K47*-2%,0))</f>
        <v>0</v>
      </c>
      <c r="M47" s="263">
        <f t="shared" ca="1" si="2"/>
        <v>53.979593318385284</v>
      </c>
      <c r="N47" s="436"/>
      <c r="O47" s="653"/>
    </row>
    <row r="48" spans="2:15" s="156" customFormat="1" ht="13.5">
      <c r="B48" s="162">
        <f t="shared" si="0"/>
        <v>28</v>
      </c>
      <c r="C48" s="163">
        <f>IF(VLOOKUP(B48,PROPONENTES!$B$19:$E$109,2,0)="","",VLOOKUP(B48,PROPONENTES!$B$19:$E$109,2,0))</f>
        <v>28</v>
      </c>
      <c r="D48" s="164" t="str">
        <f>VLOOKUP(C48,PROPONENTES!$C$19:$E$108,2,FALSE)</f>
        <v>CONSORCIO TOLIMA</v>
      </c>
      <c r="E48" s="65" t="str">
        <f ca="1">IF(COUNTIF('HAB.GEN.'!E46:L46,"RECHAZO")&gt;0,"RECHAZO",IF(AND(IF(COUNTIF('HAB.GEN.'!E46:L46,"NO HÁBIL")&gt;0,'HAB.GEN.'!J46="NO HÁBIL")),"NO HÁBIL","HÁBIL"))</f>
        <v>HÁBIL</v>
      </c>
      <c r="F48" s="262">
        <f ca="1">IF(ISNUMBER(D48),"",IF(ISTEXT(N48),0,VLOOKUP(C48,'PONDERACION EXP.'!$C$44:$L$133,9,FALSE)))</f>
        <v>30.015560634586326</v>
      </c>
      <c r="G48" s="211">
        <v>10</v>
      </c>
      <c r="H48" s="212">
        <f>IF(ISNUMBER(D48),"",VLOOKUP(C48,'VIN.PERS.DISC.'!$C$19:$G$108,5,FALSE))</f>
        <v>0</v>
      </c>
      <c r="I48" s="211">
        <f>IF(ISNUMBER(D48),"",VLOOKUP(C48,'APOYO A IND. NAL.'!$C$19:$E$108,3,FALSE))</f>
        <v>0</v>
      </c>
      <c r="J48" s="211">
        <f>IF(ISNUMBER(D48),"",VLOOKUP(C48,RNOCI!$C$19:$F$108,4,FALSE))</f>
        <v>0</v>
      </c>
      <c r="K48" s="263">
        <f t="shared" ca="1" si="1"/>
        <v>40.015560634586322</v>
      </c>
      <c r="L48" s="263">
        <f>IF(ISNUMBER(D48),"",IF('MULTAS Y SANCIONES'!E46="SI",K48*-2%,0))</f>
        <v>0</v>
      </c>
      <c r="M48" s="263">
        <f t="shared" ca="1" si="2"/>
        <v>40.015560634586322</v>
      </c>
      <c r="N48" s="436"/>
      <c r="O48" s="653"/>
    </row>
    <row r="49" spans="2:15" s="156" customFormat="1" ht="13.5">
      <c r="B49" s="162">
        <f t="shared" si="0"/>
        <v>29</v>
      </c>
      <c r="C49" s="163">
        <f>IF(VLOOKUP(B49,PROPONENTES!$B$19:$E$109,2,0)="","",VLOOKUP(B49,PROPONENTES!$B$19:$E$109,2,0))</f>
        <v>29</v>
      </c>
      <c r="D49" s="164" t="str">
        <f>VLOOKUP(C49,PROPONENTES!$C$19:$E$108,2,FALSE)</f>
        <v>CONSORCIO MT 2022 TOLIMA</v>
      </c>
      <c r="E49" s="65" t="str">
        <f ca="1">IF(COUNTIF('HAB.GEN.'!E47:L47,"RECHAZO")&gt;0,"RECHAZO",IF(AND(IF(COUNTIF('HAB.GEN.'!E47:L47,"NO HÁBIL")&gt;0,'HAB.GEN.'!J47="NO HÁBIL")),"NO HÁBIL","HÁBIL"))</f>
        <v>HÁBIL</v>
      </c>
      <c r="F49" s="262">
        <f ca="1">IF(ISNUMBER(D49),"",IF(ISTEXT(N49),0,VLOOKUP(C49,'PONDERACION EXP.'!$C$44:$L$133,9,FALSE)))</f>
        <v>13.288146121693895</v>
      </c>
      <c r="G49" s="211">
        <v>10</v>
      </c>
      <c r="H49" s="212">
        <f ca="1">IF(ISNUMBER(D49),"",VLOOKUP(C49,'VIN.PERS.DISC.'!$C$19:$G$108,5,FALSE))</f>
        <v>1</v>
      </c>
      <c r="I49" s="211">
        <f>IF(ISNUMBER(D49),"",VLOOKUP(C49,'APOYO A IND. NAL.'!$C$19:$E$108,3,FALSE))</f>
        <v>20</v>
      </c>
      <c r="J49" s="211">
        <f>IF(ISNUMBER(D49),"",VLOOKUP(C49,RNOCI!$C$19:$F$108,4,FALSE))</f>
        <v>0</v>
      </c>
      <c r="K49" s="263">
        <f t="shared" ca="1" si="1"/>
        <v>44.288146121693899</v>
      </c>
      <c r="L49" s="263">
        <f>IF(ISNUMBER(D49),"",IF('MULTAS Y SANCIONES'!E47="SI",K49*-2%,0))</f>
        <v>0</v>
      </c>
      <c r="M49" s="263">
        <f t="shared" ca="1" si="2"/>
        <v>44.288146121693899</v>
      </c>
      <c r="N49" s="436"/>
      <c r="O49" s="653"/>
    </row>
    <row r="50" spans="2:15" s="156" customFormat="1" ht="13.5">
      <c r="B50" s="162">
        <f t="shared" si="0"/>
        <v>30</v>
      </c>
      <c r="C50" s="163">
        <f>IF(VLOOKUP(B50,PROPONENTES!$B$19:$E$109,2,0)="","",VLOOKUP(B50,PROPONENTES!$B$19:$E$109,2,0))</f>
        <v>30</v>
      </c>
      <c r="D50" s="164" t="str">
        <f>VLOOKUP(C50,PROPONENTES!$C$19:$E$108,2,FALSE)</f>
        <v>CONSORCIO INTER TOLIMA</v>
      </c>
      <c r="E50" s="65" t="str">
        <f ca="1">IF(COUNTIF('HAB.GEN.'!E48:L48,"RECHAZO")&gt;0,"RECHAZO",IF(AND(IF(COUNTIF('HAB.GEN.'!E48:L48,"NO HÁBIL")&gt;0,'HAB.GEN.'!J48="NO HÁBIL")),"NO HÁBIL","HÁBIL"))</f>
        <v>HÁBIL</v>
      </c>
      <c r="F50" s="262">
        <f ca="1">IF(ISNUMBER(D50),"",IF(ISTEXT(N50),0,VLOOKUP(C50,'PONDERACION EXP.'!$C$44:$L$133,9,FALSE)))</f>
        <v>68.581489971984979</v>
      </c>
      <c r="G50" s="211">
        <v>10</v>
      </c>
      <c r="H50" s="212">
        <f ca="1">IF(ISNUMBER(D50),"",VLOOKUP(C50,'VIN.PERS.DISC.'!$C$19:$G$108,5,FALSE))</f>
        <v>1</v>
      </c>
      <c r="I50" s="211">
        <f>IF(ISNUMBER(D50),"",VLOOKUP(C50,'APOYO A IND. NAL.'!$C$19:$E$108,3,FALSE))</f>
        <v>20</v>
      </c>
      <c r="J50" s="211">
        <f>IF(ISNUMBER(D50),"",VLOOKUP(C50,RNOCI!$C$19:$F$108,4,FALSE))</f>
        <v>0</v>
      </c>
      <c r="K50" s="263">
        <f t="shared" ca="1" si="1"/>
        <v>99.581489971984979</v>
      </c>
      <c r="L50" s="263">
        <f>IF(ISNUMBER(D50),"",IF('MULTAS Y SANCIONES'!E48="SI",K50*-2%,0))</f>
        <v>0</v>
      </c>
      <c r="M50" s="263">
        <f t="shared" ca="1" si="2"/>
        <v>99.581489971984979</v>
      </c>
      <c r="N50" s="436"/>
      <c r="O50" s="653"/>
    </row>
    <row r="51" spans="2:15" s="156" customFormat="1" ht="13.5">
      <c r="B51" s="162">
        <f t="shared" si="0"/>
        <v>31</v>
      </c>
      <c r="C51" s="163">
        <f>IF(VLOOKUP(B51,PROPONENTES!$B$19:$E$109,2,0)="","",VLOOKUP(B51,PROPONENTES!$B$19:$E$109,2,0))</f>
        <v>31</v>
      </c>
      <c r="D51" s="164" t="str">
        <f>VLOOKUP(C51,PROPONENTES!$C$19:$E$108,2,FALSE)</f>
        <v>INGENIERIA MASTER S.A.S.</v>
      </c>
      <c r="E51" s="65" t="str">
        <f ca="1">IF(COUNTIF('HAB.GEN.'!E49:L49,"RECHAZO")&gt;0,"RECHAZO",IF(AND(IF(COUNTIF('HAB.GEN.'!E49:L49,"NO HÁBIL")&gt;0,'HAB.GEN.'!J49="NO HÁBIL")),"NO HÁBIL","HÁBIL"))</f>
        <v>HÁBIL</v>
      </c>
      <c r="F51" s="262">
        <f ca="1">IF(ISNUMBER(D51),"",IF(ISTEXT(N51),0,VLOOKUP(C51,'PONDERACION EXP.'!$C$44:$L$133,9,FALSE)))</f>
        <v>23.695196161245754</v>
      </c>
      <c r="G51" s="211">
        <v>10</v>
      </c>
      <c r="H51" s="212">
        <f>IF(ISNUMBER(D51),"",VLOOKUP(C51,'VIN.PERS.DISC.'!$C$19:$G$108,5,FALSE))</f>
        <v>1</v>
      </c>
      <c r="I51" s="211">
        <f>IF(ISNUMBER(D51),"",VLOOKUP(C51,'APOYO A IND. NAL.'!$C$19:$E$108,3,FALSE))</f>
        <v>20</v>
      </c>
      <c r="J51" s="211">
        <f>IF(ISNUMBER(D51),"",VLOOKUP(C51,RNOCI!$C$19:$F$108,4,FALSE))</f>
        <v>0</v>
      </c>
      <c r="K51" s="263">
        <f t="shared" ca="1" si="1"/>
        <v>54.695196161245754</v>
      </c>
      <c r="L51" s="263">
        <f>IF(ISNUMBER(D51),"",IF('MULTAS Y SANCIONES'!E49="SI",K51*-2%,0))</f>
        <v>0</v>
      </c>
      <c r="M51" s="263">
        <f t="shared" ca="1" si="2"/>
        <v>54.695196161245754</v>
      </c>
      <c r="N51" s="436"/>
      <c r="O51" s="653"/>
    </row>
    <row r="52" spans="2:15" s="156" customFormat="1" ht="13.5">
      <c r="B52" s="162">
        <f t="shared" si="0"/>
        <v>32</v>
      </c>
      <c r="C52" s="163">
        <f>IF(VLOOKUP(B52,PROPONENTES!$B$19:$E$109,2,0)="","",VLOOKUP(B52,PROPONENTES!$B$19:$E$109,2,0))</f>
        <v>32</v>
      </c>
      <c r="D52" s="164" t="str">
        <f>VLOOKUP(C52,PROPONENTES!$C$19:$E$108,2,FALSE)</f>
        <v xml:space="preserve">GYG CONSTRUCCIONES S.A.S. </v>
      </c>
      <c r="E52" s="65" t="str">
        <f ca="1">IF(COUNTIF('HAB.GEN.'!E50:L50,"RECHAZO")&gt;0,"RECHAZO",IF(AND(IF(COUNTIF('HAB.GEN.'!E50:L50,"NO HÁBIL")&gt;0,'HAB.GEN.'!J50="NO HÁBIL")),"NO HÁBIL","HÁBIL"))</f>
        <v>HÁBIL</v>
      </c>
      <c r="F52" s="262">
        <f ca="1">IF(ISNUMBER(D52),"",IF(ISTEXT(N52),0,VLOOKUP(C52,'PONDERACION EXP.'!$C$44:$L$133,9,FALSE)))</f>
        <v>59.356538299507406</v>
      </c>
      <c r="G52" s="211">
        <v>10</v>
      </c>
      <c r="H52" s="212">
        <f>IF(ISNUMBER(D52),"",VLOOKUP(C52,'VIN.PERS.DISC.'!$C$19:$G$108,5,FALSE))</f>
        <v>1</v>
      </c>
      <c r="I52" s="211">
        <f>IF(ISNUMBER(D52),"",VLOOKUP(C52,'APOYO A IND. NAL.'!$C$19:$E$108,3,FALSE))</f>
        <v>20</v>
      </c>
      <c r="J52" s="211">
        <f>IF(ISNUMBER(D52),"",VLOOKUP(C52,RNOCI!$C$19:$F$108,4,FALSE))</f>
        <v>0</v>
      </c>
      <c r="K52" s="263">
        <f t="shared" ca="1" si="1"/>
        <v>90.356538299507406</v>
      </c>
      <c r="L52" s="263">
        <f>IF(ISNUMBER(D52),"",IF('MULTAS Y SANCIONES'!E50="SI",K52*-2%,0))</f>
        <v>0</v>
      </c>
      <c r="M52" s="263">
        <f t="shared" ca="1" si="2"/>
        <v>90.356538299507406</v>
      </c>
      <c r="N52" s="436"/>
      <c r="O52" s="653"/>
    </row>
    <row r="53" spans="2:15" s="156" customFormat="1" ht="13.5">
      <c r="B53" s="162">
        <f t="shared" si="0"/>
        <v>33</v>
      </c>
      <c r="C53" s="163">
        <f>IF(VLOOKUP(B53,PROPONENTES!$B$19:$E$109,2,0)="","",VLOOKUP(B53,PROPONENTES!$B$19:$E$109,2,0))</f>
        <v>33</v>
      </c>
      <c r="D53" s="164" t="str">
        <f>VLOOKUP(C53,PROPONENTES!$C$19:$E$108,2,FALSE)</f>
        <v>CONSORCIO TOLIMA RURAL</v>
      </c>
      <c r="E53" s="65" t="str">
        <f ca="1">IF(COUNTIF('HAB.GEN.'!E51:L51,"RECHAZO")&gt;0,"RECHAZO",IF(AND(IF(COUNTIF('HAB.GEN.'!E51:L51,"NO HÁBIL")&gt;0,'HAB.GEN.'!J51="NO HÁBIL")),"NO HÁBIL","HÁBIL"))</f>
        <v>HÁBIL</v>
      </c>
      <c r="F53" s="262">
        <f ca="1">IF(ISNUMBER(D53),"",IF(ISTEXT(N53),0,VLOOKUP(C53,'PONDERACION EXP.'!$C$44:$L$133,9,FALSE)))</f>
        <v>14.644551894998296</v>
      </c>
      <c r="G53" s="211">
        <v>10</v>
      </c>
      <c r="H53" s="212">
        <f ca="1">IF(ISNUMBER(D53),"",VLOOKUP(C53,'VIN.PERS.DISC.'!$C$19:$G$108,5,FALSE))</f>
        <v>1</v>
      </c>
      <c r="I53" s="211">
        <f>IF(ISNUMBER(D53),"",VLOOKUP(C53,'APOYO A IND. NAL.'!$C$19:$E$108,3,FALSE))</f>
        <v>0</v>
      </c>
      <c r="J53" s="211">
        <f>IF(ISNUMBER(D53),"",VLOOKUP(C53,RNOCI!$C$19:$F$108,4,FALSE))</f>
        <v>0</v>
      </c>
      <c r="K53" s="263">
        <f t="shared" ca="1" si="1"/>
        <v>25.644551894998294</v>
      </c>
      <c r="L53" s="263">
        <f>IF(ISNUMBER(D53),"",IF('MULTAS Y SANCIONES'!E51="SI",K53*-2%,0))</f>
        <v>0</v>
      </c>
      <c r="M53" s="263">
        <f t="shared" ca="1" si="2"/>
        <v>25.644551894998294</v>
      </c>
      <c r="N53" s="436"/>
      <c r="O53" s="653"/>
    </row>
    <row r="54" spans="2:15" s="156" customFormat="1" ht="13.5">
      <c r="B54" s="162">
        <f t="shared" si="0"/>
        <v>34</v>
      </c>
      <c r="C54" s="163">
        <f>IF(VLOOKUP(B54,PROPONENTES!$B$19:$E$109,2,0)="","",VLOOKUP(B54,PROPONENTES!$B$19:$E$109,2,0))</f>
        <v>34</v>
      </c>
      <c r="D54" s="164" t="str">
        <f>VLOOKUP(C54,PROPONENTES!$C$19:$E$108,2,FALSE)</f>
        <v>CONSORCIO OPHAIH 2022</v>
      </c>
      <c r="E54" s="65" t="str">
        <f ca="1">IF(COUNTIF('HAB.GEN.'!E52:L52,"RECHAZO")&gt;0,"RECHAZO",IF(AND(IF(COUNTIF('HAB.GEN.'!E52:L52,"NO HÁBIL")&gt;0,'HAB.GEN.'!J52="NO HÁBIL")),"NO HÁBIL","HÁBIL"))</f>
        <v>HÁBIL</v>
      </c>
      <c r="F54" s="262">
        <f ca="1">IF(ISNUMBER(D54),"",IF(ISTEXT(N54),0,VLOOKUP(C54,'PONDERACION EXP.'!$C$44:$L$133,9,FALSE)))</f>
        <v>28.392485157992908</v>
      </c>
      <c r="G54" s="211">
        <v>10</v>
      </c>
      <c r="H54" s="212">
        <f ca="1">IF(ISNUMBER(D54),"",VLOOKUP(C54,'VIN.PERS.DISC.'!$C$19:$G$108,5,FALSE))</f>
        <v>1</v>
      </c>
      <c r="I54" s="211">
        <f>IF(ISNUMBER(D54),"",VLOOKUP(C54,'APOYO A IND. NAL.'!$C$19:$E$108,3,FALSE))</f>
        <v>20</v>
      </c>
      <c r="J54" s="211">
        <f>IF(ISNUMBER(D54),"",VLOOKUP(C54,RNOCI!$C$19:$F$108,4,FALSE))</f>
        <v>0</v>
      </c>
      <c r="K54" s="263">
        <f t="shared" ca="1" si="1"/>
        <v>59.392485157992908</v>
      </c>
      <c r="L54" s="263">
        <f>IF(ISNUMBER(D54),"",IF('MULTAS Y SANCIONES'!E52="SI",K54*-2%,0))</f>
        <v>0</v>
      </c>
      <c r="M54" s="263">
        <f t="shared" ca="1" si="2"/>
        <v>59.392485157992908</v>
      </c>
      <c r="N54" s="436"/>
      <c r="O54" s="653"/>
    </row>
    <row r="55" spans="2:15" s="156" customFormat="1" ht="13.5">
      <c r="B55" s="162">
        <f t="shared" si="0"/>
        <v>35</v>
      </c>
      <c r="C55" s="163">
        <f>IF(VLOOKUP(B55,PROPONENTES!$B$19:$E$109,2,0)="","",VLOOKUP(B55,PROPONENTES!$B$19:$E$109,2,0))</f>
        <v>35</v>
      </c>
      <c r="D55" s="164" t="str">
        <f>VLOOKUP(C55,PROPONENTES!$C$19:$E$108,2,FALSE)</f>
        <v xml:space="preserve">ING INGENIERIA SAS </v>
      </c>
      <c r="E55" s="65" t="str">
        <f ca="1">IF(COUNTIF('HAB.GEN.'!E53:L53,"RECHAZO")&gt;0,"RECHAZO",IF(AND(IF(COUNTIF('HAB.GEN.'!E53:L53,"NO HÁBIL")&gt;0,'HAB.GEN.'!J53="NO HÁBIL")),"NO HÁBIL","HÁBIL"))</f>
        <v>HÁBIL</v>
      </c>
      <c r="F55" s="262">
        <f ca="1">IF(ISNUMBER(D55),"",IF(ISTEXT(N55),0,VLOOKUP(C55,'PONDERACION EXP.'!$C$44:$L$133,9,FALSE)))</f>
        <v>48.766880654592477</v>
      </c>
      <c r="G55" s="211">
        <v>10</v>
      </c>
      <c r="H55" s="212">
        <f>IF(ISNUMBER(D55),"",VLOOKUP(C55,'VIN.PERS.DISC.'!$C$19:$G$108,5,FALSE))</f>
        <v>1</v>
      </c>
      <c r="I55" s="211">
        <f>IF(ISNUMBER(D55),"",VLOOKUP(C55,'APOYO A IND. NAL.'!$C$19:$E$108,3,FALSE))</f>
        <v>20</v>
      </c>
      <c r="J55" s="211">
        <f>IF(ISNUMBER(D55),"",VLOOKUP(C55,RNOCI!$C$19:$F$108,4,FALSE))</f>
        <v>0</v>
      </c>
      <c r="K55" s="263">
        <f t="shared" ca="1" si="1"/>
        <v>79.766880654592484</v>
      </c>
      <c r="L55" s="263">
        <f>IF(ISNUMBER(D55),"",IF('MULTAS Y SANCIONES'!E53="SI",K55*-2%,0))</f>
        <v>0</v>
      </c>
      <c r="M55" s="263">
        <f t="shared" ca="1" si="2"/>
        <v>79.766880654592484</v>
      </c>
      <c r="N55" s="436"/>
      <c r="O55" s="653"/>
    </row>
    <row r="56" spans="2:15" s="156" customFormat="1" ht="13.5">
      <c r="B56" s="162">
        <f t="shared" si="0"/>
        <v>36</v>
      </c>
      <c r="C56" s="163">
        <f>IF(VLOOKUP(B56,PROPONENTES!$B$19:$E$109,2,0)="","",VLOOKUP(B56,PROPONENTES!$B$19:$E$109,2,0))</f>
        <v>36</v>
      </c>
      <c r="D56" s="164" t="str">
        <f>VLOOKUP(C56,PROPONENTES!$C$19:$E$108,2,FALSE)</f>
        <v>EJE GROUP S.A.S</v>
      </c>
      <c r="E56" s="65" t="str">
        <f ca="1">IF(COUNTIF('HAB.GEN.'!E54:L54,"RECHAZO")&gt;0,"RECHAZO",IF(AND(IF(COUNTIF('HAB.GEN.'!E54:L54,"NO HÁBIL")&gt;0,'HAB.GEN.'!J54="NO HÁBIL")),"NO HÁBIL","HÁBIL"))</f>
        <v>HÁBIL</v>
      </c>
      <c r="F56" s="262">
        <f ca="1">IF(ISNUMBER(D56),"",IF(ISTEXT(N56),0,VLOOKUP(C56,'PONDERACION EXP.'!$C$44:$L$133,9,FALSE)))</f>
        <v>8.5134195776197235</v>
      </c>
      <c r="G56" s="211">
        <v>10</v>
      </c>
      <c r="H56" s="212">
        <f>IF(ISNUMBER(D56),"",VLOOKUP(C56,'VIN.PERS.DISC.'!$C$19:$G$108,5,FALSE))</f>
        <v>1</v>
      </c>
      <c r="I56" s="211">
        <f>IF(ISNUMBER(D56),"",VLOOKUP(C56,'APOYO A IND. NAL.'!$C$19:$E$108,3,FALSE))</f>
        <v>20</v>
      </c>
      <c r="J56" s="211">
        <f>IF(ISNUMBER(D56),"",VLOOKUP(C56,RNOCI!$C$19:$F$108,4,FALSE))</f>
        <v>0</v>
      </c>
      <c r="K56" s="263">
        <f t="shared" ca="1" si="1"/>
        <v>39.513419577619722</v>
      </c>
      <c r="L56" s="263">
        <f>IF(ISNUMBER(D56),"",IF('MULTAS Y SANCIONES'!E54="SI",K56*-2%,0))</f>
        <v>0</v>
      </c>
      <c r="M56" s="263">
        <f t="shared" ca="1" si="2"/>
        <v>39.513419577619722</v>
      </c>
      <c r="N56" s="436"/>
      <c r="O56" s="653"/>
    </row>
    <row r="57" spans="2:15" s="156" customFormat="1" ht="13.5">
      <c r="B57" s="162">
        <f t="shared" si="0"/>
        <v>37</v>
      </c>
      <c r="C57" s="163">
        <f>IF(VLOOKUP(B57,PROPONENTES!$B$19:$E$109,2,0)="","",VLOOKUP(B57,PROPONENTES!$B$19:$E$109,2,0))</f>
        <v>37</v>
      </c>
      <c r="D57" s="164" t="str">
        <f>VLOOKUP(C57,PROPONENTES!$C$19:$E$108,2,FALSE)</f>
        <v>JORES INGENIERIA LTDA. JORES LTDA</v>
      </c>
      <c r="E57" s="65" t="str">
        <f ca="1">IF(COUNTIF('HAB.GEN.'!E55:L55,"RECHAZO")&gt;0,"RECHAZO",IF(AND(IF(COUNTIF('HAB.GEN.'!E55:L55,"NO HÁBIL")&gt;0,'HAB.GEN.'!J55="NO HÁBIL")),"NO HÁBIL","HÁBIL"))</f>
        <v>HÁBIL</v>
      </c>
      <c r="F57" s="262">
        <f ca="1">IF(ISNUMBER(D57),"",IF(ISTEXT(N57),0,VLOOKUP(C57,'PONDERACION EXP.'!$C$44:$L$133,9,FALSE)))</f>
        <v>33.946420158900231</v>
      </c>
      <c r="G57" s="211">
        <v>10</v>
      </c>
      <c r="H57" s="212">
        <f>IF(ISNUMBER(D57),"",VLOOKUP(C57,'VIN.PERS.DISC.'!$C$19:$G$108,5,FALSE))</f>
        <v>1</v>
      </c>
      <c r="I57" s="211">
        <f>IF(ISNUMBER(D57),"",VLOOKUP(C57,'APOYO A IND. NAL.'!$C$19:$E$108,3,FALSE))</f>
        <v>20</v>
      </c>
      <c r="J57" s="211">
        <f>IF(ISNUMBER(D57),"",VLOOKUP(C57,RNOCI!$C$19:$F$108,4,FALSE))</f>
        <v>0</v>
      </c>
      <c r="K57" s="263">
        <f t="shared" ca="1" si="1"/>
        <v>64.946420158900224</v>
      </c>
      <c r="L57" s="263">
        <f>IF(ISNUMBER(D57),"",IF('MULTAS Y SANCIONES'!E55="SI",K57*-2%,0))</f>
        <v>0</v>
      </c>
      <c r="M57" s="263">
        <f t="shared" ca="1" si="2"/>
        <v>64.946420158900224</v>
      </c>
      <c r="N57" s="436"/>
      <c r="O57" s="653"/>
    </row>
    <row r="58" spans="2:15" s="156" customFormat="1" ht="13.5">
      <c r="B58" s="162">
        <f t="shared" si="0"/>
        <v>38</v>
      </c>
      <c r="C58" s="163">
        <f>IF(VLOOKUP(B58,PROPONENTES!$B$19:$E$109,2,0)="","",VLOOKUP(B58,PROPONENTES!$B$19:$E$109,2,0))</f>
        <v>38</v>
      </c>
      <c r="D58" s="164" t="str">
        <f>VLOOKUP(C58,PROPONENTES!$C$19:$E$108,2,FALSE)</f>
        <v>CONSORCIO INTERTOLIMA CR</v>
      </c>
      <c r="E58" s="65" t="str">
        <f ca="1">IF(COUNTIF('HAB.GEN.'!E56:L56,"RECHAZO")&gt;0,"RECHAZO",IF(AND(IF(COUNTIF('HAB.GEN.'!E56:L56,"NO HÁBIL")&gt;0,'HAB.GEN.'!J56="NO HÁBIL")),"NO HÁBIL","HÁBIL"))</f>
        <v>HÁBIL</v>
      </c>
      <c r="F58" s="262">
        <f ca="1">IF(ISNUMBER(D58),"",IF(ISTEXT(N58),0,VLOOKUP(C58,'PONDERACION EXP.'!$C$44:$L$133,9,FALSE)))</f>
        <v>43.473280324294592</v>
      </c>
      <c r="G58" s="211">
        <v>10</v>
      </c>
      <c r="H58" s="212">
        <f ca="1">IF(ISNUMBER(D58),"",VLOOKUP(C58,'VIN.PERS.DISC.'!$C$19:$G$108,5,FALSE))</f>
        <v>1</v>
      </c>
      <c r="I58" s="211">
        <f>IF(ISNUMBER(D58),"",VLOOKUP(C58,'APOYO A IND. NAL.'!$C$19:$E$108,3,FALSE))</f>
        <v>20</v>
      </c>
      <c r="J58" s="211">
        <f>IF(ISNUMBER(D58),"",VLOOKUP(C58,RNOCI!$C$19:$F$108,4,FALSE))</f>
        <v>0</v>
      </c>
      <c r="K58" s="263">
        <f t="shared" ca="1" si="1"/>
        <v>74.473280324294592</v>
      </c>
      <c r="L58" s="263">
        <f>IF(ISNUMBER(D58),"",IF('MULTAS Y SANCIONES'!E56="SI",K58*-2%,0))</f>
        <v>0</v>
      </c>
      <c r="M58" s="263">
        <f t="shared" ca="1" si="2"/>
        <v>74.473280324294592</v>
      </c>
      <c r="N58" s="436"/>
      <c r="O58" s="653"/>
    </row>
    <row r="59" spans="2:15" s="156" customFormat="1" ht="13.5">
      <c r="B59" s="162">
        <f t="shared" si="0"/>
        <v>39</v>
      </c>
      <c r="C59" s="163">
        <f>IF(VLOOKUP(B59,PROPONENTES!$B$19:$E$109,2,0)="","",VLOOKUP(B59,PROPONENTES!$B$19:$E$109,2,0))</f>
        <v>39</v>
      </c>
      <c r="D59" s="164" t="str">
        <f>VLOOKUP(C59,PROPONENTES!$C$19:$E$108,2,FALSE)</f>
        <v>CONSORCIO TOLIMA G2</v>
      </c>
      <c r="E59" s="65" t="str">
        <f ca="1">IF(COUNTIF('HAB.GEN.'!E57:L57,"RECHAZO")&gt;0,"RECHAZO",IF(AND(IF(COUNTIF('HAB.GEN.'!E57:L57,"NO HÁBIL")&gt;0,'HAB.GEN.'!J57="NO HÁBIL")),"NO HÁBIL","HÁBIL"))</f>
        <v>HÁBIL</v>
      </c>
      <c r="F59" s="262">
        <f ca="1">IF(ISNUMBER(D59),"",IF(ISTEXT(N59),0,VLOOKUP(C59,'PONDERACION EXP.'!$C$44:$L$133,9,FALSE)))</f>
        <v>31.88011802926227</v>
      </c>
      <c r="G59" s="211">
        <v>10</v>
      </c>
      <c r="H59" s="212">
        <f ca="1">IF(ISNUMBER(D59),"",VLOOKUP(C59,'VIN.PERS.DISC.'!$C$19:$G$108,5,FALSE))</f>
        <v>1</v>
      </c>
      <c r="I59" s="211">
        <f>IF(ISNUMBER(D59),"",VLOOKUP(C59,'APOYO A IND. NAL.'!$C$19:$E$108,3,FALSE))</f>
        <v>20</v>
      </c>
      <c r="J59" s="211">
        <f>IF(ISNUMBER(D59),"",VLOOKUP(C59,RNOCI!$C$19:$F$108,4,FALSE))</f>
        <v>0</v>
      </c>
      <c r="K59" s="263">
        <f t="shared" ca="1" si="1"/>
        <v>62.88011802926227</v>
      </c>
      <c r="L59" s="263">
        <f>IF(ISNUMBER(D59),"",IF('MULTAS Y SANCIONES'!E57="SI",K59*-2%,0))</f>
        <v>0</v>
      </c>
      <c r="M59" s="263">
        <f t="shared" ca="1" si="2"/>
        <v>62.88011802926227</v>
      </c>
      <c r="N59" s="436"/>
      <c r="O59" s="653"/>
    </row>
    <row r="60" spans="2:15" s="156" customFormat="1" ht="13.5">
      <c r="B60" s="162">
        <f t="shared" si="0"/>
        <v>40</v>
      </c>
      <c r="C60" s="163">
        <f>IF(VLOOKUP(B60,PROPONENTES!$B$19:$E$109,2,0)="","",VLOOKUP(B60,PROPONENTES!$B$19:$E$109,2,0))</f>
        <v>40</v>
      </c>
      <c r="D60" s="164" t="str">
        <f>VLOOKUP(C60,PROPONENTES!$C$19:$E$108,2,FALSE)</f>
        <v>CONSORCIO INVIAS 001</v>
      </c>
      <c r="E60" s="65" t="str">
        <f ca="1">IF(COUNTIF('HAB.GEN.'!E58:L58,"RECHAZO")&gt;0,"RECHAZO",IF(AND(IF(COUNTIF('HAB.GEN.'!E58:L58,"NO HÁBIL")&gt;0,'HAB.GEN.'!J58="NO HÁBIL")),"NO HÁBIL","HÁBIL"))</f>
        <v>HÁBIL</v>
      </c>
      <c r="F60" s="262">
        <f ca="1">IF(ISNUMBER(D60),"",IF(ISTEXT(N60),0,VLOOKUP(C60,'PONDERACION EXP.'!$C$44:$L$133,9,FALSE)))</f>
        <v>36.815510312317251</v>
      </c>
      <c r="G60" s="211">
        <v>10</v>
      </c>
      <c r="H60" s="212">
        <f ca="1">IF(ISNUMBER(D60),"",VLOOKUP(C60,'VIN.PERS.DISC.'!$C$19:$G$108,5,FALSE))</f>
        <v>1</v>
      </c>
      <c r="I60" s="211">
        <f>IF(ISNUMBER(D60),"",VLOOKUP(C60,'APOYO A IND. NAL.'!$C$19:$E$108,3,FALSE))</f>
        <v>20</v>
      </c>
      <c r="J60" s="211">
        <f>IF(ISNUMBER(D60),"",VLOOKUP(C60,RNOCI!$C$19:$F$108,4,FALSE))</f>
        <v>0</v>
      </c>
      <c r="K60" s="263">
        <f t="shared" ca="1" si="1"/>
        <v>67.815510312317258</v>
      </c>
      <c r="L60" s="263">
        <f>IF(ISNUMBER(D60),"",IF('MULTAS Y SANCIONES'!E58="SI",K60*-2%,0))</f>
        <v>0</v>
      </c>
      <c r="M60" s="263">
        <f t="shared" ca="1" si="2"/>
        <v>67.815510312317258</v>
      </c>
      <c r="N60" s="436"/>
      <c r="O60" s="653"/>
    </row>
    <row r="61" spans="2:15" s="156" customFormat="1" ht="13.5">
      <c r="B61" s="162">
        <f t="shared" si="0"/>
        <v>41</v>
      </c>
      <c r="C61" s="163">
        <f>IF(VLOOKUP(B61,PROPONENTES!$B$19:$E$109,2,0)="","",VLOOKUP(B61,PROPONENTES!$B$19:$E$109,2,0))</f>
        <v>41</v>
      </c>
      <c r="D61" s="164" t="str">
        <f>VLOOKUP(C61,PROPONENTES!$C$19:$E$108,2,FALSE)</f>
        <v>CONSORCIO SF</v>
      </c>
      <c r="E61" s="65" t="str">
        <f ca="1">IF(COUNTIF('HAB.GEN.'!E59:L59,"RECHAZO")&gt;0,"RECHAZO",IF(AND(IF(COUNTIF('HAB.GEN.'!E59:L59,"NO HÁBIL")&gt;0,'HAB.GEN.'!J59="NO HÁBIL")),"NO HÁBIL","HÁBIL"))</f>
        <v>HÁBIL</v>
      </c>
      <c r="F61" s="262">
        <f ca="1">IF(ISNUMBER(D61),"",IF(ISTEXT(N61),0,VLOOKUP(C61,'PONDERACION EXP.'!$C$44:$L$133,9,FALSE)))</f>
        <v>10.999087999667836</v>
      </c>
      <c r="G61" s="211">
        <v>10</v>
      </c>
      <c r="H61" s="212">
        <f ca="1">IF(ISNUMBER(D61),"",VLOOKUP(C61,'VIN.PERS.DISC.'!$C$19:$G$108,5,FALSE))</f>
        <v>1</v>
      </c>
      <c r="I61" s="211">
        <f>IF(ISNUMBER(D61),"",VLOOKUP(C61,'APOYO A IND. NAL.'!$C$19:$E$108,3,FALSE))</f>
        <v>20</v>
      </c>
      <c r="J61" s="211">
        <f>IF(ISNUMBER(D61),"",VLOOKUP(C61,RNOCI!$C$19:$F$108,4,FALSE))</f>
        <v>0</v>
      </c>
      <c r="K61" s="263">
        <f t="shared" ca="1" si="1"/>
        <v>41.999087999667836</v>
      </c>
      <c r="L61" s="263">
        <f>IF(ISNUMBER(D61),"",IF('MULTAS Y SANCIONES'!E59="SI",K61*-2%,0))</f>
        <v>0</v>
      </c>
      <c r="M61" s="263">
        <f t="shared" ca="1" si="2"/>
        <v>41.999087999667836</v>
      </c>
      <c r="N61" s="436"/>
      <c r="O61" s="653"/>
    </row>
    <row r="62" spans="2:15" s="156" customFormat="1" ht="13.5">
      <c r="B62" s="162">
        <f t="shared" si="0"/>
        <v>42</v>
      </c>
      <c r="C62" s="163">
        <f>IF(VLOOKUP(B62,PROPONENTES!$B$19:$E$109,2,0)="","",VLOOKUP(B62,PROPONENTES!$B$19:$E$109,2,0))</f>
        <v>42</v>
      </c>
      <c r="D62" s="164" t="str">
        <f>VLOOKUP(C62,PROPONENTES!$C$19:$E$108,2,FALSE)</f>
        <v>CONSORCIO VIAL ORIEMH”</v>
      </c>
      <c r="E62" s="65" t="str">
        <f ca="1">IF(COUNTIF('HAB.GEN.'!E60:L60,"RECHAZO")&gt;0,"RECHAZO",IF(AND(IF(COUNTIF('HAB.GEN.'!E60:L60,"NO HÁBIL")&gt;0,'HAB.GEN.'!J60="NO HÁBIL")),"NO HÁBIL","HÁBIL"))</f>
        <v>HÁBIL</v>
      </c>
      <c r="F62" s="262">
        <f ca="1">IF(ISNUMBER(D62),"",IF(ISTEXT(N62),0,VLOOKUP(C62,'PONDERACION EXP.'!$C$44:$L$133,9,FALSE)))</f>
        <v>33.987840117776933</v>
      </c>
      <c r="G62" s="211">
        <v>10</v>
      </c>
      <c r="H62" s="212">
        <f ca="1">IF(ISNUMBER(D62),"",VLOOKUP(C62,'VIN.PERS.DISC.'!$C$19:$G$108,5,FALSE))</f>
        <v>1</v>
      </c>
      <c r="I62" s="211">
        <f>IF(ISNUMBER(D62),"",VLOOKUP(C62,'APOYO A IND. NAL.'!$C$19:$E$108,3,FALSE))</f>
        <v>20</v>
      </c>
      <c r="J62" s="211">
        <f>IF(ISNUMBER(D62),"",VLOOKUP(C62,RNOCI!$C$19:$F$108,4,FALSE))</f>
        <v>0</v>
      </c>
      <c r="K62" s="263">
        <f t="shared" ca="1" si="1"/>
        <v>64.987840117776926</v>
      </c>
      <c r="L62" s="263">
        <f>IF(ISNUMBER(D62),"",IF('MULTAS Y SANCIONES'!E60="SI",K62*-2%,0))</f>
        <v>0</v>
      </c>
      <c r="M62" s="263">
        <f t="shared" ca="1" si="2"/>
        <v>64.987840117776926</v>
      </c>
      <c r="N62" s="436"/>
      <c r="O62" s="653"/>
    </row>
    <row r="63" spans="2:15" s="156" customFormat="1" ht="13.5">
      <c r="B63" s="162">
        <f t="shared" si="0"/>
        <v>43</v>
      </c>
      <c r="C63" s="163">
        <f>IF(VLOOKUP(B63,PROPONENTES!$B$19:$E$109,2,0)="","",VLOOKUP(B63,PROPONENTES!$B$19:$E$109,2,0))</f>
        <v>43</v>
      </c>
      <c r="D63" s="164" t="str">
        <f>VLOOKUP(C63,PROPONENTES!$C$19:$E$108,2,FALSE)</f>
        <v>CONSORCIO INTERFEDCO TOLIMA</v>
      </c>
      <c r="E63" s="65" t="str">
        <f ca="1">IF(COUNTIF('HAB.GEN.'!E61:L61,"RECHAZO")&gt;0,"RECHAZO",IF(AND(IF(COUNTIF('HAB.GEN.'!E61:L61,"NO HÁBIL")&gt;0,'HAB.GEN.'!J61="NO HÁBIL")),"NO HÁBIL","HÁBIL"))</f>
        <v>HÁBIL</v>
      </c>
      <c r="F63" s="262">
        <f ca="1">IF(ISNUMBER(D63),"",IF(ISTEXT(N63),0,VLOOKUP(C63,'PONDERACION EXP.'!$C$44:$L$133,9,FALSE)))</f>
        <v>8.3582876657023046</v>
      </c>
      <c r="G63" s="211">
        <v>10</v>
      </c>
      <c r="H63" s="212">
        <f ca="1">IF(ISNUMBER(D63),"",VLOOKUP(C63,'VIN.PERS.DISC.'!$C$19:$G$108,5,FALSE))</f>
        <v>1</v>
      </c>
      <c r="I63" s="211">
        <f>IF(ISNUMBER(D63),"",VLOOKUP(C63,'APOYO A IND. NAL.'!$C$19:$E$108,3,FALSE))</f>
        <v>20</v>
      </c>
      <c r="J63" s="211">
        <f>IF(ISNUMBER(D63),"",VLOOKUP(C63,RNOCI!$C$19:$F$108,4,FALSE))</f>
        <v>0</v>
      </c>
      <c r="K63" s="263">
        <f t="shared" ca="1" si="1"/>
        <v>39.358287665702306</v>
      </c>
      <c r="L63" s="263">
        <f>IF(ISNUMBER(D63),"",IF('MULTAS Y SANCIONES'!E61="SI",K63*-2%,0))</f>
        <v>0</v>
      </c>
      <c r="M63" s="263">
        <f t="shared" ca="1" si="2"/>
        <v>39.358287665702306</v>
      </c>
      <c r="N63" s="436"/>
      <c r="O63" s="653"/>
    </row>
    <row r="64" spans="2:15" s="156" customFormat="1" ht="13.5">
      <c r="B64" s="162">
        <f t="shared" si="0"/>
        <v>44</v>
      </c>
      <c r="C64" s="163">
        <f>IF(VLOOKUP(B64,PROPONENTES!$B$19:$E$109,2,0)="","",VLOOKUP(B64,PROPONENTES!$B$19:$E$109,2,0))</f>
        <v>44</v>
      </c>
      <c r="D64" s="164" t="str">
        <f>VLOOKUP(C64,PROPONENTES!$C$19:$E$108,2,FALSE)</f>
        <v>CONSORCIO VIAS RURALES TOL</v>
      </c>
      <c r="E64" s="65" t="str">
        <f ca="1">IF(COUNTIF('HAB.GEN.'!E62:L62,"RECHAZO")&gt;0,"RECHAZO",IF(AND(IF(COUNTIF('HAB.GEN.'!E62:L62,"NO HÁBIL")&gt;0,'HAB.GEN.'!J62="NO HÁBIL")),"NO HÁBIL","HÁBIL"))</f>
        <v>HÁBIL</v>
      </c>
      <c r="F64" s="262">
        <f ca="1">IF(ISNUMBER(D64),"",IF(ISTEXT(N64),0,VLOOKUP(C64,'PONDERACION EXP.'!$C$44:$L$133,9,FALSE)))</f>
        <v>26.284970391637096</v>
      </c>
      <c r="G64" s="211">
        <v>10</v>
      </c>
      <c r="H64" s="212">
        <f ca="1">IF(ISNUMBER(D64),"",VLOOKUP(C64,'VIN.PERS.DISC.'!$C$19:$G$108,5,FALSE))</f>
        <v>1</v>
      </c>
      <c r="I64" s="211">
        <f>IF(ISNUMBER(D64),"",VLOOKUP(C64,'APOYO A IND. NAL.'!$C$19:$E$108,3,FALSE))</f>
        <v>20</v>
      </c>
      <c r="J64" s="211">
        <f>IF(ISNUMBER(D64),"",VLOOKUP(C64,RNOCI!$C$19:$F$108,4,FALSE))</f>
        <v>0</v>
      </c>
      <c r="K64" s="263">
        <f t="shared" ca="1" si="1"/>
        <v>57.284970391637096</v>
      </c>
      <c r="L64" s="263">
        <f>IF(ISNUMBER(D64),"",IF('MULTAS Y SANCIONES'!E62="SI",K64*-2%,0))</f>
        <v>0</v>
      </c>
      <c r="M64" s="263">
        <f t="shared" ca="1" si="2"/>
        <v>57.284970391637096</v>
      </c>
      <c r="N64" s="436"/>
      <c r="O64" s="653"/>
    </row>
    <row r="65" spans="2:15" s="156" customFormat="1" ht="13.5">
      <c r="B65" s="162">
        <f t="shared" si="0"/>
        <v>45</v>
      </c>
      <c r="C65" s="163">
        <f>IF(VLOOKUP(B65,PROPONENTES!$B$19:$E$109,2,0)="","",VLOOKUP(B65,PROPONENTES!$B$19:$E$109,2,0))</f>
        <v>45</v>
      </c>
      <c r="D65" s="164" t="str">
        <f>VLOOKUP(C65,PROPONENTES!$C$19:$E$108,2,FALSE)</f>
        <v>TECNOLOGÍA DE NUEVAS MEDICIONES COLOMBIA S.A.S. – TECNUMEC S.A.S.</v>
      </c>
      <c r="E65" s="65" t="str">
        <f ca="1">IF(COUNTIF('HAB.GEN.'!E63:L63,"RECHAZO")&gt;0,"RECHAZO",IF(AND(IF(COUNTIF('HAB.GEN.'!E63:L63,"NO HÁBIL")&gt;0,'HAB.GEN.'!J63="NO HÁBIL")),"NO HÁBIL","HÁBIL"))</f>
        <v>HÁBIL</v>
      </c>
      <c r="F65" s="262">
        <f ca="1">IF(ISNUMBER(D65),"",IF(ISTEXT(N65),0,VLOOKUP(C65,'PONDERACION EXP.'!$C$44:$L$133,9,FALSE)))</f>
        <v>36.823659315784752</v>
      </c>
      <c r="G65" s="211">
        <v>10</v>
      </c>
      <c r="H65" s="212">
        <f>IF(ISNUMBER(D65),"",VLOOKUP(C65,'VIN.PERS.DISC.'!$C$19:$G$108,5,FALSE))</f>
        <v>1</v>
      </c>
      <c r="I65" s="211">
        <f>IF(ISNUMBER(D65),"",VLOOKUP(C65,'APOYO A IND. NAL.'!$C$19:$E$108,3,FALSE))</f>
        <v>20</v>
      </c>
      <c r="J65" s="211">
        <f>IF(ISNUMBER(D65),"",VLOOKUP(C65,RNOCI!$C$19:$F$108,4,FALSE))</f>
        <v>0</v>
      </c>
      <c r="K65" s="263">
        <f t="shared" ca="1" si="1"/>
        <v>67.823659315784752</v>
      </c>
      <c r="L65" s="263">
        <f>IF(ISNUMBER(D65),"",IF('MULTAS Y SANCIONES'!E63="SI",K65*-2%,0))</f>
        <v>0</v>
      </c>
      <c r="M65" s="263">
        <f t="shared" ca="1" si="2"/>
        <v>67.823659315784752</v>
      </c>
      <c r="N65" s="436"/>
      <c r="O65" s="653"/>
    </row>
    <row r="66" spans="2:15" s="156" customFormat="1" ht="13.5">
      <c r="B66" s="162">
        <f t="shared" si="0"/>
        <v>46</v>
      </c>
      <c r="C66" s="163">
        <f>IF(VLOOKUP(B66,PROPONENTES!$B$19:$E$109,2,0)="","",VLOOKUP(B66,PROPONENTES!$B$19:$E$109,2,0))</f>
        <v>46</v>
      </c>
      <c r="D66" s="164" t="str">
        <f>VLOOKUP(C66,PROPONENTES!$C$19:$E$108,2,FALSE)</f>
        <v>CONSULTORES SOLANO NAVAS LTDA</v>
      </c>
      <c r="E66" s="65" t="str">
        <f ca="1">IF(COUNTIF('HAB.GEN.'!E64:L64,"RECHAZO")&gt;0,"RECHAZO",IF(AND(IF(COUNTIF('HAB.GEN.'!E64:L64,"NO HÁBIL")&gt;0,'HAB.GEN.'!J64="NO HÁBIL")),"NO HÁBIL","HÁBIL"))</f>
        <v>HÁBIL</v>
      </c>
      <c r="F66" s="262">
        <f ca="1">IF(ISNUMBER(D66),"",IF(ISTEXT(N66),0,VLOOKUP(C66,'PONDERACION EXP.'!$C$44:$L$133,9,FALSE)))</f>
        <v>35.017520988984479</v>
      </c>
      <c r="G66" s="211">
        <v>10</v>
      </c>
      <c r="H66" s="212">
        <f>IF(ISNUMBER(D66),"",VLOOKUP(C66,'VIN.PERS.DISC.'!$C$19:$G$108,5,FALSE))</f>
        <v>1</v>
      </c>
      <c r="I66" s="211">
        <f>IF(ISNUMBER(D66),"",VLOOKUP(C66,'APOYO A IND. NAL.'!$C$19:$E$108,3,FALSE))</f>
        <v>20</v>
      </c>
      <c r="J66" s="211">
        <f>IF(ISNUMBER(D66),"",VLOOKUP(C66,RNOCI!$C$19:$F$108,4,FALSE))</f>
        <v>0</v>
      </c>
      <c r="K66" s="263">
        <f t="shared" ca="1" si="1"/>
        <v>66.017520988984472</v>
      </c>
      <c r="L66" s="263">
        <f>IF(ISNUMBER(D66),"",IF('MULTAS Y SANCIONES'!E64="SI",K66*-2%,0))</f>
        <v>0</v>
      </c>
      <c r="M66" s="263">
        <f t="shared" ca="1" si="2"/>
        <v>66.017520988984472</v>
      </c>
      <c r="N66" s="436"/>
      <c r="O66" s="653"/>
    </row>
    <row r="67" spans="2:15" s="156" customFormat="1" ht="13.5">
      <c r="B67" s="162">
        <f t="shared" si="0"/>
        <v>47</v>
      </c>
      <c r="C67" s="163">
        <f>IF(VLOOKUP(B67,PROPONENTES!$B$19:$E$109,2,0)="","",VLOOKUP(B67,PROPONENTES!$B$19:$E$109,2,0))</f>
        <v>47</v>
      </c>
      <c r="D67" s="164" t="str">
        <f>VLOOKUP(C67,PROPONENTES!$C$19:$E$108,2,FALSE)</f>
        <v>CONSORCIO VIAS TOLIMA 22</v>
      </c>
      <c r="E67" s="65" t="str">
        <f ca="1">IF(COUNTIF('HAB.GEN.'!E65:L65,"RECHAZO")&gt;0,"RECHAZO",IF(AND(IF(COUNTIF('HAB.GEN.'!E65:L65,"NO HÁBIL")&gt;0,'HAB.GEN.'!J65="NO HÁBIL")),"NO HÁBIL","HÁBIL"))</f>
        <v>HÁBIL</v>
      </c>
      <c r="F67" s="262">
        <f ca="1">IF(ISNUMBER(D67),"",IF(ISTEXT(N67),0,VLOOKUP(C67,'PONDERACION EXP.'!$C$44:$L$133,9,FALSE)))</f>
        <v>32.684462604265455</v>
      </c>
      <c r="G67" s="211">
        <v>10</v>
      </c>
      <c r="H67" s="212">
        <f ca="1">IF(ISNUMBER(D67),"",VLOOKUP(C67,'VIN.PERS.DISC.'!$C$19:$G$108,5,FALSE))</f>
        <v>1</v>
      </c>
      <c r="I67" s="211">
        <f>IF(ISNUMBER(D67),"",VLOOKUP(C67,'APOYO A IND. NAL.'!$C$19:$E$108,3,FALSE))</f>
        <v>20</v>
      </c>
      <c r="J67" s="211">
        <f>IF(ISNUMBER(D67),"",VLOOKUP(C67,RNOCI!$C$19:$F$108,4,FALSE))</f>
        <v>0</v>
      </c>
      <c r="K67" s="263">
        <f t="shared" ca="1" si="1"/>
        <v>63.684462604265455</v>
      </c>
      <c r="L67" s="263">
        <f>IF(ISNUMBER(D67),"",IF('MULTAS Y SANCIONES'!E65="SI",K67*-2%,0))</f>
        <v>0</v>
      </c>
      <c r="M67" s="263">
        <f t="shared" ca="1" si="2"/>
        <v>63.684462604265455</v>
      </c>
      <c r="N67" s="436"/>
      <c r="O67" s="653"/>
    </row>
    <row r="68" spans="2:15" s="156" customFormat="1" ht="13.5">
      <c r="B68" s="162">
        <f t="shared" si="0"/>
        <v>48</v>
      </c>
      <c r="C68" s="163">
        <f>IF(VLOOKUP(B68,PROPONENTES!$B$19:$E$109,2,0)="","",VLOOKUP(B68,PROPONENTES!$B$19:$E$109,2,0))</f>
        <v>48</v>
      </c>
      <c r="D68" s="164" t="str">
        <f>VLOOKUP(C68,PROPONENTES!$C$19:$E$108,2,FALSE)</f>
        <v>BRAIN INGENIERIA VIAL SAS</v>
      </c>
      <c r="E68" s="65" t="str">
        <f ca="1">IF(COUNTIF('HAB.GEN.'!E66:L66,"RECHAZO")&gt;0,"RECHAZO",IF(AND(IF(COUNTIF('HAB.GEN.'!E66:L66,"NO HÁBIL")&gt;0,'HAB.GEN.'!J66="NO HÁBIL")),"NO HÁBIL","HÁBIL"))</f>
        <v>HÁBIL</v>
      </c>
      <c r="F68" s="262">
        <f ca="1">IF(ISNUMBER(D68),"",IF(ISTEXT(N68),0,VLOOKUP(C68,'PONDERACION EXP.'!$C$44:$L$133,9,FALSE)))</f>
        <v>28.060302084461991</v>
      </c>
      <c r="G68" s="211">
        <v>10</v>
      </c>
      <c r="H68" s="212">
        <f>IF(ISNUMBER(D68),"",VLOOKUP(C68,'VIN.PERS.DISC.'!$C$19:$G$108,5,FALSE))</f>
        <v>1</v>
      </c>
      <c r="I68" s="211">
        <f>IF(ISNUMBER(D68),"",VLOOKUP(C68,'APOYO A IND. NAL.'!$C$19:$E$108,3,FALSE))</f>
        <v>20</v>
      </c>
      <c r="J68" s="211">
        <f>IF(ISNUMBER(D68),"",VLOOKUP(C68,RNOCI!$C$19:$F$108,4,FALSE))</f>
        <v>0</v>
      </c>
      <c r="K68" s="263">
        <f t="shared" ca="1" si="1"/>
        <v>59.060302084461995</v>
      </c>
      <c r="L68" s="263">
        <f>IF(ISNUMBER(D68),"",IF('MULTAS Y SANCIONES'!E66="SI",K68*-2%,0))</f>
        <v>0</v>
      </c>
      <c r="M68" s="263">
        <f t="shared" ca="1" si="2"/>
        <v>59.060302084461995</v>
      </c>
      <c r="N68" s="436"/>
      <c r="O68" s="653"/>
    </row>
    <row r="69" spans="2:15" s="156" customFormat="1" ht="13.5">
      <c r="B69" s="162">
        <f t="shared" si="0"/>
        <v>49</v>
      </c>
      <c r="C69" s="163">
        <f>IF(VLOOKUP(B69,PROPONENTES!$B$19:$E$109,2,0)="","",VLOOKUP(B69,PROPONENTES!$B$19:$E$109,2,0))</f>
        <v>49</v>
      </c>
      <c r="D69" s="164" t="str">
        <f>VLOOKUP(C69,PROPONENTES!$C$19:$E$108,2,FALSE)</f>
        <v>CONSORCIO LAPP</v>
      </c>
      <c r="E69" s="65" t="str">
        <f ca="1">IF(COUNTIF('HAB.GEN.'!E67:L67,"RECHAZO")&gt;0,"RECHAZO",IF(AND(IF(COUNTIF('HAB.GEN.'!E67:L67,"NO HÁBIL")&gt;0,'HAB.GEN.'!J67="NO HÁBIL")),"NO HÁBIL","HÁBIL"))</f>
        <v>HÁBIL</v>
      </c>
      <c r="F69" s="262">
        <f ca="1">IF(ISNUMBER(D69),"",IF(ISTEXT(N69),0,VLOOKUP(C69,'PONDERACION EXP.'!$C$44:$L$133,9,FALSE)))</f>
        <v>42.429231922532878</v>
      </c>
      <c r="G69" s="211">
        <v>10</v>
      </c>
      <c r="H69" s="212">
        <f ca="1">IF(ISNUMBER(D69),"",VLOOKUP(C69,'VIN.PERS.DISC.'!$C$19:$G$108,5,FALSE))</f>
        <v>1</v>
      </c>
      <c r="I69" s="211">
        <f>IF(ISNUMBER(D69),"",VLOOKUP(C69,'APOYO A IND. NAL.'!$C$19:$E$108,3,FALSE))</f>
        <v>20</v>
      </c>
      <c r="J69" s="211">
        <f>IF(ISNUMBER(D69),"",VLOOKUP(C69,RNOCI!$C$19:$F$108,4,FALSE))</f>
        <v>0</v>
      </c>
      <c r="K69" s="263">
        <f t="shared" ca="1" si="1"/>
        <v>73.429231922532878</v>
      </c>
      <c r="L69" s="263">
        <f>IF(ISNUMBER(D69),"",IF('MULTAS Y SANCIONES'!E67="SI",K69*-2%,0))</f>
        <v>0</v>
      </c>
      <c r="M69" s="263">
        <f t="shared" ca="1" si="2"/>
        <v>73.429231922532878</v>
      </c>
      <c r="N69" s="436"/>
      <c r="O69" s="653"/>
    </row>
    <row r="70" spans="2:15" s="156" customFormat="1" ht="13.5">
      <c r="B70" s="162">
        <f t="shared" si="0"/>
        <v>50</v>
      </c>
      <c r="C70" s="163">
        <f>IF(VLOOKUP(B70,PROPONENTES!$B$19:$E$109,2,0)="","",VLOOKUP(B70,PROPONENTES!$B$19:$E$109,2,0))</f>
        <v>50</v>
      </c>
      <c r="D70" s="164" t="str">
        <f>VLOOKUP(C70,PROPONENTES!$C$19:$E$108,2,FALSE)</f>
        <v>PROYECTISTAS ASOCIADOS SAS</v>
      </c>
      <c r="E70" s="65" t="str">
        <f ca="1">IF(COUNTIF('HAB.GEN.'!E68:L68,"RECHAZO")&gt;0,"RECHAZO",IF(AND(IF(COUNTIF('HAB.GEN.'!E68:L68,"NO HÁBIL")&gt;0,'HAB.GEN.'!J68="NO HÁBIL")),"NO HÁBIL","HÁBIL"))</f>
        <v>HÁBIL</v>
      </c>
      <c r="F70" s="262">
        <f ca="1">IF(ISNUMBER(D70),"",IF(ISTEXT(N70),0,VLOOKUP(C70,'PONDERACION EXP.'!$C$44:$L$133,9,FALSE)))</f>
        <v>35.830841240038055</v>
      </c>
      <c r="G70" s="211">
        <v>10</v>
      </c>
      <c r="H70" s="212">
        <f>IF(ISNUMBER(D70),"",VLOOKUP(C70,'VIN.PERS.DISC.'!$C$19:$G$108,5,FALSE))</f>
        <v>1</v>
      </c>
      <c r="I70" s="211">
        <f>IF(ISNUMBER(D70),"",VLOOKUP(C70,'APOYO A IND. NAL.'!$C$19:$E$108,3,FALSE))</f>
        <v>20</v>
      </c>
      <c r="J70" s="211">
        <f>IF(ISNUMBER(D70),"",VLOOKUP(C70,RNOCI!$C$19:$F$108,4,FALSE))</f>
        <v>0</v>
      </c>
      <c r="K70" s="263">
        <f t="shared" ca="1" si="1"/>
        <v>66.830841240038055</v>
      </c>
      <c r="L70" s="263">
        <f>IF(ISNUMBER(D70),"",IF('MULTAS Y SANCIONES'!E68="SI",K70*-2%,0))</f>
        <v>0</v>
      </c>
      <c r="M70" s="263">
        <f t="shared" ca="1" si="2"/>
        <v>66.830841240038055</v>
      </c>
      <c r="N70" s="436"/>
      <c r="O70" s="653"/>
    </row>
    <row r="71" spans="2:15" s="156" customFormat="1" ht="13.5">
      <c r="B71" s="162">
        <f t="shared" si="0"/>
        <v>51</v>
      </c>
      <c r="C71" s="163">
        <f>IF(VLOOKUP(B71,PROPONENTES!$B$19:$E$109,2,0)="","",VLOOKUP(B71,PROPONENTES!$B$19:$E$109,2,0))</f>
        <v>51</v>
      </c>
      <c r="D71" s="164" t="str">
        <f>VLOOKUP(C71,PROPONENTES!$C$19:$E$108,2,FALSE)</f>
        <v>DAM SOLUCIONES E INGENIERIA SAS</v>
      </c>
      <c r="E71" s="65" t="str">
        <f ca="1">IF(COUNTIF('HAB.GEN.'!E69:L69,"RECHAZO")&gt;0,"RECHAZO",IF(AND(IF(COUNTIF('HAB.GEN.'!E69:L69,"NO HÁBIL")&gt;0,'HAB.GEN.'!J69="NO HÁBIL")),"NO HÁBIL","HÁBIL"))</f>
        <v>RECHAZO</v>
      </c>
      <c r="F71" s="262">
        <f>IF(ISNUMBER(D71),"",IF(ISTEXT(N71),0,VLOOKUP(C71,'PONDERACION EXP.'!$C$44:$L$133,9,FALSE)))</f>
        <v>0</v>
      </c>
      <c r="G71" s="211">
        <v>10</v>
      </c>
      <c r="H71" s="212">
        <f>IF(ISNUMBER(D71),"",VLOOKUP(C71,'VIN.PERS.DISC.'!$C$19:$G$108,5,FALSE))</f>
        <v>1</v>
      </c>
      <c r="I71" s="211">
        <f>IF(ISNUMBER(D71),"",VLOOKUP(C71,'APOYO A IND. NAL.'!$C$19:$E$108,3,FALSE))</f>
        <v>20</v>
      </c>
      <c r="J71" s="211">
        <f>IF(ISNUMBER(D71),"",VLOOKUP(C71,RNOCI!$C$19:$F$108,4,FALSE))</f>
        <v>0</v>
      </c>
      <c r="K71" s="263">
        <f t="shared" ca="1" si="1"/>
        <v>0</v>
      </c>
      <c r="L71" s="263">
        <f>IF(ISNUMBER(D71),"",IF('MULTAS Y SANCIONES'!E69="SI",K71*-2%,0))</f>
        <v>0</v>
      </c>
      <c r="M71" s="263">
        <f t="shared" ca="1" si="2"/>
        <v>0</v>
      </c>
      <c r="N71" s="436"/>
      <c r="O71" s="653"/>
    </row>
    <row r="72" spans="2:15" s="156" customFormat="1" ht="13.5">
      <c r="B72" s="162">
        <f t="shared" si="0"/>
        <v>52</v>
      </c>
      <c r="C72" s="163">
        <f>IF(VLOOKUP(B72,PROPONENTES!$B$19:$E$109,2,0)="","",VLOOKUP(B72,PROPONENTES!$B$19:$E$109,2,0))</f>
        <v>52</v>
      </c>
      <c r="D72" s="164" t="str">
        <f>VLOOKUP(C72,PROPONENTES!$C$19:$E$108,2,FALSE)</f>
        <v>COINZA ING SAS</v>
      </c>
      <c r="E72" s="65" t="str">
        <f ca="1">IF(COUNTIF('HAB.GEN.'!E70:L70,"RECHAZO")&gt;0,"RECHAZO",IF(AND(IF(COUNTIF('HAB.GEN.'!E70:L70,"NO HÁBIL")&gt;0,'HAB.GEN.'!J70="NO HÁBIL")),"NO HÁBIL","HÁBIL"))</f>
        <v>HÁBIL</v>
      </c>
      <c r="F72" s="262">
        <f ca="1">IF(ISNUMBER(D72),"",IF(ISTEXT(N72),0,VLOOKUP(C72,'PONDERACION EXP.'!$C$44:$L$133,9,FALSE)))</f>
        <v>26.497733939634454</v>
      </c>
      <c r="G72" s="211">
        <v>10</v>
      </c>
      <c r="H72" s="212">
        <f>IF(ISNUMBER(D72),"",VLOOKUP(C72,'VIN.PERS.DISC.'!$C$19:$G$108,5,FALSE))</f>
        <v>1</v>
      </c>
      <c r="I72" s="211">
        <f>IF(ISNUMBER(D72),"",VLOOKUP(C72,'APOYO A IND. NAL.'!$C$19:$E$108,3,FALSE))</f>
        <v>20</v>
      </c>
      <c r="J72" s="211">
        <f>IF(ISNUMBER(D72),"",VLOOKUP(C72,RNOCI!$C$19:$F$108,4,FALSE))</f>
        <v>0</v>
      </c>
      <c r="K72" s="263">
        <f t="shared" ca="1" si="1"/>
        <v>57.497733939634458</v>
      </c>
      <c r="L72" s="263">
        <f>IF(ISNUMBER(D72),"",IF('MULTAS Y SANCIONES'!E70="SI",K72*-2%,0))</f>
        <v>0</v>
      </c>
      <c r="M72" s="263">
        <f t="shared" ca="1" si="2"/>
        <v>57.497733939634458</v>
      </c>
      <c r="N72" s="436"/>
      <c r="O72" s="653"/>
    </row>
    <row r="73" spans="2:15" s="156" customFormat="1" ht="13.5">
      <c r="B73" s="162">
        <f t="shared" si="0"/>
        <v>53</v>
      </c>
      <c r="C73" s="163">
        <f>IF(VLOOKUP(B73,PROPONENTES!$B$19:$E$109,2,0)="","",VLOOKUP(B73,PROPONENTES!$B$19:$E$109,2,0))</f>
        <v>53</v>
      </c>
      <c r="D73" s="164" t="str">
        <f>VLOOKUP(C73,PROPONENTES!$C$19:$E$108,2,FALSE)</f>
        <v>NORBERTO BAYONA ESPITIA</v>
      </c>
      <c r="E73" s="65" t="str">
        <f ca="1">IF(COUNTIF('HAB.GEN.'!E71:L71,"RECHAZO")&gt;0,"RECHAZO",IF(AND(IF(COUNTIF('HAB.GEN.'!E71:L71,"NO HÁBIL")&gt;0,'HAB.GEN.'!J71="NO HÁBIL")),"NO HÁBIL","HÁBIL"))</f>
        <v>HÁBIL</v>
      </c>
      <c r="F73" s="262">
        <f ca="1">IF(ISNUMBER(D73),"",IF(ISTEXT(N73),0,VLOOKUP(C73,'PONDERACION EXP.'!$C$44:$L$133,9,FALSE)))</f>
        <v>38.844614137764118</v>
      </c>
      <c r="G73" s="211">
        <v>10</v>
      </c>
      <c r="H73" s="212">
        <f>IF(ISNUMBER(D73),"",VLOOKUP(C73,'VIN.PERS.DISC.'!$C$19:$G$108,5,FALSE))</f>
        <v>1</v>
      </c>
      <c r="I73" s="211">
        <f>IF(ISNUMBER(D73),"",VLOOKUP(C73,'APOYO A IND. NAL.'!$C$19:$E$108,3,FALSE))</f>
        <v>20</v>
      </c>
      <c r="J73" s="211">
        <f>IF(ISNUMBER(D73),"",VLOOKUP(C73,RNOCI!$C$19:$F$108,4,FALSE))</f>
        <v>0</v>
      </c>
      <c r="K73" s="263">
        <f t="shared" ca="1" si="1"/>
        <v>69.844614137764125</v>
      </c>
      <c r="L73" s="263">
        <f>IF(ISNUMBER(D73),"",IF('MULTAS Y SANCIONES'!E71="SI",K73*-2%,0))</f>
        <v>0</v>
      </c>
      <c r="M73" s="263">
        <f t="shared" ca="1" si="2"/>
        <v>69.844614137764125</v>
      </c>
      <c r="N73" s="436"/>
      <c r="O73" s="653"/>
    </row>
    <row r="74" spans="2:15" s="156" customFormat="1" ht="13.5">
      <c r="B74" s="162">
        <f t="shared" si="0"/>
        <v>54</v>
      </c>
      <c r="C74" s="163">
        <f>IF(VLOOKUP(B74,PROPONENTES!$B$19:$E$109,2,0)="","",VLOOKUP(B74,PROPONENTES!$B$19:$E$109,2,0))</f>
        <v>54</v>
      </c>
      <c r="D74" s="164" t="str">
        <f>VLOOKUP(C74,PROPONENTES!$C$19:$E$108,2,FALSE)</f>
        <v>CONSORCIO HC INTERVENTORES 2022</v>
      </c>
      <c r="E74" s="65" t="str">
        <f ca="1">IF(COUNTIF('HAB.GEN.'!E72:L72,"RECHAZO")&gt;0,"RECHAZO",IF(AND(IF(COUNTIF('HAB.GEN.'!E72:L72,"NO HÁBIL")&gt;0,'HAB.GEN.'!J72="NO HÁBIL")),"NO HÁBIL","HÁBIL"))</f>
        <v>RECHAZO</v>
      </c>
      <c r="F74" s="262">
        <f ca="1">IF(ISNUMBER(D74),"",IF(ISTEXT(N74),0,VLOOKUP(C74,'PONDERACION EXP.'!$C$44:$L$133,9,FALSE)))</f>
        <v>28.283503681844692</v>
      </c>
      <c r="G74" s="211">
        <v>10</v>
      </c>
      <c r="H74" s="212">
        <f ca="1">IF(ISNUMBER(D74),"",VLOOKUP(C74,'VIN.PERS.DISC.'!$C$19:$G$108,5,FALSE))</f>
        <v>1</v>
      </c>
      <c r="I74" s="211">
        <f>IF(ISNUMBER(D74),"",VLOOKUP(C74,'APOYO A IND. NAL.'!$C$19:$E$108,3,FALSE))</f>
        <v>20</v>
      </c>
      <c r="J74" s="211">
        <f>IF(ISNUMBER(D74),"",VLOOKUP(C74,RNOCI!$C$19:$F$108,4,FALSE))</f>
        <v>0</v>
      </c>
      <c r="K74" s="263">
        <f t="shared" ca="1" si="1"/>
        <v>0</v>
      </c>
      <c r="L74" s="263">
        <f>IF(ISNUMBER(D74),"",IF('MULTAS Y SANCIONES'!E72="SI",K74*-2%,0))</f>
        <v>0</v>
      </c>
      <c r="M74" s="263">
        <f t="shared" ca="1" si="2"/>
        <v>0</v>
      </c>
      <c r="N74" s="436"/>
      <c r="O74" s="653"/>
    </row>
    <row r="75" spans="2:15" s="156" customFormat="1" ht="13.5">
      <c r="B75" s="162">
        <f t="shared" si="0"/>
        <v>55</v>
      </c>
      <c r="C75" s="163">
        <f>IF(VLOOKUP(B75,PROPONENTES!$B$19:$E$109,2,0)="","",VLOOKUP(B75,PROPONENTES!$B$19:$E$109,2,0))</f>
        <v>55</v>
      </c>
      <c r="D75" s="164" t="str">
        <f>VLOOKUP(C75,PROPONENTES!$C$19:$E$108,2,FALSE)</f>
        <v>MARIO DE JESUS GIL CARDONA</v>
      </c>
      <c r="E75" s="65" t="str">
        <f ca="1">IF(COUNTIF('HAB.GEN.'!E73:L73,"RECHAZO")&gt;0,"RECHAZO",IF(AND(IF(COUNTIF('HAB.GEN.'!E73:L73,"NO HÁBIL")&gt;0,'HAB.GEN.'!J73="NO HÁBIL")),"NO HÁBIL","HÁBIL"))</f>
        <v>HÁBIL</v>
      </c>
      <c r="F75" s="262">
        <f ca="1">IF(ISNUMBER(D75),"",IF(ISTEXT(N75),0,VLOOKUP(C75,'PONDERACION EXP.'!$C$44:$L$133,9,FALSE)))</f>
        <v>54.386318339471501</v>
      </c>
      <c r="G75" s="211">
        <v>10</v>
      </c>
      <c r="H75" s="212">
        <f>IF(ISNUMBER(D75),"",VLOOKUP(C75,'VIN.PERS.DISC.'!$C$19:$G$108,5,FALSE))</f>
        <v>1</v>
      </c>
      <c r="I75" s="211">
        <f>IF(ISNUMBER(D75),"",VLOOKUP(C75,'APOYO A IND. NAL.'!$C$19:$E$108,3,FALSE))</f>
        <v>20</v>
      </c>
      <c r="J75" s="211">
        <f>IF(ISNUMBER(D75),"",VLOOKUP(C75,RNOCI!$C$19:$F$108,4,FALSE))</f>
        <v>0</v>
      </c>
      <c r="K75" s="263">
        <f t="shared" ca="1" si="1"/>
        <v>85.386318339471501</v>
      </c>
      <c r="L75" s="263">
        <f>IF(ISNUMBER(D75),"",IF('MULTAS Y SANCIONES'!E73="SI",K75*-2%,0))</f>
        <v>0</v>
      </c>
      <c r="M75" s="263">
        <f t="shared" ca="1" si="2"/>
        <v>85.386318339471501</v>
      </c>
      <c r="N75" s="436"/>
      <c r="O75" s="653"/>
    </row>
    <row r="76" spans="2:15" s="156" customFormat="1" ht="13.5">
      <c r="B76" s="162">
        <f t="shared" si="0"/>
        <v>56</v>
      </c>
      <c r="C76" s="163">
        <f>IF(VLOOKUP(B76,PROPONENTES!$B$19:$E$109,2,0)="","",VLOOKUP(B76,PROPONENTES!$B$19:$E$109,2,0))</f>
        <v>56</v>
      </c>
      <c r="D76" s="164" t="str">
        <f>VLOOKUP(C76,PROPONENTES!$C$19:$E$108,2,FALSE)</f>
        <v>CONSORCIO COLOMBIA RURAL ET</v>
      </c>
      <c r="E76" s="65" t="str">
        <f ca="1">IF(COUNTIF('HAB.GEN.'!E74:L74,"RECHAZO")&gt;0,"RECHAZO",IF(AND(IF(COUNTIF('HAB.GEN.'!E74:L74,"NO HÁBIL")&gt;0,'HAB.GEN.'!J74="NO HÁBIL")),"NO HÁBIL","HÁBIL"))</f>
        <v>HÁBIL</v>
      </c>
      <c r="F76" s="262">
        <f ca="1">IF(ISNUMBER(D76),"",IF(ISTEXT(N76),0,VLOOKUP(C76,'PONDERACION EXP.'!$C$44:$L$133,9,FALSE)))</f>
        <v>41.869135087094108</v>
      </c>
      <c r="G76" s="211">
        <v>10</v>
      </c>
      <c r="H76" s="212">
        <f ca="1">IF(ISNUMBER(D76),"",VLOOKUP(C76,'VIN.PERS.DISC.'!$C$19:$G$108,5,FALSE))</f>
        <v>1</v>
      </c>
      <c r="I76" s="211">
        <f>IF(ISNUMBER(D76),"",VLOOKUP(C76,'APOYO A IND. NAL.'!$C$19:$E$108,3,FALSE))</f>
        <v>0</v>
      </c>
      <c r="J76" s="211">
        <f>IF(ISNUMBER(D76),"",VLOOKUP(C76,RNOCI!$C$19:$F$108,4,FALSE))</f>
        <v>0</v>
      </c>
      <c r="K76" s="263">
        <f t="shared" ca="1" si="1"/>
        <v>52.869135087094108</v>
      </c>
      <c r="L76" s="263">
        <f>IF(ISNUMBER(D76),"",IF('MULTAS Y SANCIONES'!E74="SI",K76*-2%,0))</f>
        <v>0</v>
      </c>
      <c r="M76" s="263">
        <f t="shared" ca="1" si="2"/>
        <v>52.869135087094108</v>
      </c>
      <c r="N76" s="436"/>
      <c r="O76" s="653"/>
    </row>
    <row r="77" spans="2:15" s="156" customFormat="1" ht="13.5">
      <c r="B77" s="162">
        <f t="shared" si="0"/>
        <v>57</v>
      </c>
      <c r="C77" s="163">
        <f>IF(VLOOKUP(B77,PROPONENTES!$B$19:$E$109,2,0)="","",VLOOKUP(B77,PROPONENTES!$B$19:$E$109,2,0))</f>
        <v>57</v>
      </c>
      <c r="D77" s="164" t="str">
        <f>VLOOKUP(C77,PROPONENTES!$C$19:$E$108,2,FALSE)</f>
        <v>CONSORCIO ROGER 20</v>
      </c>
      <c r="E77" s="65" t="str">
        <f ca="1">IF(COUNTIF('HAB.GEN.'!E75:L75,"RECHAZO")&gt;0,"RECHAZO",IF(AND(IF(COUNTIF('HAB.GEN.'!E75:L75,"NO HÁBIL")&gt;0,'HAB.GEN.'!J75="NO HÁBIL")),"NO HÁBIL","HÁBIL"))</f>
        <v>HÁBIL</v>
      </c>
      <c r="F77" s="262">
        <f ca="1">IF(ISNUMBER(D77),"",IF(ISTEXT(N77),0,VLOOKUP(C77,'PONDERACION EXP.'!$C$44:$L$133,9,FALSE)))</f>
        <v>28.853162189088824</v>
      </c>
      <c r="G77" s="211">
        <v>10</v>
      </c>
      <c r="H77" s="212">
        <f ca="1">IF(ISNUMBER(D77),"",VLOOKUP(C77,'VIN.PERS.DISC.'!$C$19:$G$108,5,FALSE))</f>
        <v>1</v>
      </c>
      <c r="I77" s="211">
        <f>IF(ISNUMBER(D77),"",VLOOKUP(C77,'APOYO A IND. NAL.'!$C$19:$E$108,3,FALSE))</f>
        <v>20</v>
      </c>
      <c r="J77" s="211">
        <f>IF(ISNUMBER(D77),"",VLOOKUP(C77,RNOCI!$C$19:$F$108,4,FALSE))</f>
        <v>0</v>
      </c>
      <c r="K77" s="263">
        <f t="shared" ca="1" si="1"/>
        <v>59.85316218908882</v>
      </c>
      <c r="L77" s="263">
        <f>IF(ISNUMBER(D77),"",IF('MULTAS Y SANCIONES'!E75="SI",K77*-2%,0))</f>
        <v>0</v>
      </c>
      <c r="M77" s="263">
        <f t="shared" ca="1" si="2"/>
        <v>59.85316218908882</v>
      </c>
      <c r="N77" s="436"/>
      <c r="O77" s="653"/>
    </row>
    <row r="78" spans="2:15" s="156" customFormat="1" ht="13.5">
      <c r="B78" s="162">
        <f t="shared" si="0"/>
        <v>58</v>
      </c>
      <c r="C78" s="163">
        <f>IF(VLOOKUP(B78,PROPONENTES!$B$19:$E$109,2,0)="","",VLOOKUP(B78,PROPONENTES!$B$19:$E$109,2,0))</f>
        <v>58</v>
      </c>
      <c r="D78" s="164" t="str">
        <f>VLOOKUP(C78,PROPONENTES!$C$19:$E$108,2,FALSE)</f>
        <v>VALLEJO H INGENIEROS CONSULTORES CONSTRUCTORES C S.A.S -BIC</v>
      </c>
      <c r="E78" s="65" t="str">
        <f ca="1">IF(COUNTIF('HAB.GEN.'!E76:L76,"RECHAZO")&gt;0,"RECHAZO",IF(AND(IF(COUNTIF('HAB.GEN.'!E76:L76,"NO HÁBIL")&gt;0,'HAB.GEN.'!J76="NO HÁBIL")),"NO HÁBIL","HÁBIL"))</f>
        <v>NO HÁBIL</v>
      </c>
      <c r="F78" s="262">
        <f ca="1">IF(ISNUMBER(D78),"",IF(ISTEXT(N78),0,VLOOKUP(C78,'PONDERACION EXP.'!$C$44:$L$133,9,FALSE)))</f>
        <v>23.123968022515111</v>
      </c>
      <c r="G78" s="211">
        <v>10</v>
      </c>
      <c r="H78" s="212">
        <f>IF(ISNUMBER(D78),"",VLOOKUP(C78,'VIN.PERS.DISC.'!$C$19:$G$108,5,FALSE))</f>
        <v>1</v>
      </c>
      <c r="I78" s="211">
        <f>IF(ISNUMBER(D78),"",VLOOKUP(C78,'APOYO A IND. NAL.'!$C$19:$E$108,3,FALSE))</f>
        <v>20</v>
      </c>
      <c r="J78" s="211">
        <f>IF(ISNUMBER(D78),"",VLOOKUP(C78,RNOCI!$C$19:$F$108,4,FALSE))</f>
        <v>0</v>
      </c>
      <c r="K78" s="263">
        <f t="shared" ca="1" si="1"/>
        <v>0</v>
      </c>
      <c r="L78" s="263">
        <f>IF(ISNUMBER(D78),"",IF('MULTAS Y SANCIONES'!E76="SI",K78*-2%,0))</f>
        <v>0</v>
      </c>
      <c r="M78" s="263">
        <f t="shared" ca="1" si="2"/>
        <v>0</v>
      </c>
      <c r="N78" s="436"/>
      <c r="O78" s="653"/>
    </row>
    <row r="79" spans="2:15" s="156" customFormat="1" ht="13.5">
      <c r="B79" s="162">
        <f t="shared" si="0"/>
        <v>59</v>
      </c>
      <c r="C79" s="163">
        <f>IF(VLOOKUP(B79,PROPONENTES!$B$19:$E$109,2,0)="","",VLOOKUP(B79,PROPONENTES!$B$19:$E$109,2,0))</f>
        <v>59</v>
      </c>
      <c r="D79" s="164" t="str">
        <f>VLOOKUP(C79,PROPONENTES!$C$19:$E$108,2,FALSE)</f>
        <v>Consorcio JR</v>
      </c>
      <c r="E79" s="65" t="str">
        <f ca="1">IF(COUNTIF('HAB.GEN.'!E77:L77,"RECHAZO")&gt;0,"RECHAZO",IF(AND(IF(COUNTIF('HAB.GEN.'!E77:L77,"NO HÁBIL")&gt;0,'HAB.GEN.'!J77="NO HÁBIL")),"NO HÁBIL","HÁBIL"))</f>
        <v>HÁBIL</v>
      </c>
      <c r="F79" s="262">
        <f ca="1">IF(ISNUMBER(D79),"",IF(ISTEXT(N79),0,VLOOKUP(C79,'PONDERACION EXP.'!$C$44:$L$133,9,FALSE)))</f>
        <v>17.038938397948012</v>
      </c>
      <c r="G79" s="211">
        <v>10</v>
      </c>
      <c r="H79" s="212">
        <f ca="1">IF(ISNUMBER(D79),"",VLOOKUP(C79,'VIN.PERS.DISC.'!$C$19:$G$108,5,FALSE))</f>
        <v>1</v>
      </c>
      <c r="I79" s="211">
        <f>IF(ISNUMBER(D79),"",VLOOKUP(C79,'APOYO A IND. NAL.'!$C$19:$E$108,3,FALSE))</f>
        <v>20</v>
      </c>
      <c r="J79" s="211">
        <f>IF(ISNUMBER(D79),"",VLOOKUP(C79,RNOCI!$C$19:$F$108,4,FALSE))</f>
        <v>0</v>
      </c>
      <c r="K79" s="263">
        <f t="shared" ca="1" si="1"/>
        <v>48.038938397948016</v>
      </c>
      <c r="L79" s="263">
        <f>IF(ISNUMBER(D79),"",IF('MULTAS Y SANCIONES'!E77="SI",K79*-2%,0))</f>
        <v>0</v>
      </c>
      <c r="M79" s="263">
        <f t="shared" ca="1" si="2"/>
        <v>48.038938397948016</v>
      </c>
      <c r="N79" s="436"/>
      <c r="O79" s="653"/>
    </row>
    <row r="80" spans="2:15" s="156" customFormat="1" ht="13.5">
      <c r="B80" s="162">
        <f t="shared" si="0"/>
        <v>60</v>
      </c>
      <c r="C80" s="163">
        <f>IF(VLOOKUP(B80,PROPONENTES!$B$19:$E$109,2,0)="","",VLOOKUP(B80,PROPONENTES!$B$19:$E$109,2,0))</f>
        <v>60</v>
      </c>
      <c r="D80" s="164" t="str">
        <f>VLOOKUP(C80,PROPONENTES!$C$19:$E$108,2,FALSE)</f>
        <v>ARA INGENIERIA S.A.S</v>
      </c>
      <c r="E80" s="65" t="str">
        <f ca="1">IF(COUNTIF('HAB.GEN.'!E78:L78,"RECHAZO")&gt;0,"RECHAZO",IF(AND(IF(COUNTIF('HAB.GEN.'!E78:L78,"NO HÁBIL")&gt;0,'HAB.GEN.'!J78="NO HÁBIL")),"NO HÁBIL","HÁBIL"))</f>
        <v>RECHAZO</v>
      </c>
      <c r="F80" s="262">
        <f>IF(ISNUMBER(D80),"",IF(ISTEXT(N80),0,VLOOKUP(C80,'PONDERACION EXP.'!$C$44:$L$133,9,FALSE)))</f>
        <v>0</v>
      </c>
      <c r="G80" s="211">
        <v>10</v>
      </c>
      <c r="H80" s="212">
        <f>IF(ISNUMBER(D80),"",VLOOKUP(C80,'VIN.PERS.DISC.'!$C$19:$G$108,5,FALSE))</f>
        <v>1</v>
      </c>
      <c r="I80" s="211">
        <f>IF(ISNUMBER(D80),"",VLOOKUP(C80,'APOYO A IND. NAL.'!$C$19:$E$108,3,FALSE))</f>
        <v>20</v>
      </c>
      <c r="J80" s="211">
        <f>IF(ISNUMBER(D80),"",VLOOKUP(C80,RNOCI!$C$19:$F$108,4,FALSE))</f>
        <v>0</v>
      </c>
      <c r="K80" s="263">
        <f t="shared" ca="1" si="1"/>
        <v>0</v>
      </c>
      <c r="L80" s="263">
        <f>IF(ISNUMBER(D80),"",IF('MULTAS Y SANCIONES'!E78="SI",K80*-2%,0))</f>
        <v>0</v>
      </c>
      <c r="M80" s="263">
        <f t="shared" ca="1" si="2"/>
        <v>0</v>
      </c>
      <c r="N80" s="436"/>
      <c r="O80" s="653"/>
    </row>
    <row r="81" spans="2:15" s="156" customFormat="1" ht="13.5">
      <c r="B81" s="162">
        <f t="shared" si="0"/>
        <v>61</v>
      </c>
      <c r="C81" s="163">
        <f>IF(VLOOKUP(B81,PROPONENTES!$B$19:$E$109,2,0)="","",VLOOKUP(B81,PROPONENTES!$B$19:$E$109,2,0))</f>
        <v>61</v>
      </c>
      <c r="D81" s="164" t="str">
        <f>VLOOKUP(C81,PROPONENTES!$C$19:$E$108,2,FALSE)</f>
        <v>CONSORCIO INVITOL 2022</v>
      </c>
      <c r="E81" s="65" t="str">
        <f ca="1">IF(COUNTIF('HAB.GEN.'!E79:L79,"RECHAZO")&gt;0,"RECHAZO",IF(AND(IF(COUNTIF('HAB.GEN.'!E79:L79,"NO HÁBIL")&gt;0,'HAB.GEN.'!J79="NO HÁBIL")),"NO HÁBIL","HÁBIL"))</f>
        <v>HÁBIL</v>
      </c>
      <c r="F81" s="262">
        <v>0</v>
      </c>
      <c r="G81" s="211">
        <v>10</v>
      </c>
      <c r="H81" s="212">
        <f ca="1">IF(ISNUMBER(D81),"",VLOOKUP(C81,'VIN.PERS.DISC.'!$C$19:$G$108,5,FALSE))</f>
        <v>1</v>
      </c>
      <c r="I81" s="211">
        <f>IF(ISNUMBER(D81),"",VLOOKUP(C81,'APOYO A IND. NAL.'!$C$19:$E$108,3,FALSE))</f>
        <v>20</v>
      </c>
      <c r="J81" s="211">
        <f>IF(ISNUMBER(D81),"",VLOOKUP(C81,RNOCI!$C$19:$F$108,4,FALSE))</f>
        <v>0</v>
      </c>
      <c r="K81" s="263">
        <f t="shared" ca="1" si="1"/>
        <v>31</v>
      </c>
      <c r="L81" s="263">
        <f>IF(ISNUMBER(D81),"",IF('MULTAS Y SANCIONES'!E79="SI",K81*-2%,0))</f>
        <v>0</v>
      </c>
      <c r="M81" s="263">
        <f t="shared" ca="1" si="2"/>
        <v>31</v>
      </c>
      <c r="N81" s="436"/>
      <c r="O81" s="653"/>
    </row>
    <row r="82" spans="2:15" s="156" customFormat="1" ht="13.5">
      <c r="B82" s="162">
        <f t="shared" si="0"/>
        <v>62</v>
      </c>
      <c r="C82" s="163">
        <f>IF(VLOOKUP(B82,PROPONENTES!$B$19:$E$109,2,0)="","",VLOOKUP(B82,PROPONENTES!$B$19:$E$109,2,0))</f>
        <v>62</v>
      </c>
      <c r="D82" s="164" t="str">
        <f>VLOOKUP(C82,PROPONENTES!$C$19:$E$108,2,FALSE)</f>
        <v>CONSORCIO INTERVIAL TOL 001</v>
      </c>
      <c r="E82" s="65" t="str">
        <f ca="1">IF(COUNTIF('HAB.GEN.'!E80:L80,"RECHAZO")&gt;0,"RECHAZO",IF(AND(IF(COUNTIF('HAB.GEN.'!E80:L80,"NO HÁBIL")&gt;0,'HAB.GEN.'!J80="NO HÁBIL")),"NO HÁBIL","HÁBIL"))</f>
        <v>HÁBIL</v>
      </c>
      <c r="F82" s="262">
        <f ca="1">IF(ISNUMBER(D82),"",IF(ISTEXT(N82),0,VLOOKUP(C82,'PONDERACION EXP.'!$C$44:$L$133,9,FALSE)))</f>
        <v>38.689787649973454</v>
      </c>
      <c r="G82" s="211">
        <v>10</v>
      </c>
      <c r="H82" s="212">
        <f ca="1">IF(ISNUMBER(D82),"",VLOOKUP(C82,'VIN.PERS.DISC.'!$C$19:$G$108,5,FALSE))</f>
        <v>1</v>
      </c>
      <c r="I82" s="211">
        <f>IF(ISNUMBER(D82),"",VLOOKUP(C82,'APOYO A IND. NAL.'!$C$19:$E$108,3,FALSE))</f>
        <v>20</v>
      </c>
      <c r="J82" s="211">
        <f>IF(ISNUMBER(D82),"",VLOOKUP(C82,RNOCI!$C$19:$F$108,4,FALSE))</f>
        <v>0</v>
      </c>
      <c r="K82" s="263">
        <f t="shared" ca="1" si="1"/>
        <v>69.689787649973454</v>
      </c>
      <c r="L82" s="263">
        <f>IF(ISNUMBER(D82),"",IF('MULTAS Y SANCIONES'!E80="SI",K82*-2%,0))</f>
        <v>0</v>
      </c>
      <c r="M82" s="263">
        <f t="shared" ca="1" si="2"/>
        <v>69.689787649973454</v>
      </c>
      <c r="N82" s="436"/>
      <c r="O82" s="653"/>
    </row>
    <row r="83" spans="2:15" s="156" customFormat="1" ht="13.5">
      <c r="B83" s="162">
        <f t="shared" si="0"/>
        <v>63</v>
      </c>
      <c r="C83" s="163">
        <f>IF(VLOOKUP(B83,PROPONENTES!$B$19:$E$109,2,0)="","",VLOOKUP(B83,PROPONENTES!$B$19:$E$109,2,0))</f>
        <v>63</v>
      </c>
      <c r="D83" s="164" t="str">
        <f>VLOOKUP(C83,PROPONENTES!$C$19:$E$108,2,FALSE)</f>
        <v>COMPAÑIA CONSULTORA COLOMBIANA TRIPLE C BIC SAS</v>
      </c>
      <c r="E83" s="65" t="str">
        <f ca="1">IF(COUNTIF('HAB.GEN.'!E81:L81,"RECHAZO")&gt;0,"RECHAZO",IF(AND(IF(COUNTIF('HAB.GEN.'!E81:L81,"NO HÁBIL")&gt;0,'HAB.GEN.'!J81="NO HÁBIL")),"NO HÁBIL","HÁBIL"))</f>
        <v>HÁBIL</v>
      </c>
      <c r="F83" s="262">
        <f ca="1">IF(ISNUMBER(D83),"",IF(ISTEXT(N83),0,VLOOKUP(C83,'PONDERACION EXP.'!$C$44:$L$133,9,FALSE)))</f>
        <v>31.089533890290888</v>
      </c>
      <c r="G83" s="211">
        <v>10</v>
      </c>
      <c r="H83" s="212">
        <f>IF(ISNUMBER(D83),"",VLOOKUP(C83,'VIN.PERS.DISC.'!$C$19:$G$108,5,FALSE))</f>
        <v>1</v>
      </c>
      <c r="I83" s="211">
        <f>IF(ISNUMBER(D83),"",VLOOKUP(C83,'APOYO A IND. NAL.'!$C$19:$E$108,3,FALSE))</f>
        <v>20</v>
      </c>
      <c r="J83" s="211">
        <f>IF(ISNUMBER(D83),"",VLOOKUP(C83,RNOCI!$C$19:$F$108,4,FALSE))</f>
        <v>0</v>
      </c>
      <c r="K83" s="263">
        <f t="shared" ca="1" si="1"/>
        <v>62.089533890290888</v>
      </c>
      <c r="L83" s="263">
        <f>IF(ISNUMBER(D83),"",IF('MULTAS Y SANCIONES'!E81="SI",K83*-2%,0))</f>
        <v>0</v>
      </c>
      <c r="M83" s="263">
        <f t="shared" ca="1" si="2"/>
        <v>62.089533890290888</v>
      </c>
      <c r="N83" s="436"/>
      <c r="O83" s="653"/>
    </row>
    <row r="84" spans="2:15" s="156" customFormat="1" ht="13.5">
      <c r="B84" s="162">
        <f t="shared" si="0"/>
        <v>64</v>
      </c>
      <c r="C84" s="163">
        <f>IF(VLOOKUP(B84,PROPONENTES!$B$19:$E$109,2,0)="","",VLOOKUP(B84,PROPONENTES!$B$19:$E$109,2,0))</f>
        <v>64</v>
      </c>
      <c r="D84" s="164" t="str">
        <f>VLOOKUP(C84,PROPONENTES!$C$19:$E$108,2,FALSE)</f>
        <v>UNION TEMPORAL INTERTOL 001 2022</v>
      </c>
      <c r="E84" s="65" t="str">
        <f ca="1">IF(COUNTIF('HAB.GEN.'!E82:L82,"RECHAZO")&gt;0,"RECHAZO",IF(AND(IF(COUNTIF('HAB.GEN.'!E82:L82,"NO HÁBIL")&gt;0,'HAB.GEN.'!J82="NO HÁBIL")),"NO HÁBIL","HÁBIL"))</f>
        <v>HÁBIL</v>
      </c>
      <c r="F84" s="262">
        <f ca="1">IF(ISNUMBER(D84),"",IF(ISTEXT(N84),0,VLOOKUP(C84,'PONDERACION EXP.'!$C$44:$L$133,9,FALSE)))</f>
        <v>24.432114599693129</v>
      </c>
      <c r="G84" s="211">
        <v>10</v>
      </c>
      <c r="H84" s="212">
        <f ca="1">IF(ISNUMBER(D84),"",VLOOKUP(C84,'VIN.PERS.DISC.'!$C$19:$G$108,5,FALSE))</f>
        <v>1</v>
      </c>
      <c r="I84" s="211">
        <f>IF(ISNUMBER(D84),"",VLOOKUP(C84,'APOYO A IND. NAL.'!$C$19:$E$108,3,FALSE))</f>
        <v>20</v>
      </c>
      <c r="J84" s="211">
        <f>IF(ISNUMBER(D84),"",VLOOKUP(C84,RNOCI!$C$19:$F$108,4,FALSE))</f>
        <v>0</v>
      </c>
      <c r="K84" s="263">
        <f t="shared" ca="1" si="1"/>
        <v>55.432114599693129</v>
      </c>
      <c r="L84" s="263">
        <f>IF(ISNUMBER(D84),"",IF('MULTAS Y SANCIONES'!E82="SI",K84*-2%,0))</f>
        <v>0</v>
      </c>
      <c r="M84" s="263">
        <f t="shared" ca="1" si="2"/>
        <v>55.432114599693129</v>
      </c>
      <c r="N84" s="436"/>
      <c r="O84" s="653"/>
    </row>
    <row r="85" spans="2:15" s="156" customFormat="1" ht="13.5">
      <c r="B85" s="162">
        <f t="shared" si="0"/>
        <v>65</v>
      </c>
      <c r="C85" s="163">
        <f>IF(VLOOKUP(B85,PROPONENTES!$B$19:$E$109,2,0)="","",VLOOKUP(B85,PROPONENTES!$B$19:$E$109,2,0))</f>
        <v>65</v>
      </c>
      <c r="D85" s="164" t="str">
        <f>VLOOKUP(C85,PROPONENTES!$C$19:$E$108,2,FALSE)</f>
        <v>PROYECTISTAS DE COLOMBIA &amp; CIA SAS</v>
      </c>
      <c r="E85" s="65" t="str">
        <f ca="1">IF(COUNTIF('HAB.GEN.'!E83:L83,"RECHAZO")&gt;0,"RECHAZO",IF(AND(IF(COUNTIF('HAB.GEN.'!E83:L83,"NO HÁBIL")&gt;0,'HAB.GEN.'!J83="NO HÁBIL")),"NO HÁBIL","HÁBIL"))</f>
        <v>RECHAZO</v>
      </c>
      <c r="F85" s="262">
        <f ca="1">IF(ISNUMBER(D85),"",IF(ISTEXT(N85),0,VLOOKUP(C85,'PONDERACION EXP.'!$C$44:$L$133,9,FALSE)))</f>
        <v>36.142530812473147</v>
      </c>
      <c r="G85" s="211">
        <v>10</v>
      </c>
      <c r="H85" s="212">
        <f>IF(ISNUMBER(D85),"",VLOOKUP(C85,'VIN.PERS.DISC.'!$C$19:$G$108,5,FALSE))</f>
        <v>1</v>
      </c>
      <c r="I85" s="211">
        <f>IF(ISNUMBER(D85),"",VLOOKUP(C85,'APOYO A IND. NAL.'!$C$19:$E$108,3,FALSE))</f>
        <v>20</v>
      </c>
      <c r="J85" s="211">
        <f>IF(ISNUMBER(D85),"",VLOOKUP(C85,RNOCI!$C$19:$F$108,4,FALSE))</f>
        <v>0</v>
      </c>
      <c r="K85" s="263">
        <f t="shared" ca="1" si="1"/>
        <v>0</v>
      </c>
      <c r="L85" s="263">
        <f>IF(ISNUMBER(D85),"",IF('MULTAS Y SANCIONES'!E83="SI",K85*-2%,0))</f>
        <v>0</v>
      </c>
      <c r="M85" s="263">
        <f t="shared" ca="1" si="2"/>
        <v>0</v>
      </c>
      <c r="N85" s="436"/>
      <c r="O85" s="653"/>
    </row>
    <row r="86" spans="2:15" s="156" customFormat="1" ht="13.5">
      <c r="B86" s="162">
        <f t="shared" ref="B86:B110" si="3">ROW()-20</f>
        <v>66</v>
      </c>
      <c r="C86" s="163">
        <f>IF(VLOOKUP(B86,PROPONENTES!$B$19:$E$109,2,0)="","",VLOOKUP(B86,PROPONENTES!$B$19:$E$109,2,0))</f>
        <v>66</v>
      </c>
      <c r="D86" s="164" t="str">
        <f>VLOOKUP(C86,PROPONENTES!$C$19:$E$108,2,FALSE)</f>
        <v>CONSORCIO VIAL INGENIERIA 2022</v>
      </c>
      <c r="E86" s="65" t="str">
        <f ca="1">IF(COUNTIF('HAB.GEN.'!E84:L84,"RECHAZO")&gt;0,"RECHAZO",IF(AND(IF(COUNTIF('HAB.GEN.'!E84:L84,"NO HÁBIL")&gt;0,'HAB.GEN.'!J84="NO HÁBIL")),"NO HÁBIL","HÁBIL"))</f>
        <v>HÁBIL</v>
      </c>
      <c r="F86" s="262">
        <f ca="1">IF(ISNUMBER(D86),"",IF(ISTEXT(N86),0,VLOOKUP(C86,'PONDERACION EXP.'!$C$44:$L$133,9,FALSE)))</f>
        <v>31.14413744562809</v>
      </c>
      <c r="G86" s="211">
        <v>10</v>
      </c>
      <c r="H86" s="212">
        <f ca="1">IF(ISNUMBER(D86),"",VLOOKUP(C86,'VIN.PERS.DISC.'!$C$19:$G$108,5,FALSE))</f>
        <v>1</v>
      </c>
      <c r="I86" s="211">
        <f>IF(ISNUMBER(D86),"",VLOOKUP(C86,'APOYO A IND. NAL.'!$C$19:$E$108,3,FALSE))</f>
        <v>20</v>
      </c>
      <c r="J86" s="211">
        <f>IF(ISNUMBER(D86),"",VLOOKUP(C86,RNOCI!$C$19:$F$108,4,FALSE))</f>
        <v>0</v>
      </c>
      <c r="K86" s="263">
        <f t="shared" ref="K86:K110" ca="1" si="4">IF(ISNUMBER(D86),"",IF(OR(E86&lt;&gt;"HÁBIL"),0,SUM(F86:J86)))</f>
        <v>62.14413744562809</v>
      </c>
      <c r="L86" s="263">
        <f>IF(ISNUMBER(D86),"",IF('MULTAS Y SANCIONES'!E84="SI",K86*-2%,0))</f>
        <v>0</v>
      </c>
      <c r="M86" s="263">
        <f t="shared" ref="M86:M110" ca="1" si="5">IF(ISNUMBER(D86),"",IF(OR(E86&lt;&gt;"HÁBIL"),0,SUM(K86:L86)))</f>
        <v>62.14413744562809</v>
      </c>
      <c r="N86" s="436"/>
      <c r="O86" s="653"/>
    </row>
    <row r="87" spans="2:15" s="156" customFormat="1" ht="13.5">
      <c r="B87" s="162">
        <f t="shared" si="3"/>
        <v>67</v>
      </c>
      <c r="C87" s="163">
        <f>IF(VLOOKUP(B87,PROPONENTES!$B$19:$E$109,2,0)="","",VLOOKUP(B87,PROPONENTES!$B$19:$E$109,2,0))</f>
        <v>67</v>
      </c>
      <c r="D87" s="164" t="str">
        <f>VLOOKUP(C87,PROPONENTES!$C$19:$E$108,2,FALSE)</f>
        <v>CONSORCIO AV</v>
      </c>
      <c r="E87" s="65" t="str">
        <f ca="1">IF(COUNTIF('HAB.GEN.'!E85:L85,"RECHAZO")&gt;0,"RECHAZO",IF(AND(IF(COUNTIF('HAB.GEN.'!E85:L85,"NO HÁBIL")&gt;0,'HAB.GEN.'!J85="NO HÁBIL")),"NO HÁBIL","HÁBIL"))</f>
        <v>HÁBIL</v>
      </c>
      <c r="F87" s="262">
        <f ca="1">IF(ISNUMBER(D87),"",IF(ISTEXT(N87),0,VLOOKUP(C87,'PONDERACION EXP.'!$C$44:$L$133,9,FALSE)))</f>
        <v>33.117458530083518</v>
      </c>
      <c r="G87" s="211">
        <v>10</v>
      </c>
      <c r="H87" s="212">
        <f ca="1">IF(ISNUMBER(D87),"",VLOOKUP(C87,'VIN.PERS.DISC.'!$C$19:$G$108,5,FALSE))</f>
        <v>1</v>
      </c>
      <c r="I87" s="211">
        <f>IF(ISNUMBER(D87),"",VLOOKUP(C87,'APOYO A IND. NAL.'!$C$19:$E$108,3,FALSE))</f>
        <v>20</v>
      </c>
      <c r="J87" s="211">
        <f>IF(ISNUMBER(D87),"",VLOOKUP(C87,RNOCI!$C$19:$F$108,4,FALSE))</f>
        <v>0</v>
      </c>
      <c r="K87" s="263">
        <f t="shared" ca="1" si="4"/>
        <v>64.117458530083525</v>
      </c>
      <c r="L87" s="263">
        <f>IF(ISNUMBER(D87),"",IF('MULTAS Y SANCIONES'!E85="SI",K87*-2%,0))</f>
        <v>0</v>
      </c>
      <c r="M87" s="263">
        <f t="shared" ca="1" si="5"/>
        <v>64.117458530083525</v>
      </c>
      <c r="N87" s="436"/>
      <c r="O87" s="653"/>
    </row>
    <row r="88" spans="2:15" s="156" customFormat="1" ht="13.5">
      <c r="B88" s="162">
        <f t="shared" si="3"/>
        <v>68</v>
      </c>
      <c r="C88" s="163">
        <f>IF(VLOOKUP(B88,PROPONENTES!$B$19:$E$109,2,0)="","",VLOOKUP(B88,PROPONENTES!$B$19:$E$109,2,0))</f>
        <v>68</v>
      </c>
      <c r="D88" s="164" t="str">
        <f>VLOOKUP(C88,PROPONENTES!$C$19:$E$108,2,FALSE)</f>
        <v>SOLUCIONES PARA LA INGENIERÍA S.A.S.</v>
      </c>
      <c r="E88" s="65" t="str">
        <f ca="1">IF(COUNTIF('HAB.GEN.'!E86:L86,"RECHAZO")&gt;0,"RECHAZO",IF(AND(IF(COUNTIF('HAB.GEN.'!E86:L86,"NO HÁBIL")&gt;0,'HAB.GEN.'!J86="NO HÁBIL")),"NO HÁBIL","HÁBIL"))</f>
        <v>HÁBIL</v>
      </c>
      <c r="F88" s="262">
        <f ca="1">IF(ISNUMBER(D88),"",IF(ISTEXT(N88),0,VLOOKUP(C88,'PONDERACION EXP.'!$C$44:$L$133,9,FALSE)))</f>
        <v>36.461577247685533</v>
      </c>
      <c r="G88" s="211">
        <v>10</v>
      </c>
      <c r="H88" s="212">
        <f>IF(ISNUMBER(D88),"",VLOOKUP(C88,'VIN.PERS.DISC.'!$C$19:$G$108,5,FALSE))</f>
        <v>1</v>
      </c>
      <c r="I88" s="211">
        <f>IF(ISNUMBER(D88),"",VLOOKUP(C88,'APOYO A IND. NAL.'!$C$19:$E$108,3,FALSE))</f>
        <v>20</v>
      </c>
      <c r="J88" s="211">
        <f>IF(ISNUMBER(D88),"",VLOOKUP(C88,RNOCI!$C$19:$F$108,4,FALSE))</f>
        <v>0</v>
      </c>
      <c r="K88" s="263">
        <f t="shared" ca="1" si="4"/>
        <v>67.46157724768554</v>
      </c>
      <c r="L88" s="263">
        <f>IF(ISNUMBER(D88),"",IF('MULTAS Y SANCIONES'!E86="SI",K88*-2%,0))</f>
        <v>0</v>
      </c>
      <c r="M88" s="263">
        <f t="shared" ca="1" si="5"/>
        <v>67.46157724768554</v>
      </c>
      <c r="N88" s="436"/>
      <c r="O88" s="653"/>
    </row>
    <row r="89" spans="2:15" s="156" customFormat="1" ht="13.5">
      <c r="B89" s="162">
        <f t="shared" si="3"/>
        <v>69</v>
      </c>
      <c r="C89" s="163">
        <f>IF(VLOOKUP(B89,PROPONENTES!$B$19:$E$109,2,0)="","",VLOOKUP(B89,PROPONENTES!$B$19:$E$109,2,0))</f>
        <v>69</v>
      </c>
      <c r="D89" s="164" t="str">
        <f>VLOOKUP(C89,PROPONENTES!$C$19:$E$108,2,FALSE)</f>
        <v>Unión Temporal Intervías Tolima</v>
      </c>
      <c r="E89" s="65" t="str">
        <f ca="1">IF(COUNTIF('HAB.GEN.'!E87:L87,"RECHAZO")&gt;0,"RECHAZO",IF(AND(IF(COUNTIF('HAB.GEN.'!E87:L87,"NO HÁBIL")&gt;0,'HAB.GEN.'!J87="NO HÁBIL")),"NO HÁBIL","HÁBIL"))</f>
        <v>HÁBIL</v>
      </c>
      <c r="F89" s="262">
        <f ca="1">IF(ISNUMBER(D89),"",IF(ISTEXT(N89),0,VLOOKUP(C89,'PONDERACION EXP.'!$C$44:$L$133,9,FALSE)))</f>
        <v>2.4540614463622061</v>
      </c>
      <c r="G89" s="211">
        <v>10</v>
      </c>
      <c r="H89" s="212">
        <f ca="1">IF(ISNUMBER(D89),"",VLOOKUP(C89,'VIN.PERS.DISC.'!$C$19:$G$108,5,FALSE))</f>
        <v>1</v>
      </c>
      <c r="I89" s="211">
        <f>IF(ISNUMBER(D89),"",VLOOKUP(C89,'APOYO A IND. NAL.'!$C$19:$E$108,3,FALSE))</f>
        <v>20</v>
      </c>
      <c r="J89" s="211">
        <f>IF(ISNUMBER(D89),"",VLOOKUP(C89,RNOCI!$C$19:$F$108,4,FALSE))</f>
        <v>0</v>
      </c>
      <c r="K89" s="263">
        <f t="shared" ca="1" si="4"/>
        <v>33.454061446362203</v>
      </c>
      <c r="L89" s="263">
        <f>IF(ISNUMBER(D89),"",IF('MULTAS Y SANCIONES'!E87="SI",K89*-2%,0))</f>
        <v>0</v>
      </c>
      <c r="M89" s="263">
        <f t="shared" ca="1" si="5"/>
        <v>33.454061446362203</v>
      </c>
      <c r="N89" s="436"/>
      <c r="O89" s="653"/>
    </row>
    <row r="90" spans="2:15" s="156" customFormat="1" ht="13.5">
      <c r="B90" s="162">
        <f t="shared" si="3"/>
        <v>70</v>
      </c>
      <c r="C90" s="163">
        <f>IF(VLOOKUP(B90,PROPONENTES!$B$19:$E$109,2,0)="","",VLOOKUP(B90,PROPONENTES!$B$19:$E$109,2,0))</f>
        <v>70</v>
      </c>
      <c r="D90" s="164" t="str">
        <f>VLOOKUP(C90,PROPONENTES!$C$19:$E$108,2,FALSE)</f>
        <v>CONSORCIO DT TOLIMA ZP</v>
      </c>
      <c r="E90" s="65" t="str">
        <f ca="1">IF(COUNTIF('HAB.GEN.'!E88:L88,"RECHAZO")&gt;0,"RECHAZO",IF(AND(IF(COUNTIF('HAB.GEN.'!E88:L88,"NO HÁBIL")&gt;0,'HAB.GEN.'!J88="NO HÁBIL")),"NO HÁBIL","HÁBIL"))</f>
        <v>HÁBIL</v>
      </c>
      <c r="F90" s="262">
        <f ca="1">IF(ISNUMBER(D90),"",IF(ISTEXT(N90),0,VLOOKUP(C90,'PONDERACION EXP.'!$C$44:$L$133,9,FALSE)))</f>
        <v>32.867357373100631</v>
      </c>
      <c r="G90" s="211">
        <v>10</v>
      </c>
      <c r="H90" s="212">
        <f ca="1">IF(ISNUMBER(D90),"",VLOOKUP(C90,'VIN.PERS.DISC.'!$C$19:$G$108,5,FALSE))</f>
        <v>1</v>
      </c>
      <c r="I90" s="211">
        <f>IF(ISNUMBER(D90),"",VLOOKUP(C90,'APOYO A IND. NAL.'!$C$19:$E$108,3,FALSE))</f>
        <v>20</v>
      </c>
      <c r="J90" s="211">
        <f>IF(ISNUMBER(D90),"",VLOOKUP(C90,RNOCI!$C$19:$F$108,4,FALSE))</f>
        <v>0</v>
      </c>
      <c r="K90" s="263">
        <f t="shared" ca="1" si="4"/>
        <v>63.867357373100631</v>
      </c>
      <c r="L90" s="263">
        <f>IF(ISNUMBER(D90),"",IF('MULTAS Y SANCIONES'!E88="SI",K90*-2%,0))</f>
        <v>0</v>
      </c>
      <c r="M90" s="263">
        <f t="shared" ca="1" si="5"/>
        <v>63.867357373100631</v>
      </c>
      <c r="N90" s="436"/>
      <c r="O90" s="653"/>
    </row>
    <row r="91" spans="2:15" s="156" customFormat="1" ht="13.5">
      <c r="B91" s="162">
        <f t="shared" si="3"/>
        <v>71</v>
      </c>
      <c r="C91" s="163">
        <f>IF(VLOOKUP(B91,PROPONENTES!$B$19:$E$109,2,0)="","",VLOOKUP(B91,PROPONENTES!$B$19:$E$109,2,0))</f>
        <v>71</v>
      </c>
      <c r="D91" s="164" t="str">
        <f>VLOOKUP(C91,PROPONENTES!$C$19:$E$108,2,FALSE)</f>
        <v>INGENIEROS CIVILES ESPECIALISTAS S.A.S.</v>
      </c>
      <c r="E91" s="65" t="str">
        <f ca="1">IF(COUNTIF('HAB.GEN.'!E89:L89,"RECHAZO")&gt;0,"RECHAZO",IF(AND(IF(COUNTIF('HAB.GEN.'!E89:L89,"NO HÁBIL")&gt;0,'HAB.GEN.'!J89="NO HÁBIL")),"NO HÁBIL","HÁBIL"))</f>
        <v>HÁBIL</v>
      </c>
      <c r="F91" s="262">
        <f ca="1">IF(ISNUMBER(D91),"",IF(ISTEXT(N91),0,VLOOKUP(C91,'PONDERACION EXP.'!$C$44:$L$133,9,FALSE)))</f>
        <v>43.54463821737653</v>
      </c>
      <c r="G91" s="211">
        <v>10</v>
      </c>
      <c r="H91" s="212">
        <f>IF(ISNUMBER(D91),"",VLOOKUP(C91,'VIN.PERS.DISC.'!$C$19:$G$108,5,FALSE))</f>
        <v>1</v>
      </c>
      <c r="I91" s="211">
        <f>IF(ISNUMBER(D91),"",VLOOKUP(C91,'APOYO A IND. NAL.'!$C$19:$E$108,3,FALSE))</f>
        <v>20</v>
      </c>
      <c r="J91" s="211">
        <f>IF(ISNUMBER(D91),"",VLOOKUP(C91,RNOCI!$C$19:$F$108,4,FALSE))</f>
        <v>0</v>
      </c>
      <c r="K91" s="263">
        <f t="shared" ca="1" si="4"/>
        <v>74.54463821737653</v>
      </c>
      <c r="L91" s="263">
        <f>IF(ISNUMBER(D91),"",IF('MULTAS Y SANCIONES'!E89="SI",K91*-2%,0))</f>
        <v>0</v>
      </c>
      <c r="M91" s="263">
        <f t="shared" ca="1" si="5"/>
        <v>74.54463821737653</v>
      </c>
      <c r="N91" s="436"/>
      <c r="O91" s="653"/>
    </row>
    <row r="92" spans="2:15" s="156" customFormat="1" ht="13.5">
      <c r="B92" s="162">
        <f t="shared" si="3"/>
        <v>72</v>
      </c>
      <c r="C92" s="163">
        <f>IF(VLOOKUP(B92,PROPONENTES!$B$19:$E$109,2,0)="","",VLOOKUP(B92,PROPONENTES!$B$19:$E$109,2,0))</f>
        <v>72</v>
      </c>
      <c r="D92" s="164" t="str">
        <f>VLOOKUP(C92,PROPONENTES!$C$19:$E$108,2,FALSE)</f>
        <v>GRUPO QUIMBAYA S.A.S.</v>
      </c>
      <c r="E92" s="65" t="str">
        <f ca="1">IF(COUNTIF('HAB.GEN.'!E90:L90,"RECHAZO")&gt;0,"RECHAZO",IF(AND(IF(COUNTIF('HAB.GEN.'!E90:L90,"NO HÁBIL")&gt;0,'HAB.GEN.'!J90="NO HÁBIL")),"NO HÁBIL","HÁBIL"))</f>
        <v>HÁBIL</v>
      </c>
      <c r="F92" s="262">
        <f ca="1">IF(ISNUMBER(D92),"",IF(ISTEXT(N92),0,VLOOKUP(C92,'PONDERACION EXP.'!$C$44:$L$133,9,FALSE)))</f>
        <v>26.173911115808597</v>
      </c>
      <c r="G92" s="211">
        <v>10</v>
      </c>
      <c r="H92" s="212">
        <f>IF(ISNUMBER(D92),"",VLOOKUP(C92,'VIN.PERS.DISC.'!$C$19:$G$108,5,FALSE))</f>
        <v>1</v>
      </c>
      <c r="I92" s="211">
        <f>IF(ISNUMBER(D92),"",VLOOKUP(C92,'APOYO A IND. NAL.'!$C$19:$E$108,3,FALSE))</f>
        <v>20</v>
      </c>
      <c r="J92" s="211">
        <f>IF(ISNUMBER(D92),"",VLOOKUP(C92,RNOCI!$C$19:$F$108,4,FALSE))</f>
        <v>0</v>
      </c>
      <c r="K92" s="263">
        <f t="shared" ca="1" si="4"/>
        <v>57.173911115808593</v>
      </c>
      <c r="L92" s="263">
        <f>IF(ISNUMBER(D92),"",IF('MULTAS Y SANCIONES'!E90="SI",K92*-2%,0))</f>
        <v>0</v>
      </c>
      <c r="M92" s="263">
        <f t="shared" ca="1" si="5"/>
        <v>57.173911115808593</v>
      </c>
      <c r="N92" s="436"/>
      <c r="O92" s="653"/>
    </row>
    <row r="93" spans="2:15" s="156" customFormat="1" ht="13.5">
      <c r="B93" s="162">
        <f t="shared" si="3"/>
        <v>73</v>
      </c>
      <c r="C93" s="163">
        <f>IF(VLOOKUP(B93,PROPONENTES!$B$19:$E$109,2,0)="","",VLOOKUP(B93,PROPONENTES!$B$19:$E$109,2,0))</f>
        <v>73</v>
      </c>
      <c r="D93" s="164" t="str">
        <f>VLOOKUP(C93,PROPONENTES!$C$19:$E$108,2,FALSE)</f>
        <v>CONSORCIO TOLIMA JI 001</v>
      </c>
      <c r="E93" s="65" t="str">
        <f ca="1">IF(COUNTIF('HAB.GEN.'!E91:L91,"RECHAZO")&gt;0,"RECHAZO",IF(AND(IF(COUNTIF('HAB.GEN.'!E91:L91,"NO HÁBIL")&gt;0,'HAB.GEN.'!J91="NO HÁBIL")),"NO HÁBIL","HÁBIL"))</f>
        <v>HÁBIL</v>
      </c>
      <c r="F93" s="262">
        <f ca="1">IF(ISNUMBER(D93),"",IF(ISTEXT(N93),0,VLOOKUP(C93,'PONDERACION EXP.'!$C$44:$L$133,9,FALSE)))</f>
        <v>0</v>
      </c>
      <c r="G93" s="211">
        <v>10</v>
      </c>
      <c r="H93" s="212">
        <f ca="1">IF(ISNUMBER(D93),"",VLOOKUP(C93,'VIN.PERS.DISC.'!$C$19:$G$108,5,FALSE))</f>
        <v>1</v>
      </c>
      <c r="I93" s="211">
        <f>IF(ISNUMBER(D93),"",VLOOKUP(C93,'APOYO A IND. NAL.'!$C$19:$E$108,3,FALSE))</f>
        <v>20</v>
      </c>
      <c r="J93" s="211">
        <f>IF(ISNUMBER(D93),"",VLOOKUP(C93,RNOCI!$C$19:$F$108,4,FALSE))</f>
        <v>0</v>
      </c>
      <c r="K93" s="263">
        <f t="shared" ca="1" si="4"/>
        <v>31</v>
      </c>
      <c r="L93" s="263">
        <f>IF(ISNUMBER(D93),"",IF('MULTAS Y SANCIONES'!E91="SI",K93*-2%,0))</f>
        <v>0</v>
      </c>
      <c r="M93" s="263">
        <f t="shared" ca="1" si="5"/>
        <v>31</v>
      </c>
      <c r="N93" s="436"/>
      <c r="O93" s="653"/>
    </row>
    <row r="94" spans="2:15" s="156" customFormat="1" ht="13.5">
      <c r="B94" s="162">
        <f t="shared" si="3"/>
        <v>74</v>
      </c>
      <c r="C94" s="163">
        <f>IF(VLOOKUP(B94,PROPONENTES!$B$19:$E$109,2,0)="","",VLOOKUP(B94,PROPONENTES!$B$19:$E$109,2,0))</f>
        <v>74</v>
      </c>
      <c r="D94" s="164" t="str">
        <f>VLOOKUP(C94,PROPONENTES!$C$19:$E$108,2,FALSE)</f>
        <v>INGENIERIA CONUSLTORIA Y PLANEACION S.A – INCOPLAN S.A</v>
      </c>
      <c r="E94" s="65" t="str">
        <f ca="1">IF(COUNTIF('HAB.GEN.'!E92:L92,"RECHAZO")&gt;0,"RECHAZO",IF(AND(IF(COUNTIF('HAB.GEN.'!E92:L92,"NO HÁBIL")&gt;0,'HAB.GEN.'!J92="NO HÁBIL")),"NO HÁBIL","HÁBIL"))</f>
        <v>HÁBIL</v>
      </c>
      <c r="F94" s="262">
        <f ca="1">IF(ISNUMBER(D94),"",IF(ISTEXT(N94),0,VLOOKUP(C94,'PONDERACION EXP.'!$C$44:$L$133,9,FALSE)))</f>
        <v>20.113545633999635</v>
      </c>
      <c r="G94" s="211">
        <v>10</v>
      </c>
      <c r="H94" s="212">
        <f>IF(ISNUMBER(D94),"",VLOOKUP(C94,'VIN.PERS.DISC.'!$C$19:$G$108,5,FALSE))</f>
        <v>1</v>
      </c>
      <c r="I94" s="211">
        <f>IF(ISNUMBER(D94),"",VLOOKUP(C94,'APOYO A IND. NAL.'!$C$19:$E$108,3,FALSE))</f>
        <v>20</v>
      </c>
      <c r="J94" s="211">
        <f>IF(ISNUMBER(D94),"",VLOOKUP(C94,RNOCI!$C$19:$F$108,4,FALSE))</f>
        <v>0</v>
      </c>
      <c r="K94" s="263">
        <f t="shared" ca="1" si="4"/>
        <v>51.113545633999635</v>
      </c>
      <c r="L94" s="263">
        <f>IF(ISNUMBER(D94),"",IF('MULTAS Y SANCIONES'!E92="SI",K94*-2%,0))</f>
        <v>0</v>
      </c>
      <c r="M94" s="263">
        <f t="shared" ca="1" si="5"/>
        <v>51.113545633999635</v>
      </c>
      <c r="N94" s="436"/>
      <c r="O94" s="653"/>
    </row>
    <row r="95" spans="2:15" s="156" customFormat="1" ht="13.5">
      <c r="B95" s="162">
        <f t="shared" si="3"/>
        <v>75</v>
      </c>
      <c r="C95" s="163">
        <f>IF(VLOOKUP(B95,PROPONENTES!$B$19:$E$109,2,0)="","",VLOOKUP(B95,PROPONENTES!$B$19:$E$109,2,0))</f>
        <v>75</v>
      </c>
      <c r="D95" s="164" t="str">
        <f>VLOOKUP(C95,PROPONENTES!$C$19:$E$108,2,FALSE)</f>
        <v>JAIME MORENO ESPAÑA</v>
      </c>
      <c r="E95" s="65" t="str">
        <f ca="1">IF(COUNTIF('HAB.GEN.'!E93:L93,"RECHAZO")&gt;0,"RECHAZO",IF(AND(IF(COUNTIF('HAB.GEN.'!E93:L93,"NO HÁBIL")&gt;0,'HAB.GEN.'!J93="NO HÁBIL")),"NO HÁBIL","HÁBIL"))</f>
        <v>HÁBIL</v>
      </c>
      <c r="F95" s="262">
        <f ca="1">IF(ISNUMBER(D95),"",IF(ISTEXT(N95),0,VLOOKUP(C95,'PONDERACION EXP.'!$C$44:$L$133,9,FALSE)))</f>
        <v>4.9556876181756424</v>
      </c>
      <c r="G95" s="211">
        <v>10</v>
      </c>
      <c r="H95" s="212">
        <f>IF(ISNUMBER(D95),"",VLOOKUP(C95,'VIN.PERS.DISC.'!$C$19:$G$108,5,FALSE))</f>
        <v>0</v>
      </c>
      <c r="I95" s="211">
        <f>IF(ISNUMBER(D95),"",VLOOKUP(C95,'APOYO A IND. NAL.'!$C$19:$E$108,3,FALSE))</f>
        <v>20</v>
      </c>
      <c r="J95" s="211">
        <f>IF(ISNUMBER(D95),"",VLOOKUP(C95,RNOCI!$C$19:$F$108,4,FALSE))</f>
        <v>0</v>
      </c>
      <c r="K95" s="263">
        <f t="shared" ca="1" si="4"/>
        <v>34.955687618175645</v>
      </c>
      <c r="L95" s="263">
        <f>IF(ISNUMBER(D95),"",IF('MULTAS Y SANCIONES'!E93="SI",K95*-2%,0))</f>
        <v>0</v>
      </c>
      <c r="M95" s="263">
        <f t="shared" ca="1" si="5"/>
        <v>34.955687618175645</v>
      </c>
      <c r="N95" s="436"/>
      <c r="O95" s="653"/>
    </row>
    <row r="96" spans="2:15" s="156" customFormat="1" ht="13.5">
      <c r="B96" s="162">
        <f t="shared" si="3"/>
        <v>76</v>
      </c>
      <c r="C96" s="163">
        <f>IF(VLOOKUP(B96,PROPONENTES!$B$19:$E$109,2,0)="","",VLOOKUP(B96,PROPONENTES!$B$19:$E$109,2,0))</f>
        <v>76</v>
      </c>
      <c r="D96" s="164" t="str">
        <f>VLOOKUP(C96,PROPONENTES!$C$19:$E$108,2,FALSE)</f>
        <v>CONSORCIO DIN ISUTECH</v>
      </c>
      <c r="E96" s="65" t="str">
        <f ca="1">IF(COUNTIF('HAB.GEN.'!E94:L94,"RECHAZO")&gt;0,"RECHAZO",IF(AND(IF(COUNTIF('HAB.GEN.'!E94:L94,"NO HÁBIL")&gt;0,'HAB.GEN.'!J94="NO HÁBIL")),"NO HÁBIL","HÁBIL"))</f>
        <v>HÁBIL</v>
      </c>
      <c r="F96" s="262">
        <f ca="1">IF(ISNUMBER(D96),"",IF(ISTEXT(N96),0,VLOOKUP(C96,'PONDERACION EXP.'!$C$44:$L$133,9,FALSE)))</f>
        <v>33.046236501382815</v>
      </c>
      <c r="G96" s="211">
        <v>10</v>
      </c>
      <c r="H96" s="212">
        <f ca="1">IF(ISNUMBER(D96),"",VLOOKUP(C96,'VIN.PERS.DISC.'!$C$19:$G$108,5,FALSE))</f>
        <v>1</v>
      </c>
      <c r="I96" s="211">
        <f>IF(ISNUMBER(D96),"",VLOOKUP(C96,'APOYO A IND. NAL.'!$C$19:$E$108,3,FALSE))</f>
        <v>20</v>
      </c>
      <c r="J96" s="211">
        <f>IF(ISNUMBER(D96),"",VLOOKUP(C96,RNOCI!$C$19:$F$108,4,FALSE))</f>
        <v>0</v>
      </c>
      <c r="K96" s="263">
        <f t="shared" ca="1" si="4"/>
        <v>64.046236501382822</v>
      </c>
      <c r="L96" s="263">
        <f>IF(ISNUMBER(D96),"",IF('MULTAS Y SANCIONES'!E94="SI",K96*-2%,0))</f>
        <v>0</v>
      </c>
      <c r="M96" s="263">
        <f t="shared" ca="1" si="5"/>
        <v>64.046236501382822</v>
      </c>
      <c r="N96" s="436"/>
      <c r="O96" s="653"/>
    </row>
    <row r="97" spans="2:15" s="156" customFormat="1" ht="13.5">
      <c r="B97" s="162">
        <f t="shared" si="3"/>
        <v>77</v>
      </c>
      <c r="C97" s="163">
        <f>IF(VLOOKUP(B97,PROPONENTES!$B$19:$E$109,2,0)="","",VLOOKUP(B97,PROPONENTES!$B$19:$E$109,2,0))</f>
        <v>77</v>
      </c>
      <c r="D97" s="164" t="str">
        <f>VLOOKUP(C97,PROPONENTES!$C$19:$E$108,2,FALSE)</f>
        <v>CONSORCIO CASTORES – INGES INVIAS 2022</v>
      </c>
      <c r="E97" s="65" t="str">
        <f ca="1">IF(COUNTIF('HAB.GEN.'!E95:L95,"RECHAZO")&gt;0,"RECHAZO",IF(AND(IF(COUNTIF('HAB.GEN.'!E95:L95,"NO HÁBIL")&gt;0,'HAB.GEN.'!J95="NO HÁBIL")),"NO HÁBIL","HÁBIL"))</f>
        <v>HÁBIL</v>
      </c>
      <c r="F97" s="262">
        <f ca="1">IF(ISNUMBER(D97),"",IF(ISTEXT(N97),0,VLOOKUP(C97,'PONDERACION EXP.'!$C$44:$L$133,9,FALSE)))</f>
        <v>30.168709578725768</v>
      </c>
      <c r="G97" s="211">
        <v>10</v>
      </c>
      <c r="H97" s="212">
        <f ca="1">IF(ISNUMBER(D97),"",VLOOKUP(C97,'VIN.PERS.DISC.'!$C$19:$G$108,5,FALSE))</f>
        <v>1</v>
      </c>
      <c r="I97" s="211">
        <f>IF(ISNUMBER(D97),"",VLOOKUP(C97,'APOYO A IND. NAL.'!$C$19:$E$108,3,FALSE))</f>
        <v>20</v>
      </c>
      <c r="J97" s="211">
        <f>IF(ISNUMBER(D97),"",VLOOKUP(C97,RNOCI!$C$19:$F$108,4,FALSE))</f>
        <v>0</v>
      </c>
      <c r="K97" s="263">
        <f t="shared" ca="1" si="4"/>
        <v>61.168709578725768</v>
      </c>
      <c r="L97" s="263">
        <f>IF(ISNUMBER(D97),"",IF('MULTAS Y SANCIONES'!E95="SI",K97*-2%,0))</f>
        <v>0</v>
      </c>
      <c r="M97" s="263">
        <f t="shared" ca="1" si="5"/>
        <v>61.168709578725768</v>
      </c>
      <c r="N97" s="436"/>
      <c r="O97" s="653"/>
    </row>
    <row r="98" spans="2:15" s="156" customFormat="1" ht="13.5">
      <c r="B98" s="162">
        <f t="shared" si="3"/>
        <v>78</v>
      </c>
      <c r="C98" s="163">
        <f>IF(VLOOKUP(B98,PROPONENTES!$B$19:$E$109,2,0)="","",VLOOKUP(B98,PROPONENTES!$B$19:$E$109,2,0))</f>
        <v>78</v>
      </c>
      <c r="D98" s="164" t="str">
        <f>VLOOKUP(C98,PROPONENTES!$C$19:$E$108,2,FALSE)</f>
        <v>NUBIA ISABEL QUEVEDO ÁNGEL</v>
      </c>
      <c r="E98" s="65" t="str">
        <f ca="1">IF(COUNTIF('HAB.GEN.'!E96:L96,"RECHAZO")&gt;0,"RECHAZO",IF(AND(IF(COUNTIF('HAB.GEN.'!E96:L96,"NO HÁBIL")&gt;0,'HAB.GEN.'!J96="NO HÁBIL")),"NO HÁBIL","HÁBIL"))</f>
        <v>HÁBIL</v>
      </c>
      <c r="F98" s="262">
        <f ca="1">IF(ISNUMBER(D98),"",IF(ISTEXT(N98),0,VLOOKUP(C98,'PONDERACION EXP.'!$C$44:$L$133,9,FALSE)))</f>
        <v>32.257496679408092</v>
      </c>
      <c r="G98" s="211">
        <v>10</v>
      </c>
      <c r="H98" s="212">
        <f>IF(ISNUMBER(D98),"",VLOOKUP(C98,'VIN.PERS.DISC.'!$C$19:$G$108,5,FALSE))</f>
        <v>1</v>
      </c>
      <c r="I98" s="211">
        <f>IF(ISNUMBER(D98),"",VLOOKUP(C98,'APOYO A IND. NAL.'!$C$19:$E$108,3,FALSE))</f>
        <v>20</v>
      </c>
      <c r="J98" s="211">
        <f>IF(ISNUMBER(D98),"",VLOOKUP(C98,RNOCI!$C$19:$F$108,4,FALSE))</f>
        <v>0</v>
      </c>
      <c r="K98" s="263">
        <f t="shared" ca="1" si="4"/>
        <v>63.257496679408092</v>
      </c>
      <c r="L98" s="263">
        <f>IF(ISNUMBER(D98),"",IF('MULTAS Y SANCIONES'!E96="SI",K98*-2%,0))</f>
        <v>0</v>
      </c>
      <c r="M98" s="263">
        <f t="shared" ca="1" si="5"/>
        <v>63.257496679408092</v>
      </c>
      <c r="N98" s="436"/>
      <c r="O98" s="653"/>
    </row>
    <row r="99" spans="2:15" s="156" customFormat="1" ht="13.5">
      <c r="B99" s="162">
        <f t="shared" si="3"/>
        <v>79</v>
      </c>
      <c r="C99" s="163">
        <f>IF(VLOOKUP(B99,PROPONENTES!$B$19:$E$109,2,0)="","",VLOOKUP(B99,PROPONENTES!$B$19:$E$109,2,0))</f>
        <v>79</v>
      </c>
      <c r="D99" s="164" t="str">
        <f>VLOOKUP(C99,PROPONENTES!$C$19:$E$108,2,FALSE)</f>
        <v>CONSORCIO TOLIMA BD</v>
      </c>
      <c r="E99" s="65" t="str">
        <f ca="1">IF(COUNTIF('HAB.GEN.'!E97:L97,"RECHAZO")&gt;0,"RECHAZO",IF(AND(IF(COUNTIF('HAB.GEN.'!E97:L97,"NO HÁBIL")&gt;0,'HAB.GEN.'!J97="NO HÁBIL")),"NO HÁBIL","HÁBIL"))</f>
        <v>HÁBIL</v>
      </c>
      <c r="F99" s="262">
        <f ca="1">IF(ISNUMBER(D99),"",IF(ISTEXT(N99),0,VLOOKUP(C99,'PONDERACION EXP.'!$C$44:$L$133,9,FALSE)))</f>
        <v>46.144328594683948</v>
      </c>
      <c r="G99" s="211">
        <v>10</v>
      </c>
      <c r="H99" s="212">
        <f ca="1">IF(ISNUMBER(D99),"",VLOOKUP(C99,'VIN.PERS.DISC.'!$C$19:$G$108,5,FALSE))</f>
        <v>1</v>
      </c>
      <c r="I99" s="211">
        <f>IF(ISNUMBER(D99),"",VLOOKUP(C99,'APOYO A IND. NAL.'!$C$19:$E$108,3,FALSE))</f>
        <v>20</v>
      </c>
      <c r="J99" s="211">
        <f>IF(ISNUMBER(D99),"",VLOOKUP(C99,RNOCI!$C$19:$F$108,4,FALSE))</f>
        <v>0</v>
      </c>
      <c r="K99" s="263">
        <f t="shared" ca="1" si="4"/>
        <v>77.144328594683941</v>
      </c>
      <c r="L99" s="263">
        <f>IF(ISNUMBER(D99),"",IF('MULTAS Y SANCIONES'!E97="SI",K99*-2%,0))</f>
        <v>0</v>
      </c>
      <c r="M99" s="263">
        <f t="shared" ca="1" si="5"/>
        <v>77.144328594683941</v>
      </c>
      <c r="N99" s="436"/>
      <c r="O99" s="653"/>
    </row>
    <row r="100" spans="2:15" s="156" customFormat="1" ht="13.5">
      <c r="B100" s="162">
        <f t="shared" si="3"/>
        <v>80</v>
      </c>
      <c r="C100" s="163">
        <f>IF(VLOOKUP(B100,PROPONENTES!$B$19:$E$109,2,0)="","",VLOOKUP(B100,PROPONENTES!$B$19:$E$109,2,0))</f>
        <v>80</v>
      </c>
      <c r="D100" s="164" t="str">
        <f>VLOOKUP(C100,PROPONENTES!$C$19:$E$108,2,FALSE)</f>
        <v>CB INGENIEROS S.A.S</v>
      </c>
      <c r="E100" s="65" t="str">
        <f ca="1">IF(COUNTIF('HAB.GEN.'!E98:L98,"RECHAZO")&gt;0,"RECHAZO",IF(AND(IF(COUNTIF('HAB.GEN.'!E98:L98,"NO HÁBIL")&gt;0,'HAB.GEN.'!J98="NO HÁBIL")),"NO HÁBIL","HÁBIL"))</f>
        <v>HÁBIL</v>
      </c>
      <c r="F100" s="262">
        <f ca="1">IF(ISNUMBER(D100),"",IF(ISTEXT(N100),0,VLOOKUP(C100,'PONDERACION EXP.'!$C$44:$L$133,9,FALSE)))</f>
        <v>30.36911227876681</v>
      </c>
      <c r="G100" s="211">
        <v>10</v>
      </c>
      <c r="H100" s="212">
        <f>IF(ISNUMBER(D100),"",VLOOKUP(C100,'VIN.PERS.DISC.'!$C$19:$G$108,5,FALSE))</f>
        <v>1</v>
      </c>
      <c r="I100" s="211">
        <f>IF(ISNUMBER(D100),"",VLOOKUP(C100,'APOYO A IND. NAL.'!$C$19:$E$108,3,FALSE))</f>
        <v>20</v>
      </c>
      <c r="J100" s="211">
        <f>IF(ISNUMBER(D100),"",VLOOKUP(C100,RNOCI!$C$19:$F$108,4,FALSE))</f>
        <v>0</v>
      </c>
      <c r="K100" s="263">
        <f t="shared" ca="1" si="4"/>
        <v>61.369112278766806</v>
      </c>
      <c r="L100" s="263">
        <f>IF(ISNUMBER(D100),"",IF('MULTAS Y SANCIONES'!E98="SI",K100*-2%,0))</f>
        <v>0</v>
      </c>
      <c r="M100" s="263">
        <f t="shared" ca="1" si="5"/>
        <v>61.369112278766806</v>
      </c>
      <c r="N100" s="436"/>
      <c r="O100" s="653"/>
    </row>
    <row r="101" spans="2:15" s="156" customFormat="1" ht="13.5">
      <c r="B101" s="162">
        <f t="shared" si="3"/>
        <v>81</v>
      </c>
      <c r="C101" s="163">
        <f>IF(VLOOKUP(B101,PROPONENTES!$B$19:$E$109,2,0)="","",VLOOKUP(B101,PROPONENTES!$B$19:$E$109,2,0))</f>
        <v>81</v>
      </c>
      <c r="D101" s="164" t="str">
        <f>VLOOKUP(C101,PROPONENTES!$C$19:$E$108,2,FALSE)</f>
        <v>CONSORCIO INVIAS JP 2022</v>
      </c>
      <c r="E101" s="65" t="str">
        <f ca="1">IF(COUNTIF('HAB.GEN.'!E99:L99,"RECHAZO")&gt;0,"RECHAZO",IF(AND(IF(COUNTIF('HAB.GEN.'!E99:L99,"NO HÁBIL")&gt;0,'HAB.GEN.'!J99="NO HÁBIL")),"NO HÁBIL","HÁBIL"))</f>
        <v>HÁBIL</v>
      </c>
      <c r="F101" s="262">
        <f ca="1">IF(ISNUMBER(D101),"",IF(ISTEXT(N101),0,VLOOKUP(C101,'PONDERACION EXP.'!$C$44:$L$133,9,FALSE)))</f>
        <v>40.229968925724556</v>
      </c>
      <c r="G101" s="211">
        <v>10</v>
      </c>
      <c r="H101" s="212">
        <f ca="1">IF(ISNUMBER(D101),"",VLOOKUP(C101,'VIN.PERS.DISC.'!$C$19:$G$108,5,FALSE))</f>
        <v>1</v>
      </c>
      <c r="I101" s="211">
        <f>IF(ISNUMBER(D101),"",VLOOKUP(C101,'APOYO A IND. NAL.'!$C$19:$E$108,3,FALSE))</f>
        <v>20</v>
      </c>
      <c r="J101" s="211">
        <f>IF(ISNUMBER(D101),"",VLOOKUP(C101,RNOCI!$C$19:$F$108,4,FALSE))</f>
        <v>0</v>
      </c>
      <c r="K101" s="263">
        <f t="shared" ca="1" si="4"/>
        <v>71.229968925724563</v>
      </c>
      <c r="L101" s="263">
        <f>IF(ISNUMBER(D101),"",IF('MULTAS Y SANCIONES'!E99="SI",K101*-2%,0))</f>
        <v>0</v>
      </c>
      <c r="M101" s="263">
        <f t="shared" ca="1" si="5"/>
        <v>71.229968925724563</v>
      </c>
      <c r="N101" s="436"/>
      <c r="O101" s="653"/>
    </row>
    <row r="102" spans="2:15" s="156" customFormat="1" ht="13.5">
      <c r="B102" s="162">
        <f t="shared" si="3"/>
        <v>82</v>
      </c>
      <c r="C102" s="163">
        <f>IF(VLOOKUP(B102,PROPONENTES!$B$19:$E$109,2,0)="","",VLOOKUP(B102,PROPONENTES!$B$19:$E$109,2,0))</f>
        <v>82</v>
      </c>
      <c r="D102" s="164" t="str">
        <f>VLOOKUP(C102,PROPONENTES!$C$19:$E$108,2,FALSE)</f>
        <v>SOCIEDAD TECNICA SOTA LTDA</v>
      </c>
      <c r="E102" s="65" t="str">
        <f ca="1">IF(COUNTIF('HAB.GEN.'!E100:L100,"RECHAZO")&gt;0,"RECHAZO",IF(AND(IF(COUNTIF('HAB.GEN.'!E100:L100,"NO HÁBIL")&gt;0,'HAB.GEN.'!J100="NO HÁBIL")),"NO HÁBIL","HÁBIL"))</f>
        <v>HÁBIL</v>
      </c>
      <c r="F102" s="262">
        <f ca="1">IF(ISNUMBER(D102),"",IF(ISTEXT(N102),0,VLOOKUP(C102,'PONDERACION EXP.'!$C$44:$L$133,9,FALSE)))</f>
        <v>24.747673313742474</v>
      </c>
      <c r="G102" s="211">
        <v>10</v>
      </c>
      <c r="H102" s="212">
        <f>IF(ISNUMBER(D102),"",VLOOKUP(C102,'VIN.PERS.DISC.'!$C$19:$G$108,5,FALSE))</f>
        <v>1</v>
      </c>
      <c r="I102" s="211">
        <f>IF(ISNUMBER(D102),"",VLOOKUP(C102,'APOYO A IND. NAL.'!$C$19:$E$108,3,FALSE))</f>
        <v>20</v>
      </c>
      <c r="J102" s="211">
        <f>IF(ISNUMBER(D102),"",VLOOKUP(C102,RNOCI!$C$19:$F$108,4,FALSE))</f>
        <v>0</v>
      </c>
      <c r="K102" s="263">
        <f t="shared" ca="1" si="4"/>
        <v>55.747673313742474</v>
      </c>
      <c r="L102" s="263">
        <f>IF(ISNUMBER(D102),"",IF('MULTAS Y SANCIONES'!E100="SI",K102*-2%,0))</f>
        <v>0</v>
      </c>
      <c r="M102" s="263">
        <f t="shared" ca="1" si="5"/>
        <v>55.747673313742474</v>
      </c>
      <c r="N102" s="436"/>
      <c r="O102" s="653"/>
    </row>
    <row r="103" spans="2:15" s="156" customFormat="1" ht="13.5">
      <c r="B103" s="162">
        <f t="shared" si="3"/>
        <v>83</v>
      </c>
      <c r="C103" s="163">
        <f>IF(VLOOKUP(B103,PROPONENTES!$B$19:$E$109,2,0)="","",VLOOKUP(B103,PROPONENTES!$B$19:$E$109,2,0))</f>
        <v>83</v>
      </c>
      <c r="D103" s="164" t="str">
        <f>VLOOKUP(C103,PROPONENTES!$C$19:$E$108,2,FALSE)</f>
        <v>CONSORCIO INTERVENTORES ASOCIADOS DEL TOLIMA</v>
      </c>
      <c r="E103" s="65" t="str">
        <f ca="1">IF(COUNTIF('HAB.GEN.'!E101:L101,"RECHAZO")&gt;0,"RECHAZO",IF(AND(IF(COUNTIF('HAB.GEN.'!E101:L101,"NO HÁBIL")&gt;0,'HAB.GEN.'!J101="NO HÁBIL")),"NO HÁBIL","HÁBIL"))</f>
        <v>HÁBIL</v>
      </c>
      <c r="F103" s="262">
        <f ca="1">IF(ISNUMBER(D103),"",IF(ISTEXT(N103),0,VLOOKUP(C103,'PONDERACION EXP.'!$C$44:$L$133,9,FALSE)))</f>
        <v>25.827501294891746</v>
      </c>
      <c r="G103" s="211">
        <v>10</v>
      </c>
      <c r="H103" s="212">
        <f>IF(ISNUMBER(D103),"",VLOOKUP(C103,'VIN.PERS.DISC.'!$C$19:$G$108,5,FALSE))</f>
        <v>0</v>
      </c>
      <c r="I103" s="211">
        <f>IF(ISNUMBER(D103),"",VLOOKUP(C103,'APOYO A IND. NAL.'!$C$19:$E$108,3,FALSE))</f>
        <v>20</v>
      </c>
      <c r="J103" s="211">
        <f>IF(ISNUMBER(D103),"",VLOOKUP(C103,RNOCI!$C$19:$F$108,4,FALSE))</f>
        <v>0</v>
      </c>
      <c r="K103" s="263">
        <f t="shared" ca="1" si="4"/>
        <v>55.827501294891746</v>
      </c>
      <c r="L103" s="263">
        <f>IF(ISNUMBER(D103),"",IF('MULTAS Y SANCIONES'!E101="SI",K103*-2%,0))</f>
        <v>0</v>
      </c>
      <c r="M103" s="263">
        <f t="shared" ca="1" si="5"/>
        <v>55.827501294891746</v>
      </c>
      <c r="N103" s="436"/>
      <c r="O103" s="653"/>
    </row>
    <row r="104" spans="2:15" s="156" customFormat="1" ht="13.5">
      <c r="B104" s="162">
        <f t="shared" si="3"/>
        <v>84</v>
      </c>
      <c r="C104" s="163">
        <f>IF(VLOOKUP(B104,PROPONENTES!$B$19:$E$109,2,0)="","",VLOOKUP(B104,PROPONENTES!$B$19:$E$109,2,0))</f>
        <v>84</v>
      </c>
      <c r="D104" s="164" t="str">
        <f>VLOOKUP(C104,PROPONENTES!$C$19:$E$108,2,FALSE)</f>
        <v>GRUPO EMPRESARIAL DE INFRAESTRUCTURA COLOMBIANO S.A.S.</v>
      </c>
      <c r="E104" s="65" t="str">
        <f ca="1">IF(COUNTIF('HAB.GEN.'!E102:L102,"RECHAZO")&gt;0,"RECHAZO",IF(AND(IF(COUNTIF('HAB.GEN.'!E102:L102,"NO HÁBIL")&gt;0,'HAB.GEN.'!J102="NO HÁBIL")),"NO HÁBIL","HÁBIL"))</f>
        <v>HÁBIL</v>
      </c>
      <c r="F104" s="262">
        <f ca="1">IF(ISNUMBER(D104),"",IF(ISTEXT(N104),0,VLOOKUP(C104,'PONDERACION EXP.'!$C$44:$L$133,9,FALSE)))</f>
        <v>35.278252475209797</v>
      </c>
      <c r="G104" s="211">
        <v>0</v>
      </c>
      <c r="H104" s="212">
        <f>IF(ISNUMBER(D104),"",VLOOKUP(C104,'VIN.PERS.DISC.'!$C$19:$G$108,5,FALSE))</f>
        <v>0</v>
      </c>
      <c r="I104" s="211">
        <f>IF(ISNUMBER(D104),"",VLOOKUP(C104,'APOYO A IND. NAL.'!$C$19:$E$108,3,FALSE))</f>
        <v>0</v>
      </c>
      <c r="J104" s="211">
        <f>IF(ISNUMBER(D104),"",VLOOKUP(C104,RNOCI!$C$19:$F$108,4,FALSE))</f>
        <v>0</v>
      </c>
      <c r="K104" s="263">
        <f t="shared" ca="1" si="4"/>
        <v>35.278252475209797</v>
      </c>
      <c r="L104" s="263">
        <f>IF(ISNUMBER(D104),"",IF('MULTAS Y SANCIONES'!E102="SI",K104*-2%,0))</f>
        <v>0</v>
      </c>
      <c r="M104" s="263">
        <f t="shared" ca="1" si="5"/>
        <v>35.278252475209797</v>
      </c>
      <c r="N104" s="436"/>
      <c r="O104" s="653"/>
    </row>
    <row r="105" spans="2:15" s="156" customFormat="1" ht="13.5">
      <c r="B105" s="162">
        <f t="shared" si="3"/>
        <v>85</v>
      </c>
      <c r="C105" s="163">
        <f>IF(VLOOKUP(B105,PROPONENTES!$B$19:$E$109,2,0)="","",VLOOKUP(B105,PROPONENTES!$B$19:$E$109,2,0))</f>
        <v>85</v>
      </c>
      <c r="D105" s="164" t="str">
        <f>VLOOKUP(C105,PROPONENTES!$C$19:$E$108,2,FALSE)</f>
        <v>DBB INGENIERÍA S.A.S.</v>
      </c>
      <c r="E105" s="65" t="str">
        <f ca="1">IF(COUNTIF('HAB.GEN.'!E103:L103,"RECHAZO")&gt;0,"RECHAZO",IF(AND(IF(COUNTIF('HAB.GEN.'!E103:L103,"NO HÁBIL")&gt;0,'HAB.GEN.'!J103="NO HÁBIL")),"NO HÁBIL","HÁBIL"))</f>
        <v>HÁBIL</v>
      </c>
      <c r="F105" s="262">
        <f ca="1">IF(ISNUMBER(D105),"",IF(ISTEXT(N105),0,VLOOKUP(C105,'PONDERACION EXP.'!$C$44:$L$133,9,FALSE)))</f>
        <v>34.08425342380999</v>
      </c>
      <c r="G105" s="211">
        <v>10</v>
      </c>
      <c r="H105" s="212">
        <f>IF(ISNUMBER(D105),"",VLOOKUP(C105,'VIN.PERS.DISC.'!$C$19:$G$108,5,FALSE))</f>
        <v>1</v>
      </c>
      <c r="I105" s="211">
        <f>IF(ISNUMBER(D105),"",VLOOKUP(C105,'APOYO A IND. NAL.'!$C$19:$E$108,3,FALSE))</f>
        <v>20</v>
      </c>
      <c r="J105" s="211">
        <f>IF(ISNUMBER(D105),"",VLOOKUP(C105,RNOCI!$C$19:$F$108,4,FALSE))</f>
        <v>0</v>
      </c>
      <c r="K105" s="263">
        <f t="shared" ca="1" si="4"/>
        <v>65.084253423809997</v>
      </c>
      <c r="L105" s="263">
        <f>IF(ISNUMBER(D105),"",IF('MULTAS Y SANCIONES'!E103="SI",K105*-2%,0))</f>
        <v>0</v>
      </c>
      <c r="M105" s="263">
        <f t="shared" ca="1" si="5"/>
        <v>65.084253423809997</v>
      </c>
      <c r="N105" s="436"/>
      <c r="O105" s="653"/>
    </row>
    <row r="106" spans="2:15" s="156" customFormat="1" ht="13.5">
      <c r="B106" s="162">
        <f t="shared" si="3"/>
        <v>86</v>
      </c>
      <c r="C106" s="163">
        <f>IF(VLOOKUP(B106,PROPONENTES!$B$19:$E$109,2,0)="","",VLOOKUP(B106,PROPONENTES!$B$19:$E$109,2,0))</f>
        <v>86</v>
      </c>
      <c r="D106" s="164" t="str">
        <f>VLOOKUP(C106,PROPONENTES!$C$19:$E$108,2,FALSE)</f>
        <v>CARLOS ANDRES CHAVARRO CASTRO</v>
      </c>
      <c r="E106" s="65" t="str">
        <f ca="1">IF(COUNTIF('HAB.GEN.'!E104:L104,"RECHAZO")&gt;0,"RECHAZO",IF(AND(IF(COUNTIF('HAB.GEN.'!E104:L104,"NO HÁBIL")&gt;0,'HAB.GEN.'!J104="NO HÁBIL")),"NO HÁBIL","HÁBIL"))</f>
        <v>HÁBIL</v>
      </c>
      <c r="F106" s="262">
        <f ca="1">IF(ISNUMBER(D106),"",IF(ISTEXT(N106),0,VLOOKUP(C106,'PONDERACION EXP.'!$C$44:$L$133,9,FALSE)))</f>
        <v>34.542526956692171</v>
      </c>
      <c r="G106" s="211">
        <v>10</v>
      </c>
      <c r="H106" s="212">
        <f>IF(ISNUMBER(D106),"",VLOOKUP(C106,'VIN.PERS.DISC.'!$C$19:$G$108,5,FALSE))</f>
        <v>1</v>
      </c>
      <c r="I106" s="211">
        <f>IF(ISNUMBER(D106),"",VLOOKUP(C106,'APOYO A IND. NAL.'!$C$19:$E$108,3,FALSE))</f>
        <v>0</v>
      </c>
      <c r="J106" s="211">
        <f>IF(ISNUMBER(D106),"",VLOOKUP(C106,RNOCI!$C$19:$F$108,4,FALSE))</f>
        <v>0</v>
      </c>
      <c r="K106" s="263">
        <f t="shared" ca="1" si="4"/>
        <v>45.542526956692171</v>
      </c>
      <c r="L106" s="263">
        <f>IF(ISNUMBER(D106),"",IF('MULTAS Y SANCIONES'!E104="SI",K106*-2%,0))</f>
        <v>0</v>
      </c>
      <c r="M106" s="263">
        <f t="shared" ca="1" si="5"/>
        <v>45.542526956692171</v>
      </c>
      <c r="N106" s="436"/>
      <c r="O106" s="653"/>
    </row>
    <row r="107" spans="2:15" s="156" customFormat="1" ht="13.5">
      <c r="B107" s="162">
        <f t="shared" si="3"/>
        <v>87</v>
      </c>
      <c r="C107" s="163">
        <f>IF(VLOOKUP(B107,PROPONENTES!$B$19:$E$109,2,0)="","",VLOOKUP(B107,PROPONENTES!$B$19:$E$109,2,0))</f>
        <v>87</v>
      </c>
      <c r="D107" s="164" t="str">
        <f>VLOOKUP(C107,PROPONENTES!$C$19:$E$108,2,FALSE)</f>
        <v>CONSORCIO INTERVÍAS TOLIMA 22</v>
      </c>
      <c r="E107" s="65" t="str">
        <f ca="1">IF(COUNTIF('HAB.GEN.'!E105:L105,"RECHAZO")&gt;0,"RECHAZO",IF(AND(IF(COUNTIF('HAB.GEN.'!E105:L105,"NO HÁBIL")&gt;0,'HAB.GEN.'!J105="NO HÁBIL")),"NO HÁBIL","HÁBIL"))</f>
        <v>HÁBIL</v>
      </c>
      <c r="F107" s="262">
        <f ca="1">IF(ISNUMBER(D107),"",IF(ISTEXT(N107),0,VLOOKUP(C107,'PONDERACION EXP.'!$C$44:$L$133,9,FALSE)))</f>
        <v>58.589372891967265</v>
      </c>
      <c r="G107" s="211">
        <v>10</v>
      </c>
      <c r="H107" s="212">
        <f ca="1">IF(ISNUMBER(D107),"",VLOOKUP(C107,'VIN.PERS.DISC.'!$C$19:$G$108,5,FALSE))</f>
        <v>1</v>
      </c>
      <c r="I107" s="211">
        <f>IF(ISNUMBER(D107),"",VLOOKUP(C107,'APOYO A IND. NAL.'!$C$19:$E$108,3,FALSE))</f>
        <v>20</v>
      </c>
      <c r="J107" s="211">
        <f>IF(ISNUMBER(D107),"",VLOOKUP(C107,RNOCI!$C$19:$F$108,4,FALSE))</f>
        <v>0</v>
      </c>
      <c r="K107" s="263">
        <f t="shared" ca="1" si="4"/>
        <v>89.589372891967258</v>
      </c>
      <c r="L107" s="263">
        <f>IF(ISNUMBER(D107),"",IF('MULTAS Y SANCIONES'!E105="SI",K107*-2%,0))</f>
        <v>0</v>
      </c>
      <c r="M107" s="263">
        <f t="shared" ca="1" si="5"/>
        <v>89.589372891967258</v>
      </c>
      <c r="N107" s="436"/>
      <c r="O107" s="653"/>
    </row>
    <row r="108" spans="2:15" s="156" customFormat="1" ht="13.5">
      <c r="B108" s="162">
        <f t="shared" si="3"/>
        <v>88</v>
      </c>
      <c r="C108" s="163">
        <f>IF(VLOOKUP(B108,PROPONENTES!$B$19:$E$109,2,0)="","",VLOOKUP(B108,PROPONENTES!$B$19:$E$109,2,0))</f>
        <v>88</v>
      </c>
      <c r="D108" s="164" t="str">
        <f>VLOOKUP(C108,PROPONENTES!$C$19:$E$108,2,FALSE)</f>
        <v>INGENIERÍA Y CONSULTORÍA INGECON SAS</v>
      </c>
      <c r="E108" s="65" t="str">
        <f ca="1">IF(COUNTIF('HAB.GEN.'!E106:L106,"RECHAZO")&gt;0,"RECHAZO",IF(AND(IF(COUNTIF('HAB.GEN.'!E106:L106,"NO HÁBIL")&gt;0,'HAB.GEN.'!J106="NO HÁBIL")),"NO HÁBIL","HÁBIL"))</f>
        <v>HÁBIL</v>
      </c>
      <c r="F108" s="262">
        <f ca="1">IF(ISNUMBER(D108),"",IF(ISTEXT(N108),0,VLOOKUP(C108,'PONDERACION EXP.'!$C$44:$L$133,9,FALSE)))</f>
        <v>26.263466440271813</v>
      </c>
      <c r="G108" s="211">
        <v>10</v>
      </c>
      <c r="H108" s="212">
        <f>IF(ISNUMBER(D108),"",VLOOKUP(C108,'VIN.PERS.DISC.'!$C$19:$G$108,5,FALSE))</f>
        <v>1</v>
      </c>
      <c r="I108" s="211">
        <f>IF(ISNUMBER(D108),"",VLOOKUP(C108,'APOYO A IND. NAL.'!$C$19:$E$108,3,FALSE))</f>
        <v>20</v>
      </c>
      <c r="J108" s="211">
        <f>IF(ISNUMBER(D108),"",VLOOKUP(C108,RNOCI!$C$19:$F$108,4,FALSE))</f>
        <v>0</v>
      </c>
      <c r="K108" s="263">
        <f t="shared" ca="1" si="4"/>
        <v>57.263466440271813</v>
      </c>
      <c r="L108" s="263">
        <f>IF(ISNUMBER(D108),"",IF('MULTAS Y SANCIONES'!E106="SI",K108*-2%,0))</f>
        <v>0</v>
      </c>
      <c r="M108" s="263">
        <f t="shared" ca="1" si="5"/>
        <v>57.263466440271813</v>
      </c>
      <c r="N108" s="436"/>
      <c r="O108" s="653"/>
    </row>
    <row r="109" spans="2:15" s="156" customFormat="1" ht="13.5">
      <c r="B109" s="162">
        <f t="shared" si="3"/>
        <v>89</v>
      </c>
      <c r="C109" s="163">
        <f>IF(VLOOKUP(B109,PROPONENTES!$B$19:$E$109,2,0)="","",VLOOKUP(B109,PROPONENTES!$B$19:$E$109,2,0))</f>
        <v>89</v>
      </c>
      <c r="D109" s="164" t="str">
        <f>VLOOKUP(C109,PROPONENTES!$C$19:$E$108,2,FALSE)</f>
        <v>CONSORCIO INTER C&amp;R</v>
      </c>
      <c r="E109" s="65" t="str">
        <f ca="1">IF(COUNTIF('HAB.GEN.'!E107:L107,"RECHAZO")&gt;0,"RECHAZO",IF(AND(IF(COUNTIF('HAB.GEN.'!E107:L107,"NO HÁBIL")&gt;0,'HAB.GEN.'!J107="NO HÁBIL")),"NO HÁBIL","HÁBIL"))</f>
        <v>HÁBIL</v>
      </c>
      <c r="F109" s="262">
        <f ca="1">IF(ISNUMBER(D109),"",IF(ISTEXT(N109),0,VLOOKUP(C109,'PONDERACION EXP.'!$C$44:$L$133,9,FALSE)))</f>
        <v>37.299192254887423</v>
      </c>
      <c r="G109" s="211">
        <v>10</v>
      </c>
      <c r="H109" s="212">
        <f ca="1">IF(ISNUMBER(D109),"",VLOOKUP(C109,'VIN.PERS.DISC.'!$C$19:$G$108,5,FALSE))</f>
        <v>1</v>
      </c>
      <c r="I109" s="211">
        <f>IF(ISNUMBER(D109),"",VLOOKUP(C109,'APOYO A IND. NAL.'!$C$19:$E$108,3,FALSE))</f>
        <v>20</v>
      </c>
      <c r="J109" s="211">
        <f>IF(ISNUMBER(D109),"",VLOOKUP(C109,RNOCI!$C$19:$F$108,4,FALSE))</f>
        <v>0</v>
      </c>
      <c r="K109" s="263">
        <f t="shared" ca="1" si="4"/>
        <v>68.29919225488743</v>
      </c>
      <c r="L109" s="263">
        <f>IF(ISNUMBER(D109),"",IF('MULTAS Y SANCIONES'!E107="SI",K109*-2%,0))</f>
        <v>0</v>
      </c>
      <c r="M109" s="263">
        <f t="shared" ca="1" si="5"/>
        <v>68.29919225488743</v>
      </c>
      <c r="N109" s="436"/>
      <c r="O109" s="653"/>
    </row>
    <row r="110" spans="2:15" s="156" customFormat="1" ht="13.5">
      <c r="B110" s="162">
        <f t="shared" si="3"/>
        <v>90</v>
      </c>
      <c r="C110" s="163">
        <f>IF(VLOOKUP(B110,PROPONENTES!$B$19:$E$109,2,0)="","",VLOOKUP(B110,PROPONENTES!$B$19:$E$109,2,0))</f>
        <v>90</v>
      </c>
      <c r="D110" s="164" t="str">
        <f>VLOOKUP(C110,PROPONENTES!$C$19:$E$108,2,FALSE)</f>
        <v>GM SOLUTIONS S.A.S</v>
      </c>
      <c r="E110" s="65" t="str">
        <f ca="1">IF(COUNTIF('HAB.GEN.'!E108:L108,"RECHAZO")&gt;0,"RECHAZO",IF(AND(IF(COUNTIF('HAB.GEN.'!E108:L108,"NO HÁBIL")&gt;0,'HAB.GEN.'!J108="NO HÁBIL")),"NO HÁBIL","HÁBIL"))</f>
        <v>HÁBIL</v>
      </c>
      <c r="F110" s="262">
        <f ca="1">IF(ISNUMBER(D110),"",IF(ISTEXT(N110),0,VLOOKUP(C110,'PONDERACION EXP.'!$C$44:$L$133,9,FALSE)))</f>
        <v>28.552381555485024</v>
      </c>
      <c r="G110" s="211">
        <v>10</v>
      </c>
      <c r="H110" s="212">
        <f>IF(ISNUMBER(D110),"",VLOOKUP(C110,'VIN.PERS.DISC.'!$C$19:$G$108,5,FALSE))</f>
        <v>0</v>
      </c>
      <c r="I110" s="211">
        <f>IF(ISNUMBER(D110),"",VLOOKUP(C110,'APOYO A IND. NAL.'!$C$19:$E$108,3,FALSE))</f>
        <v>20</v>
      </c>
      <c r="J110" s="211">
        <f>IF(ISNUMBER(D110),"",VLOOKUP(C110,RNOCI!$C$19:$F$108,4,FALSE))</f>
        <v>0</v>
      </c>
      <c r="K110" s="263">
        <f t="shared" ca="1" si="4"/>
        <v>58.552381555485027</v>
      </c>
      <c r="L110" s="263">
        <f>IF(ISNUMBER(D110),"",IF('MULTAS Y SANCIONES'!E108="SI",K110*-2%,0))</f>
        <v>0</v>
      </c>
      <c r="M110" s="263">
        <f t="shared" ca="1" si="5"/>
        <v>58.552381555485027</v>
      </c>
      <c r="N110" s="436"/>
      <c r="O110" s="653"/>
    </row>
    <row r="111" spans="2:15" ht="3.95" customHeight="1" thickBot="1">
      <c r="B111" s="269" t="s">
        <v>134</v>
      </c>
      <c r="C111" s="166"/>
      <c r="D111" s="166"/>
      <c r="E111" s="166"/>
      <c r="F111" s="166"/>
      <c r="G111" s="166"/>
      <c r="H111" s="166"/>
      <c r="I111" s="166"/>
      <c r="J111" s="166"/>
      <c r="K111" s="166"/>
      <c r="L111" s="166"/>
      <c r="M111" s="166"/>
      <c r="N111" s="167"/>
      <c r="O111" s="653"/>
    </row>
    <row r="112" spans="2:15" ht="15.75" thickTop="1"/>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25">
    <mergeCell ref="B9:N9"/>
    <mergeCell ref="B11:N11"/>
    <mergeCell ref="B13:N13"/>
    <mergeCell ref="B14:N14"/>
    <mergeCell ref="B1:N1"/>
    <mergeCell ref="B2:N2"/>
    <mergeCell ref="B3:N3"/>
    <mergeCell ref="B4:N4"/>
    <mergeCell ref="B6:N6"/>
    <mergeCell ref="B7:N7"/>
    <mergeCell ref="O16:O19"/>
    <mergeCell ref="N16:N19"/>
    <mergeCell ref="B16:B19"/>
    <mergeCell ref="C16:C19"/>
    <mergeCell ref="D16:D19"/>
    <mergeCell ref="E16:E19"/>
    <mergeCell ref="F16:I16"/>
    <mergeCell ref="F17:F18"/>
    <mergeCell ref="H17:H18"/>
    <mergeCell ref="I17:I18"/>
    <mergeCell ref="K16:K18"/>
    <mergeCell ref="G17:G18"/>
    <mergeCell ref="J17:J18"/>
    <mergeCell ref="L16:L18"/>
    <mergeCell ref="M16:M18"/>
  </mergeCells>
  <conditionalFormatting sqref="N21:N110 B21:K110">
    <cfRule type="expression" dxfId="69" priority="310" stopIfTrue="1">
      <formula>MOD(ROW(),2)</formula>
    </cfRule>
  </conditionalFormatting>
  <conditionalFormatting sqref="E21:E110">
    <cfRule type="cellIs" dxfId="68" priority="297" stopIfTrue="1" operator="equal">
      <formula>"RECHAZO"</formula>
    </cfRule>
    <cfRule type="cellIs" dxfId="67" priority="298" stopIfTrue="1" operator="equal">
      <formula>"CUMPLE"</formula>
    </cfRule>
    <cfRule type="cellIs" dxfId="66" priority="299" stopIfTrue="1" operator="equal">
      <formula>"NO CUMPLE"</formula>
    </cfRule>
    <cfRule type="cellIs" dxfId="65" priority="300" stopIfTrue="1" operator="equal">
      <formula>"HÁBIL"</formula>
    </cfRule>
    <cfRule type="cellIs" dxfId="64" priority="301" stopIfTrue="1" operator="equal">
      <formula>"NO HÁBIL"</formula>
    </cfRule>
    <cfRule type="cellIs" dxfId="63" priority="302" stopIfTrue="1" operator="equal">
      <formula>"NO APLICA"</formula>
    </cfRule>
  </conditionalFormatting>
  <conditionalFormatting sqref="N21:N110">
    <cfRule type="cellIs" dxfId="62" priority="169" operator="equal">
      <formula>"SE REQUIRIO Y NO SUBSANO"</formula>
    </cfRule>
    <cfRule type="cellIs" dxfId="61" priority="170" operator="equal">
      <formula>"SE REQUIRIO Y SUBSANO"</formula>
    </cfRule>
  </conditionalFormatting>
  <conditionalFormatting sqref="L21:L110">
    <cfRule type="expression" dxfId="60" priority="2" stopIfTrue="1">
      <formula>MOD(ROW(),2)</formula>
    </cfRule>
  </conditionalFormatting>
  <conditionalFormatting sqref="M21:M110">
    <cfRule type="expression" dxfId="59" priority="1" stopIfTrue="1">
      <formula>MOD(ROW(),2)</formula>
    </cfRule>
  </conditionalFormatting>
  <dataValidations count="1">
    <dataValidation type="list" allowBlank="1" showInputMessage="1" showErrorMessage="1" sqref="N21:N110" xr:uid="{45F79801-BEF5-420F-820E-5E74FA247728}">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rgb="FFFF0000"/>
    <pageSetUpPr fitToPage="1"/>
  </sheetPr>
  <dimension ref="A1:AJ226"/>
  <sheetViews>
    <sheetView showGridLines="0" topLeftCell="A122" zoomScaleNormal="100" workbookViewId="0">
      <selection activeCell="M45" sqref="M45"/>
    </sheetView>
  </sheetViews>
  <sheetFormatPr baseColWidth="10" defaultColWidth="11.42578125" defaultRowHeight="0" customHeight="1" zeroHeight="1"/>
  <cols>
    <col min="1" max="1" width="2.7109375" style="316" customWidth="1"/>
    <col min="2" max="2" width="6.7109375" style="316" customWidth="1"/>
    <col min="3" max="3" width="13" style="316" customWidth="1"/>
    <col min="4" max="4" width="44.28515625" style="316" customWidth="1"/>
    <col min="5" max="5" width="22.7109375" style="316" customWidth="1"/>
    <col min="6" max="6" width="24.85546875" style="316" customWidth="1"/>
    <col min="7" max="8" width="22.7109375" style="316" customWidth="1"/>
    <col min="9" max="9" width="18.42578125" style="316" customWidth="1"/>
    <col min="10" max="10" width="29" style="363" customWidth="1"/>
    <col min="11" max="11" width="25.7109375" style="363" hidden="1" customWidth="1"/>
    <col min="12" max="27" width="16.28515625" style="368" customWidth="1"/>
    <col min="28" max="28" width="13.7109375" style="315" customWidth="1"/>
    <col min="29" max="29" width="22.28515625" style="318" customWidth="1"/>
    <col min="30" max="30" width="22.28515625" style="317" customWidth="1"/>
    <col min="31" max="31" width="23.28515625" style="317" customWidth="1"/>
    <col min="32" max="32" width="22.28515625" style="317" customWidth="1"/>
    <col min="33" max="33" width="22.28515625" style="316" customWidth="1"/>
    <col min="34" max="34" width="22.28515625" style="325" customWidth="1"/>
    <col min="35" max="35" width="22.28515625" style="316" customWidth="1"/>
    <col min="36" max="36" width="22.28515625" style="317" customWidth="1"/>
    <col min="37" max="37" width="22.28515625" style="325" customWidth="1"/>
    <col min="38" max="16384" width="11.42578125" style="325"/>
  </cols>
  <sheetData>
    <row r="1" spans="2:30" ht="18">
      <c r="B1" s="948" t="s">
        <v>0</v>
      </c>
      <c r="C1" s="948"/>
      <c r="D1" s="948"/>
      <c r="E1" s="948"/>
      <c r="F1" s="948"/>
      <c r="G1" s="948"/>
      <c r="H1" s="948"/>
      <c r="I1" s="948"/>
      <c r="J1" s="948"/>
      <c r="K1" s="398"/>
    </row>
    <row r="2" spans="2:30" ht="12.75">
      <c r="B2" s="949" t="s">
        <v>1</v>
      </c>
      <c r="C2" s="949"/>
      <c r="D2" s="949"/>
      <c r="E2" s="949"/>
      <c r="F2" s="949"/>
      <c r="G2" s="949"/>
      <c r="H2" s="949"/>
      <c r="I2" s="949"/>
      <c r="J2" s="949"/>
      <c r="K2" s="399"/>
    </row>
    <row r="3" spans="2:30" ht="12.75">
      <c r="B3" s="949" t="s">
        <v>1153</v>
      </c>
      <c r="C3" s="949"/>
      <c r="D3" s="949"/>
      <c r="E3" s="949"/>
      <c r="F3" s="949"/>
      <c r="G3" s="949"/>
      <c r="H3" s="949"/>
      <c r="I3" s="949"/>
      <c r="J3" s="949"/>
      <c r="K3" s="399"/>
    </row>
    <row r="4" spans="2:30" ht="12.75">
      <c r="B4" s="949" t="s">
        <v>1179</v>
      </c>
      <c r="C4" s="949"/>
      <c r="D4" s="949"/>
      <c r="E4" s="949"/>
      <c r="F4" s="949"/>
      <c r="G4" s="949"/>
      <c r="H4" s="949"/>
      <c r="I4" s="949"/>
      <c r="J4" s="949"/>
      <c r="K4" s="399"/>
    </row>
    <row r="5" spans="2:30" ht="12.75">
      <c r="B5" s="949" t="s">
        <v>1180</v>
      </c>
      <c r="C5" s="949"/>
      <c r="D5" s="949"/>
      <c r="E5" s="949"/>
      <c r="F5" s="949"/>
      <c r="G5" s="949"/>
      <c r="H5" s="949"/>
      <c r="I5" s="949"/>
      <c r="J5" s="949"/>
      <c r="K5" s="399"/>
    </row>
    <row r="6" spans="2:30" ht="15.75">
      <c r="B6" s="319"/>
      <c r="C6" s="319"/>
      <c r="D6" s="320"/>
      <c r="E6" s="320"/>
      <c r="F6" s="320"/>
      <c r="G6" s="320"/>
      <c r="H6" s="320"/>
      <c r="I6" s="320"/>
      <c r="J6" s="320"/>
      <c r="K6" s="320"/>
    </row>
    <row r="7" spans="2:30" ht="40.5" customHeight="1">
      <c r="B7" s="949" t="str">
        <f>RESUMEN!B7</f>
        <v>CMA-DT-TOL-001-2022</v>
      </c>
      <c r="C7" s="949"/>
      <c r="D7" s="949"/>
      <c r="E7" s="949"/>
      <c r="F7" s="949"/>
      <c r="G7" s="949"/>
      <c r="H7" s="949"/>
      <c r="I7" s="949"/>
      <c r="J7" s="949"/>
      <c r="K7" s="399"/>
    </row>
    <row r="8" spans="2:30" ht="15.75" hidden="1">
      <c r="B8" s="319"/>
      <c r="C8" s="319"/>
      <c r="D8" s="320"/>
      <c r="E8" s="320"/>
      <c r="F8" s="320"/>
      <c r="G8" s="320"/>
      <c r="H8" s="320"/>
      <c r="I8" s="320"/>
      <c r="J8" s="320"/>
      <c r="K8" s="320"/>
    </row>
    <row r="9" spans="2:30" ht="15.75" customHeight="1">
      <c r="B9" s="950" t="s">
        <v>350</v>
      </c>
      <c r="C9" s="950"/>
      <c r="D9" s="950"/>
      <c r="E9" s="950"/>
      <c r="F9" s="950"/>
      <c r="G9" s="950"/>
      <c r="H9" s="950"/>
      <c r="I9" s="950"/>
      <c r="J9" s="950"/>
      <c r="K9" s="400"/>
    </row>
    <row r="10" spans="2:30" ht="16.5" customHeight="1">
      <c r="B10" s="851" t="s">
        <v>1181</v>
      </c>
      <c r="C10" s="851"/>
      <c r="D10" s="851"/>
      <c r="E10" s="851"/>
      <c r="F10" s="851"/>
      <c r="G10" s="851"/>
      <c r="H10" s="851"/>
      <c r="I10" s="851"/>
      <c r="J10" s="851"/>
      <c r="K10" s="401"/>
      <c r="AD10" s="321"/>
    </row>
    <row r="11" spans="2:30" ht="16.5" thickBot="1">
      <c r="B11" s="322"/>
      <c r="C11" s="322"/>
      <c r="D11" s="320"/>
      <c r="E11" s="320"/>
      <c r="F11" s="320"/>
      <c r="G11" s="320"/>
      <c r="H11" s="320"/>
      <c r="I11" s="320"/>
      <c r="J11" s="320"/>
      <c r="K11" s="320"/>
    </row>
    <row r="12" spans="2:30" ht="24.95" customHeight="1">
      <c r="B12" s="951" t="s">
        <v>1182</v>
      </c>
      <c r="C12" s="952"/>
      <c r="D12" s="552" t="s">
        <v>1183</v>
      </c>
      <c r="E12" s="956" t="s">
        <v>1184</v>
      </c>
      <c r="F12" s="957"/>
      <c r="G12" s="957"/>
      <c r="H12" s="957"/>
      <c r="I12" s="957"/>
      <c r="J12" s="602" t="str">
        <f>PRESUPUESTOS!N17</f>
        <v>02/nov/022</v>
      </c>
      <c r="K12" s="418"/>
    </row>
    <row r="13" spans="2:30" ht="24.95" customHeight="1">
      <c r="B13" s="953"/>
      <c r="C13" s="954"/>
      <c r="D13" s="600">
        <v>1</v>
      </c>
      <c r="E13" s="955" t="s">
        <v>1185</v>
      </c>
      <c r="F13" s="955"/>
      <c r="G13" s="955"/>
      <c r="H13" s="955"/>
      <c r="I13" s="323" t="s">
        <v>1186</v>
      </c>
      <c r="J13" s="603">
        <f>PRESUPUESTOS!N16</f>
        <v>4975.58</v>
      </c>
      <c r="K13" s="414"/>
    </row>
    <row r="14" spans="2:30" ht="24.95" customHeight="1">
      <c r="B14" s="924">
        <v>1</v>
      </c>
      <c r="C14" s="925"/>
      <c r="D14" s="553" t="s">
        <v>1187</v>
      </c>
      <c r="E14" s="324"/>
      <c r="F14" s="324"/>
      <c r="G14" s="324"/>
      <c r="H14" s="324"/>
      <c r="I14" s="324" t="s">
        <v>1188</v>
      </c>
      <c r="J14" s="451">
        <f>100*(J13-INT(J13))</f>
        <v>57.999999999992724</v>
      </c>
      <c r="K14" s="419"/>
    </row>
    <row r="15" spans="2:30" ht="24.95" customHeight="1" thickBot="1">
      <c r="B15" s="926"/>
      <c r="C15" s="927"/>
      <c r="D15" s="601" t="s">
        <v>516</v>
      </c>
      <c r="E15" s="928" t="s">
        <v>1189</v>
      </c>
      <c r="F15" s="928"/>
      <c r="G15" s="929" t="str">
        <f>IF(OR(B14=1,D15="",D15="NO APLICA"),IF(AND(J14&gt;=0,J14&lt;=24),"MEDIANA CON VALOR ABSOLUTO",IF(AND(J14&gt;=25,J14&lt;=49),"MEDIA GEOMÉTRICA",IF(AND(J14&gt;=50,J14&lt;=74),"MEDIA ARITMÉTICA ALTA","MEDIA ARITMÉTICA BAJA"))),IF(D15="MEDIANA CON VALOR ABSOLUTO","MEDIA GEOMÉTRICA",IF(D15="MEDIA GEOMÉTRICA","MEDIA ARITMÉTICA ALTA",IF(D15="MEDIA ARITMÉTICA ALTA","MEDIA ARITMÉTICA BAJA","MEDIANA CON VALOR ABSOLUTO"))))</f>
        <v>MEDIA ARITMÉTICA ALTA</v>
      </c>
      <c r="H15" s="929"/>
      <c r="I15" s="929"/>
      <c r="J15" s="930"/>
      <c r="K15" s="400"/>
    </row>
    <row r="16" spans="2:30" ht="9.9499999999999993" customHeight="1" thickBot="1">
      <c r="B16" s="322"/>
      <c r="C16" s="322"/>
      <c r="D16" s="320"/>
      <c r="E16" s="320"/>
      <c r="F16" s="320"/>
      <c r="G16" s="320"/>
      <c r="H16" s="320"/>
      <c r="I16" s="320"/>
      <c r="J16" s="320"/>
      <c r="K16" s="373"/>
    </row>
    <row r="17" spans="1:36" ht="24.95" customHeight="1">
      <c r="B17" s="934" t="s">
        <v>1190</v>
      </c>
      <c r="C17" s="935"/>
      <c r="D17" s="935"/>
      <c r="E17" s="935"/>
      <c r="F17" s="935"/>
      <c r="G17" s="935"/>
      <c r="H17" s="935"/>
      <c r="I17" s="935"/>
      <c r="J17" s="936"/>
      <c r="K17" s="418"/>
    </row>
    <row r="18" spans="1:36" ht="18" customHeight="1">
      <c r="B18" s="326"/>
      <c r="C18" s="323"/>
      <c r="D18" s="327"/>
      <c r="E18" s="327"/>
      <c r="F18" s="328"/>
      <c r="G18" s="328"/>
      <c r="H18" s="328"/>
      <c r="I18" s="323" t="s">
        <v>1191</v>
      </c>
      <c r="J18" s="329">
        <f ca="1">COUNTIF(H44:H133,"HÁBIL")</f>
        <v>87</v>
      </c>
      <c r="K18" s="415"/>
    </row>
    <row r="19" spans="1:36" ht="18" customHeight="1">
      <c r="B19" s="330"/>
      <c r="C19" s="323"/>
      <c r="D19" s="327"/>
      <c r="E19" s="327"/>
      <c r="F19" s="328"/>
      <c r="G19" s="328"/>
      <c r="H19" s="328"/>
      <c r="I19" s="323" t="s">
        <v>1192</v>
      </c>
      <c r="J19" s="331">
        <f ca="1">IF(J18=0,0,MIN(I44:I133))</f>
        <v>63.144600000000004</v>
      </c>
      <c r="K19" s="420"/>
    </row>
    <row r="20" spans="1:36" ht="18" customHeight="1">
      <c r="B20" s="330"/>
      <c r="C20" s="323"/>
      <c r="D20" s="327"/>
      <c r="E20" s="327"/>
      <c r="F20" s="328"/>
      <c r="G20" s="328"/>
      <c r="H20" s="328"/>
      <c r="I20" s="323" t="s">
        <v>1193</v>
      </c>
      <c r="J20" s="331">
        <f ca="1">MAX(I44:I133)</f>
        <v>1303.14625</v>
      </c>
      <c r="K20" s="420"/>
    </row>
    <row r="21" spans="1:36" ht="18" customHeight="1">
      <c r="B21" s="326"/>
      <c r="C21" s="324"/>
      <c r="D21" s="327"/>
      <c r="E21" s="327"/>
      <c r="F21" s="328"/>
      <c r="G21" s="328"/>
      <c r="H21" s="328"/>
      <c r="I21" s="323" t="s">
        <v>1194</v>
      </c>
      <c r="J21" s="331">
        <f ca="1">IF(D33="NUEVA",IF(J18=0,0,IF(F37="MEDIA ARITMÉTICA BAJA",(SUM(I44:I133)-J19)/(J18-1),IF(F37="MEDIA ARITMÉTICA ALTA",(SUM(I44:I133)-J20)/(J18-1),""))),AVERAGE(I44:I133))</f>
        <v>455.22826255813942</v>
      </c>
      <c r="K21" s="420"/>
    </row>
    <row r="22" spans="1:36" ht="18" customHeight="1">
      <c r="B22" s="326"/>
      <c r="C22" s="324"/>
      <c r="D22" s="327"/>
      <c r="E22" s="327"/>
      <c r="F22" s="328"/>
      <c r="G22" s="328"/>
      <c r="H22" s="328"/>
      <c r="I22" s="323" t="s">
        <v>1195</v>
      </c>
      <c r="J22" s="331">
        <f ca="1">IF(J18=0,0,MEDIAN(I44:I133))</f>
        <v>435.76</v>
      </c>
      <c r="K22" s="420"/>
    </row>
    <row r="23" spans="1:36" ht="18" customHeight="1">
      <c r="B23" s="332"/>
      <c r="C23" s="333"/>
      <c r="D23" s="327"/>
      <c r="E23" s="327"/>
      <c r="F23" s="328"/>
      <c r="G23" s="328"/>
      <c r="H23" s="328"/>
      <c r="I23" s="323" t="s">
        <v>1196</v>
      </c>
      <c r="J23" s="331">
        <f ca="1">PRESUPUESTOS!$J$16</f>
        <v>300</v>
      </c>
      <c r="K23" s="420"/>
      <c r="AG23" s="2"/>
      <c r="AH23" s="334"/>
      <c r="AI23" s="2"/>
      <c r="AJ23" s="469"/>
    </row>
    <row r="24" spans="1:36" ht="18" customHeight="1" thickBot="1">
      <c r="B24" s="335"/>
      <c r="C24" s="336"/>
      <c r="D24" s="337"/>
      <c r="E24" s="337"/>
      <c r="F24" s="338"/>
      <c r="G24" s="338"/>
      <c r="H24" s="338"/>
      <c r="I24" s="339" t="s">
        <v>1197</v>
      </c>
      <c r="J24" s="446">
        <f>PTJETOTAL</f>
        <v>69</v>
      </c>
      <c r="K24" s="416"/>
    </row>
    <row r="25" spans="1:36" s="334" customFormat="1" ht="9.9499999999999993" customHeight="1" thickBo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55"/>
      <c r="AD25" s="321"/>
      <c r="AE25" s="321"/>
      <c r="AF25" s="321"/>
      <c r="AG25" s="316"/>
      <c r="AH25" s="325"/>
      <c r="AI25" s="316"/>
      <c r="AJ25" s="321"/>
    </row>
    <row r="26" spans="1:36" ht="18" customHeight="1">
      <c r="B26" s="937" t="s">
        <v>1198</v>
      </c>
      <c r="C26" s="938"/>
      <c r="D26" s="938"/>
      <c r="E26" s="938"/>
      <c r="F26" s="938"/>
      <c r="G26" s="938"/>
      <c r="H26" s="938"/>
      <c r="I26" s="938"/>
      <c r="J26" s="939"/>
      <c r="K26" s="421"/>
    </row>
    <row r="27" spans="1:36" ht="18" customHeight="1">
      <c r="B27" s="940" t="s">
        <v>1199</v>
      </c>
      <c r="C27" s="941"/>
      <c r="D27" s="941"/>
      <c r="E27" s="941"/>
      <c r="F27" s="941"/>
      <c r="G27" s="941"/>
      <c r="H27" s="941"/>
      <c r="I27" s="942"/>
      <c r="J27" s="340" t="str">
        <f ca="1">IF(J18=0,0,IF(MOD(J18,2)=0,"Par","Impar"))</f>
        <v>Impar</v>
      </c>
      <c r="K27" s="422"/>
    </row>
    <row r="28" spans="1:36" ht="18" customHeight="1">
      <c r="B28" s="940" t="str">
        <f ca="1">IF(J27=0,"Registrar Propuestas",IF(J27="Impar","Valor de la Mediana",IF(J27="Par","Valor de la Propuesta Inmediatamente por debajo del Valor de la Mediana")))</f>
        <v>Valor de la Mediana</v>
      </c>
      <c r="C28" s="941"/>
      <c r="D28" s="941"/>
      <c r="E28" s="941"/>
      <c r="F28" s="941"/>
      <c r="G28" s="941"/>
      <c r="H28" s="941"/>
      <c r="I28" s="942"/>
      <c r="J28" s="340">
        <f ca="1">IF(J27=0,0,IF(J27="Impar",MEDIAN(I44:I133),IF(J27="Par",VLOOKUP("MÍNIMO",$AD$44:$AE$133,2,FALSE),"NO APLICA")))</f>
        <v>435.76</v>
      </c>
      <c r="K28" s="422"/>
    </row>
    <row r="29" spans="1:36" ht="18" customHeight="1">
      <c r="B29" s="943" t="s">
        <v>1200</v>
      </c>
      <c r="C29" s="944"/>
      <c r="D29" s="944"/>
      <c r="E29" s="944"/>
      <c r="F29" s="944"/>
      <c r="G29" s="944"/>
      <c r="H29" s="944"/>
      <c r="I29" s="944"/>
      <c r="J29" s="945"/>
      <c r="K29" s="421"/>
    </row>
    <row r="30" spans="1:36" ht="18" customHeight="1">
      <c r="B30" s="940" t="s">
        <v>1201</v>
      </c>
      <c r="C30" s="941"/>
      <c r="D30" s="941"/>
      <c r="E30" s="941"/>
      <c r="F30" s="941"/>
      <c r="G30" s="941"/>
      <c r="H30" s="941"/>
      <c r="I30" s="942"/>
      <c r="J30" s="341">
        <f ca="1">IF(J18=0,0,VLOOKUP("MÍNIMO",$AH$44:$AK$133,2,FALSE))</f>
        <v>421.97749999999996</v>
      </c>
      <c r="K30" s="423"/>
      <c r="L30" s="369"/>
      <c r="M30" s="369"/>
      <c r="N30" s="369"/>
      <c r="O30" s="369"/>
      <c r="P30" s="369"/>
      <c r="Q30" s="369"/>
      <c r="R30" s="369"/>
      <c r="S30" s="369"/>
      <c r="T30" s="369"/>
      <c r="U30" s="369"/>
      <c r="V30" s="369"/>
      <c r="W30" s="369"/>
      <c r="X30" s="369"/>
      <c r="Y30" s="369"/>
      <c r="Z30" s="369"/>
      <c r="AA30" s="369"/>
    </row>
    <row r="31" spans="1:36" ht="18" customHeight="1">
      <c r="B31" s="940" t="s">
        <v>1202</v>
      </c>
      <c r="C31" s="941"/>
      <c r="D31" s="941"/>
      <c r="E31" s="941"/>
      <c r="F31" s="941"/>
      <c r="G31" s="941"/>
      <c r="H31" s="941"/>
      <c r="I31" s="942"/>
      <c r="J31" s="342">
        <f ca="1">IF(J18=0,0,GEOMEAN(I44:I133))</f>
        <v>422.89649139483464</v>
      </c>
      <c r="K31" s="420"/>
      <c r="L31" s="370"/>
      <c r="M31" s="370"/>
      <c r="N31" s="370"/>
      <c r="O31" s="370"/>
      <c r="P31" s="370"/>
      <c r="Q31" s="370"/>
      <c r="R31" s="370"/>
      <c r="S31" s="370"/>
      <c r="T31" s="370"/>
      <c r="U31" s="370"/>
      <c r="V31" s="370"/>
      <c r="W31" s="370"/>
      <c r="X31" s="370"/>
      <c r="Y31" s="370"/>
      <c r="Z31" s="370"/>
      <c r="AA31" s="370"/>
    </row>
    <row r="32" spans="1:36" ht="18" customHeight="1">
      <c r="B32" s="943" t="s">
        <v>1203</v>
      </c>
      <c r="C32" s="944"/>
      <c r="D32" s="944"/>
      <c r="E32" s="944"/>
      <c r="F32" s="944"/>
      <c r="G32" s="944"/>
      <c r="H32" s="944"/>
      <c r="I32" s="944"/>
      <c r="J32" s="945"/>
      <c r="K32" s="421"/>
      <c r="L32" s="370"/>
      <c r="M32" s="370"/>
      <c r="N32" s="370"/>
      <c r="O32" s="370"/>
      <c r="P32" s="370"/>
      <c r="Q32" s="370"/>
      <c r="R32" s="370"/>
      <c r="S32" s="370"/>
      <c r="T32" s="370"/>
      <c r="U32" s="370"/>
      <c r="V32" s="370"/>
      <c r="W32" s="370"/>
      <c r="X32" s="370"/>
      <c r="Y32" s="370"/>
      <c r="Z32" s="370"/>
      <c r="AA32" s="370"/>
    </row>
    <row r="33" spans="1:36" ht="18" customHeight="1">
      <c r="B33" s="619"/>
      <c r="C33" s="620"/>
      <c r="D33" s="621" t="s">
        <v>1204</v>
      </c>
      <c r="E33" s="620"/>
      <c r="F33" s="620"/>
      <c r="G33" s="620"/>
      <c r="H33" s="941" t="s">
        <v>1205</v>
      </c>
      <c r="I33" s="942"/>
      <c r="J33" s="340">
        <f ca="1">AVERAGE(J20,J21)</f>
        <v>879.18725627906974</v>
      </c>
      <c r="K33" s="422"/>
      <c r="L33" s="370"/>
      <c r="M33" s="370"/>
      <c r="N33" s="370"/>
      <c r="O33" s="370"/>
      <c r="P33" s="370"/>
      <c r="Q33" s="370"/>
      <c r="R33" s="370"/>
      <c r="S33" s="370"/>
      <c r="T33" s="370"/>
      <c r="U33" s="370"/>
      <c r="V33" s="370"/>
      <c r="W33" s="370"/>
      <c r="X33" s="370"/>
      <c r="Y33" s="370"/>
      <c r="Z33" s="370"/>
      <c r="AA33" s="370"/>
    </row>
    <row r="34" spans="1:36" ht="18" customHeight="1">
      <c r="B34" s="943" t="s">
        <v>1206</v>
      </c>
      <c r="C34" s="944"/>
      <c r="D34" s="944"/>
      <c r="E34" s="944"/>
      <c r="F34" s="944"/>
      <c r="G34" s="944"/>
      <c r="H34" s="944"/>
      <c r="I34" s="944"/>
      <c r="J34" s="945"/>
      <c r="K34" s="421"/>
      <c r="L34" s="2"/>
      <c r="M34" s="2"/>
      <c r="N34" s="2"/>
      <c r="O34" s="2"/>
      <c r="P34" s="2"/>
      <c r="Q34" s="2"/>
      <c r="R34" s="2"/>
      <c r="S34" s="2"/>
      <c r="T34" s="2"/>
      <c r="U34" s="2"/>
      <c r="V34" s="2"/>
      <c r="W34" s="2"/>
      <c r="X34" s="2"/>
      <c r="Y34" s="2"/>
      <c r="Z34" s="2"/>
      <c r="AA34" s="2"/>
    </row>
    <row r="35" spans="1:36" ht="18" customHeight="1" thickBot="1">
      <c r="B35" s="931" t="s">
        <v>1207</v>
      </c>
      <c r="C35" s="932"/>
      <c r="D35" s="932"/>
      <c r="E35" s="932"/>
      <c r="F35" s="932"/>
      <c r="G35" s="932"/>
      <c r="H35" s="932"/>
      <c r="I35" s="933"/>
      <c r="J35" s="343">
        <f ca="1">AVERAGE(J19,J21)</f>
        <v>259.18643127906972</v>
      </c>
      <c r="K35" s="420"/>
      <c r="L35" s="2"/>
      <c r="M35" s="2"/>
      <c r="N35" s="2"/>
      <c r="O35" s="2"/>
      <c r="P35" s="2"/>
      <c r="Q35" s="2"/>
      <c r="R35" s="2"/>
      <c r="S35" s="2"/>
      <c r="T35" s="2"/>
      <c r="U35" s="2"/>
      <c r="V35" s="2"/>
      <c r="W35" s="2"/>
      <c r="X35" s="2"/>
      <c r="Y35" s="2"/>
      <c r="Z35" s="2"/>
      <c r="AA35" s="2"/>
      <c r="AG35" s="315"/>
      <c r="AH35" s="344"/>
      <c r="AI35" s="315"/>
    </row>
    <row r="36" spans="1:36" ht="18" customHeight="1" thickBot="1">
      <c r="B36" s="345"/>
      <c r="C36" s="345"/>
      <c r="D36" s="345"/>
      <c r="E36" s="345"/>
      <c r="F36" s="346"/>
      <c r="G36" s="346"/>
      <c r="H36" s="346"/>
      <c r="I36" s="320"/>
      <c r="J36" s="320"/>
      <c r="K36" s="373"/>
      <c r="L36" s="2"/>
      <c r="M36" s="2"/>
      <c r="N36" s="2"/>
      <c r="O36" s="2"/>
      <c r="P36" s="2"/>
      <c r="Q36" s="2"/>
      <c r="R36" s="2"/>
      <c r="S36" s="2"/>
      <c r="T36" s="2"/>
      <c r="U36" s="2"/>
      <c r="V36" s="2"/>
      <c r="W36" s="2"/>
      <c r="X36" s="2"/>
      <c r="Y36" s="2"/>
      <c r="Z36" s="2"/>
      <c r="AA36" s="2"/>
    </row>
    <row r="37" spans="1:36" s="344" customFormat="1" ht="24.95" customHeight="1" thickBot="1">
      <c r="A37" s="315"/>
      <c r="B37" s="946" t="s">
        <v>1208</v>
      </c>
      <c r="C37" s="947"/>
      <c r="D37" s="947"/>
      <c r="E37" s="554"/>
      <c r="F37" s="958" t="str">
        <f>G15</f>
        <v>MEDIA ARITMÉTICA ALTA</v>
      </c>
      <c r="G37" s="958"/>
      <c r="H37" s="958"/>
      <c r="I37" s="958"/>
      <c r="J37" s="555">
        <f ca="1">IF(F37="MEDIANA CON VALOR ABSOLUTO",J28,IF(F37="MEDIA GEOMÉTRICA",J31,IF(F37="MEDIA ARITMÉTICA ALTA",J33,IF(F37="MEDIA ARITMÉTICA BAJA",J35,""))))</f>
        <v>879.18725627906974</v>
      </c>
      <c r="K37" s="424"/>
      <c r="L37" s="21"/>
      <c r="M37" s="21"/>
      <c r="N37" s="21"/>
      <c r="O37" s="21"/>
      <c r="P37" s="21"/>
      <c r="Q37" s="21"/>
      <c r="R37" s="21"/>
      <c r="S37" s="21"/>
      <c r="T37" s="21"/>
      <c r="U37" s="21"/>
      <c r="V37" s="21"/>
      <c r="W37" s="21"/>
      <c r="X37" s="21"/>
      <c r="Y37" s="21"/>
      <c r="Z37" s="21"/>
      <c r="AA37" s="21"/>
      <c r="AB37" s="315"/>
      <c r="AC37" s="348"/>
      <c r="AD37" s="347"/>
      <c r="AE37" s="347"/>
      <c r="AF37" s="347"/>
      <c r="AG37" s="316"/>
      <c r="AH37" s="325"/>
      <c r="AI37" s="316"/>
      <c r="AJ37" s="347"/>
    </row>
    <row r="38" spans="1:36" ht="18" customHeight="1">
      <c r="B38" s="322"/>
      <c r="C38" s="322"/>
      <c r="D38" s="320"/>
      <c r="E38" s="320"/>
      <c r="F38" s="349"/>
      <c r="G38" s="320"/>
      <c r="H38" s="373"/>
      <c r="I38" s="320"/>
      <c r="J38" s="610"/>
      <c r="K38" s="320"/>
    </row>
    <row r="39" spans="1:36" ht="15" customHeight="1">
      <c r="B39" s="609" t="s">
        <v>1209</v>
      </c>
      <c r="C39" s="556"/>
      <c r="D39" s="557"/>
      <c r="E39" s="557"/>
      <c r="F39" s="557"/>
      <c r="G39" s="557"/>
      <c r="H39" s="557"/>
      <c r="I39" s="558"/>
      <c r="J39" s="559"/>
      <c r="K39" s="559"/>
    </row>
    <row r="40" spans="1:36" ht="15" customHeight="1">
      <c r="B40" s="961" t="s">
        <v>1210</v>
      </c>
      <c r="C40" s="959" t="s">
        <v>1211</v>
      </c>
      <c r="D40" s="963" t="s">
        <v>139</v>
      </c>
      <c r="E40" s="965" t="s">
        <v>1212</v>
      </c>
      <c r="F40" s="965" t="s">
        <v>1213</v>
      </c>
      <c r="G40" s="965" t="s">
        <v>1214</v>
      </c>
      <c r="H40" s="965" t="s">
        <v>1215</v>
      </c>
      <c r="I40" s="967" t="s">
        <v>1216</v>
      </c>
      <c r="J40" s="968"/>
      <c r="K40" s="566"/>
    </row>
    <row r="41" spans="1:36" ht="55.5" customHeight="1" thickBot="1">
      <c r="B41" s="961"/>
      <c r="C41" s="959"/>
      <c r="D41" s="963"/>
      <c r="E41" s="965"/>
      <c r="F41" s="965"/>
      <c r="G41" s="965"/>
      <c r="H41" s="965"/>
      <c r="I41" s="560" t="s">
        <v>1217</v>
      </c>
      <c r="J41" s="561" t="s">
        <v>1218</v>
      </c>
      <c r="K41" s="567" t="s">
        <v>1219</v>
      </c>
      <c r="L41" s="969"/>
      <c r="M41" s="371"/>
      <c r="N41" s="371"/>
      <c r="O41" s="371"/>
      <c r="P41" s="371"/>
      <c r="Q41" s="371"/>
      <c r="R41" s="371"/>
      <c r="S41" s="371"/>
      <c r="T41" s="371"/>
      <c r="U41" s="371"/>
      <c r="V41" s="371"/>
      <c r="W41" s="371"/>
      <c r="X41" s="371"/>
      <c r="Y41" s="371"/>
      <c r="Z41" s="371"/>
      <c r="AA41" s="371"/>
      <c r="AB41" s="969"/>
    </row>
    <row r="42" spans="1:36" ht="22.5" customHeight="1" thickBot="1">
      <c r="B42" s="962"/>
      <c r="C42" s="960"/>
      <c r="D42" s="964"/>
      <c r="E42" s="562" t="s">
        <v>1220</v>
      </c>
      <c r="F42" s="563" t="s">
        <v>1221</v>
      </c>
      <c r="G42" s="966"/>
      <c r="H42" s="563" t="s">
        <v>1171</v>
      </c>
      <c r="I42" s="564" t="s">
        <v>375</v>
      </c>
      <c r="J42" s="565" t="s">
        <v>1222</v>
      </c>
      <c r="K42" s="568" t="s">
        <v>1222</v>
      </c>
      <c r="L42" s="969"/>
      <c r="M42" s="371"/>
      <c r="N42" s="371"/>
      <c r="O42" s="371"/>
      <c r="P42" s="371"/>
      <c r="Q42" s="371"/>
      <c r="R42" s="371"/>
      <c r="S42" s="371"/>
      <c r="T42" s="371"/>
      <c r="U42" s="371"/>
      <c r="V42" s="371"/>
      <c r="W42" s="371"/>
      <c r="X42" s="371"/>
      <c r="Y42" s="371"/>
      <c r="Z42" s="371"/>
      <c r="AA42" s="371"/>
      <c r="AB42" s="969"/>
      <c r="AC42" s="920" t="s">
        <v>1223</v>
      </c>
      <c r="AD42" s="921"/>
      <c r="AE42" s="921"/>
      <c r="AF42" s="470"/>
      <c r="AG42" s="922" t="s">
        <v>1224</v>
      </c>
      <c r="AH42" s="922"/>
      <c r="AI42" s="923"/>
    </row>
    <row r="43" spans="1:36" ht="6.75" customHeight="1" thickBot="1">
      <c r="B43" s="444"/>
      <c r="C43" s="374"/>
      <c r="D43" s="375"/>
      <c r="E43" s="376"/>
      <c r="F43" s="375"/>
      <c r="G43" s="375"/>
      <c r="H43" s="375"/>
      <c r="I43" s="375"/>
      <c r="J43" s="426"/>
      <c r="K43" s="427"/>
      <c r="L43" s="371"/>
      <c r="M43" s="371"/>
      <c r="N43" s="371"/>
      <c r="O43" s="371"/>
      <c r="P43" s="371"/>
      <c r="Q43" s="371"/>
      <c r="R43" s="371"/>
      <c r="S43" s="371"/>
      <c r="T43" s="371"/>
      <c r="U43" s="371"/>
      <c r="V43" s="371"/>
      <c r="W43" s="371"/>
      <c r="X43" s="371"/>
      <c r="Y43" s="371"/>
      <c r="Z43" s="371"/>
      <c r="AA43" s="371"/>
      <c r="AB43" s="371"/>
      <c r="AC43" s="471"/>
      <c r="AG43" s="350"/>
      <c r="AI43" s="472"/>
    </row>
    <row r="44" spans="1:36" ht="26.25" customHeight="1">
      <c r="B44" s="445">
        <v>1</v>
      </c>
      <c r="C44" s="351">
        <f>IF(VLOOKUP(B44,PROPONENTES!$B$19:$E$109,2,0)="","",VLOOKUP(B44,PROPONENTES!$B$19:$E$109,2,0))</f>
        <v>1</v>
      </c>
      <c r="D44" s="352" t="str">
        <f>IF(VLOOKUP(B44,PROPONENTES!$B$19:$E$108,3,0)="","",VLOOKUP(B44,PROPONENTES!$B$19:$E$108,3,0))</f>
        <v>PROYECTOS URBANOS &amp; CONSTRUCCIONES DEL CARIBE S.A.S</v>
      </c>
      <c r="E44" s="353" t="str">
        <f>IF(ISNUMBER(D44),"",IF(VLOOKUP(B44,PROPONENTES!$B$19:$E$108,4,0)="","",IF(VLOOKUP(B44,PROPONENTES!$B$19:$E$108,4,0)&gt;1,"SI","NO")))</f>
        <v>NO</v>
      </c>
      <c r="F44" s="65" t="str">
        <f>IF(ISNUMBER(D44),"",IF(AND(VLOOKUP(B44,'HAB.GEN.'!$B$19:$L$108,8)="HÁBIL",VLOOKUP(B44,'HAB.GEN.'!$B$19:$L$108,10)&lt;&gt;"RECHAZO",VLOOKUP(B44,'HAB.GEN.'!$B$19:$L$108,10)&lt;&gt;"NO HÁBIL",VLOOKUP(B44,'HAB.GEN.'!$C$19:$L$108,9)="HÁBIL"),"CUMPLE","NO CUMPLE"))</f>
        <v>CUMPLE</v>
      </c>
      <c r="G44" s="365">
        <f>IF(ISNUMBER(D44),"",IF(B44&lt;&gt;"",VLOOKUP("M"&amp;C44,EXPERIENCIA!$A$20:$Y$5935,19,0),""))</f>
        <v>1</v>
      </c>
      <c r="H44" s="354" t="str">
        <f t="shared" ref="H44:H48" si="0">IF(ISNUMBER(D44),"",IF(C44&lt;&gt;"",IF(AND(OR(F44="CUMPLE",F44="NO APLICA"),G44&gt;=NUMMINCONT,G44&lt;=NUMMAXCONT),"HÁBIL","NO HÁBIL"),""))</f>
        <v>HÁBIL</v>
      </c>
      <c r="I44" s="366">
        <f>IF(ISNUMBER(D44),"",IF(H44="NO HÁBIL","",IF(AND(B44&lt;&gt;"",H44&lt;&gt;"NO HÁBIL"),VLOOKUP("Z"&amp;C44,EXPERIENCIA!$A$20:$Y$5935,15,FALSE),0)))</f>
        <v>307.91000000000003</v>
      </c>
      <c r="J44" s="355">
        <f ca="1">IF(ISNUMBER(D44),"",IF(C44&lt;&gt;"",IF(F44="NO CUMPLE",0,IF(H44="HÁBIL",IF($F$37="MEDIANA CON VALOR ABSOLUTO",$J$24*(1-ABS(($J$37-I44)/$J$37)),IF(AND($F$37="MEDIA GEOMÉTRICA",I44=$J$30),$J$24,IF($F$37="MEDIA GEOMÉTRICA",$J$24*(1-(ABS($J$37-I44)/$J$37)),IF(AND($F$37="MEDIA ARITMÉTICA ALTA",I44&lt;=$J$37),$J$24*(1-(($J$37-I44)/$J$37)),IF($F$37="MEDIA ARITMÉTICA ALTA",$J$24*(1-2*(ABS($J$37-I44)/$J$37)),IF(I44&lt;=$J$37,$J$24*(1-(($J$37-I44)/$J$37)),$J$24*(1-(ABS($J$37-I44)/$J$37)))))))),0)),""))</f>
        <v>24.165261550670401</v>
      </c>
      <c r="K44" s="461">
        <f ca="1">IF(C44&lt;&gt;"",IF(F44="NO CUMPLE",0,IF(H44="HÁBIL",IF($F$37="MEDIANA CON VALOR ABSOLUTO",IF($J$24*(1-ABS(($J$37-I44)/$J$37))&lt;0,0,$J$24*(1-ABS(($J$37-I44)/$J$37))),IF(AND($F$37="MEDIA GEOMÉTRICA",I44=$J$30),$J$24,IF($F$37="MEDIA GEOMÉTRICA",IF($J$24*(1-(ABS($J$37-I44)/$J$37))&lt;0,0,$J$24*(1-(ABS($J$37-I44)/$J$37))),IF(AND($F$37="MEDIA ARITMÉTICA ALTA",I44&lt;=$J$37),IF($J$24*(1-(($J$37-I44)/$J$37))&lt;0,0,$J$24*(1-(($J$37-I44)/$J$37))),IF($F$37="MEDIA ARITMÉTICA ALTA",IF($J$24*(1-2*(ABS($J$37-I44)/$J$37))&lt;0,0,$J$24*(1-2*(ABS($J$37-I44)/$J$37))),IF(I44&lt;=$J$37,IF($J$24*(1-(($J$37-I44)/$J$37))&lt;0,0,$J$24*(1-(($J$37-I44)/$J$37))),IF($J$24*(1-(ABS($J$37-I44)/$J$37))&lt;0,0,$J$24*(1-(ABS($J$37-I44)/$J$37))))))))),0)),"")</f>
        <v>24.165261550670401</v>
      </c>
      <c r="L44" s="372"/>
      <c r="M44" s="372"/>
      <c r="N44" s="372"/>
      <c r="O44" s="372"/>
      <c r="P44" s="372"/>
      <c r="Q44" s="372"/>
      <c r="R44" s="372"/>
      <c r="S44" s="372"/>
      <c r="T44" s="372"/>
      <c r="U44" s="372"/>
      <c r="V44" s="372"/>
      <c r="W44" s="372"/>
      <c r="X44" s="372"/>
      <c r="Y44" s="372"/>
      <c r="Z44" s="372"/>
      <c r="AA44" s="372"/>
      <c r="AB44" s="372"/>
      <c r="AC44" s="473" t="str">
        <f ca="1">IF(F44="NO CUMPLE","",IF($J$27="Impar","",IF(I44&gt;$J$22,"",$J$22-I44)))</f>
        <v/>
      </c>
      <c r="AD44" s="474" t="str">
        <f t="shared" ref="AD44:AD75" ca="1" si="1">IF(AC44=MIN($AC$44:$AC$133),"MÍNIMO","")</f>
        <v/>
      </c>
      <c r="AE44" s="474" t="str">
        <f ca="1">IF(AD44="","",IF(AD44="MÍNIMO",I44,""))</f>
        <v/>
      </c>
      <c r="AF44" s="475" t="str">
        <f t="shared" ref="AF44:AF50" si="2">IF(OR(ISTEXT(E44),ISTEXT(F44)),"",E44-F44)</f>
        <v/>
      </c>
      <c r="AG44" s="367">
        <f ca="1">IF(OR(F44="",F44="NO CUMPLE"),"",ABS(I44-$J$31))</f>
        <v>114.98649139483462</v>
      </c>
      <c r="AH44" s="476" t="str">
        <f t="shared" ref="AH44:AH75" ca="1" si="3">IF(AG44=MIN($AG$44:$AG$133),"MÍNIMO","")</f>
        <v/>
      </c>
      <c r="AI44" s="477" t="str">
        <f ca="1">IF(AH44="","",IF(AH44="MÍNIMO",I44,""))</f>
        <v/>
      </c>
      <c r="AJ44" s="356"/>
    </row>
    <row r="45" spans="1:36" ht="26.25" customHeight="1">
      <c r="B45" s="445">
        <v>2</v>
      </c>
      <c r="C45" s="351">
        <f>IF(VLOOKUP(B45,PROPONENTES!$B$19:$E$109,2,0)="","",VLOOKUP(B45,PROPONENTES!$B$19:$E$109,2,0))</f>
        <v>2</v>
      </c>
      <c r="D45" s="352" t="str">
        <f>IF(VLOOKUP(B45,PROPONENTES!$B$19:$E$108,3,0)="","",VLOOKUP(B45,PROPONENTES!$B$19:$E$108,3,0))</f>
        <v>MIGUEL MORALES INGENIERIA SAS</v>
      </c>
      <c r="E45" s="353" t="str">
        <f>IF(ISNUMBER(D45),"",IF(VLOOKUP(B45,PROPONENTES!$B$19:$E$108,4,0)="","",IF(VLOOKUP(B45,PROPONENTES!$B$19:$E$108,4,0)&gt;1,"SI","NO")))</f>
        <v>NO</v>
      </c>
      <c r="F45" s="65" t="str">
        <f>IF(ISNUMBER(D45),"",IF(AND(VLOOKUP(B45,'HAB.GEN.'!$B$19:$L$108,8)="HÁBIL",VLOOKUP(B45,'HAB.GEN.'!$B$19:$L$108,10)&lt;&gt;"RECHAZO",VLOOKUP(B45,'HAB.GEN.'!$B$19:$L$108,10)&lt;&gt;"NO HÁBIL",VLOOKUP(B45,'HAB.GEN.'!$C$19:$L$108,9)="HÁBIL"),"CUMPLE","NO CUMPLE"))</f>
        <v>CUMPLE</v>
      </c>
      <c r="G45" s="365">
        <f>IF(ISNUMBER(D45),"",IF(B45&lt;&gt;"",VLOOKUP("M"&amp;C45,EXPERIENCIA!$A$20:$Y$5935,19,0),""))</f>
        <v>1</v>
      </c>
      <c r="H45" s="354" t="str">
        <f t="shared" si="0"/>
        <v>HÁBIL</v>
      </c>
      <c r="I45" s="366">
        <f>IF(ISNUMBER(D45),"",IF(H45="NO HÁBIL","",IF(AND(B45&lt;&gt;"",H45&lt;&gt;"NO HÁBIL"),VLOOKUP("Z"&amp;C45,EXPERIENCIA!$A$20:$Y$5935,15,FALSE),0)))</f>
        <v>415.72</v>
      </c>
      <c r="J45" s="355">
        <f t="shared" ref="J45:J108" ca="1" si="4">IF(ISNUMBER(D45),"",IF(C45&lt;&gt;"",IF(F45="NO CUMPLE",0,IF(H45="HÁBIL",IF($F$37="MEDIANA CON VALOR ABSOLUTO",$J$24*(1-ABS(($J$37-I45)/$J$37)),IF(AND($F$37="MEDIA GEOMÉTRICA",I45=$J$30),$J$24,IF($F$37="MEDIA GEOMÉTRICA",$J$24*(1-(ABS($J$37-I45)/$J$37)),IF(AND($F$37="MEDIA ARITMÉTICA ALTA",I45&lt;=$J$37),$J$24*(1-(($J$37-I45)/$J$37)),IF($F$37="MEDIA ARITMÉTICA ALTA",$J$24*(1-2*(ABS($J$37-I45)/$J$37)),IF(I45&lt;=$J$37,$J$24*(1-(($J$37-I45)/$J$37)),$J$24*(1-(ABS($J$37-I45)/$J$37)))))))),0)),""))</f>
        <v>32.626360078739552</v>
      </c>
      <c r="K45" s="462">
        <f t="shared" ref="K45:K108" ca="1" si="5">IF(C45&lt;&gt;"",IF(F45="NO CUMPLE",0,IF(H45="HÁBIL",IF($F$37="MEDIANA CON VALOR ABSOLUTO",IF($J$24*(1-ABS(($J$37-I45)/$J$37))&lt;0,0,$J$24*(1-ABS(($J$37-I45)/$J$37))),IF(AND($F$37="MEDIA GEOMÉTRICA",I45=$J$30),$J$24,IF($F$37="MEDIA GEOMÉTRICA",IF($J$24*(1-(ABS($J$37-I45)/$J$37))&lt;0,0,$J$24*(1-(ABS($J$37-I45)/$J$37))),IF(AND($F$37="MEDIA ARITMÉTICA ALTA",I45&lt;=$J$37),IF($J$24*(1-(($J$37-I45)/$J$37))&lt;0,0,$J$24*(1-(($J$37-I45)/$J$37))),IF($F$37="MEDIA ARITMÉTICA ALTA",IF($J$24*(1-2*(ABS($J$37-I45)/$J$37))&lt;0,0,$J$24*(1-2*(ABS($J$37-I45)/$J$37))),IF(I45&lt;=$J$37,IF($J$24*(1-(($J$37-I45)/$J$37))&lt;0,0,$J$24*(1-(($J$37-I45)/$J$37))),IF($J$24*(1-(ABS($J$37-I45)/$J$37))&lt;0,0,$J$24*(1-(ABS($J$37-I45)/$J$37))))))))),0)),"")</f>
        <v>32.626360078739552</v>
      </c>
      <c r="L45" s="372"/>
      <c r="M45" s="372"/>
      <c r="N45" s="372"/>
      <c r="O45" s="372"/>
      <c r="P45" s="372"/>
      <c r="Q45" s="372"/>
      <c r="R45" s="372"/>
      <c r="S45" s="372"/>
      <c r="T45" s="372"/>
      <c r="U45" s="372"/>
      <c r="V45" s="372"/>
      <c r="W45" s="372"/>
      <c r="X45" s="372"/>
      <c r="Y45" s="372"/>
      <c r="Z45" s="372"/>
      <c r="AA45" s="372"/>
      <c r="AB45" s="372"/>
      <c r="AC45" s="473" t="str">
        <f t="shared" ref="AC45:AC108" ca="1" si="6">IF(F45="NO CUMPLE","",IF($J$27="Impar","",IF(I45&gt;$J$22,"",$J$22-I45)))</f>
        <v/>
      </c>
      <c r="AD45" s="474" t="str">
        <f t="shared" ca="1" si="1"/>
        <v/>
      </c>
      <c r="AE45" s="474" t="str">
        <f t="shared" ref="AE45:AE50" ca="1" si="7">IF(AD45="","",IF(AD45="MÍNIMO",I45,""))</f>
        <v/>
      </c>
      <c r="AF45" s="475" t="str">
        <f t="shared" si="2"/>
        <v/>
      </c>
      <c r="AG45" s="367">
        <f t="shared" ref="AG45:AG108" ca="1" si="8">IF(OR(F45="",F45="NO CUMPLE"),"",ABS(I45-$J$31))</f>
        <v>7.1764913948346134</v>
      </c>
      <c r="AH45" s="476" t="str">
        <f t="shared" ca="1" si="3"/>
        <v/>
      </c>
      <c r="AI45" s="477" t="str">
        <f t="shared" ref="AI45:AI50" ca="1" si="9">IF(AH45="","",IF(AH45="MÍNIMO",I45,""))</f>
        <v/>
      </c>
      <c r="AJ45" s="356"/>
    </row>
    <row r="46" spans="1:36" ht="26.25" customHeight="1">
      <c r="B46" s="445">
        <v>3</v>
      </c>
      <c r="C46" s="351">
        <f>IF(VLOOKUP(B46,PROPONENTES!$B$19:$E$109,2,0)="","",VLOOKUP(B46,PROPONENTES!$B$19:$E$109,2,0))</f>
        <v>3</v>
      </c>
      <c r="D46" s="352" t="str">
        <f>IF(VLOOKUP(B46,PROPONENTES!$B$19:$E$108,3,0)="","",VLOOKUP(B46,PROPONENTES!$B$19:$E$108,3,0))</f>
        <v>CONSULTORES DONOVAN SAS</v>
      </c>
      <c r="E46" s="353" t="str">
        <f>IF(ISNUMBER(D46),"",IF(VLOOKUP(B46,PROPONENTES!$B$19:$E$108,4,0)="","",IF(VLOOKUP(B46,PROPONENTES!$B$19:$E$108,4,0)&gt;1,"SI","NO")))</f>
        <v>NO</v>
      </c>
      <c r="F46" s="65" t="str">
        <f>IF(ISNUMBER(D46),"",IF(AND(VLOOKUP(B46,'HAB.GEN.'!$B$19:$L$108,8)="HÁBIL",VLOOKUP(B46,'HAB.GEN.'!$B$19:$L$108,10)&lt;&gt;"RECHAZO",VLOOKUP(B46,'HAB.GEN.'!$B$19:$L$108,10)&lt;&gt;"NO HÁBIL",VLOOKUP(B46,'HAB.GEN.'!$C$19:$L$108,9)="HÁBIL"),"CUMPLE","NO CUMPLE"))</f>
        <v>CUMPLE</v>
      </c>
      <c r="G46" s="365">
        <f>IF(ISNUMBER(D46),"",IF(B46&lt;&gt;"",VLOOKUP("M"&amp;C46,EXPERIENCIA!$A$20:$Y$5935,19,0),""))</f>
        <v>4</v>
      </c>
      <c r="H46" s="354" t="str">
        <f t="shared" si="0"/>
        <v>HÁBIL</v>
      </c>
      <c r="I46" s="366">
        <f>IF(ISNUMBER(D46),"",IF(H46="NO HÁBIL","",IF(AND(B46&lt;&gt;"",H46&lt;&gt;"NO HÁBIL"),VLOOKUP("Z"&amp;C46,EXPERIENCIA!$A$20:$Y$5935,15,FALSE),0)))</f>
        <v>468.41750000000002</v>
      </c>
      <c r="J46" s="355">
        <f t="shared" ca="1" si="4"/>
        <v>36.762142841775677</v>
      </c>
      <c r="K46" s="462">
        <f t="shared" ca="1" si="5"/>
        <v>36.762142841775677</v>
      </c>
      <c r="L46" s="372"/>
      <c r="M46" s="372"/>
      <c r="N46" s="372"/>
      <c r="O46" s="372"/>
      <c r="P46" s="372"/>
      <c r="Q46" s="372"/>
      <c r="R46" s="372"/>
      <c r="S46" s="372"/>
      <c r="T46" s="372"/>
      <c r="U46" s="372"/>
      <c r="V46" s="372"/>
      <c r="W46" s="372"/>
      <c r="X46" s="372"/>
      <c r="Y46" s="372"/>
      <c r="Z46" s="372"/>
      <c r="AA46" s="372"/>
      <c r="AB46" s="372"/>
      <c r="AC46" s="473" t="str">
        <f t="shared" ca="1" si="6"/>
        <v/>
      </c>
      <c r="AD46" s="474" t="str">
        <f t="shared" ca="1" si="1"/>
        <v/>
      </c>
      <c r="AE46" s="474" t="str">
        <f t="shared" ca="1" si="7"/>
        <v/>
      </c>
      <c r="AF46" s="475" t="str">
        <f t="shared" si="2"/>
        <v/>
      </c>
      <c r="AG46" s="367">
        <f t="shared" ca="1" si="8"/>
        <v>45.521008605165378</v>
      </c>
      <c r="AH46" s="476" t="str">
        <f t="shared" ca="1" si="3"/>
        <v/>
      </c>
      <c r="AI46" s="477" t="str">
        <f t="shared" ca="1" si="9"/>
        <v/>
      </c>
      <c r="AJ46" s="356"/>
    </row>
    <row r="47" spans="1:36" ht="26.25" customHeight="1">
      <c r="B47" s="445">
        <v>4</v>
      </c>
      <c r="C47" s="351">
        <f>IF(VLOOKUP(B47,PROPONENTES!$B$19:$E$109,2,0)="","",VLOOKUP(B47,PROPONENTES!$B$19:$E$109,2,0))</f>
        <v>4</v>
      </c>
      <c r="D47" s="352" t="str">
        <f>IF(VLOOKUP(B47,PROPONENTES!$B$19:$E$108,3,0)="","",VLOOKUP(B47,PROPONENTES!$B$19:$E$108,3,0))</f>
        <v>COMPAÑIA DE PROYECTOS TÉCNICOS CPT S.A</v>
      </c>
      <c r="E47" s="353" t="str">
        <f>IF(ISNUMBER(D47),"",IF(VLOOKUP(B47,PROPONENTES!$B$19:$E$108,4,0)="","",IF(VLOOKUP(B47,PROPONENTES!$B$19:$E$108,4,0)&gt;1,"SI","NO")))</f>
        <v>NO</v>
      </c>
      <c r="F47" s="65" t="str">
        <f>IF(ISNUMBER(D47),"",IF(AND(VLOOKUP(B47,'HAB.GEN.'!$B$19:$L$108,8)="HÁBIL",VLOOKUP(B47,'HAB.GEN.'!$B$19:$L$108,10)&lt;&gt;"RECHAZO",VLOOKUP(B47,'HAB.GEN.'!$B$19:$L$108,10)&lt;&gt;"NO HÁBIL",VLOOKUP(B47,'HAB.GEN.'!$C$19:$L$108,9)="HÁBIL"),"CUMPLE","NO CUMPLE"))</f>
        <v>CUMPLE</v>
      </c>
      <c r="G47" s="365">
        <f>IF(ISNUMBER(D47),"",IF(B47&lt;&gt;"",VLOOKUP("M"&amp;C47,EXPERIENCIA!$A$20:$Y$5935,19,0),""))</f>
        <v>4</v>
      </c>
      <c r="H47" s="354" t="str">
        <f t="shared" si="0"/>
        <v>HÁBIL</v>
      </c>
      <c r="I47" s="366">
        <f>IF(ISNUMBER(D47),"",IF(H47="NO HÁBIL","",IF(AND(B47&lt;&gt;"",H47&lt;&gt;"NO HÁBIL"),VLOOKUP("Z"&amp;C47,EXPERIENCIA!$A$20:$Y$5935,15,FALSE),0)))</f>
        <v>489.29250000000002</v>
      </c>
      <c r="J47" s="355">
        <f t="shared" ca="1" si="4"/>
        <v>38.40044570582765</v>
      </c>
      <c r="K47" s="462">
        <f t="shared" ca="1" si="5"/>
        <v>38.40044570582765</v>
      </c>
      <c r="L47" s="372"/>
      <c r="M47" s="372"/>
      <c r="N47" s="372"/>
      <c r="O47" s="372"/>
      <c r="P47" s="372"/>
      <c r="Q47" s="372"/>
      <c r="R47" s="372"/>
      <c r="S47" s="372"/>
      <c r="T47" s="372"/>
      <c r="U47" s="372"/>
      <c r="V47" s="372"/>
      <c r="W47" s="372"/>
      <c r="X47" s="372"/>
      <c r="Y47" s="372"/>
      <c r="Z47" s="372"/>
      <c r="AA47" s="372"/>
      <c r="AB47" s="372"/>
      <c r="AC47" s="473" t="str">
        <f t="shared" ca="1" si="6"/>
        <v/>
      </c>
      <c r="AD47" s="474" t="str">
        <f t="shared" ca="1" si="1"/>
        <v/>
      </c>
      <c r="AE47" s="474" t="str">
        <f t="shared" ca="1" si="7"/>
        <v/>
      </c>
      <c r="AF47" s="475" t="str">
        <f t="shared" si="2"/>
        <v/>
      </c>
      <c r="AG47" s="367">
        <f t="shared" ca="1" si="8"/>
        <v>66.396008605165378</v>
      </c>
      <c r="AH47" s="476" t="str">
        <f t="shared" ca="1" si="3"/>
        <v/>
      </c>
      <c r="AI47" s="477" t="str">
        <f t="shared" ca="1" si="9"/>
        <v/>
      </c>
      <c r="AJ47" s="356"/>
    </row>
    <row r="48" spans="1:36" ht="26.25" customHeight="1">
      <c r="B48" s="445">
        <v>5</v>
      </c>
      <c r="C48" s="351">
        <f>IF(VLOOKUP(B48,PROPONENTES!$B$19:$E$109,2,0)="","",VLOOKUP(B48,PROPONENTES!$B$19:$E$109,2,0))</f>
        <v>5</v>
      </c>
      <c r="D48" s="352" t="str">
        <f>IF(VLOOKUP(B48,PROPONENTES!$B$19:$E$108,3,0)="","",VLOOKUP(B48,PROPONENTES!$B$19:$E$108,3,0))</f>
        <v>GAVINCO INGENIEROS CONSULTORES SAS</v>
      </c>
      <c r="E48" s="353" t="str">
        <f>IF(ISNUMBER(D48),"",IF(VLOOKUP(B48,PROPONENTES!$B$19:$E$108,4,0)="","",IF(VLOOKUP(B48,PROPONENTES!$B$19:$E$108,4,0)&gt;1,"SI","NO")))</f>
        <v>NO</v>
      </c>
      <c r="F48" s="65" t="str">
        <f>IF(ISNUMBER(D48),"",IF(AND(VLOOKUP(B48,'HAB.GEN.'!$B$19:$L$108,8)="HÁBIL",VLOOKUP(B48,'HAB.GEN.'!$B$19:$L$108,10)&lt;&gt;"RECHAZO",VLOOKUP(B48,'HAB.GEN.'!$B$19:$L$108,10)&lt;&gt;"NO HÁBIL",VLOOKUP(B48,'HAB.GEN.'!$C$19:$L$108,9)="HÁBIL"),"CUMPLE","NO CUMPLE"))</f>
        <v>CUMPLE</v>
      </c>
      <c r="G48" s="365">
        <f>IF(ISNUMBER(D48),"",IF(B48&lt;&gt;"",VLOOKUP("M"&amp;C48,EXPERIENCIA!$A$20:$Y$5935,19,0),""))</f>
        <v>4</v>
      </c>
      <c r="H48" s="354" t="str">
        <f t="shared" si="0"/>
        <v>HÁBIL</v>
      </c>
      <c r="I48" s="366">
        <f>IF(ISNUMBER(D48),"",IF(H48="NO HÁBIL","",IF(AND(B48&lt;&gt;"",H48&lt;&gt;"NO HÁBIL"),VLOOKUP("Z"&amp;C48,EXPERIENCIA!$A$20:$Y$5935,15,FALSE),0)))</f>
        <v>474.70699999999999</v>
      </c>
      <c r="J48" s="355">
        <f t="shared" ca="1" si="4"/>
        <v>37.255752703498068</v>
      </c>
      <c r="K48" s="462">
        <f t="shared" ca="1" si="5"/>
        <v>37.255752703498068</v>
      </c>
      <c r="L48" s="372"/>
      <c r="M48" s="372"/>
      <c r="N48" s="372"/>
      <c r="O48" s="372"/>
      <c r="P48" s="372"/>
      <c r="Q48" s="372"/>
      <c r="R48" s="372"/>
      <c r="S48" s="372"/>
      <c r="T48" s="372"/>
      <c r="U48" s="372"/>
      <c r="V48" s="372"/>
      <c r="W48" s="372"/>
      <c r="X48" s="372"/>
      <c r="Y48" s="372"/>
      <c r="Z48" s="372"/>
      <c r="AA48" s="372"/>
      <c r="AB48" s="372"/>
      <c r="AC48" s="473" t="str">
        <f t="shared" ca="1" si="6"/>
        <v/>
      </c>
      <c r="AD48" s="474" t="str">
        <f t="shared" ca="1" si="1"/>
        <v/>
      </c>
      <c r="AE48" s="474" t="str">
        <f t="shared" ca="1" si="7"/>
        <v/>
      </c>
      <c r="AF48" s="475" t="str">
        <f t="shared" si="2"/>
        <v/>
      </c>
      <c r="AG48" s="367">
        <f t="shared" ca="1" si="8"/>
        <v>51.810508605165353</v>
      </c>
      <c r="AH48" s="476" t="str">
        <f t="shared" ca="1" si="3"/>
        <v/>
      </c>
      <c r="AI48" s="477" t="str">
        <f t="shared" ca="1" si="9"/>
        <v/>
      </c>
      <c r="AJ48" s="356"/>
    </row>
    <row r="49" spans="2:36" ht="26.25" customHeight="1">
      <c r="B49" s="445">
        <v>6</v>
      </c>
      <c r="C49" s="351">
        <f>IF(VLOOKUP(B49,PROPONENTES!$B$19:$E$109,2,0)="","",VLOOKUP(B49,PROPONENTES!$B$19:$E$109,2,0))</f>
        <v>6</v>
      </c>
      <c r="D49" s="352" t="str">
        <f>IF(VLOOKUP(B49,PROPONENTES!$B$19:$E$108,3,0)="","",VLOOKUP(B49,PROPONENTES!$B$19:$E$108,3,0))</f>
        <v>RD INGENIEROS CIVILES SAS</v>
      </c>
      <c r="E49" s="353" t="str">
        <f>IF(ISNUMBER(D49),"",IF(VLOOKUP(B49,PROPONENTES!$B$19:$E$108,4,0)="","",IF(VLOOKUP(B49,PROPONENTES!$B$19:$E$108,4,0)&gt;1,"SI","NO")))</f>
        <v>NO</v>
      </c>
      <c r="F49" s="65" t="str">
        <f>IF(ISNUMBER(D49),"",IF(AND(VLOOKUP(B49,'HAB.GEN.'!$B$19:$L$108,8)="HÁBIL",VLOOKUP(B49,'HAB.GEN.'!$B$19:$L$108,10)&lt;&gt;"RECHAZO",VLOOKUP(B49,'HAB.GEN.'!$B$19:$L$108,10)&lt;&gt;"NO HÁBIL",VLOOKUP(B49,'HAB.GEN.'!$C$19:$L$108,9)="HÁBIL"),"CUMPLE","NO CUMPLE"))</f>
        <v>CUMPLE</v>
      </c>
      <c r="G49" s="365">
        <f>IF(ISNUMBER(D49),"",IF(B49&lt;&gt;"",VLOOKUP("M"&amp;C49,EXPERIENCIA!$A$20:$Y$5935,19,0),""))</f>
        <v>1</v>
      </c>
      <c r="H49" s="354" t="str">
        <f t="shared" ref="H49:H107" si="10">IF(ISNUMBER(D49),"",IF(C49&lt;&gt;"",IF(AND(OR(F49="CUMPLE",F49="NO APLICA"),G49&gt;=NUMMINCONT,G49&lt;=NUMMAXCONT),"HÁBIL","NO HÁBIL"),""))</f>
        <v>HÁBIL</v>
      </c>
      <c r="I49" s="366">
        <f>IF(ISNUMBER(D49),"",IF(H49="NO HÁBIL","",IF(AND(B49&lt;&gt;"",H49&lt;&gt;"NO HÁBIL"),VLOOKUP("Z"&amp;C49,EXPERIENCIA!$A$20:$Y$5935,15,FALSE),0)))</f>
        <v>506.77199999999999</v>
      </c>
      <c r="J49" s="355">
        <f t="shared" ca="1" si="4"/>
        <v>39.772264384256225</v>
      </c>
      <c r="K49" s="462">
        <f t="shared" ca="1" si="5"/>
        <v>39.772264384256225</v>
      </c>
      <c r="L49" s="372"/>
      <c r="M49" s="372"/>
      <c r="N49" s="372"/>
      <c r="O49" s="372"/>
      <c r="P49" s="372"/>
      <c r="Q49" s="372"/>
      <c r="R49" s="372"/>
      <c r="S49" s="372"/>
      <c r="T49" s="372"/>
      <c r="U49" s="372"/>
      <c r="V49" s="372"/>
      <c r="W49" s="372"/>
      <c r="X49" s="372"/>
      <c r="Y49" s="372"/>
      <c r="Z49" s="372"/>
      <c r="AA49" s="372"/>
      <c r="AB49" s="372"/>
      <c r="AC49" s="473" t="str">
        <f t="shared" ca="1" si="6"/>
        <v/>
      </c>
      <c r="AD49" s="474" t="str">
        <f t="shared" ca="1" si="1"/>
        <v/>
      </c>
      <c r="AE49" s="474" t="str">
        <f t="shared" ca="1" si="7"/>
        <v/>
      </c>
      <c r="AF49" s="475" t="str">
        <f t="shared" si="2"/>
        <v/>
      </c>
      <c r="AG49" s="367">
        <f t="shared" ca="1" si="8"/>
        <v>83.875508605165351</v>
      </c>
      <c r="AH49" s="476" t="str">
        <f t="shared" ca="1" si="3"/>
        <v/>
      </c>
      <c r="AI49" s="477" t="str">
        <f t="shared" ca="1" si="9"/>
        <v/>
      </c>
      <c r="AJ49" s="356"/>
    </row>
    <row r="50" spans="2:36" ht="26.25" customHeight="1">
      <c r="B50" s="445">
        <v>7</v>
      </c>
      <c r="C50" s="351">
        <f>IF(VLOOKUP(B50,PROPONENTES!$B$19:$E$109,2,0)="","",VLOOKUP(B50,PROPONENTES!$B$19:$E$109,2,0))</f>
        <v>7</v>
      </c>
      <c r="D50" s="352" t="str">
        <f>IF(VLOOKUP(B50,PROPONENTES!$B$19:$E$108,3,0)="","",VLOOKUP(B50,PROPONENTES!$B$19:$E$108,3,0))</f>
        <v>CONSORCIO FEEC TOLIMA</v>
      </c>
      <c r="E50" s="353" t="str">
        <f>IF(ISNUMBER(D50),"",IF(VLOOKUP(B50,PROPONENTES!$B$19:$E$108,4,0)="","",IF(VLOOKUP(B50,PROPONENTES!$B$19:$E$108,4,0)&gt;1,"SI","NO")))</f>
        <v>SI</v>
      </c>
      <c r="F50" s="65" t="str">
        <f ca="1">IF(ISNUMBER(D50),"",IF(AND(VLOOKUP(B50,'HAB.GEN.'!$B$19:$L$108,8)="HÁBIL",VLOOKUP(B50,'HAB.GEN.'!$B$19:$L$108,10)&lt;&gt;"RECHAZO",VLOOKUP(B50,'HAB.GEN.'!$B$19:$L$108,10)&lt;&gt;"NO HÁBIL",VLOOKUP(B50,'HAB.GEN.'!$C$19:$L$108,9)="HÁBIL"),"CUMPLE","NO CUMPLE"))</f>
        <v>CUMPLE</v>
      </c>
      <c r="G50" s="365">
        <f>IF(ISNUMBER(D50),"",IF(B50&lt;&gt;"",VLOOKUP("M"&amp;C50,EXPERIENCIA!$A$20:$Y$5935,19,0),""))</f>
        <v>4</v>
      </c>
      <c r="H50" s="354" t="str">
        <f t="shared" ca="1" si="10"/>
        <v>HÁBIL</v>
      </c>
      <c r="I50" s="366">
        <f ca="1">IF(ISNUMBER(D50),"",IF(H50="NO HÁBIL","",IF(AND(B50&lt;&gt;"",H50&lt;&gt;"NO HÁBIL"),VLOOKUP("Z"&amp;C50,EXPERIENCIA!$A$20:$Y$5935,15,FALSE),0)))</f>
        <v>526.45730000000003</v>
      </c>
      <c r="J50" s="355">
        <f t="shared" ca="1" si="4"/>
        <v>41.317197719332761</v>
      </c>
      <c r="K50" s="462">
        <f t="shared" ca="1" si="5"/>
        <v>41.317197719332761</v>
      </c>
      <c r="L50" s="372"/>
      <c r="M50" s="372"/>
      <c r="N50" s="372"/>
      <c r="O50" s="372"/>
      <c r="P50" s="372"/>
      <c r="Q50" s="372"/>
      <c r="R50" s="372"/>
      <c r="S50" s="372"/>
      <c r="T50" s="372"/>
      <c r="U50" s="372"/>
      <c r="V50" s="372"/>
      <c r="W50" s="372"/>
      <c r="X50" s="372"/>
      <c r="Y50" s="372"/>
      <c r="Z50" s="372"/>
      <c r="AA50" s="372"/>
      <c r="AB50" s="372"/>
      <c r="AC50" s="473" t="str">
        <f t="shared" ca="1" si="6"/>
        <v/>
      </c>
      <c r="AD50" s="474" t="str">
        <f t="shared" ca="1" si="1"/>
        <v/>
      </c>
      <c r="AE50" s="474" t="str">
        <f t="shared" ca="1" si="7"/>
        <v/>
      </c>
      <c r="AF50" s="475" t="str">
        <f t="shared" ca="1" si="2"/>
        <v/>
      </c>
      <c r="AG50" s="367">
        <f t="shared" ca="1" si="8"/>
        <v>103.56080860516539</v>
      </c>
      <c r="AH50" s="476" t="str">
        <f t="shared" ca="1" si="3"/>
        <v/>
      </c>
      <c r="AI50" s="477" t="str">
        <f t="shared" ca="1" si="9"/>
        <v/>
      </c>
      <c r="AJ50" s="356"/>
    </row>
    <row r="51" spans="2:36" ht="26.25" customHeight="1">
      <c r="B51" s="445">
        <v>8</v>
      </c>
      <c r="C51" s="351">
        <f>IF(VLOOKUP(B51,PROPONENTES!$B$19:$E$109,2,0)="","",VLOOKUP(B51,PROPONENTES!$B$19:$E$109,2,0))</f>
        <v>8</v>
      </c>
      <c r="D51" s="352" t="str">
        <f>IF(VLOOKUP(B51,PROPONENTES!$B$19:$E$108,3,0)="","",VLOOKUP(B51,PROPONENTES!$B$19:$E$108,3,0))</f>
        <v>CARLOS ALBERTO PALTA MUÑOZ</v>
      </c>
      <c r="E51" s="353" t="str">
        <f>IF(ISNUMBER(D51),"",IF(VLOOKUP(B51,PROPONENTES!$B$19:$E$108,4,0)="","",IF(VLOOKUP(B51,PROPONENTES!$B$19:$E$108,4,0)&gt;1,"SI","NO")))</f>
        <v>NO</v>
      </c>
      <c r="F51" s="65" t="str">
        <f>IF(ISNUMBER(D51),"",IF(AND(VLOOKUP(B51,'HAB.GEN.'!$B$19:$L$108,8)="HÁBIL",VLOOKUP(B51,'HAB.GEN.'!$B$19:$L$108,10)&lt;&gt;"RECHAZO",VLOOKUP(B51,'HAB.GEN.'!$B$19:$L$108,10)&lt;&gt;"NO HÁBIL",VLOOKUP(B51,'HAB.GEN.'!$C$19:$L$108,9)="HÁBIL"),"CUMPLE","NO CUMPLE"))</f>
        <v>CUMPLE</v>
      </c>
      <c r="G51" s="365">
        <f>IF(ISNUMBER(D51),"",IF(B51&lt;&gt;"",VLOOKUP("M"&amp;C51,EXPERIENCIA!$A$20:$Y$5935,19,0),""))</f>
        <v>2</v>
      </c>
      <c r="H51" s="354" t="str">
        <f t="shared" si="10"/>
        <v>HÁBIL</v>
      </c>
      <c r="I51" s="366">
        <f>IF(ISNUMBER(D51),"",IF(H51="NO HÁBIL","",IF(AND(B51&lt;&gt;"",H51&lt;&gt;"NO HÁBIL"),VLOOKUP("Z"&amp;C51,EXPERIENCIA!$A$20:$Y$5935,15,FALSE),0)))</f>
        <v>525.36899999999991</v>
      </c>
      <c r="J51" s="355">
        <f t="shared" ca="1" si="4"/>
        <v>41.231786221993929</v>
      </c>
      <c r="K51" s="462">
        <f t="shared" ca="1" si="5"/>
        <v>41.231786221993929</v>
      </c>
      <c r="L51" s="372"/>
      <c r="M51" s="372"/>
      <c r="N51" s="372"/>
      <c r="O51" s="372"/>
      <c r="P51" s="372"/>
      <c r="Q51" s="372"/>
      <c r="R51" s="372"/>
      <c r="S51" s="372"/>
      <c r="T51" s="372"/>
      <c r="U51" s="372"/>
      <c r="V51" s="372"/>
      <c r="W51" s="372"/>
      <c r="X51" s="372"/>
      <c r="Y51" s="372"/>
      <c r="Z51" s="372"/>
      <c r="AA51" s="372"/>
      <c r="AB51" s="372"/>
      <c r="AC51" s="473" t="str">
        <f t="shared" ca="1" si="6"/>
        <v/>
      </c>
      <c r="AD51" s="474" t="str">
        <f t="shared" ca="1" si="1"/>
        <v/>
      </c>
      <c r="AE51" s="474" t="str">
        <f t="shared" ref="AE51:AE133" ca="1" si="11">IF(AD51="","",IF(AD51="MÍNIMO",I51,""))</f>
        <v/>
      </c>
      <c r="AF51" s="475" t="str">
        <f t="shared" ref="AF51:AF133" si="12">IF(OR(ISTEXT(E51),ISTEXT(F51)),"",E51-F51)</f>
        <v/>
      </c>
      <c r="AG51" s="367">
        <f t="shared" ca="1" si="8"/>
        <v>102.47250860516527</v>
      </c>
      <c r="AH51" s="476" t="str">
        <f t="shared" ca="1" si="3"/>
        <v/>
      </c>
      <c r="AI51" s="477" t="str">
        <f t="shared" ref="AI51:AI133" ca="1" si="13">IF(AH51="","",IF(AH51="MÍNIMO",I51,""))</f>
        <v/>
      </c>
      <c r="AJ51" s="356"/>
    </row>
    <row r="52" spans="2:36" ht="26.25" customHeight="1">
      <c r="B52" s="445">
        <v>9</v>
      </c>
      <c r="C52" s="351">
        <f>IF(VLOOKUP(B52,PROPONENTES!$B$19:$E$109,2,0)="","",VLOOKUP(B52,PROPONENTES!$B$19:$E$109,2,0))</f>
        <v>9</v>
      </c>
      <c r="D52" s="352" t="str">
        <f>IF(VLOOKUP(B52,PROPONENTES!$B$19:$E$108,3,0)="","",VLOOKUP(B52,PROPONENTES!$B$19:$E$108,3,0))</f>
        <v>CONSORCIO GMC</v>
      </c>
      <c r="E52" s="353" t="str">
        <f>IF(ISNUMBER(D52),"",IF(VLOOKUP(B52,PROPONENTES!$B$19:$E$108,4,0)="","",IF(VLOOKUP(B52,PROPONENTES!$B$19:$E$108,4,0)&gt;1,"SI","NO")))</f>
        <v>SI</v>
      </c>
      <c r="F52" s="65" t="str">
        <f ca="1">IF(ISNUMBER(D52),"",IF(AND(VLOOKUP(B52,'HAB.GEN.'!$B$19:$L$108,8)="HÁBIL",VLOOKUP(B52,'HAB.GEN.'!$B$19:$L$108,10)&lt;&gt;"RECHAZO",VLOOKUP(B52,'HAB.GEN.'!$B$19:$L$108,10)&lt;&gt;"NO HÁBIL",VLOOKUP(B52,'HAB.GEN.'!$C$19:$L$108,9)="HÁBIL"),"CUMPLE","NO CUMPLE"))</f>
        <v>CUMPLE</v>
      </c>
      <c r="G52" s="365">
        <f>IF(ISNUMBER(D52),"",IF(B52&lt;&gt;"",VLOOKUP("M"&amp;C52,EXPERIENCIA!$A$20:$Y$5935,19,0),""))</f>
        <v>5</v>
      </c>
      <c r="H52" s="354" t="str">
        <f t="shared" ca="1" si="10"/>
        <v>HÁBIL</v>
      </c>
      <c r="I52" s="366">
        <f ca="1">IF(ISNUMBER(D52),"",IF(H52="NO HÁBIL","",IF(AND(B52&lt;&gt;"",H52&lt;&gt;"NO HÁBIL"),VLOOKUP("Z"&amp;C52,EXPERIENCIA!$A$20:$Y$5935,15,FALSE),0)))</f>
        <v>445.38279999999997</v>
      </c>
      <c r="J52" s="355">
        <f t="shared" ca="1" si="4"/>
        <v>34.954343321652175</v>
      </c>
      <c r="K52" s="462">
        <f t="shared" ca="1" si="5"/>
        <v>34.954343321652175</v>
      </c>
      <c r="L52" s="372"/>
      <c r="M52" s="372"/>
      <c r="N52" s="372"/>
      <c r="O52" s="372"/>
      <c r="P52" s="372"/>
      <c r="Q52" s="372"/>
      <c r="R52" s="372"/>
      <c r="S52" s="372"/>
      <c r="T52" s="372"/>
      <c r="U52" s="372"/>
      <c r="V52" s="372"/>
      <c r="W52" s="372"/>
      <c r="X52" s="372"/>
      <c r="Y52" s="372"/>
      <c r="Z52" s="372"/>
      <c r="AA52" s="372"/>
      <c r="AB52" s="372"/>
      <c r="AC52" s="473" t="str">
        <f t="shared" ca="1" si="6"/>
        <v/>
      </c>
      <c r="AD52" s="474" t="str">
        <f t="shared" ca="1" si="1"/>
        <v/>
      </c>
      <c r="AE52" s="474" t="str">
        <f t="shared" ca="1" si="11"/>
        <v/>
      </c>
      <c r="AF52" s="475" t="str">
        <f t="shared" ca="1" si="12"/>
        <v/>
      </c>
      <c r="AG52" s="367">
        <f t="shared" ca="1" si="8"/>
        <v>22.486308605165334</v>
      </c>
      <c r="AH52" s="476" t="str">
        <f t="shared" ca="1" si="3"/>
        <v/>
      </c>
      <c r="AI52" s="477" t="str">
        <f t="shared" ca="1" si="13"/>
        <v/>
      </c>
      <c r="AJ52" s="356"/>
    </row>
    <row r="53" spans="2:36" ht="26.25" customHeight="1">
      <c r="B53" s="445">
        <v>10</v>
      </c>
      <c r="C53" s="351">
        <f>IF(VLOOKUP(B53,PROPONENTES!$B$19:$E$109,2,0)="","",VLOOKUP(B53,PROPONENTES!$B$19:$E$109,2,0))</f>
        <v>10</v>
      </c>
      <c r="D53" s="352" t="str">
        <f>IF(VLOOKUP(B53,PROPONENTES!$B$19:$E$108,3,0)="","",VLOOKUP(B53,PROPONENTES!$B$19:$E$108,3,0))</f>
        <v>R&amp;M CONSTRUCCIONES E INTERVENTORIAS S.A.S</v>
      </c>
      <c r="E53" s="353" t="str">
        <f>IF(ISNUMBER(D53),"",IF(VLOOKUP(B53,PROPONENTES!$B$19:$E$108,4,0)="","",IF(VLOOKUP(B53,PROPONENTES!$B$19:$E$108,4,0)&gt;1,"SI","NO")))</f>
        <v>NO</v>
      </c>
      <c r="F53" s="65" t="str">
        <f>IF(ISNUMBER(D53),"",IF(AND(VLOOKUP(B53,'HAB.GEN.'!$B$19:$L$108,8)="HÁBIL",VLOOKUP(B53,'HAB.GEN.'!$B$19:$L$108,10)&lt;&gt;"RECHAZO",VLOOKUP(B53,'HAB.GEN.'!$B$19:$L$108,10)&lt;&gt;"NO HÁBIL",VLOOKUP(B53,'HAB.GEN.'!$C$19:$L$108,9)="HÁBIL"),"CUMPLE","NO CUMPLE"))</f>
        <v>CUMPLE</v>
      </c>
      <c r="G53" s="365">
        <f>IF(ISNUMBER(D53),"",IF(B53&lt;&gt;"",VLOOKUP("M"&amp;C53,EXPERIENCIA!$A$20:$Y$5935,19,0),""))</f>
        <v>1</v>
      </c>
      <c r="H53" s="354" t="str">
        <f t="shared" si="10"/>
        <v>HÁBIL</v>
      </c>
      <c r="I53" s="366">
        <f>IF(ISNUMBER(D53),"",IF(H53="NO HÁBIL","",IF(AND(B53&lt;&gt;"",H53&lt;&gt;"NO HÁBIL"),VLOOKUP("Z"&amp;C53,EXPERIENCIA!$A$20:$Y$5935,15,FALSE),0)))</f>
        <v>647.05999999999995</v>
      </c>
      <c r="J53" s="355">
        <f t="shared" ca="1" si="4"/>
        <v>50.782287483280122</v>
      </c>
      <c r="K53" s="462">
        <f t="shared" ca="1" si="5"/>
        <v>50.782287483280122</v>
      </c>
      <c r="L53" s="372"/>
      <c r="M53" s="372"/>
      <c r="N53" s="372"/>
      <c r="O53" s="372"/>
      <c r="P53" s="372"/>
      <c r="Q53" s="372"/>
      <c r="R53" s="372"/>
      <c r="S53" s="372"/>
      <c r="T53" s="372"/>
      <c r="U53" s="372"/>
      <c r="V53" s="372"/>
      <c r="W53" s="372"/>
      <c r="X53" s="372"/>
      <c r="Y53" s="372"/>
      <c r="Z53" s="372"/>
      <c r="AA53" s="372"/>
      <c r="AB53" s="372"/>
      <c r="AC53" s="473" t="str">
        <f t="shared" ca="1" si="6"/>
        <v/>
      </c>
      <c r="AD53" s="474" t="str">
        <f t="shared" ca="1" si="1"/>
        <v/>
      </c>
      <c r="AE53" s="474" t="str">
        <f t="shared" ca="1" si="11"/>
        <v/>
      </c>
      <c r="AF53" s="475" t="str">
        <f t="shared" si="12"/>
        <v/>
      </c>
      <c r="AG53" s="367">
        <f t="shared" ca="1" si="8"/>
        <v>224.1635086051653</v>
      </c>
      <c r="AH53" s="476" t="str">
        <f t="shared" ca="1" si="3"/>
        <v/>
      </c>
      <c r="AI53" s="477" t="str">
        <f t="shared" ca="1" si="13"/>
        <v/>
      </c>
      <c r="AJ53" s="356"/>
    </row>
    <row r="54" spans="2:36" ht="26.25" customHeight="1">
      <c r="B54" s="445">
        <v>11</v>
      </c>
      <c r="C54" s="351">
        <f>IF(VLOOKUP(B54,PROPONENTES!$B$19:$E$109,2,0)="","",VLOOKUP(B54,PROPONENTES!$B$19:$E$109,2,0))</f>
        <v>11</v>
      </c>
      <c r="D54" s="352" t="str">
        <f>IF(VLOOKUP(B54,PROPONENTES!$B$19:$E$108,3,0)="","",VLOOKUP(B54,PROPONENTES!$B$19:$E$108,3,0))</f>
        <v>CUBIKO OBRAS Y CONSULTORÍAS SAS</v>
      </c>
      <c r="E54" s="353" t="str">
        <f>IF(ISNUMBER(D54),"",IF(VLOOKUP(B54,PROPONENTES!$B$19:$E$108,4,0)="","",IF(VLOOKUP(B54,PROPONENTES!$B$19:$E$108,4,0)&gt;1,"SI","NO")))</f>
        <v>NO</v>
      </c>
      <c r="F54" s="65" t="str">
        <f>IF(ISNUMBER(D54),"",IF(AND(VLOOKUP(B54,'HAB.GEN.'!$B$19:$L$108,8)="HÁBIL",VLOOKUP(B54,'HAB.GEN.'!$B$19:$L$108,10)&lt;&gt;"RECHAZO",VLOOKUP(B54,'HAB.GEN.'!$B$19:$L$108,10)&lt;&gt;"NO HÁBIL",VLOOKUP(B54,'HAB.GEN.'!$C$19:$L$108,9)="HÁBIL"),"CUMPLE","NO CUMPLE"))</f>
        <v>CUMPLE</v>
      </c>
      <c r="G54" s="365">
        <f>IF(ISNUMBER(D54),"",IF(B54&lt;&gt;"",VLOOKUP("M"&amp;C54,EXPERIENCIA!$A$20:$Y$5935,19,0),""))</f>
        <v>1</v>
      </c>
      <c r="H54" s="354" t="str">
        <f t="shared" si="10"/>
        <v>HÁBIL</v>
      </c>
      <c r="I54" s="366">
        <f>IF(ISNUMBER(D54),"",IF(H54="NO HÁBIL","",IF(AND(B54&lt;&gt;"",H54&lt;&gt;"NO HÁBIL"),VLOOKUP("Z"&amp;C54,EXPERIENCIA!$A$20:$Y$5935,15,FALSE),0)))</f>
        <v>376.18</v>
      </c>
      <c r="J54" s="355">
        <f ca="1">IF(ISNUMBER(D54),"",IF(C54&lt;&gt;"",IF(F54="NO CUMPLE",0,IF(H54="HÁBIL",IF($F$37="MEDIANA CON VALOR ABSOLUTO",$J$24*(1-ABS(($J$37-I54)/$J$37)),IF(AND($F$37="MEDIA GEOMÉTRICA",I54=$J$30),$J$24,IF($F$37="MEDIA GEOMÉTRICA",$J$24*(1-(ABS($J$37-I54)/$J$37)),IF(AND($F$37="MEDIA ARITMÉTICA ALTA",I54&lt;=$J$37),$J$24*(1-(($J$37-I54)/$J$37)),IF($F$37="MEDIA ARITMÉTICA ALTA",$J$24*(1-2*(ABS($J$37-I54)/$J$37)),IF(I54&lt;=$J$37,$J$24*(1-(($J$37-I54)/$J$37)),$J$24*(1-(ABS($J$37-I54)/$J$37)))))))),0)),""))</f>
        <v>29.52319862989571</v>
      </c>
      <c r="K54" s="462">
        <f t="shared" ca="1" si="5"/>
        <v>29.52319862989571</v>
      </c>
      <c r="L54" s="372"/>
      <c r="M54" s="372"/>
      <c r="N54" s="372"/>
      <c r="O54" s="372"/>
      <c r="P54" s="372"/>
      <c r="Q54" s="372"/>
      <c r="R54" s="372"/>
      <c r="S54" s="372"/>
      <c r="T54" s="372"/>
      <c r="U54" s="372"/>
      <c r="V54" s="372"/>
      <c r="W54" s="372"/>
      <c r="X54" s="372"/>
      <c r="Y54" s="372"/>
      <c r="Z54" s="372"/>
      <c r="AA54" s="372"/>
      <c r="AB54" s="372"/>
      <c r="AC54" s="473" t="str">
        <f t="shared" ca="1" si="6"/>
        <v/>
      </c>
      <c r="AD54" s="474" t="str">
        <f t="shared" ca="1" si="1"/>
        <v/>
      </c>
      <c r="AE54" s="474" t="str">
        <f t="shared" ca="1" si="11"/>
        <v/>
      </c>
      <c r="AF54" s="475" t="str">
        <f t="shared" si="12"/>
        <v/>
      </c>
      <c r="AG54" s="367">
        <f t="shared" ca="1" si="8"/>
        <v>46.716491394834634</v>
      </c>
      <c r="AH54" s="476" t="str">
        <f t="shared" ca="1" si="3"/>
        <v/>
      </c>
      <c r="AI54" s="477" t="str">
        <f t="shared" ca="1" si="13"/>
        <v/>
      </c>
      <c r="AJ54" s="356"/>
    </row>
    <row r="55" spans="2:36" ht="26.25" customHeight="1">
      <c r="B55" s="445">
        <v>12</v>
      </c>
      <c r="C55" s="351">
        <f>IF(VLOOKUP(B55,PROPONENTES!$B$19:$E$109,2,0)="","",VLOOKUP(B55,PROPONENTES!$B$19:$E$109,2,0))</f>
        <v>12</v>
      </c>
      <c r="D55" s="352" t="str">
        <f>IF(VLOOKUP(B55,PROPONENTES!$B$19:$E$108,3,0)="","",VLOOKUP(B55,PROPONENTES!$B$19:$E$108,3,0))</f>
        <v>CONSTRUCTORES DEL DESARROLLO TERRITORIAL CONSTRUDET Y COMPAÑÍA LTDA</v>
      </c>
      <c r="E55" s="353" t="str">
        <f>IF(ISNUMBER(D55),"",IF(VLOOKUP(B55,PROPONENTES!$B$19:$E$108,4,0)="","",IF(VLOOKUP(B55,PROPONENTES!$B$19:$E$108,4,0)&gt;1,"SI","NO")))</f>
        <v>NO</v>
      </c>
      <c r="F55" s="65" t="str">
        <f>IF(ISNUMBER(D55),"",IF(AND(VLOOKUP(B55,'HAB.GEN.'!$B$19:$L$108,8)="HÁBIL",VLOOKUP(B55,'HAB.GEN.'!$B$19:$L$108,10)&lt;&gt;"RECHAZO",VLOOKUP(B55,'HAB.GEN.'!$B$19:$L$108,10)&lt;&gt;"NO HÁBIL",VLOOKUP(B55,'HAB.GEN.'!$C$19:$L$108,9)="HÁBIL"),"CUMPLE","NO CUMPLE"))</f>
        <v>CUMPLE</v>
      </c>
      <c r="G55" s="365">
        <f>IF(ISNUMBER(D55),"",IF(B55&lt;&gt;"",VLOOKUP("M"&amp;C55,EXPERIENCIA!$A$20:$Y$5935,19,0),""))</f>
        <v>3</v>
      </c>
      <c r="H55" s="354" t="str">
        <f t="shared" si="10"/>
        <v>HÁBIL</v>
      </c>
      <c r="I55" s="366">
        <f>IF(ISNUMBER(D55),"",IF(H55="NO HÁBIL","",IF(AND(B55&lt;&gt;"",H55&lt;&gt;"NO HÁBIL"),VLOOKUP("Z"&amp;C55,EXPERIENCIA!$A$20:$Y$5935,15,FALSE),0)))</f>
        <v>449.83566666666661</v>
      </c>
      <c r="J55" s="355">
        <f t="shared" ca="1" si="4"/>
        <v>35.30381130791524</v>
      </c>
      <c r="K55" s="462">
        <f t="shared" ca="1" si="5"/>
        <v>35.30381130791524</v>
      </c>
      <c r="L55" s="372"/>
      <c r="M55" s="372"/>
      <c r="N55" s="372"/>
      <c r="O55" s="372"/>
      <c r="P55" s="372"/>
      <c r="Q55" s="372"/>
      <c r="R55" s="372"/>
      <c r="S55" s="372"/>
      <c r="T55" s="372"/>
      <c r="U55" s="372"/>
      <c r="V55" s="372"/>
      <c r="W55" s="372"/>
      <c r="X55" s="372"/>
      <c r="Y55" s="372"/>
      <c r="Z55" s="372"/>
      <c r="AA55" s="372"/>
      <c r="AB55" s="372"/>
      <c r="AC55" s="473" t="str">
        <f t="shared" ca="1" si="6"/>
        <v/>
      </c>
      <c r="AD55" s="474" t="str">
        <f t="shared" ca="1" si="1"/>
        <v/>
      </c>
      <c r="AE55" s="474" t="str">
        <f t="shared" ca="1" si="11"/>
        <v/>
      </c>
      <c r="AF55" s="475" t="str">
        <f t="shared" si="12"/>
        <v/>
      </c>
      <c r="AG55" s="367">
        <f t="shared" ca="1" si="8"/>
        <v>26.939175271831971</v>
      </c>
      <c r="AH55" s="476" t="str">
        <f t="shared" ca="1" si="3"/>
        <v/>
      </c>
      <c r="AI55" s="477" t="str">
        <f t="shared" ca="1" si="13"/>
        <v/>
      </c>
      <c r="AJ55" s="356"/>
    </row>
    <row r="56" spans="2:36" ht="26.25" customHeight="1">
      <c r="B56" s="445">
        <v>13</v>
      </c>
      <c r="C56" s="351">
        <f>IF(VLOOKUP(B56,PROPONENTES!$B$19:$E$109,2,0)="","",VLOOKUP(B56,PROPONENTES!$B$19:$E$109,2,0))</f>
        <v>13</v>
      </c>
      <c r="D56" s="352" t="str">
        <f>IF(VLOOKUP(B56,PROPONENTES!$B$19:$E$108,3,0)="","",VLOOKUP(B56,PROPONENTES!$B$19:$E$108,3,0))</f>
        <v>NICOLAS REDONDO MOLINA</v>
      </c>
      <c r="E56" s="353" t="str">
        <f>IF(ISNUMBER(D56),"",IF(VLOOKUP(B56,PROPONENTES!$B$19:$E$108,4,0)="","",IF(VLOOKUP(B56,PROPONENTES!$B$19:$E$108,4,0)&gt;1,"SI","NO")))</f>
        <v>NO</v>
      </c>
      <c r="F56" s="65" t="str">
        <f>IF(ISNUMBER(D56),"",IF(AND(VLOOKUP(B56,'HAB.GEN.'!$B$19:$L$108,8)="HÁBIL",VLOOKUP(B56,'HAB.GEN.'!$B$19:$L$108,10)&lt;&gt;"RECHAZO",VLOOKUP(B56,'HAB.GEN.'!$B$19:$L$108,10)&lt;&gt;"NO HÁBIL",VLOOKUP(B56,'HAB.GEN.'!$C$19:$L$108,9)="HÁBIL"),"CUMPLE","NO CUMPLE"))</f>
        <v>CUMPLE</v>
      </c>
      <c r="G56" s="365">
        <f>IF(ISNUMBER(D56),"",IF(B56&lt;&gt;"",VLOOKUP("M"&amp;C56,EXPERIENCIA!$A$20:$Y$5935,19,0),""))</f>
        <v>1</v>
      </c>
      <c r="H56" s="354" t="str">
        <f t="shared" si="10"/>
        <v>HÁBIL</v>
      </c>
      <c r="I56" s="366">
        <f>IF(ISNUMBER(D56),"",IF(H56="NO HÁBIL","",IF(AND(B56&lt;&gt;"",H56&lt;&gt;"NO HÁBIL"),VLOOKUP("Z"&amp;C56,EXPERIENCIA!$A$20:$Y$5935,15,FALSE),0)))</f>
        <v>432.20100000000002</v>
      </c>
      <c r="J56" s="355">
        <f t="shared" ca="1" si="4"/>
        <v>33.919814905203772</v>
      </c>
      <c r="K56" s="462">
        <f ca="1">IF(C56&lt;&gt;"",IF(F56="NO CUMPLE",0,IF(H56="HÁBIL",IF($F$37="MEDIANA CON VALOR ABSOLUTO",IF($J$24*(1-ABS(($J$37-I56)/$J$37))&lt;0,0,$J$24*(1-ABS(($J$37-I56)/$J$37))),IF(AND($F$37="MEDIA GEOMÉTRICA",I56=$J$30),$J$24,IF($F$37="MEDIA GEOMÉTRICA",IF($J$24*(1-(ABS($J$37-I56)/$J$37))&lt;0,0,$J$24*(1-(ABS($J$37-I56)/$J$37))),IF(AND($F$37="MEDIA ARITMÉTICA ALTA",I56&lt;=$J$37),IF($J$24*(1-(($J$37-I56)/$J$37))&lt;0,0,$J$24*(1-(($J$37-I56)/$J$37))),IF($F$37="MEDIA ARITMÉTICA ALTA",IF($J$24*(1-2*(ABS($J$37-I56)/$J$37))&lt;0,0,$J$24*(1-2*(ABS($J$37-I56)/$J$37))),IF(I56&lt;=$J$37,IF($J$24*(1-(($J$37-I56)/$J$37))&lt;0,0,$J$24*(1-(($J$37-I56)/$J$37))),IF($J$24*(1-(ABS($J$37-I56)/$J$37))&lt;0,0,$J$24*(1-(ABS($J$37-I56)/$J$37))))))))),0)),"")</f>
        <v>33.919814905203772</v>
      </c>
      <c r="L56" s="372"/>
      <c r="M56" s="372"/>
      <c r="N56" s="372"/>
      <c r="O56" s="372"/>
      <c r="P56" s="372"/>
      <c r="Q56" s="372"/>
      <c r="R56" s="372"/>
      <c r="S56" s="372"/>
      <c r="T56" s="372"/>
      <c r="U56" s="372"/>
      <c r="V56" s="372"/>
      <c r="W56" s="372"/>
      <c r="X56" s="372"/>
      <c r="Y56" s="372"/>
      <c r="Z56" s="372"/>
      <c r="AA56" s="372"/>
      <c r="AB56" s="372"/>
      <c r="AC56" s="473" t="str">
        <f t="shared" ca="1" si="6"/>
        <v/>
      </c>
      <c r="AD56" s="474" t="str">
        <f t="shared" ca="1" si="1"/>
        <v/>
      </c>
      <c r="AE56" s="474" t="str">
        <f t="shared" ca="1" si="11"/>
        <v/>
      </c>
      <c r="AF56" s="475" t="str">
        <f t="shared" si="12"/>
        <v/>
      </c>
      <c r="AG56" s="367">
        <f t="shared" ca="1" si="8"/>
        <v>9.3045086051653811</v>
      </c>
      <c r="AH56" s="476" t="str">
        <f t="shared" ca="1" si="3"/>
        <v/>
      </c>
      <c r="AI56" s="477" t="str">
        <f t="shared" ca="1" si="13"/>
        <v/>
      </c>
      <c r="AJ56" s="356"/>
    </row>
    <row r="57" spans="2:36" ht="26.25" customHeight="1">
      <c r="B57" s="445">
        <v>14</v>
      </c>
      <c r="C57" s="351">
        <f>IF(VLOOKUP(B57,PROPONENTES!$B$19:$E$109,2,0)="","",VLOOKUP(B57,PROPONENTES!$B$19:$E$109,2,0))</f>
        <v>14</v>
      </c>
      <c r="D57" s="352" t="str">
        <f>IF(VLOOKUP(B57,PROPONENTES!$B$19:$E$108,3,0)="","",VLOOKUP(B57,PROPONENTES!$B$19:$E$108,3,0))</f>
        <v>CONSORCIO INTER CB 2022</v>
      </c>
      <c r="E57" s="353" t="str">
        <f>IF(ISNUMBER(D57),"",IF(VLOOKUP(B57,PROPONENTES!$B$19:$E$108,4,0)="","",IF(VLOOKUP(B57,PROPONENTES!$B$19:$E$108,4,0)&gt;1,"SI","NO")))</f>
        <v>SI</v>
      </c>
      <c r="F57" s="65" t="str">
        <f ca="1">IF(ISNUMBER(D57),"",IF(AND(VLOOKUP(B57,'HAB.GEN.'!$B$19:$L$108,8)="HÁBIL",VLOOKUP(B57,'HAB.GEN.'!$B$19:$L$108,10)&lt;&gt;"RECHAZO",VLOOKUP(B57,'HAB.GEN.'!$B$19:$L$108,10)&lt;&gt;"NO HÁBIL",VLOOKUP(B57,'HAB.GEN.'!$C$19:$L$108,9)="HÁBIL"),"CUMPLE","NO CUMPLE"))</f>
        <v>CUMPLE</v>
      </c>
      <c r="G57" s="365">
        <f>IF(ISNUMBER(D57),"",IF(B57&lt;&gt;"",VLOOKUP("M"&amp;C57,EXPERIENCIA!$A$20:$Y$5935,19,0),""))</f>
        <v>3</v>
      </c>
      <c r="H57" s="354" t="str">
        <f t="shared" ca="1" si="10"/>
        <v>HÁBIL</v>
      </c>
      <c r="I57" s="366">
        <f ca="1">IF(ISNUMBER(D57),"",IF(H57="NO HÁBIL","",IF(AND(B57&lt;&gt;"",H57&lt;&gt;"NO HÁBIL"),VLOOKUP("Z"&amp;C57,EXPERIENCIA!$A$20:$Y$5935,15,FALSE),0)))</f>
        <v>506.03833333333336</v>
      </c>
      <c r="J57" s="355">
        <f t="shared" ca="1" si="4"/>
        <v>39.714685069225837</v>
      </c>
      <c r="K57" s="462">
        <f t="shared" ca="1" si="5"/>
        <v>39.714685069225837</v>
      </c>
      <c r="L57" s="372"/>
      <c r="M57" s="372"/>
      <c r="N57" s="372"/>
      <c r="O57" s="372"/>
      <c r="P57" s="372"/>
      <c r="Q57" s="372"/>
      <c r="R57" s="372"/>
      <c r="S57" s="372"/>
      <c r="T57" s="372"/>
      <c r="U57" s="372"/>
      <c r="V57" s="372"/>
      <c r="W57" s="372"/>
      <c r="X57" s="372"/>
      <c r="Y57" s="372"/>
      <c r="Z57" s="372"/>
      <c r="AA57" s="372"/>
      <c r="AB57" s="372"/>
      <c r="AC57" s="473" t="str">
        <f t="shared" ca="1" si="6"/>
        <v/>
      </c>
      <c r="AD57" s="474" t="str">
        <f t="shared" ca="1" si="1"/>
        <v/>
      </c>
      <c r="AE57" s="474" t="str">
        <f t="shared" ca="1" si="11"/>
        <v/>
      </c>
      <c r="AF57" s="475" t="str">
        <f t="shared" ca="1" si="12"/>
        <v/>
      </c>
      <c r="AG57" s="367">
        <f t="shared" ca="1" si="8"/>
        <v>83.141841938498715</v>
      </c>
      <c r="AH57" s="476" t="str">
        <f t="shared" ca="1" si="3"/>
        <v/>
      </c>
      <c r="AI57" s="477" t="str">
        <f t="shared" ca="1" si="13"/>
        <v/>
      </c>
      <c r="AJ57" s="356"/>
    </row>
    <row r="58" spans="2:36" ht="26.25" customHeight="1">
      <c r="B58" s="445">
        <v>15</v>
      </c>
      <c r="C58" s="351">
        <f>IF(VLOOKUP(B58,PROPONENTES!$B$19:$E$109,2,0)="","",VLOOKUP(B58,PROPONENTES!$B$19:$E$109,2,0))</f>
        <v>15</v>
      </c>
      <c r="D58" s="352" t="str">
        <f>IF(VLOOKUP(B58,PROPONENTES!$B$19:$E$108,3,0)="","",VLOOKUP(B58,PROPONENTES!$B$19:$E$108,3,0))</f>
        <v>EMPROCIV SAS</v>
      </c>
      <c r="E58" s="353" t="str">
        <f>IF(ISNUMBER(D58),"",IF(VLOOKUP(B58,PROPONENTES!$B$19:$E$108,4,0)="","",IF(VLOOKUP(B58,PROPONENTES!$B$19:$E$108,4,0)&gt;1,"SI","NO")))</f>
        <v>NO</v>
      </c>
      <c r="F58" s="65" t="str">
        <f>IF(ISNUMBER(D58),"",IF(AND(VLOOKUP(B58,'HAB.GEN.'!$B$19:$L$108,8)="HÁBIL",VLOOKUP(B58,'HAB.GEN.'!$B$19:$L$108,10)&lt;&gt;"RECHAZO",VLOOKUP(B58,'HAB.GEN.'!$B$19:$L$108,10)&lt;&gt;"NO HÁBIL",VLOOKUP(B58,'HAB.GEN.'!$C$19:$L$108,9)="HÁBIL"),"CUMPLE","NO CUMPLE"))</f>
        <v>CUMPLE</v>
      </c>
      <c r="G58" s="365">
        <f>IF(ISNUMBER(D58),"",IF(B58&lt;&gt;"",VLOOKUP("M"&amp;C58,EXPERIENCIA!$A$20:$Y$5935,19,0),""))</f>
        <v>2</v>
      </c>
      <c r="H58" s="354" t="str">
        <f t="shared" si="10"/>
        <v>HÁBIL</v>
      </c>
      <c r="I58" s="366">
        <f>IF(ISNUMBER(D58),"",IF(H58="NO HÁBIL","",IF(AND(B58&lt;&gt;"",H58&lt;&gt;"NO HÁBIL"),VLOOKUP("Z"&amp;C58,EXPERIENCIA!$A$20:$Y$5935,15,FALSE),0)))</f>
        <v>570.69000000000005</v>
      </c>
      <c r="J58" s="355">
        <f ca="1">IF(ISNUMBER(D58),"",IF(C58&lt;&gt;"",IF(F58="NO CUMPLE",0,IF(H58="HÁBIL",IF($F$37="MEDIANA CON VALOR ABSOLUTO",$J$24*(1-ABS(($J$37-I58)/$J$37)),IF(AND($F$37="MEDIA GEOMÉTRICA",I58=$J$30),$J$24,IF($F$37="MEDIA GEOMÉTRICA",$J$24*(1-(ABS($J$37-I58)/$J$37)),IF(AND($F$37="MEDIA ARITMÉTICA ALTA",I58&lt;=$J$37),$J$24*(1-(($J$37-I58)/$J$37)),IF($F$37="MEDIA ARITMÉTICA ALTA",$J$24*(1-2*(ABS($J$37-I58)/$J$37)),IF(I58&lt;=$J$37,$J$24*(1-(($J$37-I58)/$J$37)),$J$24*(1-(ABS($J$37-I58)/$J$37)))))))),0)),""))</f>
        <v>44.788649652015486</v>
      </c>
      <c r="K58" s="462">
        <f t="shared" ca="1" si="5"/>
        <v>44.788649652015486</v>
      </c>
      <c r="L58" s="372"/>
      <c r="M58" s="372"/>
      <c r="N58" s="372"/>
      <c r="O58" s="372"/>
      <c r="P58" s="372"/>
      <c r="Q58" s="372"/>
      <c r="R58" s="372"/>
      <c r="S58" s="372"/>
      <c r="T58" s="372"/>
      <c r="U58" s="372"/>
      <c r="V58" s="372"/>
      <c r="W58" s="372"/>
      <c r="X58" s="372"/>
      <c r="Y58" s="372"/>
      <c r="Z58" s="372"/>
      <c r="AA58" s="372"/>
      <c r="AB58" s="372"/>
      <c r="AC58" s="473" t="str">
        <f t="shared" ca="1" si="6"/>
        <v/>
      </c>
      <c r="AD58" s="474" t="str">
        <f t="shared" ca="1" si="1"/>
        <v/>
      </c>
      <c r="AE58" s="474" t="str">
        <f t="shared" ca="1" si="11"/>
        <v/>
      </c>
      <c r="AF58" s="475" t="str">
        <f t="shared" si="12"/>
        <v/>
      </c>
      <c r="AG58" s="367">
        <f t="shared" ca="1" si="8"/>
        <v>147.79350860516541</v>
      </c>
      <c r="AH58" s="476" t="str">
        <f t="shared" ca="1" si="3"/>
        <v/>
      </c>
      <c r="AI58" s="477" t="str">
        <f t="shared" ca="1" si="13"/>
        <v/>
      </c>
      <c r="AJ58" s="356"/>
    </row>
    <row r="59" spans="2:36" ht="26.25" customHeight="1">
      <c r="B59" s="445">
        <v>16</v>
      </c>
      <c r="C59" s="351">
        <f>IF(VLOOKUP(B59,PROPONENTES!$B$19:$E$109,2,0)="","",VLOOKUP(B59,PROPONENTES!$B$19:$E$109,2,0))</f>
        <v>16</v>
      </c>
      <c r="D59" s="352" t="str">
        <f>IF(VLOOKUP(B59,PROPONENTES!$B$19:$E$108,3,0)="","",VLOOKUP(B59,PROPONENTES!$B$19:$E$108,3,0))</f>
        <v>CONSORCIO CAMCO</v>
      </c>
      <c r="E59" s="353" t="str">
        <f>IF(ISNUMBER(D59),"",IF(VLOOKUP(B59,PROPONENTES!$B$19:$E$108,4,0)="","",IF(VLOOKUP(B59,PROPONENTES!$B$19:$E$108,4,0)&gt;1,"SI","NO")))</f>
        <v>SI</v>
      </c>
      <c r="F59" s="65" t="str">
        <f ca="1">IF(ISNUMBER(D59),"",IF(AND(VLOOKUP(B59,'HAB.GEN.'!$B$19:$L$108,8)="HÁBIL",VLOOKUP(B59,'HAB.GEN.'!$B$19:$L$108,10)&lt;&gt;"RECHAZO",VLOOKUP(B59,'HAB.GEN.'!$B$19:$L$108,10)&lt;&gt;"NO HÁBIL",VLOOKUP(B59,'HAB.GEN.'!$C$19:$L$108,9)="HÁBIL"),"CUMPLE","NO CUMPLE"))</f>
        <v>CUMPLE</v>
      </c>
      <c r="G59" s="365">
        <f>IF(ISNUMBER(D59),"",IF(B59&lt;&gt;"",VLOOKUP("M"&amp;C59,EXPERIENCIA!$A$20:$Y$5935,19,0),""))</f>
        <v>4</v>
      </c>
      <c r="H59" s="354" t="str">
        <f t="shared" ca="1" si="10"/>
        <v>HÁBIL</v>
      </c>
      <c r="I59" s="366">
        <f ca="1">IF(ISNUMBER(D59),"",IF(H59="NO HÁBIL","",IF(AND(B59&lt;&gt;"",H59&lt;&gt;"NO HÁBIL"),VLOOKUP("Z"&amp;C59,EXPERIENCIA!$A$20:$Y$5935,15,FALSE),0)))</f>
        <v>487.52764999999999</v>
      </c>
      <c r="J59" s="355">
        <f t="shared" ca="1" si="4"/>
        <v>38.261937499378689</v>
      </c>
      <c r="K59" s="462">
        <f t="shared" ca="1" si="5"/>
        <v>38.261937499378689</v>
      </c>
      <c r="L59" s="425"/>
      <c r="M59" s="425"/>
      <c r="N59" s="425"/>
      <c r="O59" s="425"/>
      <c r="P59" s="425"/>
      <c r="Q59" s="425"/>
      <c r="R59" s="425"/>
      <c r="S59" s="425"/>
      <c r="T59" s="425"/>
      <c r="U59" s="425"/>
      <c r="V59" s="425"/>
      <c r="W59" s="425"/>
      <c r="X59" s="425"/>
      <c r="Y59" s="425"/>
      <c r="Z59" s="425"/>
      <c r="AA59" s="425"/>
      <c r="AB59" s="372"/>
      <c r="AC59" s="473" t="str">
        <f t="shared" ca="1" si="6"/>
        <v/>
      </c>
      <c r="AD59" s="474" t="str">
        <f t="shared" ca="1" si="1"/>
        <v/>
      </c>
      <c r="AE59" s="474" t="str">
        <f t="shared" ca="1" si="11"/>
        <v/>
      </c>
      <c r="AF59" s="475" t="str">
        <f t="shared" ca="1" si="12"/>
        <v/>
      </c>
      <c r="AG59" s="367">
        <f t="shared" ca="1" si="8"/>
        <v>64.631158605165353</v>
      </c>
      <c r="AH59" s="476" t="str">
        <f t="shared" ca="1" si="3"/>
        <v/>
      </c>
      <c r="AI59" s="477" t="str">
        <f t="shared" ca="1" si="13"/>
        <v/>
      </c>
      <c r="AJ59" s="356"/>
    </row>
    <row r="60" spans="2:36" ht="26.25" customHeight="1">
      <c r="B60" s="445">
        <v>17</v>
      </c>
      <c r="C60" s="351">
        <f>IF(VLOOKUP(B60,PROPONENTES!$B$19:$E$109,2,0)="","",VLOOKUP(B60,PROPONENTES!$B$19:$E$109,2,0))</f>
        <v>17</v>
      </c>
      <c r="D60" s="352" t="str">
        <f>IF(VLOOKUP(B60,PROPONENTES!$B$19:$E$108,3,0)="","",VLOOKUP(B60,PROPONENTES!$B$19:$E$108,3,0))</f>
        <v>ARCA AQUITECTURA E INGENIERÍA S.A</v>
      </c>
      <c r="E60" s="353" t="str">
        <f>IF(ISNUMBER(D60),"",IF(VLOOKUP(B60,PROPONENTES!$B$19:$E$108,4,0)="","",IF(VLOOKUP(B60,PROPONENTES!$B$19:$E$108,4,0)&gt;1,"SI","NO")))</f>
        <v>NO</v>
      </c>
      <c r="F60" s="65" t="str">
        <f>IF(ISNUMBER(D60),"",IF(AND(VLOOKUP(B60,'HAB.GEN.'!$B$19:$L$108,8)="HÁBIL",VLOOKUP(B60,'HAB.GEN.'!$B$19:$L$108,10)&lt;&gt;"RECHAZO",VLOOKUP(B60,'HAB.GEN.'!$B$19:$L$108,10)&lt;&gt;"NO HÁBIL",VLOOKUP(B60,'HAB.GEN.'!$C$19:$L$108,9)="HÁBIL"),"CUMPLE","NO CUMPLE"))</f>
        <v>CUMPLE</v>
      </c>
      <c r="G60" s="365">
        <f>IF(ISNUMBER(D60),"",IF(B60&lt;&gt;"",VLOOKUP("M"&amp;C60,EXPERIENCIA!$A$20:$Y$5935,19,0),""))</f>
        <v>2</v>
      </c>
      <c r="H60" s="354" t="str">
        <f t="shared" si="10"/>
        <v>HÁBIL</v>
      </c>
      <c r="I60" s="366">
        <f>IF(ISNUMBER(D60),"",IF(H60="NO HÁBIL","",IF(AND(B60&lt;&gt;"",H60&lt;&gt;"NO HÁBIL"),VLOOKUP("Z"&amp;C60,EXPERIENCIA!$A$20:$Y$5935,15,FALSE),0)))</f>
        <v>481.59399999999999</v>
      </c>
      <c r="J60" s="355">
        <f t="shared" ca="1" si="4"/>
        <v>37.796255305880145</v>
      </c>
      <c r="K60" s="462">
        <f t="shared" ca="1" si="5"/>
        <v>37.796255305880145</v>
      </c>
      <c r="L60" s="372"/>
      <c r="M60" s="372"/>
      <c r="N60" s="372"/>
      <c r="O60" s="372"/>
      <c r="P60" s="372"/>
      <c r="Q60" s="372"/>
      <c r="R60" s="372"/>
      <c r="S60" s="372"/>
      <c r="T60" s="372"/>
      <c r="U60" s="372"/>
      <c r="V60" s="372"/>
      <c r="W60" s="372"/>
      <c r="X60" s="372"/>
      <c r="Y60" s="372"/>
      <c r="Z60" s="372"/>
      <c r="AA60" s="372"/>
      <c r="AB60" s="372"/>
      <c r="AC60" s="473" t="str">
        <f t="shared" ca="1" si="6"/>
        <v/>
      </c>
      <c r="AD60" s="474" t="str">
        <f t="shared" ca="1" si="1"/>
        <v/>
      </c>
      <c r="AE60" s="474" t="str">
        <f t="shared" ca="1" si="11"/>
        <v/>
      </c>
      <c r="AF60" s="475" t="str">
        <f t="shared" si="12"/>
        <v/>
      </c>
      <c r="AG60" s="367">
        <f t="shared" ca="1" si="8"/>
        <v>58.697508605165353</v>
      </c>
      <c r="AH60" s="476" t="str">
        <f t="shared" ca="1" si="3"/>
        <v/>
      </c>
      <c r="AI60" s="477" t="str">
        <f t="shared" ca="1" si="13"/>
        <v/>
      </c>
      <c r="AJ60" s="356"/>
    </row>
    <row r="61" spans="2:36" ht="26.25" customHeight="1">
      <c r="B61" s="445">
        <v>18</v>
      </c>
      <c r="C61" s="351">
        <f>IF(VLOOKUP(B61,PROPONENTES!$B$19:$E$109,2,0)="","",VLOOKUP(B61,PROPONENTES!$B$19:$E$109,2,0))</f>
        <v>18</v>
      </c>
      <c r="D61" s="352" t="str">
        <f>IF(VLOOKUP(B61,PROPONENTES!$B$19:$E$108,3,0)="","",VLOOKUP(B61,PROPONENTES!$B$19:$E$108,3,0))</f>
        <v>ALPHA INGENIERIA INTEGRAL SAS</v>
      </c>
      <c r="E61" s="353" t="str">
        <f>IF(ISNUMBER(D61),"",IF(VLOOKUP(B61,PROPONENTES!$B$19:$E$108,4,0)="","",IF(VLOOKUP(B61,PROPONENTES!$B$19:$E$108,4,0)&gt;1,"SI","NO")))</f>
        <v>NO</v>
      </c>
      <c r="F61" s="65" t="str">
        <f>IF(ISNUMBER(D61),"",IF(AND(VLOOKUP(B61,'HAB.GEN.'!$B$19:$L$108,8)="HÁBIL",VLOOKUP(B61,'HAB.GEN.'!$B$19:$L$108,10)&lt;&gt;"RECHAZO",VLOOKUP(B61,'HAB.GEN.'!$B$19:$L$108,10)&lt;&gt;"NO HÁBIL",VLOOKUP(B61,'HAB.GEN.'!$C$19:$L$108,9)="HÁBIL"),"CUMPLE","NO CUMPLE"))</f>
        <v>CUMPLE</v>
      </c>
      <c r="G61" s="365">
        <f>IF(ISNUMBER(D61),"",IF(B61&lt;&gt;"",VLOOKUP("M"&amp;C61,EXPERIENCIA!$A$20:$Y$5935,19,0),""))</f>
        <v>1</v>
      </c>
      <c r="H61" s="354" t="str">
        <f t="shared" si="10"/>
        <v>HÁBIL</v>
      </c>
      <c r="I61" s="366">
        <f>IF(ISNUMBER(D61),"",IF(H61="NO HÁBIL","",IF(AND(B61&lt;&gt;"",H61&lt;&gt;"NO HÁBIL"),VLOOKUP("Z"&amp;C61,EXPERIENCIA!$A$20:$Y$5935,15,FALSE),0)))</f>
        <v>482.98</v>
      </c>
      <c r="J61" s="355">
        <f t="shared" ca="1" si="4"/>
        <v>37.905030767895774</v>
      </c>
      <c r="K61" s="462">
        <f t="shared" ca="1" si="5"/>
        <v>37.905030767895774</v>
      </c>
      <c r="L61" s="372"/>
      <c r="M61" s="372"/>
      <c r="N61" s="372"/>
      <c r="O61" s="372"/>
      <c r="P61" s="372"/>
      <c r="Q61" s="372"/>
      <c r="R61" s="372"/>
      <c r="S61" s="372"/>
      <c r="T61" s="372"/>
      <c r="U61" s="372"/>
      <c r="V61" s="372"/>
      <c r="W61" s="372"/>
      <c r="X61" s="372"/>
      <c r="Y61" s="372"/>
      <c r="Z61" s="372"/>
      <c r="AA61" s="372"/>
      <c r="AB61" s="372"/>
      <c r="AC61" s="473" t="str">
        <f t="shared" ca="1" si="6"/>
        <v/>
      </c>
      <c r="AD61" s="474" t="str">
        <f t="shared" ca="1" si="1"/>
        <v/>
      </c>
      <c r="AE61" s="474" t="str">
        <f t="shared" ca="1" si="11"/>
        <v/>
      </c>
      <c r="AF61" s="475" t="str">
        <f t="shared" si="12"/>
        <v/>
      </c>
      <c r="AG61" s="367">
        <f t="shared" ca="1" si="8"/>
        <v>60.083508605165378</v>
      </c>
      <c r="AH61" s="476" t="str">
        <f t="shared" ca="1" si="3"/>
        <v/>
      </c>
      <c r="AI61" s="477" t="str">
        <f t="shared" ca="1" si="13"/>
        <v/>
      </c>
      <c r="AJ61" s="356"/>
    </row>
    <row r="62" spans="2:36" ht="26.25" customHeight="1">
      <c r="B62" s="445">
        <v>19</v>
      </c>
      <c r="C62" s="351">
        <f>IF(VLOOKUP(B62,PROPONENTES!$B$19:$E$109,2,0)="","",VLOOKUP(B62,PROPONENTES!$B$19:$E$109,2,0))</f>
        <v>19</v>
      </c>
      <c r="D62" s="352" t="str">
        <f>IF(VLOOKUP(B62,PROPONENTES!$B$19:$E$108,3,0)="","",VLOOKUP(B62,PROPONENTES!$B$19:$E$108,3,0))</f>
        <v>ELSA MARIA RUEDA LANDINEZ INGENIERIA SAS</v>
      </c>
      <c r="E62" s="353" t="str">
        <f>IF(ISNUMBER(D62),"",IF(VLOOKUP(B62,PROPONENTES!$B$19:$E$108,4,0)="","",IF(VLOOKUP(B62,PROPONENTES!$B$19:$E$108,4,0)&gt;1,"SI","NO")))</f>
        <v>NO</v>
      </c>
      <c r="F62" s="65" t="str">
        <f>IF(ISNUMBER(D62),"",IF(AND(VLOOKUP(B62,'HAB.GEN.'!$B$19:$L$108,8)="HÁBIL",VLOOKUP(B62,'HAB.GEN.'!$B$19:$L$108,10)&lt;&gt;"RECHAZO",VLOOKUP(B62,'HAB.GEN.'!$B$19:$L$108,10)&lt;&gt;"NO HÁBIL",VLOOKUP(B62,'HAB.GEN.'!$C$19:$L$108,9)="HÁBIL"),"CUMPLE","NO CUMPLE"))</f>
        <v>CUMPLE</v>
      </c>
      <c r="G62" s="365">
        <f>IF(ISNUMBER(D62),"",IF(B62&lt;&gt;"",VLOOKUP("M"&amp;C62,EXPERIENCIA!$A$20:$Y$5935,19,0),""))</f>
        <v>3</v>
      </c>
      <c r="H62" s="354" t="str">
        <f t="shared" si="10"/>
        <v>HÁBIL</v>
      </c>
      <c r="I62" s="366">
        <f>IF(ISNUMBER(D62),"",IF(H62="NO HÁBIL","",IF(AND(B62&lt;&gt;"",H62&lt;&gt;"NO HÁBIL"),VLOOKUP("Z"&amp;C62,EXPERIENCIA!$A$20:$Y$5935,15,FALSE),0)))</f>
        <v>492.70333333333338</v>
      </c>
      <c r="J62" s="355">
        <f t="shared" ca="1" si="4"/>
        <v>38.668133275590719</v>
      </c>
      <c r="K62" s="462">
        <f t="shared" ca="1" si="5"/>
        <v>38.668133275590719</v>
      </c>
      <c r="L62" s="372"/>
      <c r="M62" s="372"/>
      <c r="N62" s="372"/>
      <c r="O62" s="372"/>
      <c r="P62" s="372"/>
      <c r="Q62" s="372"/>
      <c r="R62" s="372"/>
      <c r="S62" s="372"/>
      <c r="T62" s="372"/>
      <c r="U62" s="372"/>
      <c r="V62" s="372"/>
      <c r="W62" s="372"/>
      <c r="X62" s="372"/>
      <c r="Y62" s="372"/>
      <c r="Z62" s="372"/>
      <c r="AA62" s="372"/>
      <c r="AB62" s="372"/>
      <c r="AC62" s="473" t="str">
        <f t="shared" ca="1" si="6"/>
        <v/>
      </c>
      <c r="AD62" s="474" t="str">
        <f t="shared" ca="1" si="1"/>
        <v/>
      </c>
      <c r="AE62" s="474" t="str">
        <f t="shared" ca="1" si="11"/>
        <v/>
      </c>
      <c r="AF62" s="475" t="str">
        <f t="shared" si="12"/>
        <v/>
      </c>
      <c r="AG62" s="367">
        <f t="shared" ca="1" si="8"/>
        <v>69.806841938498735</v>
      </c>
      <c r="AH62" s="476" t="str">
        <f t="shared" ca="1" si="3"/>
        <v/>
      </c>
      <c r="AI62" s="477" t="str">
        <f t="shared" ca="1" si="13"/>
        <v/>
      </c>
      <c r="AJ62" s="356"/>
    </row>
    <row r="63" spans="2:36" ht="26.25" customHeight="1">
      <c r="B63" s="445">
        <v>20</v>
      </c>
      <c r="C63" s="351">
        <f>IF(VLOOKUP(B63,PROPONENTES!$B$19:$E$109,2,0)="","",VLOOKUP(B63,PROPONENTES!$B$19:$E$109,2,0))</f>
        <v>20</v>
      </c>
      <c r="D63" s="352" t="str">
        <f>IF(VLOOKUP(B63,PROPONENTES!$B$19:$E$108,3,0)="","",VLOOKUP(B63,PROPONENTES!$B$19:$E$108,3,0))</f>
        <v>PROES INGENIERÍA S.A.S</v>
      </c>
      <c r="E63" s="353" t="str">
        <f>IF(ISNUMBER(D63),"",IF(VLOOKUP(B63,PROPONENTES!$B$19:$E$108,4,0)="","",IF(VLOOKUP(B63,PROPONENTES!$B$19:$E$108,4,0)&gt;1,"SI","NO")))</f>
        <v>NO</v>
      </c>
      <c r="F63" s="65" t="str">
        <f>IF(ISNUMBER(D63),"",IF(AND(VLOOKUP(B63,'HAB.GEN.'!$B$19:$L$108,8)="HÁBIL",VLOOKUP(B63,'HAB.GEN.'!$B$19:$L$108,10)&lt;&gt;"RECHAZO",VLOOKUP(B63,'HAB.GEN.'!$B$19:$L$108,10)&lt;&gt;"NO HÁBIL",VLOOKUP(B63,'HAB.GEN.'!$C$19:$L$108,9)="HÁBIL"),"CUMPLE","NO CUMPLE"))</f>
        <v>CUMPLE</v>
      </c>
      <c r="G63" s="365">
        <f>IF(ISNUMBER(D63),"",IF(B63&lt;&gt;"",VLOOKUP("M"&amp;C63,EXPERIENCIA!$A$20:$Y$5935,19,0),""))</f>
        <v>3</v>
      </c>
      <c r="H63" s="354" t="str">
        <f t="shared" si="10"/>
        <v>HÁBIL</v>
      </c>
      <c r="I63" s="366">
        <f>IF(ISNUMBER(D63),"",IF(H63="NO HÁBIL","",IF(AND(B63&lt;&gt;"",H63&lt;&gt;"NO HÁBIL"),VLOOKUP("Z"&amp;C63,EXPERIENCIA!$A$20:$Y$5935,15,FALSE),0)))</f>
        <v>679.53470000000004</v>
      </c>
      <c r="J63" s="355">
        <f t="shared" ca="1" si="4"/>
        <v>53.330953065039594</v>
      </c>
      <c r="K63" s="462">
        <f t="shared" ca="1" si="5"/>
        <v>53.330953065039594</v>
      </c>
      <c r="L63" s="372"/>
      <c r="M63" s="372"/>
      <c r="N63" s="372"/>
      <c r="O63" s="372"/>
      <c r="P63" s="372"/>
      <c r="Q63" s="372"/>
      <c r="R63" s="372"/>
      <c r="S63" s="372"/>
      <c r="T63" s="372"/>
      <c r="U63" s="372"/>
      <c r="V63" s="372"/>
      <c r="W63" s="372"/>
      <c r="X63" s="372"/>
      <c r="Y63" s="372"/>
      <c r="Z63" s="372"/>
      <c r="AA63" s="372"/>
      <c r="AB63" s="372"/>
      <c r="AC63" s="473" t="str">
        <f t="shared" ca="1" si="6"/>
        <v/>
      </c>
      <c r="AD63" s="474" t="str">
        <f t="shared" ca="1" si="1"/>
        <v/>
      </c>
      <c r="AE63" s="474" t="str">
        <f t="shared" ca="1" si="11"/>
        <v/>
      </c>
      <c r="AF63" s="475" t="str">
        <f t="shared" si="12"/>
        <v/>
      </c>
      <c r="AG63" s="367">
        <f t="shared" ca="1" si="8"/>
        <v>256.6382086051654</v>
      </c>
      <c r="AH63" s="476" t="str">
        <f t="shared" ca="1" si="3"/>
        <v/>
      </c>
      <c r="AI63" s="477" t="str">
        <f t="shared" ca="1" si="13"/>
        <v/>
      </c>
      <c r="AJ63" s="356"/>
    </row>
    <row r="64" spans="2:36" ht="26.25" customHeight="1">
      <c r="B64" s="445">
        <v>21</v>
      </c>
      <c r="C64" s="351">
        <f>IF(VLOOKUP(B64,PROPONENTES!$B$19:$E$109,2,0)="","",VLOOKUP(B64,PROPONENTES!$B$19:$E$109,2,0))</f>
        <v>21</v>
      </c>
      <c r="D64" s="352" t="str">
        <f>IF(VLOOKUP(B64,PROPONENTES!$B$19:$E$108,3,0)="","",VLOOKUP(B64,PROPONENTES!$B$19:$E$108,3,0))</f>
        <v>INGENIEROS CONSULTORES Y CONSTRUCTORES ARG SAS</v>
      </c>
      <c r="E64" s="353" t="str">
        <f>IF(ISNUMBER(D64),"",IF(VLOOKUP(B64,PROPONENTES!$B$19:$E$108,4,0)="","",IF(VLOOKUP(B64,PROPONENTES!$B$19:$E$108,4,0)&gt;1,"SI","NO")))</f>
        <v>NO</v>
      </c>
      <c r="F64" s="65" t="str">
        <f>IF(ISNUMBER(D64),"",IF(AND(VLOOKUP(B64,'HAB.GEN.'!$B$19:$L$108,8)="HÁBIL",VLOOKUP(B64,'HAB.GEN.'!$B$19:$L$108,10)&lt;&gt;"RECHAZO",VLOOKUP(B64,'HAB.GEN.'!$B$19:$L$108,10)&lt;&gt;"NO HÁBIL",VLOOKUP(B64,'HAB.GEN.'!$C$19:$L$108,9)="HÁBIL"),"CUMPLE","NO CUMPLE"))</f>
        <v>CUMPLE</v>
      </c>
      <c r="G64" s="365">
        <f>IF(ISNUMBER(D64),"",IF(B64&lt;&gt;"",VLOOKUP("M"&amp;C64,EXPERIENCIA!$A$20:$Y$5935,19,0),""))</f>
        <v>3</v>
      </c>
      <c r="H64" s="354" t="str">
        <f t="shared" si="10"/>
        <v>HÁBIL</v>
      </c>
      <c r="I64" s="366">
        <f>IF(ISNUMBER(D64),"",IF(H64="NO HÁBIL","",IF(AND(B64&lt;&gt;"",H64&lt;&gt;"NO HÁBIL"),VLOOKUP("Z"&amp;C64,EXPERIENCIA!$A$20:$Y$5935,15,FALSE),0)))</f>
        <v>1049.5973000000001</v>
      </c>
      <c r="J64" s="355">
        <f t="shared" ca="1" si="4"/>
        <v>42.251902975691209</v>
      </c>
      <c r="K64" s="462">
        <f t="shared" ca="1" si="5"/>
        <v>42.251902975691209</v>
      </c>
      <c r="L64" s="372"/>
      <c r="M64" s="372"/>
      <c r="N64" s="372"/>
      <c r="O64" s="372"/>
      <c r="P64" s="372"/>
      <c r="Q64" s="372"/>
      <c r="R64" s="372"/>
      <c r="S64" s="372"/>
      <c r="T64" s="372"/>
      <c r="U64" s="372"/>
      <c r="V64" s="372"/>
      <c r="W64" s="372"/>
      <c r="X64" s="372"/>
      <c r="Y64" s="372"/>
      <c r="Z64" s="372"/>
      <c r="AA64" s="372"/>
      <c r="AB64" s="372"/>
      <c r="AC64" s="473" t="str">
        <f t="shared" ca="1" si="6"/>
        <v/>
      </c>
      <c r="AD64" s="474" t="str">
        <f t="shared" ca="1" si="1"/>
        <v/>
      </c>
      <c r="AE64" s="474" t="str">
        <f t="shared" ca="1" si="11"/>
        <v/>
      </c>
      <c r="AF64" s="475" t="str">
        <f t="shared" si="12"/>
        <v/>
      </c>
      <c r="AG64" s="367">
        <f t="shared" ca="1" si="8"/>
        <v>626.70080860516555</v>
      </c>
      <c r="AH64" s="476" t="str">
        <f t="shared" ca="1" si="3"/>
        <v/>
      </c>
      <c r="AI64" s="477" t="str">
        <f t="shared" ca="1" si="13"/>
        <v/>
      </c>
      <c r="AJ64" s="356"/>
    </row>
    <row r="65" spans="2:36" ht="26.25" customHeight="1">
      <c r="B65" s="445">
        <v>22</v>
      </c>
      <c r="C65" s="351">
        <f>IF(VLOOKUP(B65,PROPONENTES!$B$19:$E$109,2,0)="","",VLOOKUP(B65,PROPONENTES!$B$19:$E$109,2,0))</f>
        <v>22</v>
      </c>
      <c r="D65" s="352" t="str">
        <f>IF(VLOOKUP(B65,PROPONENTES!$B$19:$E$108,3,0)="","",VLOOKUP(B65,PROPONENTES!$B$19:$E$108,3,0))</f>
        <v>CONSORCIO GABRIELA TOLIMA</v>
      </c>
      <c r="E65" s="353" t="str">
        <f>IF(ISNUMBER(D65),"",IF(VLOOKUP(B65,PROPONENTES!$B$19:$E$108,4,0)="","",IF(VLOOKUP(B65,PROPONENTES!$B$19:$E$108,4,0)&gt;1,"SI","NO")))</f>
        <v>SI</v>
      </c>
      <c r="F65" s="65" t="str">
        <f ca="1">IF(ISNUMBER(D65),"",IF(AND(VLOOKUP(B65,'HAB.GEN.'!$B$19:$L$108,8)="HÁBIL",VLOOKUP(B65,'HAB.GEN.'!$B$19:$L$108,10)&lt;&gt;"RECHAZO",VLOOKUP(B65,'HAB.GEN.'!$B$19:$L$108,10)&lt;&gt;"NO HÁBIL",VLOOKUP(B65,'HAB.GEN.'!$C$19:$L$108,9)="HÁBIL"),"CUMPLE","NO CUMPLE"))</f>
        <v>CUMPLE</v>
      </c>
      <c r="G65" s="365">
        <f>IF(ISNUMBER(D65),"",IF(B65&lt;&gt;"",VLOOKUP("M"&amp;C65,EXPERIENCIA!$A$20:$Y$5935,19,0),""))</f>
        <v>2</v>
      </c>
      <c r="H65" s="354" t="str">
        <f t="shared" ca="1" si="10"/>
        <v>HÁBIL</v>
      </c>
      <c r="I65" s="366">
        <f ca="1">IF(ISNUMBER(D65),"",IF(H65="NO HÁBIL","",IF(AND(B65&lt;&gt;"",H65&lt;&gt;"NO HÁBIL"),VLOOKUP("Z"&amp;C65,EXPERIENCIA!$A$20:$Y$5935,15,FALSE),0)))</f>
        <v>489.83125000000001</v>
      </c>
      <c r="J65" s="355">
        <f t="shared" ca="1" si="4"/>
        <v>38.442727653995703</v>
      </c>
      <c r="K65" s="462">
        <f t="shared" ca="1" si="5"/>
        <v>38.442727653995703</v>
      </c>
      <c r="L65" s="372"/>
      <c r="M65" s="372"/>
      <c r="N65" s="372"/>
      <c r="O65" s="372"/>
      <c r="P65" s="372"/>
      <c r="Q65" s="372"/>
      <c r="R65" s="372"/>
      <c r="S65" s="372"/>
      <c r="T65" s="372"/>
      <c r="U65" s="372"/>
      <c r="V65" s="372"/>
      <c r="W65" s="372"/>
      <c r="X65" s="372"/>
      <c r="Y65" s="372"/>
      <c r="Z65" s="372"/>
      <c r="AA65" s="372"/>
      <c r="AB65" s="372"/>
      <c r="AC65" s="473" t="str">
        <f t="shared" ca="1" si="6"/>
        <v/>
      </c>
      <c r="AD65" s="474" t="str">
        <f t="shared" ca="1" si="1"/>
        <v/>
      </c>
      <c r="AE65" s="474" t="str">
        <f t="shared" ca="1" si="11"/>
        <v/>
      </c>
      <c r="AF65" s="475" t="str">
        <f t="shared" ca="1" si="12"/>
        <v/>
      </c>
      <c r="AG65" s="367">
        <f t="shared" ca="1" si="8"/>
        <v>66.934758605165371</v>
      </c>
      <c r="AH65" s="476" t="str">
        <f t="shared" ca="1" si="3"/>
        <v/>
      </c>
      <c r="AI65" s="477" t="str">
        <f t="shared" ca="1" si="13"/>
        <v/>
      </c>
      <c r="AJ65" s="356"/>
    </row>
    <row r="66" spans="2:36" ht="26.25" customHeight="1">
      <c r="B66" s="445">
        <v>23</v>
      </c>
      <c r="C66" s="351">
        <f>IF(VLOOKUP(B66,PROPONENTES!$B$19:$E$109,2,0)="","",VLOOKUP(B66,PROPONENTES!$B$19:$E$109,2,0))</f>
        <v>23</v>
      </c>
      <c r="D66" s="352" t="str">
        <f>IF(VLOOKUP(B66,PROPONENTES!$B$19:$E$108,3,0)="","",VLOOKUP(B66,PROPONENTES!$B$19:$E$108,3,0))</f>
        <v>VELNEC S.A</v>
      </c>
      <c r="E66" s="353" t="str">
        <f>IF(ISNUMBER(D66),"",IF(VLOOKUP(B66,PROPONENTES!$B$19:$E$108,4,0)="","",IF(VLOOKUP(B66,PROPONENTES!$B$19:$E$108,4,0)&gt;1,"SI","NO")))</f>
        <v>NO</v>
      </c>
      <c r="F66" s="65" t="str">
        <f>IF(ISNUMBER(D66),"",IF(AND(VLOOKUP(B66,'HAB.GEN.'!$B$19:$L$108,8)="HÁBIL",VLOOKUP(B66,'HAB.GEN.'!$B$19:$L$108,10)&lt;&gt;"RECHAZO",VLOOKUP(B66,'HAB.GEN.'!$B$19:$L$108,10)&lt;&gt;"NO HÁBIL",VLOOKUP(B66,'HAB.GEN.'!$C$19:$L$108,9)="HÁBIL"),"CUMPLE","NO CUMPLE"))</f>
        <v>CUMPLE</v>
      </c>
      <c r="G66" s="365">
        <f>IF(ISNUMBER(D66),"",IF(B66&lt;&gt;"",VLOOKUP("M"&amp;C66,EXPERIENCIA!$A$20:$Y$5935,19,0),""))</f>
        <v>3</v>
      </c>
      <c r="H66" s="354" t="str">
        <f t="shared" si="10"/>
        <v>HÁBIL</v>
      </c>
      <c r="I66" s="366">
        <f>IF(ISNUMBER(D66),"",IF(H66="NO HÁBIL","",IF(AND(B66&lt;&gt;"",H66&lt;&gt;"NO HÁBIL"),VLOOKUP("Z"&amp;C66,EXPERIENCIA!$A$20:$Y$5935,15,FALSE),0)))</f>
        <v>462.75166666666661</v>
      </c>
      <c r="J66" s="355">
        <f t="shared" ca="1" si="4"/>
        <v>36.317479321907832</v>
      </c>
      <c r="K66" s="462">
        <f t="shared" ca="1" si="5"/>
        <v>36.317479321907832</v>
      </c>
      <c r="L66" s="372"/>
      <c r="M66" s="372"/>
      <c r="N66" s="372"/>
      <c r="O66" s="372"/>
      <c r="P66" s="372"/>
      <c r="Q66" s="372"/>
      <c r="R66" s="372"/>
      <c r="S66" s="372"/>
      <c r="T66" s="372"/>
      <c r="U66" s="372"/>
      <c r="V66" s="372"/>
      <c r="W66" s="372"/>
      <c r="X66" s="372"/>
      <c r="Y66" s="372"/>
      <c r="Z66" s="372"/>
      <c r="AA66" s="372"/>
      <c r="AB66" s="372"/>
      <c r="AC66" s="473" t="str">
        <f t="shared" ca="1" si="6"/>
        <v/>
      </c>
      <c r="AD66" s="474" t="str">
        <f t="shared" ca="1" si="1"/>
        <v/>
      </c>
      <c r="AE66" s="474" t="str">
        <f t="shared" ca="1" si="11"/>
        <v/>
      </c>
      <c r="AF66" s="475" t="str">
        <f t="shared" si="12"/>
        <v/>
      </c>
      <c r="AG66" s="367">
        <f t="shared" ca="1" si="8"/>
        <v>39.855175271831968</v>
      </c>
      <c r="AH66" s="476" t="str">
        <f t="shared" ca="1" si="3"/>
        <v/>
      </c>
      <c r="AI66" s="477" t="str">
        <f t="shared" ca="1" si="13"/>
        <v/>
      </c>
      <c r="AJ66" s="356"/>
    </row>
    <row r="67" spans="2:36" ht="26.25" customHeight="1">
      <c r="B67" s="445">
        <v>24</v>
      </c>
      <c r="C67" s="351">
        <f>IF(VLOOKUP(B67,PROPONENTES!$B$19:$E$109,2,0)="","",VLOOKUP(B67,PROPONENTES!$B$19:$E$109,2,0))</f>
        <v>24</v>
      </c>
      <c r="D67" s="352" t="str">
        <f>IF(VLOOKUP(B67,PROPONENTES!$B$19:$E$108,3,0)="","",VLOOKUP(B67,PROPONENTES!$B$19:$E$108,3,0))</f>
        <v>ARQUITECTOS  INGENIEROS CONSTRUCTORES S.A.S</v>
      </c>
      <c r="E67" s="353" t="str">
        <f>IF(ISNUMBER(D67),"",IF(VLOOKUP(B67,PROPONENTES!$B$19:$E$108,4,0)="","",IF(VLOOKUP(B67,PROPONENTES!$B$19:$E$108,4,0)&gt;1,"SI","NO")))</f>
        <v>NO</v>
      </c>
      <c r="F67" s="65" t="str">
        <f>IF(ISNUMBER(D67),"",IF(AND(VLOOKUP(B67,'HAB.GEN.'!$B$19:$L$108,8)="HÁBIL",VLOOKUP(B67,'HAB.GEN.'!$B$19:$L$108,10)&lt;&gt;"RECHAZO",VLOOKUP(B67,'HAB.GEN.'!$B$19:$L$108,10)&lt;&gt;"NO HÁBIL",VLOOKUP(B67,'HAB.GEN.'!$C$19:$L$108,9)="HÁBIL"),"CUMPLE","NO CUMPLE"))</f>
        <v>CUMPLE</v>
      </c>
      <c r="G67" s="365">
        <f>IF(ISNUMBER(D67),"",IF(B67&lt;&gt;"",VLOOKUP("M"&amp;C67,EXPERIENCIA!$A$20:$Y$5935,19,0),""))</f>
        <v>2</v>
      </c>
      <c r="H67" s="354" t="str">
        <f t="shared" si="10"/>
        <v>HÁBIL</v>
      </c>
      <c r="I67" s="366">
        <f>IF(ISNUMBER(D67),"",IF(H67="NO HÁBIL","",IF(AND(B67&lt;&gt;"",H67&lt;&gt;"NO HÁBIL"),VLOOKUP("Z"&amp;C67,EXPERIENCIA!$A$20:$Y$5935,15,FALSE),0)))</f>
        <v>320.255</v>
      </c>
      <c r="J67" s="355">
        <f t="shared" ca="1" si="4"/>
        <v>25.134116585722921</v>
      </c>
      <c r="K67" s="462">
        <f t="shared" ca="1" si="5"/>
        <v>25.134116585722921</v>
      </c>
      <c r="L67" s="372"/>
      <c r="M67" s="372"/>
      <c r="N67" s="372"/>
      <c r="O67" s="372"/>
      <c r="P67" s="372"/>
      <c r="Q67" s="372"/>
      <c r="R67" s="372"/>
      <c r="S67" s="372"/>
      <c r="T67" s="372"/>
      <c r="U67" s="372"/>
      <c r="V67" s="372"/>
      <c r="W67" s="372"/>
      <c r="X67" s="372"/>
      <c r="Y67" s="372"/>
      <c r="Z67" s="372"/>
      <c r="AA67" s="372"/>
      <c r="AB67" s="372"/>
      <c r="AC67" s="473" t="str">
        <f t="shared" ca="1" si="6"/>
        <v/>
      </c>
      <c r="AD67" s="474" t="str">
        <f t="shared" ca="1" si="1"/>
        <v/>
      </c>
      <c r="AE67" s="474" t="str">
        <f t="shared" ca="1" si="11"/>
        <v/>
      </c>
      <c r="AF67" s="475" t="str">
        <f t="shared" si="12"/>
        <v/>
      </c>
      <c r="AG67" s="367">
        <f t="shared" ca="1" si="8"/>
        <v>102.64149139483465</v>
      </c>
      <c r="AH67" s="476" t="str">
        <f t="shared" ca="1" si="3"/>
        <v/>
      </c>
      <c r="AI67" s="477" t="str">
        <f t="shared" ca="1" si="13"/>
        <v/>
      </c>
      <c r="AJ67" s="356"/>
    </row>
    <row r="68" spans="2:36" ht="26.25" customHeight="1">
      <c r="B68" s="445">
        <v>25</v>
      </c>
      <c r="C68" s="351">
        <f>IF(VLOOKUP(B68,PROPONENTES!$B$19:$E$109,2,0)="","",VLOOKUP(B68,PROPONENTES!$B$19:$E$109,2,0))</f>
        <v>25</v>
      </c>
      <c r="D68" s="352" t="str">
        <f>IF(VLOOKUP(B68,PROPONENTES!$B$19:$E$108,3,0)="","",VLOOKUP(B68,PROPONENTES!$B$19:$E$108,3,0))</f>
        <v>CONSORCIO RUTA TOLIMA 1</v>
      </c>
      <c r="E68" s="353" t="str">
        <f>IF(ISNUMBER(D68),"",IF(VLOOKUP(B68,PROPONENTES!$B$19:$E$108,4,0)="","",IF(VLOOKUP(B68,PROPONENTES!$B$19:$E$108,4,0)&gt;1,"SI","NO")))</f>
        <v>SI</v>
      </c>
      <c r="F68" s="65" t="str">
        <f ca="1">IF(ISNUMBER(D68),"",IF(AND(VLOOKUP(B68,'HAB.GEN.'!$B$19:$L$108,8)="HÁBIL",VLOOKUP(B68,'HAB.GEN.'!$B$19:$L$108,10)&lt;&gt;"RECHAZO",VLOOKUP(B68,'HAB.GEN.'!$B$19:$L$108,10)&lt;&gt;"NO HÁBIL",VLOOKUP(B68,'HAB.GEN.'!$C$19:$L$108,9)="HÁBIL"),"CUMPLE","NO CUMPLE"))</f>
        <v>CUMPLE</v>
      </c>
      <c r="G68" s="365">
        <f>IF(ISNUMBER(D68),"",IF(B68&lt;&gt;"",VLOOKUP("M"&amp;C68,EXPERIENCIA!$A$20:$Y$5935,19,0),""))</f>
        <v>6</v>
      </c>
      <c r="H68" s="354" t="str">
        <f t="shared" ca="1" si="10"/>
        <v>HÁBIL</v>
      </c>
      <c r="I68" s="366">
        <f ca="1">IF(ISNUMBER(D68),"",IF(H68="NO HÁBIL","",IF(AND(B68&lt;&gt;"",H68&lt;&gt;"NO HÁBIL"),VLOOKUP("Z"&amp;C68,EXPERIENCIA!$A$20:$Y$5935,15,FALSE),0)))</f>
        <v>413.17366666666675</v>
      </c>
      <c r="J68" s="355">
        <f t="shared" ca="1" si="4"/>
        <v>32.426519829981189</v>
      </c>
      <c r="K68" s="462">
        <f t="shared" ca="1" si="5"/>
        <v>32.426519829981189</v>
      </c>
      <c r="L68" s="372"/>
      <c r="M68" s="372"/>
      <c r="N68" s="372"/>
      <c r="O68" s="372"/>
      <c r="P68" s="372"/>
      <c r="Q68" s="372"/>
      <c r="R68" s="372"/>
      <c r="S68" s="372"/>
      <c r="T68" s="372"/>
      <c r="U68" s="372"/>
      <c r="V68" s="372"/>
      <c r="W68" s="372"/>
      <c r="X68" s="372"/>
      <c r="Y68" s="372"/>
      <c r="Z68" s="372"/>
      <c r="AA68" s="372"/>
      <c r="AB68" s="372"/>
      <c r="AC68" s="473" t="str">
        <f t="shared" ca="1" si="6"/>
        <v/>
      </c>
      <c r="AD68" s="474" t="str">
        <f t="shared" ca="1" si="1"/>
        <v/>
      </c>
      <c r="AE68" s="474" t="str">
        <f t="shared" ca="1" si="11"/>
        <v/>
      </c>
      <c r="AF68" s="475" t="str">
        <f t="shared" ca="1" si="12"/>
        <v/>
      </c>
      <c r="AG68" s="367">
        <f t="shared" ca="1" si="8"/>
        <v>9.7228247281678932</v>
      </c>
      <c r="AH68" s="476" t="str">
        <f t="shared" ca="1" si="3"/>
        <v/>
      </c>
      <c r="AI68" s="477" t="str">
        <f t="shared" ca="1" si="13"/>
        <v/>
      </c>
      <c r="AJ68" s="356"/>
    </row>
    <row r="69" spans="2:36" ht="26.25" customHeight="1">
      <c r="B69" s="445">
        <v>26</v>
      </c>
      <c r="C69" s="351">
        <f>IF(VLOOKUP(B69,PROPONENTES!$B$19:$E$109,2,0)="","",VLOOKUP(B69,PROPONENTES!$B$19:$E$109,2,0))</f>
        <v>26</v>
      </c>
      <c r="D69" s="352" t="str">
        <f>IF(VLOOKUP(B69,PROPONENTES!$B$19:$E$108,3,0)="","",VLOOKUP(B69,PROPONENTES!$B$19:$E$108,3,0))</f>
        <v>INGENIEROS CONSTRUCTORES Y ASESORES SAS</v>
      </c>
      <c r="E69" s="353" t="str">
        <f>IF(ISNUMBER(D69),"",IF(VLOOKUP(B69,PROPONENTES!$B$19:$E$108,4,0)="","",IF(VLOOKUP(B69,PROPONENTES!$B$19:$E$108,4,0)&gt;1,"SI","NO")))</f>
        <v>NO</v>
      </c>
      <c r="F69" s="65" t="str">
        <f>IF(ISNUMBER(D69),"",IF(AND(VLOOKUP(B69,'HAB.GEN.'!$B$19:$L$108,8)="HÁBIL",VLOOKUP(B69,'HAB.GEN.'!$B$19:$L$108,10)&lt;&gt;"RECHAZO",VLOOKUP(B69,'HAB.GEN.'!$B$19:$L$108,10)&lt;&gt;"NO HÁBIL",VLOOKUP(B69,'HAB.GEN.'!$C$19:$L$108,9)="HÁBIL"),"CUMPLE","NO CUMPLE"))</f>
        <v>CUMPLE</v>
      </c>
      <c r="G69" s="365">
        <f>IF(ISNUMBER(D69),"",IF(B69&lt;&gt;"",VLOOKUP("M"&amp;C69,EXPERIENCIA!$A$20:$Y$5935,19,0),""))</f>
        <v>1</v>
      </c>
      <c r="H69" s="354" t="str">
        <f t="shared" si="10"/>
        <v>HÁBIL</v>
      </c>
      <c r="I69" s="366">
        <f>IF(ISNUMBER(D69),"",IF(H69="NO HÁBIL","",IF(AND(B69&lt;&gt;"",H69&lt;&gt;"NO HÁBIL"),VLOOKUP("Z"&amp;C69,EXPERIENCIA!$A$20:$Y$5935,15,FALSE),0)))</f>
        <v>435.76</v>
      </c>
      <c r="J69" s="355">
        <f t="shared" ca="1" si="4"/>
        <v>34.199130828229443</v>
      </c>
      <c r="K69" s="462">
        <f t="shared" ca="1" si="5"/>
        <v>34.199130828229443</v>
      </c>
      <c r="L69" s="372"/>
      <c r="M69" s="372"/>
      <c r="N69" s="372"/>
      <c r="O69" s="372"/>
      <c r="P69" s="372"/>
      <c r="Q69" s="372"/>
      <c r="R69" s="372"/>
      <c r="S69" s="372"/>
      <c r="T69" s="372"/>
      <c r="U69" s="372"/>
      <c r="V69" s="372"/>
      <c r="W69" s="372"/>
      <c r="X69" s="372"/>
      <c r="Y69" s="372"/>
      <c r="Z69" s="372"/>
      <c r="AA69" s="372"/>
      <c r="AB69" s="372"/>
      <c r="AC69" s="473" t="str">
        <f t="shared" ca="1" si="6"/>
        <v/>
      </c>
      <c r="AD69" s="474" t="str">
        <f t="shared" ca="1" si="1"/>
        <v/>
      </c>
      <c r="AE69" s="474" t="str">
        <f t="shared" ca="1" si="11"/>
        <v/>
      </c>
      <c r="AF69" s="475" t="str">
        <f t="shared" si="12"/>
        <v/>
      </c>
      <c r="AG69" s="367">
        <f t="shared" ca="1" si="8"/>
        <v>12.86350860516535</v>
      </c>
      <c r="AH69" s="476" t="str">
        <f t="shared" ca="1" si="3"/>
        <v/>
      </c>
      <c r="AI69" s="477" t="str">
        <f t="shared" ca="1" si="13"/>
        <v/>
      </c>
      <c r="AJ69" s="356"/>
    </row>
    <row r="70" spans="2:36" ht="26.25" customHeight="1">
      <c r="B70" s="445">
        <v>27</v>
      </c>
      <c r="C70" s="351">
        <f>IF(VLOOKUP(B70,PROPONENTES!$B$19:$E$109,2,0)="","",VLOOKUP(B70,PROPONENTES!$B$19:$E$109,2,0))</f>
        <v>27</v>
      </c>
      <c r="D70" s="352" t="str">
        <f>IF(VLOOKUP(B70,PROPONENTES!$B$19:$E$108,3,0)="","",VLOOKUP(B70,PROPONENTES!$B$19:$E$108,3,0))</f>
        <v>CONSULTORIA Y CONSTRUCCIONES DARLEV SAS</v>
      </c>
      <c r="E70" s="353" t="str">
        <f>IF(ISNUMBER(D70),"",IF(VLOOKUP(B70,PROPONENTES!$B$19:$E$108,4,0)="","",IF(VLOOKUP(B70,PROPONENTES!$B$19:$E$108,4,0)&gt;1,"SI","NO")))</f>
        <v>NO</v>
      </c>
      <c r="F70" s="65" t="str">
        <f>IF(ISNUMBER(D70),"",IF(AND(VLOOKUP(B70,'HAB.GEN.'!$B$19:$L$108,8)="HÁBIL",VLOOKUP(B70,'HAB.GEN.'!$B$19:$L$108,10)&lt;&gt;"RECHAZO",VLOOKUP(B70,'HAB.GEN.'!$B$19:$L$108,10)&lt;&gt;"NO HÁBIL",VLOOKUP(B70,'HAB.GEN.'!$C$19:$L$108,9)="HÁBIL"),"CUMPLE","NO CUMPLE"))</f>
        <v>CUMPLE</v>
      </c>
      <c r="G70" s="365">
        <f>IF(ISNUMBER(D70),"",IF(B70&lt;&gt;"",VLOOKUP("M"&amp;C70,EXPERIENCIA!$A$20:$Y$5935,19,0),""))</f>
        <v>4</v>
      </c>
      <c r="H70" s="354" t="str">
        <f t="shared" si="10"/>
        <v>HÁBIL</v>
      </c>
      <c r="I70" s="366">
        <f>IF(ISNUMBER(D70),"",IF(H70="NO HÁBIL","",IF(AND(B70&lt;&gt;"",H70&lt;&gt;"NO HÁBIL"),VLOOKUP("Z"&amp;C70,EXPERIENCIA!$A$20:$Y$5935,15,FALSE),0)))</f>
        <v>292.80240000000003</v>
      </c>
      <c r="J70" s="355">
        <f t="shared" ca="1" si="4"/>
        <v>22.979593318385284</v>
      </c>
      <c r="K70" s="462">
        <f t="shared" ca="1" si="5"/>
        <v>22.979593318385284</v>
      </c>
      <c r="L70" s="372"/>
      <c r="M70" s="372"/>
      <c r="N70" s="372"/>
      <c r="O70" s="372"/>
      <c r="P70" s="372"/>
      <c r="Q70" s="372"/>
      <c r="R70" s="372"/>
      <c r="S70" s="372"/>
      <c r="T70" s="372"/>
      <c r="U70" s="372"/>
      <c r="V70" s="372"/>
      <c r="W70" s="372"/>
      <c r="X70" s="372"/>
      <c r="Y70" s="372"/>
      <c r="Z70" s="372"/>
      <c r="AA70" s="372"/>
      <c r="AB70" s="372"/>
      <c r="AC70" s="473" t="str">
        <f t="shared" ca="1" si="6"/>
        <v/>
      </c>
      <c r="AD70" s="474" t="str">
        <f t="shared" ca="1" si="1"/>
        <v/>
      </c>
      <c r="AE70" s="474" t="str">
        <f t="shared" ca="1" si="11"/>
        <v/>
      </c>
      <c r="AF70" s="475" t="str">
        <f t="shared" si="12"/>
        <v/>
      </c>
      <c r="AG70" s="367">
        <f t="shared" ca="1" si="8"/>
        <v>130.09409139483461</v>
      </c>
      <c r="AH70" s="476" t="str">
        <f t="shared" ca="1" si="3"/>
        <v/>
      </c>
      <c r="AI70" s="477" t="str">
        <f t="shared" ca="1" si="13"/>
        <v/>
      </c>
      <c r="AJ70" s="356"/>
    </row>
    <row r="71" spans="2:36" ht="26.25" customHeight="1">
      <c r="B71" s="445">
        <v>28</v>
      </c>
      <c r="C71" s="351">
        <f>IF(VLOOKUP(B71,PROPONENTES!$B$19:$E$109,2,0)="","",VLOOKUP(B71,PROPONENTES!$B$19:$E$109,2,0))</f>
        <v>28</v>
      </c>
      <c r="D71" s="352" t="str">
        <f>IF(VLOOKUP(B71,PROPONENTES!$B$19:$E$108,3,0)="","",VLOOKUP(B71,PROPONENTES!$B$19:$E$108,3,0))</f>
        <v>CONSORCIO TOLIMA</v>
      </c>
      <c r="E71" s="353" t="str">
        <f>IF(ISNUMBER(D71),"",IF(VLOOKUP(B71,PROPONENTES!$B$19:$E$108,4,0)="","",IF(VLOOKUP(B71,PROPONENTES!$B$19:$E$108,4,0)&gt;1,"SI","NO")))</f>
        <v>SI</v>
      </c>
      <c r="F71" s="65" t="str">
        <f ca="1">IF(ISNUMBER(D71),"",IF(AND(VLOOKUP(B71,'HAB.GEN.'!$B$19:$L$108,8)="HÁBIL",VLOOKUP(B71,'HAB.GEN.'!$B$19:$L$108,10)&lt;&gt;"RECHAZO",VLOOKUP(B71,'HAB.GEN.'!$B$19:$L$108,10)&lt;&gt;"NO HÁBIL",VLOOKUP(B71,'HAB.GEN.'!$C$19:$L$108,9)="HÁBIL"),"CUMPLE","NO CUMPLE"))</f>
        <v>CUMPLE</v>
      </c>
      <c r="G71" s="365">
        <f>IF(ISNUMBER(D71),"",IF(B71&lt;&gt;"",VLOOKUP("M"&amp;C71,EXPERIENCIA!$A$20:$Y$5935,19,0),""))</f>
        <v>2</v>
      </c>
      <c r="H71" s="354" t="str">
        <f t="shared" ca="1" si="10"/>
        <v>HÁBIL</v>
      </c>
      <c r="I71" s="366">
        <f ca="1">IF(ISNUMBER(D71),"",IF(H71="NO HÁBIL","",IF(AND(B71&lt;&gt;"",H71&lt;&gt;"NO HÁBIL"),VLOOKUP("Z"&amp;C71,EXPERIENCIA!$A$20:$Y$5935,15,FALSE),0)))</f>
        <v>382.45360000000005</v>
      </c>
      <c r="J71" s="355">
        <f t="shared" ca="1" si="4"/>
        <v>30.015560634586326</v>
      </c>
      <c r="K71" s="462">
        <f t="shared" ca="1" si="5"/>
        <v>30.015560634586326</v>
      </c>
      <c r="L71" s="372"/>
      <c r="M71" s="372"/>
      <c r="N71" s="372"/>
      <c r="O71" s="372"/>
      <c r="P71" s="372"/>
      <c r="Q71" s="372"/>
      <c r="R71" s="372"/>
      <c r="S71" s="372"/>
      <c r="T71" s="372"/>
      <c r="U71" s="372"/>
      <c r="V71" s="372"/>
      <c r="W71" s="372"/>
      <c r="X71" s="372"/>
      <c r="Y71" s="372"/>
      <c r="Z71" s="372"/>
      <c r="AA71" s="372"/>
      <c r="AB71" s="372"/>
      <c r="AC71" s="473" t="str">
        <f t="shared" ca="1" si="6"/>
        <v/>
      </c>
      <c r="AD71" s="474" t="str">
        <f t="shared" ca="1" si="1"/>
        <v/>
      </c>
      <c r="AE71" s="474" t="str">
        <f t="shared" ca="1" si="11"/>
        <v/>
      </c>
      <c r="AF71" s="475" t="str">
        <f t="shared" ca="1" si="12"/>
        <v/>
      </c>
      <c r="AG71" s="367">
        <f t="shared" ca="1" si="8"/>
        <v>40.442891394834589</v>
      </c>
      <c r="AH71" s="476" t="str">
        <f t="shared" ca="1" si="3"/>
        <v/>
      </c>
      <c r="AI71" s="477" t="str">
        <f t="shared" ca="1" si="13"/>
        <v/>
      </c>
      <c r="AJ71" s="356"/>
    </row>
    <row r="72" spans="2:36" ht="26.25" customHeight="1">
      <c r="B72" s="445">
        <v>29</v>
      </c>
      <c r="C72" s="351">
        <f>IF(VLOOKUP(B72,PROPONENTES!$B$19:$E$109,2,0)="","",VLOOKUP(B72,PROPONENTES!$B$19:$E$109,2,0))</f>
        <v>29</v>
      </c>
      <c r="D72" s="352" t="str">
        <f>IF(VLOOKUP(B72,PROPONENTES!$B$19:$E$108,3,0)="","",VLOOKUP(B72,PROPONENTES!$B$19:$E$108,3,0))</f>
        <v>CONSORCIO MT 2022 TOLIMA</v>
      </c>
      <c r="E72" s="353" t="str">
        <f>IF(ISNUMBER(D72),"",IF(VLOOKUP(B72,PROPONENTES!$B$19:$E$108,4,0)="","",IF(VLOOKUP(B72,PROPONENTES!$B$19:$E$108,4,0)&gt;1,"SI","NO")))</f>
        <v>SI</v>
      </c>
      <c r="F72" s="65" t="str">
        <f ca="1">IF(ISNUMBER(D72),"",IF(AND(VLOOKUP(B72,'HAB.GEN.'!$B$19:$L$108,8)="HÁBIL",VLOOKUP(B72,'HAB.GEN.'!$B$19:$L$108,10)&lt;&gt;"RECHAZO",VLOOKUP(B72,'HAB.GEN.'!$B$19:$L$108,10)&lt;&gt;"NO HÁBIL",VLOOKUP(B72,'HAB.GEN.'!$C$19:$L$108,9)="HÁBIL"),"CUMPLE","NO CUMPLE"))</f>
        <v>CUMPLE</v>
      </c>
      <c r="G72" s="365">
        <f>IF(ISNUMBER(D72),"",IF(B72&lt;&gt;"",VLOOKUP("M"&amp;C72,EXPERIENCIA!$A$20:$Y$5935,19,0),""))</f>
        <v>5</v>
      </c>
      <c r="H72" s="354" t="str">
        <f t="shared" ca="1" si="10"/>
        <v>HÁBIL</v>
      </c>
      <c r="I72" s="366">
        <f ca="1">IF(ISNUMBER(D72),"",IF(H72="NO HÁBIL","",IF(AND(B72&lt;&gt;"",H72&lt;&gt;"NO HÁBIL"),VLOOKUP("Z"&amp;C72,EXPERIENCIA!$A$20:$Y$5935,15,FALSE),0)))</f>
        <v>1234.1231400000001</v>
      </c>
      <c r="J72" s="355">
        <f t="shared" ca="1" si="4"/>
        <v>13.288146121693895</v>
      </c>
      <c r="K72" s="462">
        <f t="shared" ca="1" si="5"/>
        <v>13.288146121693895</v>
      </c>
      <c r="L72" s="372"/>
      <c r="M72" s="372"/>
      <c r="N72" s="372"/>
      <c r="O72" s="372"/>
      <c r="P72" s="372"/>
      <c r="Q72" s="372"/>
      <c r="R72" s="372"/>
      <c r="S72" s="372"/>
      <c r="T72" s="372"/>
      <c r="U72" s="372"/>
      <c r="V72" s="372"/>
      <c r="W72" s="372"/>
      <c r="X72" s="372"/>
      <c r="Y72" s="372"/>
      <c r="Z72" s="372"/>
      <c r="AA72" s="372"/>
      <c r="AB72" s="372"/>
      <c r="AC72" s="473" t="str">
        <f t="shared" ca="1" si="6"/>
        <v/>
      </c>
      <c r="AD72" s="474" t="str">
        <f t="shared" ca="1" si="1"/>
        <v/>
      </c>
      <c r="AE72" s="474" t="str">
        <f t="shared" ca="1" si="11"/>
        <v/>
      </c>
      <c r="AF72" s="475" t="str">
        <f t="shared" ca="1" si="12"/>
        <v/>
      </c>
      <c r="AG72" s="367">
        <f t="shared" ca="1" si="8"/>
        <v>811.22664860516556</v>
      </c>
      <c r="AH72" s="476" t="str">
        <f t="shared" ca="1" si="3"/>
        <v/>
      </c>
      <c r="AI72" s="477" t="str">
        <f t="shared" ca="1" si="13"/>
        <v/>
      </c>
      <c r="AJ72" s="356"/>
    </row>
    <row r="73" spans="2:36" ht="26.25" customHeight="1">
      <c r="B73" s="445">
        <v>30</v>
      </c>
      <c r="C73" s="351">
        <f>IF(VLOOKUP(B73,PROPONENTES!$B$19:$E$109,2,0)="","",VLOOKUP(B73,PROPONENTES!$B$19:$E$109,2,0))</f>
        <v>30</v>
      </c>
      <c r="D73" s="352" t="str">
        <f>IF(VLOOKUP(B73,PROPONENTES!$B$19:$E$108,3,0)="","",VLOOKUP(B73,PROPONENTES!$B$19:$E$108,3,0))</f>
        <v>CONSORCIO INTER TOLIMA</v>
      </c>
      <c r="E73" s="353" t="str">
        <f>IF(ISNUMBER(D73),"",IF(VLOOKUP(B73,PROPONENTES!$B$19:$E$108,4,0)="","",IF(VLOOKUP(B73,PROPONENTES!$B$19:$E$108,4,0)&gt;1,"SI","NO")))</f>
        <v>SI</v>
      </c>
      <c r="F73" s="65" t="str">
        <f ca="1">IF(ISNUMBER(D73),"",IF(AND(VLOOKUP(B73,'HAB.GEN.'!$B$19:$L$108,8)="HÁBIL",VLOOKUP(B73,'HAB.GEN.'!$B$19:$L$108,10)&lt;&gt;"RECHAZO",VLOOKUP(B73,'HAB.GEN.'!$B$19:$L$108,10)&lt;&gt;"NO HÁBIL",VLOOKUP(B73,'HAB.GEN.'!$C$19:$L$108,9)="HÁBIL"),"CUMPLE","NO CUMPLE"))</f>
        <v>CUMPLE</v>
      </c>
      <c r="G73" s="365">
        <f>IF(ISNUMBER(D73),"",IF(B73&lt;&gt;"",VLOOKUP("M"&amp;C73,EXPERIENCIA!$A$20:$Y$5935,19,0),""))</f>
        <v>3</v>
      </c>
      <c r="H73" s="354" t="str">
        <f t="shared" ca="1" si="10"/>
        <v>HÁBIL</v>
      </c>
      <c r="I73" s="366">
        <f ca="1">IF(ISNUMBER(D73),"",IF(H73="NO HÁBIL","",IF(AND(B73&lt;&gt;"",H73&lt;&gt;"NO HÁBIL"),VLOOKUP("Z"&amp;C73,EXPERIENCIA!$A$20:$Y$5935,15,FALSE),0)))</f>
        <v>873.85466666666673</v>
      </c>
      <c r="J73" s="355">
        <f t="shared" ca="1" si="4"/>
        <v>68.581489971984979</v>
      </c>
      <c r="K73" s="462">
        <f t="shared" ca="1" si="5"/>
        <v>68.581489971984979</v>
      </c>
      <c r="L73" s="372"/>
      <c r="M73" s="372"/>
      <c r="N73" s="372"/>
      <c r="O73" s="372"/>
      <c r="P73" s="372"/>
      <c r="Q73" s="372"/>
      <c r="R73" s="372"/>
      <c r="S73" s="372"/>
      <c r="T73" s="372"/>
      <c r="U73" s="372"/>
      <c r="V73" s="372"/>
      <c r="W73" s="372"/>
      <c r="X73" s="372"/>
      <c r="Y73" s="372"/>
      <c r="Z73" s="372"/>
      <c r="AA73" s="372"/>
      <c r="AB73" s="372"/>
      <c r="AC73" s="473" t="str">
        <f t="shared" ca="1" si="6"/>
        <v/>
      </c>
      <c r="AD73" s="474" t="str">
        <f t="shared" ca="1" si="1"/>
        <v/>
      </c>
      <c r="AE73" s="474" t="str">
        <f t="shared" ca="1" si="11"/>
        <v/>
      </c>
      <c r="AF73" s="475" t="str">
        <f t="shared" ca="1" si="12"/>
        <v/>
      </c>
      <c r="AG73" s="367">
        <f t="shared" ca="1" si="8"/>
        <v>450.95817527183209</v>
      </c>
      <c r="AH73" s="476" t="str">
        <f t="shared" ca="1" si="3"/>
        <v/>
      </c>
      <c r="AI73" s="477" t="str">
        <f t="shared" ca="1" si="13"/>
        <v/>
      </c>
      <c r="AJ73" s="356"/>
    </row>
    <row r="74" spans="2:36" ht="26.25" customHeight="1">
      <c r="B74" s="445">
        <v>31</v>
      </c>
      <c r="C74" s="351">
        <f>IF(VLOOKUP(B74,PROPONENTES!$B$19:$E$109,2,0)="","",VLOOKUP(B74,PROPONENTES!$B$19:$E$109,2,0))</f>
        <v>31</v>
      </c>
      <c r="D74" s="352" t="str">
        <f>IF(VLOOKUP(B74,PROPONENTES!$B$19:$E$108,3,0)="","",VLOOKUP(B74,PROPONENTES!$B$19:$E$108,3,0))</f>
        <v>INGENIERIA MASTER S.A.S.</v>
      </c>
      <c r="E74" s="353" t="str">
        <f>IF(ISNUMBER(D74),"",IF(VLOOKUP(B74,PROPONENTES!$B$19:$E$108,4,0)="","",IF(VLOOKUP(B74,PROPONENTES!$B$19:$E$108,4,0)&gt;1,"SI","NO")))</f>
        <v>NO</v>
      </c>
      <c r="F74" s="65" t="str">
        <f>IF(ISNUMBER(D74),"",IF(AND(VLOOKUP(B74,'HAB.GEN.'!$B$19:$L$108,8)="HÁBIL",VLOOKUP(B74,'HAB.GEN.'!$B$19:$L$108,10)&lt;&gt;"RECHAZO",VLOOKUP(B74,'HAB.GEN.'!$B$19:$L$108,10)&lt;&gt;"NO HÁBIL",VLOOKUP(B74,'HAB.GEN.'!$C$19:$L$108,9)="HÁBIL"),"CUMPLE","NO CUMPLE"))</f>
        <v>CUMPLE</v>
      </c>
      <c r="G74" s="365">
        <f>IF(ISNUMBER(D74),"",IF(B74&lt;&gt;"",VLOOKUP("M"&amp;C74,EXPERIENCIA!$A$20:$Y$5935,19,0),""))</f>
        <v>2</v>
      </c>
      <c r="H74" s="354" t="str">
        <f t="shared" si="10"/>
        <v>HÁBIL</v>
      </c>
      <c r="I74" s="366">
        <f>IF(ISNUMBER(D74),"",IF(H74="NO HÁBIL","",IF(AND(B74&lt;&gt;"",H74&lt;&gt;"NO HÁBIL"),VLOOKUP("Z"&amp;C74,EXPERIENCIA!$A$20:$Y$5935,15,FALSE),0)))</f>
        <v>301.9205</v>
      </c>
      <c r="J74" s="355">
        <f t="shared" ca="1" si="4"/>
        <v>23.695196161245754</v>
      </c>
      <c r="K74" s="462">
        <f t="shared" ca="1" si="5"/>
        <v>23.695196161245754</v>
      </c>
      <c r="L74" s="372"/>
      <c r="M74" s="372"/>
      <c r="N74" s="372"/>
      <c r="O74" s="372"/>
      <c r="P74" s="372"/>
      <c r="Q74" s="372"/>
      <c r="R74" s="372"/>
      <c r="S74" s="372"/>
      <c r="T74" s="372"/>
      <c r="U74" s="372"/>
      <c r="V74" s="372"/>
      <c r="W74" s="372"/>
      <c r="X74" s="372"/>
      <c r="Y74" s="372"/>
      <c r="Z74" s="372"/>
      <c r="AA74" s="372"/>
      <c r="AB74" s="372"/>
      <c r="AC74" s="473" t="str">
        <f t="shared" ca="1" si="6"/>
        <v/>
      </c>
      <c r="AD74" s="474" t="str">
        <f t="shared" ca="1" si="1"/>
        <v/>
      </c>
      <c r="AE74" s="474" t="str">
        <f t="shared" ca="1" si="11"/>
        <v/>
      </c>
      <c r="AF74" s="475" t="str">
        <f t="shared" si="12"/>
        <v/>
      </c>
      <c r="AG74" s="367">
        <f t="shared" ca="1" si="8"/>
        <v>120.97599139483464</v>
      </c>
      <c r="AH74" s="476" t="str">
        <f t="shared" ca="1" si="3"/>
        <v/>
      </c>
      <c r="AI74" s="477" t="str">
        <f t="shared" ca="1" si="13"/>
        <v/>
      </c>
      <c r="AJ74" s="356"/>
    </row>
    <row r="75" spans="2:36" ht="26.25" customHeight="1">
      <c r="B75" s="445">
        <v>32</v>
      </c>
      <c r="C75" s="351">
        <f>IF(VLOOKUP(B75,PROPONENTES!$B$19:$E$109,2,0)="","",VLOOKUP(B75,PROPONENTES!$B$19:$E$109,2,0))</f>
        <v>32</v>
      </c>
      <c r="D75" s="352" t="str">
        <f>IF(VLOOKUP(B75,PROPONENTES!$B$19:$E$108,3,0)="","",VLOOKUP(B75,PROPONENTES!$B$19:$E$108,3,0))</f>
        <v xml:space="preserve">GYG CONSTRUCCIONES S.A.S. </v>
      </c>
      <c r="E75" s="353" t="str">
        <f>IF(ISNUMBER(D75),"",IF(VLOOKUP(B75,PROPONENTES!$B$19:$E$108,4,0)="","",IF(VLOOKUP(B75,PROPONENTES!$B$19:$E$108,4,0)&gt;1,"SI","NO")))</f>
        <v>NO</v>
      </c>
      <c r="F75" s="65" t="str">
        <f>IF(ISNUMBER(D75),"",IF(AND(VLOOKUP(B75,'HAB.GEN.'!$B$19:$L$108,8)="HÁBIL",VLOOKUP(B75,'HAB.GEN.'!$B$19:$L$108,10)&lt;&gt;"RECHAZO",VLOOKUP(B75,'HAB.GEN.'!$B$19:$L$108,10)&lt;&gt;"NO HÁBIL",VLOOKUP(B75,'HAB.GEN.'!$C$19:$L$108,9)="HÁBIL"),"CUMPLE","NO CUMPLE"))</f>
        <v>CUMPLE</v>
      </c>
      <c r="G75" s="365">
        <f>IF(ISNUMBER(D75),"",IF(B75&lt;&gt;"",VLOOKUP("M"&amp;C75,EXPERIENCIA!$A$20:$Y$5935,19,0),""))</f>
        <v>2</v>
      </c>
      <c r="H75" s="354" t="str">
        <f t="shared" si="10"/>
        <v>HÁBIL</v>
      </c>
      <c r="I75" s="366">
        <f>IF(ISNUMBER(D75),"",IF(H75="NO HÁBIL","",IF(AND(B75&lt;&gt;"",H75&lt;&gt;"NO HÁBIL"),VLOOKUP("Z"&amp;C75,EXPERIENCIA!$A$20:$Y$5935,15,FALSE),0)))</f>
        <v>940.625</v>
      </c>
      <c r="J75" s="355">
        <f t="shared" ca="1" si="4"/>
        <v>59.356538299507406</v>
      </c>
      <c r="K75" s="462">
        <f t="shared" ca="1" si="5"/>
        <v>59.356538299507406</v>
      </c>
      <c r="L75" s="372"/>
      <c r="M75" s="372"/>
      <c r="N75" s="372"/>
      <c r="O75" s="372"/>
      <c r="P75" s="372"/>
      <c r="Q75" s="372"/>
      <c r="R75" s="372"/>
      <c r="S75" s="372"/>
      <c r="T75" s="372"/>
      <c r="U75" s="372"/>
      <c r="V75" s="372"/>
      <c r="W75" s="372"/>
      <c r="X75" s="372"/>
      <c r="Y75" s="372"/>
      <c r="Z75" s="372"/>
      <c r="AA75" s="372"/>
      <c r="AB75" s="372"/>
      <c r="AC75" s="473" t="str">
        <f t="shared" ca="1" si="6"/>
        <v/>
      </c>
      <c r="AD75" s="474" t="str">
        <f t="shared" ca="1" si="1"/>
        <v/>
      </c>
      <c r="AE75" s="474" t="str">
        <f t="shared" ca="1" si="11"/>
        <v/>
      </c>
      <c r="AF75" s="475" t="str">
        <f t="shared" si="12"/>
        <v/>
      </c>
      <c r="AG75" s="367">
        <f t="shared" ca="1" si="8"/>
        <v>517.72850860516542</v>
      </c>
      <c r="AH75" s="476" t="str">
        <f t="shared" ca="1" si="3"/>
        <v/>
      </c>
      <c r="AI75" s="477" t="str">
        <f t="shared" ca="1" si="13"/>
        <v/>
      </c>
      <c r="AJ75" s="356"/>
    </row>
    <row r="76" spans="2:36" ht="26.25" customHeight="1">
      <c r="B76" s="445">
        <v>33</v>
      </c>
      <c r="C76" s="351">
        <f>IF(VLOOKUP(B76,PROPONENTES!$B$19:$E$109,2,0)="","",VLOOKUP(B76,PROPONENTES!$B$19:$E$109,2,0))</f>
        <v>33</v>
      </c>
      <c r="D76" s="352" t="str">
        <f>IF(VLOOKUP(B76,PROPONENTES!$B$19:$E$108,3,0)="","",VLOOKUP(B76,PROPONENTES!$B$19:$E$108,3,0))</f>
        <v>CONSORCIO TOLIMA RURAL</v>
      </c>
      <c r="E76" s="353" t="str">
        <f>IF(ISNUMBER(D76),"",IF(VLOOKUP(B76,PROPONENTES!$B$19:$E$108,4,0)="","",IF(VLOOKUP(B76,PROPONENTES!$B$19:$E$108,4,0)&gt;1,"SI","NO")))</f>
        <v>SI</v>
      </c>
      <c r="F76" s="65" t="str">
        <f ca="1">IF(ISNUMBER(D76),"",IF(AND(VLOOKUP(B76,'HAB.GEN.'!$B$19:$L$108,8)="HÁBIL",VLOOKUP(B76,'HAB.GEN.'!$B$19:$L$108,10)&lt;&gt;"RECHAZO",VLOOKUP(B76,'HAB.GEN.'!$B$19:$L$108,10)&lt;&gt;"NO HÁBIL",VLOOKUP(B76,'HAB.GEN.'!$C$19:$L$108,9)="HÁBIL"),"CUMPLE","NO CUMPLE"))</f>
        <v>CUMPLE</v>
      </c>
      <c r="G76" s="365">
        <f>IF(ISNUMBER(D76),"",IF(B76&lt;&gt;"",VLOOKUP("M"&amp;C76,EXPERIENCIA!$A$20:$Y$5935,19,0),""))</f>
        <v>3</v>
      </c>
      <c r="H76" s="354" t="str">
        <f t="shared" ca="1" si="10"/>
        <v>HÁBIL</v>
      </c>
      <c r="I76" s="366">
        <f ca="1">IF(ISNUMBER(D76),"",IF(H76="NO HÁBIL","",IF(AND(B76&lt;&gt;"",H76&lt;&gt;"NO HÁBIL"),VLOOKUP("Z"&amp;C76,EXPERIENCIA!$A$20:$Y$5935,15,FALSE),0)))</f>
        <v>186.5986</v>
      </c>
      <c r="J76" s="355">
        <f t="shared" ca="1" si="4"/>
        <v>14.644551894998296</v>
      </c>
      <c r="K76" s="462">
        <f t="shared" ca="1" si="5"/>
        <v>14.644551894998296</v>
      </c>
      <c r="L76" s="372"/>
      <c r="M76" s="372"/>
      <c r="N76" s="372"/>
      <c r="O76" s="372"/>
      <c r="P76" s="372"/>
      <c r="Q76" s="372"/>
      <c r="R76" s="372"/>
      <c r="S76" s="372"/>
      <c r="T76" s="372"/>
      <c r="U76" s="372"/>
      <c r="V76" s="372"/>
      <c r="W76" s="372"/>
      <c r="X76" s="372"/>
      <c r="Y76" s="372"/>
      <c r="Z76" s="372"/>
      <c r="AA76" s="372"/>
      <c r="AB76" s="372"/>
      <c r="AC76" s="473" t="str">
        <f t="shared" ca="1" si="6"/>
        <v/>
      </c>
      <c r="AD76" s="474" t="str">
        <f t="shared" ref="AD76:AD107" ca="1" si="14">IF(AC76=MIN($AC$44:$AC$133),"MÍNIMO","")</f>
        <v/>
      </c>
      <c r="AE76" s="474" t="str">
        <f t="shared" ca="1" si="11"/>
        <v/>
      </c>
      <c r="AF76" s="475" t="str">
        <f t="shared" ca="1" si="12"/>
        <v/>
      </c>
      <c r="AG76" s="367">
        <f t="shared" ca="1" si="8"/>
        <v>236.29789139483464</v>
      </c>
      <c r="AH76" s="476" t="str">
        <f t="shared" ref="AH76:AH107" ca="1" si="15">IF(AG76=MIN($AG$44:$AG$133),"MÍNIMO","")</f>
        <v/>
      </c>
      <c r="AI76" s="477" t="str">
        <f t="shared" ca="1" si="13"/>
        <v/>
      </c>
      <c r="AJ76" s="356"/>
    </row>
    <row r="77" spans="2:36" ht="26.25" customHeight="1">
      <c r="B77" s="445">
        <v>34</v>
      </c>
      <c r="C77" s="351">
        <f>IF(VLOOKUP(B77,PROPONENTES!$B$19:$E$109,2,0)="","",VLOOKUP(B77,PROPONENTES!$B$19:$E$109,2,0))</f>
        <v>34</v>
      </c>
      <c r="D77" s="352" t="str">
        <f>IF(VLOOKUP(B77,PROPONENTES!$B$19:$E$108,3,0)="","",VLOOKUP(B77,PROPONENTES!$B$19:$E$108,3,0))</f>
        <v>CONSORCIO OPHAIH 2022</v>
      </c>
      <c r="E77" s="353" t="str">
        <f>IF(ISNUMBER(D77),"",IF(VLOOKUP(B77,PROPONENTES!$B$19:$E$108,4,0)="","",IF(VLOOKUP(B77,PROPONENTES!$B$19:$E$108,4,0)&gt;1,"SI","NO")))</f>
        <v>SI</v>
      </c>
      <c r="F77" s="65" t="str">
        <f ca="1">IF(ISNUMBER(D77),"",IF(AND(VLOOKUP(B77,'HAB.GEN.'!$B$19:$L$108,8)="HÁBIL",VLOOKUP(B77,'HAB.GEN.'!$B$19:$L$108,10)&lt;&gt;"RECHAZO",VLOOKUP(B77,'HAB.GEN.'!$B$19:$L$108,10)&lt;&gt;"NO HÁBIL",VLOOKUP(B77,'HAB.GEN.'!$C$19:$L$108,9)="HÁBIL"),"CUMPLE","NO CUMPLE"))</f>
        <v>CUMPLE</v>
      </c>
      <c r="G77" s="365">
        <f>IF(ISNUMBER(D77),"",IF(B77&lt;&gt;"",VLOOKUP("M"&amp;C77,EXPERIENCIA!$A$20:$Y$5935,19,0),""))</f>
        <v>4</v>
      </c>
      <c r="H77" s="354" t="str">
        <f t="shared" ca="1" si="10"/>
        <v>HÁBIL</v>
      </c>
      <c r="I77" s="366">
        <f ca="1">IF(ISNUMBER(D77),"",IF(H77="NO HÁBIL","",IF(AND(B77&lt;&gt;"",H77&lt;&gt;"NO HÁBIL"),VLOOKUP("Z"&amp;C77,EXPERIENCIA!$A$20:$Y$5935,15,FALSE),0)))</f>
        <v>361.77262499999995</v>
      </c>
      <c r="J77" s="355">
        <f t="shared" ca="1" si="4"/>
        <v>28.392485157992908</v>
      </c>
      <c r="K77" s="462">
        <f t="shared" ca="1" si="5"/>
        <v>28.392485157992908</v>
      </c>
      <c r="L77" s="372"/>
      <c r="M77" s="372"/>
      <c r="N77" s="372"/>
      <c r="O77" s="372"/>
      <c r="P77" s="372"/>
      <c r="Q77" s="372"/>
      <c r="R77" s="372"/>
      <c r="S77" s="372"/>
      <c r="T77" s="372"/>
      <c r="U77" s="372"/>
      <c r="V77" s="372"/>
      <c r="W77" s="372"/>
      <c r="X77" s="372"/>
      <c r="Y77" s="372"/>
      <c r="Z77" s="372"/>
      <c r="AA77" s="372"/>
      <c r="AB77" s="372"/>
      <c r="AC77" s="473" t="str">
        <f t="shared" ca="1" si="6"/>
        <v/>
      </c>
      <c r="AD77" s="474" t="str">
        <f t="shared" ca="1" si="14"/>
        <v/>
      </c>
      <c r="AE77" s="474" t="str">
        <f t="shared" ca="1" si="11"/>
        <v/>
      </c>
      <c r="AF77" s="475" t="str">
        <f t="shared" ca="1" si="12"/>
        <v/>
      </c>
      <c r="AG77" s="367">
        <f t="shared" ca="1" si="8"/>
        <v>61.123866394834693</v>
      </c>
      <c r="AH77" s="476" t="str">
        <f t="shared" ca="1" si="15"/>
        <v/>
      </c>
      <c r="AI77" s="477" t="str">
        <f t="shared" ca="1" si="13"/>
        <v/>
      </c>
      <c r="AJ77" s="356"/>
    </row>
    <row r="78" spans="2:36" ht="26.25" customHeight="1">
      <c r="B78" s="445">
        <v>35</v>
      </c>
      <c r="C78" s="351">
        <f>IF(VLOOKUP(B78,PROPONENTES!$B$19:$E$109,2,0)="","",VLOOKUP(B78,PROPONENTES!$B$19:$E$109,2,0))</f>
        <v>35</v>
      </c>
      <c r="D78" s="352" t="str">
        <f>IF(VLOOKUP(B78,PROPONENTES!$B$19:$E$108,3,0)="","",VLOOKUP(B78,PROPONENTES!$B$19:$E$108,3,0))</f>
        <v xml:space="preserve">ING INGENIERIA SAS </v>
      </c>
      <c r="E78" s="353" t="str">
        <f>IF(ISNUMBER(D78),"",IF(VLOOKUP(B78,PROPONENTES!$B$19:$E$108,4,0)="","",IF(VLOOKUP(B78,PROPONENTES!$B$19:$E$108,4,0)&gt;1,"SI","NO")))</f>
        <v>NO</v>
      </c>
      <c r="F78" s="65" t="str">
        <f>IF(ISNUMBER(D78),"",IF(AND(VLOOKUP(B78,'HAB.GEN.'!$B$19:$L$108,8)="HÁBIL",VLOOKUP(B78,'HAB.GEN.'!$B$19:$L$108,10)&lt;&gt;"RECHAZO",VLOOKUP(B78,'HAB.GEN.'!$B$19:$L$108,10)&lt;&gt;"NO HÁBIL",VLOOKUP(B78,'HAB.GEN.'!$C$19:$L$108,9)="HÁBIL"),"CUMPLE","NO CUMPLE"))</f>
        <v>CUMPLE</v>
      </c>
      <c r="G78" s="365">
        <f>IF(ISNUMBER(D78),"",IF(B78&lt;&gt;"",VLOOKUP("M"&amp;C78,EXPERIENCIA!$A$20:$Y$5935,19,0),""))</f>
        <v>2</v>
      </c>
      <c r="H78" s="354" t="str">
        <f t="shared" si="10"/>
        <v>HÁBIL</v>
      </c>
      <c r="I78" s="366">
        <f>IF(ISNUMBER(D78),"",IF(H78="NO HÁBIL","",IF(AND(B78&lt;&gt;"",H78&lt;&gt;"NO HÁBIL"),VLOOKUP("Z"&amp;C78,EXPERIENCIA!$A$20:$Y$5935,15,FALSE),0)))</f>
        <v>621.38</v>
      </c>
      <c r="J78" s="355">
        <f t="shared" ca="1" si="4"/>
        <v>48.766880654592477</v>
      </c>
      <c r="K78" s="462">
        <f t="shared" ca="1" si="5"/>
        <v>48.766880654592477</v>
      </c>
      <c r="L78" s="372"/>
      <c r="M78" s="372"/>
      <c r="N78" s="372"/>
      <c r="O78" s="372"/>
      <c r="P78" s="372"/>
      <c r="Q78" s="372"/>
      <c r="R78" s="372"/>
      <c r="S78" s="372"/>
      <c r="T78" s="372"/>
      <c r="U78" s="372"/>
      <c r="V78" s="372"/>
      <c r="W78" s="372"/>
      <c r="X78" s="372"/>
      <c r="Y78" s="372"/>
      <c r="Z78" s="372"/>
      <c r="AA78" s="372"/>
      <c r="AB78" s="372"/>
      <c r="AC78" s="473" t="str">
        <f t="shared" ca="1" si="6"/>
        <v/>
      </c>
      <c r="AD78" s="474" t="str">
        <f t="shared" ca="1" si="14"/>
        <v/>
      </c>
      <c r="AE78" s="474" t="str">
        <f t="shared" ca="1" si="11"/>
        <v/>
      </c>
      <c r="AF78" s="475" t="str">
        <f t="shared" si="12"/>
        <v/>
      </c>
      <c r="AG78" s="367">
        <f t="shared" ca="1" si="8"/>
        <v>198.48350860516535</v>
      </c>
      <c r="AH78" s="476" t="str">
        <f t="shared" ca="1" si="15"/>
        <v/>
      </c>
      <c r="AI78" s="477" t="str">
        <f t="shared" ca="1" si="13"/>
        <v/>
      </c>
      <c r="AJ78" s="356"/>
    </row>
    <row r="79" spans="2:36" ht="26.25" customHeight="1">
      <c r="B79" s="445">
        <v>36</v>
      </c>
      <c r="C79" s="351">
        <f>IF(VLOOKUP(B79,PROPONENTES!$B$19:$E$109,2,0)="","",VLOOKUP(B79,PROPONENTES!$B$19:$E$109,2,0))</f>
        <v>36</v>
      </c>
      <c r="D79" s="352" t="str">
        <f>IF(VLOOKUP(B79,PROPONENTES!$B$19:$E$108,3,0)="","",VLOOKUP(B79,PROPONENTES!$B$19:$E$108,3,0))</f>
        <v>EJE GROUP S.A.S</v>
      </c>
      <c r="E79" s="353" t="str">
        <f>IF(ISNUMBER(D79),"",IF(VLOOKUP(B79,PROPONENTES!$B$19:$E$108,4,0)="","",IF(VLOOKUP(B79,PROPONENTES!$B$19:$E$108,4,0)&gt;1,"SI","NO")))</f>
        <v>NO</v>
      </c>
      <c r="F79" s="65" t="str">
        <f>IF(ISNUMBER(D79),"",IF(AND(VLOOKUP(B79,'HAB.GEN.'!$B$19:$L$108,8)="HÁBIL",VLOOKUP(B79,'HAB.GEN.'!$B$19:$L$108,10)&lt;&gt;"RECHAZO",VLOOKUP(B79,'HAB.GEN.'!$B$19:$L$108,10)&lt;&gt;"NO HÁBIL",VLOOKUP(B79,'HAB.GEN.'!$C$19:$L$108,9)="HÁBIL"),"CUMPLE","NO CUMPLE"))</f>
        <v>CUMPLE</v>
      </c>
      <c r="G79" s="365">
        <f>IF(ISNUMBER(D79),"",IF(B79&lt;&gt;"",VLOOKUP("M"&amp;C79,EXPERIENCIA!$A$20:$Y$5935,19,0),""))</f>
        <v>3</v>
      </c>
      <c r="H79" s="354" t="str">
        <f t="shared" si="10"/>
        <v>HÁBIL</v>
      </c>
      <c r="I79" s="366">
        <f>IF(ISNUMBER(D79),"",IF(H79="NO HÁBIL","",IF(AND(B79&lt;&gt;"",H79&lt;&gt;"NO HÁBIL"),VLOOKUP("Z"&amp;C79,EXPERIENCIA!$A$20:$Y$5935,15,FALSE),0)))</f>
        <v>108.47666666666667</v>
      </c>
      <c r="J79" s="355">
        <f t="shared" ca="1" si="4"/>
        <v>8.5134195776197235</v>
      </c>
      <c r="K79" s="462">
        <f t="shared" ca="1" si="5"/>
        <v>8.5134195776197235</v>
      </c>
      <c r="L79" s="372"/>
      <c r="M79" s="372"/>
      <c r="N79" s="372"/>
      <c r="O79" s="372"/>
      <c r="P79" s="372"/>
      <c r="Q79" s="372"/>
      <c r="R79" s="372"/>
      <c r="S79" s="372"/>
      <c r="T79" s="372"/>
      <c r="U79" s="372"/>
      <c r="V79" s="372"/>
      <c r="W79" s="372"/>
      <c r="X79" s="372"/>
      <c r="Y79" s="372"/>
      <c r="Z79" s="372"/>
      <c r="AA79" s="372"/>
      <c r="AB79" s="372"/>
      <c r="AC79" s="473" t="str">
        <f t="shared" ca="1" si="6"/>
        <v/>
      </c>
      <c r="AD79" s="474" t="str">
        <f t="shared" ca="1" si="14"/>
        <v/>
      </c>
      <c r="AE79" s="474" t="str">
        <f t="shared" ca="1" si="11"/>
        <v/>
      </c>
      <c r="AF79" s="475" t="str">
        <f t="shared" si="12"/>
        <v/>
      </c>
      <c r="AG79" s="367">
        <f t="shared" ca="1" si="8"/>
        <v>314.41982472816795</v>
      </c>
      <c r="AH79" s="476" t="str">
        <f t="shared" ca="1" si="15"/>
        <v/>
      </c>
      <c r="AI79" s="477" t="str">
        <f t="shared" ca="1" si="13"/>
        <v/>
      </c>
      <c r="AJ79" s="356"/>
    </row>
    <row r="80" spans="2:36" ht="26.25" customHeight="1">
      <c r="B80" s="445">
        <v>37</v>
      </c>
      <c r="C80" s="351">
        <f>IF(VLOOKUP(B80,PROPONENTES!$B$19:$E$109,2,0)="","",VLOOKUP(B80,PROPONENTES!$B$19:$E$109,2,0))</f>
        <v>37</v>
      </c>
      <c r="D80" s="352" t="str">
        <f>IF(VLOOKUP(B80,PROPONENTES!$B$19:$E$108,3,0)="","",VLOOKUP(B80,PROPONENTES!$B$19:$E$108,3,0))</f>
        <v>JORES INGENIERIA LTDA. JORES LTDA</v>
      </c>
      <c r="E80" s="353" t="str">
        <f>IF(ISNUMBER(D80),"",IF(VLOOKUP(B80,PROPONENTES!$B$19:$E$108,4,0)="","",IF(VLOOKUP(B80,PROPONENTES!$B$19:$E$108,4,0)&gt;1,"SI","NO")))</f>
        <v>NO</v>
      </c>
      <c r="F80" s="65" t="str">
        <f>IF(ISNUMBER(D80),"",IF(AND(VLOOKUP(B80,'HAB.GEN.'!$B$19:$L$108,8)="HÁBIL",VLOOKUP(B80,'HAB.GEN.'!$B$19:$L$108,10)&lt;&gt;"RECHAZO",VLOOKUP(B80,'HAB.GEN.'!$B$19:$L$108,10)&lt;&gt;"NO HÁBIL",VLOOKUP(B80,'HAB.GEN.'!$C$19:$L$108,9)="HÁBIL"),"CUMPLE","NO CUMPLE"))</f>
        <v>CUMPLE</v>
      </c>
      <c r="G80" s="365">
        <f>IF(ISNUMBER(D80),"",IF(B80&lt;&gt;"",VLOOKUP("M"&amp;C80,EXPERIENCIA!$A$20:$Y$5935,19,0),""))</f>
        <v>1</v>
      </c>
      <c r="H80" s="354" t="str">
        <f t="shared" si="10"/>
        <v>HÁBIL</v>
      </c>
      <c r="I80" s="366">
        <f>IF(ISNUMBER(D80),"",IF(H80="NO HÁBIL","",IF(AND(B80&lt;&gt;"",H80&lt;&gt;"NO HÁBIL"),VLOOKUP("Z"&amp;C80,EXPERIENCIA!$A$20:$Y$5935,15,FALSE),0)))</f>
        <v>432.54</v>
      </c>
      <c r="J80" s="355">
        <f t="shared" ca="1" si="4"/>
        <v>33.946420158900231</v>
      </c>
      <c r="K80" s="462">
        <f t="shared" ca="1" si="5"/>
        <v>33.946420158900231</v>
      </c>
      <c r="L80" s="372"/>
      <c r="M80" s="372"/>
      <c r="N80" s="372"/>
      <c r="O80" s="372"/>
      <c r="P80" s="372"/>
      <c r="Q80" s="372"/>
      <c r="R80" s="372"/>
      <c r="S80" s="372"/>
      <c r="T80" s="372"/>
      <c r="U80" s="372"/>
      <c r="V80" s="372"/>
      <c r="W80" s="372"/>
      <c r="X80" s="372"/>
      <c r="Y80" s="372"/>
      <c r="Z80" s="372"/>
      <c r="AA80" s="372"/>
      <c r="AB80" s="372"/>
      <c r="AC80" s="473" t="str">
        <f t="shared" ca="1" si="6"/>
        <v/>
      </c>
      <c r="AD80" s="474" t="str">
        <f t="shared" ca="1" si="14"/>
        <v/>
      </c>
      <c r="AE80" s="474" t="str">
        <f t="shared" ca="1" si="11"/>
        <v/>
      </c>
      <c r="AF80" s="475" t="str">
        <f t="shared" si="12"/>
        <v/>
      </c>
      <c r="AG80" s="367">
        <f t="shared" ca="1" si="8"/>
        <v>9.6435086051653798</v>
      </c>
      <c r="AH80" s="476" t="str">
        <f t="shared" ca="1" si="15"/>
        <v/>
      </c>
      <c r="AI80" s="477" t="str">
        <f t="shared" ca="1" si="13"/>
        <v/>
      </c>
      <c r="AJ80" s="356"/>
    </row>
    <row r="81" spans="2:36" ht="26.25" customHeight="1">
      <c r="B81" s="445">
        <v>38</v>
      </c>
      <c r="C81" s="351">
        <f>IF(VLOOKUP(B81,PROPONENTES!$B$19:$E$109,2,0)="","",VLOOKUP(B81,PROPONENTES!$B$19:$E$109,2,0))</f>
        <v>38</v>
      </c>
      <c r="D81" s="352" t="str">
        <f>IF(VLOOKUP(B81,PROPONENTES!$B$19:$E$108,3,0)="","",VLOOKUP(B81,PROPONENTES!$B$19:$E$108,3,0))</f>
        <v>CONSORCIO INTERTOLIMA CR</v>
      </c>
      <c r="E81" s="353" t="str">
        <f>IF(ISNUMBER(D81),"",IF(VLOOKUP(B81,PROPONENTES!$B$19:$E$108,4,0)="","",IF(VLOOKUP(B81,PROPONENTES!$B$19:$E$108,4,0)&gt;1,"SI","NO")))</f>
        <v>SI</v>
      </c>
      <c r="F81" s="65" t="str">
        <f ca="1">IF(ISNUMBER(D81),"",IF(AND(VLOOKUP(B81,'HAB.GEN.'!$B$19:$L$108,8)="HÁBIL",VLOOKUP(B81,'HAB.GEN.'!$B$19:$L$108,10)&lt;&gt;"RECHAZO",VLOOKUP(B81,'HAB.GEN.'!$B$19:$L$108,10)&lt;&gt;"NO HÁBIL",VLOOKUP(B81,'HAB.GEN.'!$C$19:$L$108,9)="HÁBIL"),"CUMPLE","NO CUMPLE"))</f>
        <v>CUMPLE</v>
      </c>
      <c r="G81" s="365">
        <f>IF(ISNUMBER(D81),"",IF(B81&lt;&gt;"",VLOOKUP("M"&amp;C81,EXPERIENCIA!$A$20:$Y$5935,19,0),""))</f>
        <v>1</v>
      </c>
      <c r="H81" s="354" t="str">
        <f t="shared" ca="1" si="10"/>
        <v>HÁBIL</v>
      </c>
      <c r="I81" s="366">
        <f ca="1">IF(ISNUMBER(D81),"",IF(H81="NO HÁBIL","",IF(AND(B81&lt;&gt;"",H81&lt;&gt;"NO HÁBIL"),VLOOKUP("Z"&amp;C81,EXPERIENCIA!$A$20:$Y$5935,15,FALSE),0)))</f>
        <v>1041.816</v>
      </c>
      <c r="J81" s="355">
        <f t="shared" ca="1" si="4"/>
        <v>43.473280324294592</v>
      </c>
      <c r="K81" s="462">
        <f t="shared" ca="1" si="5"/>
        <v>43.473280324294592</v>
      </c>
      <c r="L81" s="372"/>
      <c r="M81" s="372"/>
      <c r="N81" s="372"/>
      <c r="O81" s="372"/>
      <c r="P81" s="372"/>
      <c r="Q81" s="372"/>
      <c r="R81" s="372"/>
      <c r="S81" s="372"/>
      <c r="T81" s="372"/>
      <c r="U81" s="372"/>
      <c r="V81" s="372"/>
      <c r="W81" s="372"/>
      <c r="X81" s="372"/>
      <c r="Y81" s="372"/>
      <c r="Z81" s="372"/>
      <c r="AA81" s="372"/>
      <c r="AB81" s="372"/>
      <c r="AC81" s="473" t="str">
        <f t="shared" ca="1" si="6"/>
        <v/>
      </c>
      <c r="AD81" s="474" t="str">
        <f t="shared" ca="1" si="14"/>
        <v/>
      </c>
      <c r="AE81" s="474" t="str">
        <f t="shared" ca="1" si="11"/>
        <v/>
      </c>
      <c r="AF81" s="475" t="str">
        <f t="shared" ca="1" si="12"/>
        <v/>
      </c>
      <c r="AG81" s="367">
        <f t="shared" ca="1" si="8"/>
        <v>618.91950860516545</v>
      </c>
      <c r="AH81" s="476" t="str">
        <f t="shared" ca="1" si="15"/>
        <v/>
      </c>
      <c r="AI81" s="477" t="str">
        <f t="shared" ca="1" si="13"/>
        <v/>
      </c>
      <c r="AJ81" s="356"/>
    </row>
    <row r="82" spans="2:36" ht="26.25" customHeight="1">
      <c r="B82" s="445">
        <v>39</v>
      </c>
      <c r="C82" s="351">
        <f>IF(VLOOKUP(B82,PROPONENTES!$B$19:$E$109,2,0)="","",VLOOKUP(B82,PROPONENTES!$B$19:$E$109,2,0))</f>
        <v>39</v>
      </c>
      <c r="D82" s="352" t="str">
        <f>IF(VLOOKUP(B82,PROPONENTES!$B$19:$E$108,3,0)="","",VLOOKUP(B82,PROPONENTES!$B$19:$E$108,3,0))</f>
        <v>CONSORCIO TOLIMA G2</v>
      </c>
      <c r="E82" s="353" t="str">
        <f>IF(ISNUMBER(D82),"",IF(VLOOKUP(B82,PROPONENTES!$B$19:$E$108,4,0)="","",IF(VLOOKUP(B82,PROPONENTES!$B$19:$E$108,4,0)&gt;1,"SI","NO")))</f>
        <v>SI</v>
      </c>
      <c r="F82" s="65" t="str">
        <f ca="1">IF(ISNUMBER(D82),"",IF(AND(VLOOKUP(B82,'HAB.GEN.'!$B$19:$L$108,8)="HÁBIL",VLOOKUP(B82,'HAB.GEN.'!$B$19:$L$108,10)&lt;&gt;"RECHAZO",VLOOKUP(B82,'HAB.GEN.'!$B$19:$L$108,10)&lt;&gt;"NO HÁBIL",VLOOKUP(B82,'HAB.GEN.'!$C$19:$L$108,9)="HÁBIL"),"CUMPLE","NO CUMPLE"))</f>
        <v>CUMPLE</v>
      </c>
      <c r="G82" s="365">
        <f>IF(ISNUMBER(D82),"",IF(B82&lt;&gt;"",VLOOKUP("M"&amp;C82,EXPERIENCIA!$A$20:$Y$5935,19,0),""))</f>
        <v>4</v>
      </c>
      <c r="H82" s="354" t="str">
        <f t="shared" ca="1" si="10"/>
        <v>HÁBIL</v>
      </c>
      <c r="I82" s="366">
        <f ca="1">IF(ISNUMBER(D82),"",IF(H82="NO HÁBIL","",IF(AND(B82&lt;&gt;"",H82&lt;&gt;"NO HÁBIL"),VLOOKUP("Z"&amp;C82,EXPERIENCIA!$A$20:$Y$5935,15,FALSE),0)))</f>
        <v>406.2115</v>
      </c>
      <c r="J82" s="355">
        <f t="shared" ca="1" si="4"/>
        <v>31.88011802926227</v>
      </c>
      <c r="K82" s="462">
        <f t="shared" ca="1" si="5"/>
        <v>31.88011802926227</v>
      </c>
      <c r="L82" s="372"/>
      <c r="M82" s="372"/>
      <c r="N82" s="372"/>
      <c r="O82" s="372"/>
      <c r="P82" s="372"/>
      <c r="Q82" s="372"/>
      <c r="R82" s="372"/>
      <c r="S82" s="372"/>
      <c r="T82" s="372"/>
      <c r="U82" s="372"/>
      <c r="V82" s="372"/>
      <c r="W82" s="372"/>
      <c r="X82" s="372"/>
      <c r="Y82" s="372"/>
      <c r="Z82" s="372"/>
      <c r="AA82" s="372"/>
      <c r="AB82" s="372"/>
      <c r="AC82" s="473" t="str">
        <f t="shared" ca="1" si="6"/>
        <v/>
      </c>
      <c r="AD82" s="474" t="str">
        <f t="shared" ca="1" si="14"/>
        <v/>
      </c>
      <c r="AE82" s="474" t="str">
        <f t="shared" ca="1" si="11"/>
        <v/>
      </c>
      <c r="AF82" s="475" t="str">
        <f t="shared" ca="1" si="12"/>
        <v/>
      </c>
      <c r="AG82" s="367">
        <f t="shared" ca="1" si="8"/>
        <v>16.68499139483464</v>
      </c>
      <c r="AH82" s="476" t="str">
        <f t="shared" ca="1" si="15"/>
        <v/>
      </c>
      <c r="AI82" s="477" t="str">
        <f t="shared" ca="1" si="13"/>
        <v/>
      </c>
      <c r="AJ82" s="356"/>
    </row>
    <row r="83" spans="2:36" ht="26.25" customHeight="1">
      <c r="B83" s="445">
        <v>40</v>
      </c>
      <c r="C83" s="351">
        <f>IF(VLOOKUP(B83,PROPONENTES!$B$19:$E$109,2,0)="","",VLOOKUP(B83,PROPONENTES!$B$19:$E$109,2,0))</f>
        <v>40</v>
      </c>
      <c r="D83" s="352" t="str">
        <f>IF(VLOOKUP(B83,PROPONENTES!$B$19:$E$108,3,0)="","",VLOOKUP(B83,PROPONENTES!$B$19:$E$108,3,0))</f>
        <v>CONSORCIO INVIAS 001</v>
      </c>
      <c r="E83" s="353" t="str">
        <f>IF(ISNUMBER(D83),"",IF(VLOOKUP(B83,PROPONENTES!$B$19:$E$108,4,0)="","",IF(VLOOKUP(B83,PROPONENTES!$B$19:$E$108,4,0)&gt;1,"SI","NO")))</f>
        <v>SI</v>
      </c>
      <c r="F83" s="65" t="str">
        <f ca="1">IF(ISNUMBER(D83),"",IF(AND(VLOOKUP(B83,'HAB.GEN.'!$B$19:$L$108,8)="HÁBIL",VLOOKUP(B83,'HAB.GEN.'!$B$19:$L$108,10)&lt;&gt;"RECHAZO",VLOOKUP(B83,'HAB.GEN.'!$B$19:$L$108,10)&lt;&gt;"NO HÁBIL",VLOOKUP(B83,'HAB.GEN.'!$C$19:$L$108,9)="HÁBIL"),"CUMPLE","NO CUMPLE"))</f>
        <v>CUMPLE</v>
      </c>
      <c r="G83" s="365">
        <f>IF(ISNUMBER(D83),"",IF(B83&lt;&gt;"",VLOOKUP("M"&amp;C83,EXPERIENCIA!$A$20:$Y$5935,19,0),""))</f>
        <v>2</v>
      </c>
      <c r="H83" s="354" t="str">
        <f t="shared" ca="1" si="10"/>
        <v>HÁBIL</v>
      </c>
      <c r="I83" s="366">
        <f ca="1">IF(ISNUMBER(D83),"",IF(H83="NO HÁBIL","",IF(AND(B83&lt;&gt;"",H83&lt;&gt;"NO HÁBIL"),VLOOKUP("Z"&amp;C83,EXPERIENCIA!$A$20:$Y$5935,15,FALSE),0)))</f>
        <v>469.09749999999997</v>
      </c>
      <c r="J83" s="355">
        <f t="shared" ca="1" si="4"/>
        <v>36.815510312317251</v>
      </c>
      <c r="K83" s="462">
        <f t="shared" ca="1" si="5"/>
        <v>36.815510312317251</v>
      </c>
      <c r="L83" s="372"/>
      <c r="M83" s="372"/>
      <c r="N83" s="372"/>
      <c r="O83" s="372"/>
      <c r="P83" s="372"/>
      <c r="Q83" s="372"/>
      <c r="R83" s="372"/>
      <c r="S83" s="372"/>
      <c r="T83" s="372"/>
      <c r="U83" s="372"/>
      <c r="V83" s="372"/>
      <c r="W83" s="372"/>
      <c r="X83" s="372"/>
      <c r="Y83" s="372"/>
      <c r="Z83" s="372"/>
      <c r="AA83" s="372"/>
      <c r="AB83" s="372"/>
      <c r="AC83" s="473" t="str">
        <f t="shared" ca="1" si="6"/>
        <v/>
      </c>
      <c r="AD83" s="474" t="str">
        <f t="shared" ca="1" si="14"/>
        <v/>
      </c>
      <c r="AE83" s="474" t="str">
        <f t="shared" ca="1" si="11"/>
        <v/>
      </c>
      <c r="AF83" s="475" t="str">
        <f t="shared" ca="1" si="12"/>
        <v/>
      </c>
      <c r="AG83" s="367">
        <f t="shared" ca="1" si="8"/>
        <v>46.201008605165327</v>
      </c>
      <c r="AH83" s="476" t="str">
        <f t="shared" ca="1" si="15"/>
        <v/>
      </c>
      <c r="AI83" s="477" t="str">
        <f t="shared" ca="1" si="13"/>
        <v/>
      </c>
      <c r="AJ83" s="356"/>
    </row>
    <row r="84" spans="2:36" ht="26.25" customHeight="1">
      <c r="B84" s="445">
        <v>41</v>
      </c>
      <c r="C84" s="351">
        <f>IF(VLOOKUP(B84,PROPONENTES!$B$19:$E$109,2,0)="","",VLOOKUP(B84,PROPONENTES!$B$19:$E$109,2,0))</f>
        <v>41</v>
      </c>
      <c r="D84" s="352" t="str">
        <f>IF(VLOOKUP(B84,PROPONENTES!$B$19:$E$108,3,0)="","",VLOOKUP(B84,PROPONENTES!$B$19:$E$108,3,0))</f>
        <v>CONSORCIO SF</v>
      </c>
      <c r="E84" s="353" t="str">
        <f>IF(ISNUMBER(D84),"",IF(VLOOKUP(B84,PROPONENTES!$B$19:$E$108,4,0)="","",IF(VLOOKUP(B84,PROPONENTES!$B$19:$E$108,4,0)&gt;1,"SI","NO")))</f>
        <v>SI</v>
      </c>
      <c r="F84" s="65" t="str">
        <f ca="1">IF(ISNUMBER(D84),"",IF(AND(VLOOKUP(B84,'HAB.GEN.'!$B$19:$L$108,8)="HÁBIL",VLOOKUP(B84,'HAB.GEN.'!$B$19:$L$108,10)&lt;&gt;"RECHAZO",VLOOKUP(B84,'HAB.GEN.'!$B$19:$L$108,10)&lt;&gt;"NO HÁBIL",VLOOKUP(B84,'HAB.GEN.'!$C$19:$L$108,9)="HÁBIL"),"CUMPLE","NO CUMPLE"))</f>
        <v>CUMPLE</v>
      </c>
      <c r="G84" s="365">
        <f>IF(ISNUMBER(D84),"",IF(B84&lt;&gt;"",VLOOKUP("M"&amp;C84,EXPERIENCIA!$A$20:$Y$5935,19,0),""))</f>
        <v>3</v>
      </c>
      <c r="H84" s="354" t="str">
        <f t="shared" ca="1" si="10"/>
        <v>HÁBIL</v>
      </c>
      <c r="I84" s="366">
        <f ca="1">IF(ISNUMBER(D84),"",IF(H84="NO HÁBIL","",IF(AND(B84&lt;&gt;"",H84&lt;&gt;"NO HÁBIL"),VLOOKUP("Z"&amp;C84,EXPERIENCIA!$A$20:$Y$5935,15,FALSE),0)))</f>
        <v>140.14866666666666</v>
      </c>
      <c r="J84" s="355">
        <f t="shared" ca="1" si="4"/>
        <v>10.999087999667836</v>
      </c>
      <c r="K84" s="462">
        <f t="shared" ca="1" si="5"/>
        <v>10.999087999667836</v>
      </c>
      <c r="L84" s="372"/>
      <c r="M84" s="372"/>
      <c r="N84" s="372"/>
      <c r="O84" s="372"/>
      <c r="P84" s="372"/>
      <c r="Q84" s="372"/>
      <c r="R84" s="372"/>
      <c r="S84" s="372"/>
      <c r="T84" s="372"/>
      <c r="U84" s="372"/>
      <c r="V84" s="372"/>
      <c r="W84" s="372"/>
      <c r="X84" s="372"/>
      <c r="Y84" s="372"/>
      <c r="Z84" s="372"/>
      <c r="AA84" s="372"/>
      <c r="AB84" s="372"/>
      <c r="AC84" s="473" t="str">
        <f t="shared" ca="1" si="6"/>
        <v/>
      </c>
      <c r="AD84" s="474" t="str">
        <f t="shared" ca="1" si="14"/>
        <v/>
      </c>
      <c r="AE84" s="474" t="str">
        <f t="shared" ca="1" si="11"/>
        <v/>
      </c>
      <c r="AF84" s="475" t="str">
        <f t="shared" ca="1" si="12"/>
        <v/>
      </c>
      <c r="AG84" s="367">
        <f t="shared" ca="1" si="8"/>
        <v>282.74782472816798</v>
      </c>
      <c r="AH84" s="476" t="str">
        <f t="shared" ca="1" si="15"/>
        <v/>
      </c>
      <c r="AI84" s="477" t="str">
        <f t="shared" ca="1" si="13"/>
        <v/>
      </c>
      <c r="AJ84" s="356"/>
    </row>
    <row r="85" spans="2:36" ht="26.25" customHeight="1">
      <c r="B85" s="445">
        <v>42</v>
      </c>
      <c r="C85" s="351">
        <f>IF(VLOOKUP(B85,PROPONENTES!$B$19:$E$109,2,0)="","",VLOOKUP(B85,PROPONENTES!$B$19:$E$109,2,0))</f>
        <v>42</v>
      </c>
      <c r="D85" s="352" t="str">
        <f>IF(VLOOKUP(B85,PROPONENTES!$B$19:$E$108,3,0)="","",VLOOKUP(B85,PROPONENTES!$B$19:$E$108,3,0))</f>
        <v>CONSORCIO VIAL ORIEMH”</v>
      </c>
      <c r="E85" s="353" t="str">
        <f>IF(ISNUMBER(D85),"",IF(VLOOKUP(B85,PROPONENTES!$B$19:$E$108,4,0)="","",IF(VLOOKUP(B85,PROPONENTES!$B$19:$E$108,4,0)&gt;1,"SI","NO")))</f>
        <v>SI</v>
      </c>
      <c r="F85" s="65" t="str">
        <f ca="1">IF(ISNUMBER(D85),"",IF(AND(VLOOKUP(B85,'HAB.GEN.'!$B$19:$L$108,8)="HÁBIL",VLOOKUP(B85,'HAB.GEN.'!$B$19:$L$108,10)&lt;&gt;"RECHAZO",VLOOKUP(B85,'HAB.GEN.'!$B$19:$L$108,10)&lt;&gt;"NO HÁBIL",VLOOKUP(B85,'HAB.GEN.'!$C$19:$L$108,9)="HÁBIL"),"CUMPLE","NO CUMPLE"))</f>
        <v>CUMPLE</v>
      </c>
      <c r="G85" s="365">
        <f>IF(ISNUMBER(D85),"",IF(B85&lt;&gt;"",VLOOKUP("M"&amp;C85,EXPERIENCIA!$A$20:$Y$5935,19,0),""))</f>
        <v>3</v>
      </c>
      <c r="H85" s="354" t="str">
        <f t="shared" ca="1" si="10"/>
        <v>HÁBIL</v>
      </c>
      <c r="I85" s="366">
        <f ca="1">IF(ISNUMBER(D85),"",IF(H85="NO HÁBIL","",IF(AND(B85&lt;&gt;"",H85&lt;&gt;"NO HÁBIL"),VLOOKUP("Z"&amp;C85,EXPERIENCIA!$A$20:$Y$5935,15,FALSE),0)))</f>
        <v>433.06776666666661</v>
      </c>
      <c r="J85" s="355">
        <f t="shared" ca="1" si="4"/>
        <v>33.987840117776933</v>
      </c>
      <c r="K85" s="462">
        <f t="shared" ca="1" si="5"/>
        <v>33.987840117776933</v>
      </c>
      <c r="L85" s="372"/>
      <c r="M85" s="372"/>
      <c r="N85" s="372"/>
      <c r="O85" s="372"/>
      <c r="P85" s="372"/>
      <c r="Q85" s="372"/>
      <c r="R85" s="372"/>
      <c r="S85" s="372"/>
      <c r="T85" s="372"/>
      <c r="U85" s="372"/>
      <c r="V85" s="372"/>
      <c r="W85" s="372"/>
      <c r="X85" s="372"/>
      <c r="Y85" s="372"/>
      <c r="Z85" s="372"/>
      <c r="AA85" s="372"/>
      <c r="AB85" s="372"/>
      <c r="AC85" s="473" t="str">
        <f t="shared" ca="1" si="6"/>
        <v/>
      </c>
      <c r="AD85" s="474" t="str">
        <f t="shared" ca="1" si="14"/>
        <v/>
      </c>
      <c r="AE85" s="474" t="str">
        <f t="shared" ca="1" si="11"/>
        <v/>
      </c>
      <c r="AF85" s="475" t="str">
        <f t="shared" ca="1" si="12"/>
        <v/>
      </c>
      <c r="AG85" s="367">
        <f t="shared" ca="1" si="8"/>
        <v>10.171275271831973</v>
      </c>
      <c r="AH85" s="476" t="str">
        <f t="shared" ca="1" si="15"/>
        <v/>
      </c>
      <c r="AI85" s="477" t="str">
        <f t="shared" ca="1" si="13"/>
        <v/>
      </c>
      <c r="AJ85" s="356"/>
    </row>
    <row r="86" spans="2:36" ht="26.25" customHeight="1">
      <c r="B86" s="445">
        <v>43</v>
      </c>
      <c r="C86" s="351">
        <f>IF(VLOOKUP(B86,PROPONENTES!$B$19:$E$109,2,0)="","",VLOOKUP(B86,PROPONENTES!$B$19:$E$109,2,0))</f>
        <v>43</v>
      </c>
      <c r="D86" s="352" t="str">
        <f>IF(VLOOKUP(B86,PROPONENTES!$B$19:$E$108,3,0)="","",VLOOKUP(B86,PROPONENTES!$B$19:$E$108,3,0))</f>
        <v>CONSORCIO INTERFEDCO TOLIMA</v>
      </c>
      <c r="E86" s="353" t="str">
        <f>IF(ISNUMBER(D86),"",IF(VLOOKUP(B86,PROPONENTES!$B$19:$E$108,4,0)="","",IF(VLOOKUP(B86,PROPONENTES!$B$19:$E$108,4,0)&gt;1,"SI","NO")))</f>
        <v>SI</v>
      </c>
      <c r="F86" s="65" t="str">
        <f ca="1">IF(ISNUMBER(D86),"",IF(AND(VLOOKUP(B86,'HAB.GEN.'!$B$19:$L$108,8)="HÁBIL",VLOOKUP(B86,'HAB.GEN.'!$B$19:$L$108,10)&lt;&gt;"RECHAZO",VLOOKUP(B86,'HAB.GEN.'!$B$19:$L$108,10)&lt;&gt;"NO HÁBIL",VLOOKUP(B86,'HAB.GEN.'!$C$19:$L$108,9)="HÁBIL"),"CUMPLE","NO CUMPLE"))</f>
        <v>CUMPLE</v>
      </c>
      <c r="G86" s="365">
        <f>IF(ISNUMBER(D86),"",IF(B86&lt;&gt;"",VLOOKUP("M"&amp;C86,EXPERIENCIA!$A$20:$Y$5935,19,0),""))</f>
        <v>5</v>
      </c>
      <c r="H86" s="354" t="str">
        <f t="shared" ca="1" si="10"/>
        <v>HÁBIL</v>
      </c>
      <c r="I86" s="366">
        <f ca="1">IF(ISNUMBER(D86),"",IF(H86="NO HÁBIL","",IF(AND(B86&lt;&gt;"",H86&lt;&gt;"NO HÁBIL"),VLOOKUP("Z"&amp;C86,EXPERIENCIA!$A$20:$Y$5935,15,FALSE),0)))</f>
        <v>106.5</v>
      </c>
      <c r="J86" s="355">
        <f t="shared" ca="1" si="4"/>
        <v>8.3582876657023046</v>
      </c>
      <c r="K86" s="462">
        <f t="shared" ca="1" si="5"/>
        <v>8.3582876657023046</v>
      </c>
      <c r="L86" s="372"/>
      <c r="M86" s="372"/>
      <c r="N86" s="372"/>
      <c r="O86" s="372"/>
      <c r="P86" s="372"/>
      <c r="Q86" s="372"/>
      <c r="R86" s="372"/>
      <c r="S86" s="372"/>
      <c r="T86" s="372"/>
      <c r="U86" s="372"/>
      <c r="V86" s="372"/>
      <c r="W86" s="372"/>
      <c r="X86" s="372"/>
      <c r="Y86" s="372"/>
      <c r="Z86" s="372"/>
      <c r="AA86" s="372"/>
      <c r="AB86" s="372"/>
      <c r="AC86" s="473" t="str">
        <f t="shared" ca="1" si="6"/>
        <v/>
      </c>
      <c r="AD86" s="474" t="str">
        <f t="shared" ca="1" si="14"/>
        <v/>
      </c>
      <c r="AE86" s="474" t="str">
        <f t="shared" ca="1" si="11"/>
        <v/>
      </c>
      <c r="AF86" s="475" t="str">
        <f t="shared" ca="1" si="12"/>
        <v/>
      </c>
      <c r="AG86" s="367">
        <f t="shared" ca="1" si="8"/>
        <v>316.39649139483464</v>
      </c>
      <c r="AH86" s="476" t="str">
        <f t="shared" ca="1" si="15"/>
        <v/>
      </c>
      <c r="AI86" s="477" t="str">
        <f t="shared" ca="1" si="13"/>
        <v/>
      </c>
      <c r="AJ86" s="356"/>
    </row>
    <row r="87" spans="2:36" ht="26.25" customHeight="1">
      <c r="B87" s="445">
        <v>44</v>
      </c>
      <c r="C87" s="351">
        <f>IF(VLOOKUP(B87,PROPONENTES!$B$19:$E$109,2,0)="","",VLOOKUP(B87,PROPONENTES!$B$19:$E$109,2,0))</f>
        <v>44</v>
      </c>
      <c r="D87" s="352" t="str">
        <f>IF(VLOOKUP(B87,PROPONENTES!$B$19:$E$108,3,0)="","",VLOOKUP(B87,PROPONENTES!$B$19:$E$108,3,0))</f>
        <v>CONSORCIO VIAS RURALES TOL</v>
      </c>
      <c r="E87" s="353" t="str">
        <f>IF(ISNUMBER(D87),"",IF(VLOOKUP(B87,PROPONENTES!$B$19:$E$108,4,0)="","",IF(VLOOKUP(B87,PROPONENTES!$B$19:$E$108,4,0)&gt;1,"SI","NO")))</f>
        <v>SI</v>
      </c>
      <c r="F87" s="65" t="str">
        <f ca="1">IF(ISNUMBER(D87),"",IF(AND(VLOOKUP(B87,'HAB.GEN.'!$B$19:$L$108,8)="HÁBIL",VLOOKUP(B87,'HAB.GEN.'!$B$19:$L$108,10)&lt;&gt;"RECHAZO",VLOOKUP(B87,'HAB.GEN.'!$B$19:$L$108,10)&lt;&gt;"NO HÁBIL",VLOOKUP(B87,'HAB.GEN.'!$C$19:$L$108,9)="HÁBIL"),"CUMPLE","NO CUMPLE"))</f>
        <v>CUMPLE</v>
      </c>
      <c r="G87" s="365">
        <f>IF(ISNUMBER(D87),"",IF(B87&lt;&gt;"",VLOOKUP("M"&amp;C87,EXPERIENCIA!$A$20:$Y$5935,19,0),""))</f>
        <v>3</v>
      </c>
      <c r="H87" s="354" t="str">
        <f t="shared" ca="1" si="10"/>
        <v>HÁBIL</v>
      </c>
      <c r="I87" s="366">
        <f ca="1">IF(ISNUMBER(D87),"",IF(H87="NO HÁBIL","",IF(AND(B87&lt;&gt;"",H87&lt;&gt;"NO HÁBIL"),VLOOKUP("Z"&amp;C87,EXPERIENCIA!$A$20:$Y$5935,15,FALSE),0)))</f>
        <v>334.91900000000004</v>
      </c>
      <c r="J87" s="355">
        <f t="shared" ca="1" si="4"/>
        <v>26.284970391637096</v>
      </c>
      <c r="K87" s="462">
        <f t="shared" ca="1" si="5"/>
        <v>26.284970391637096</v>
      </c>
      <c r="L87" s="372"/>
      <c r="M87" s="372"/>
      <c r="N87" s="372"/>
      <c r="O87" s="372"/>
      <c r="P87" s="372"/>
      <c r="Q87" s="372"/>
      <c r="R87" s="372"/>
      <c r="S87" s="372"/>
      <c r="T87" s="372"/>
      <c r="U87" s="372"/>
      <c r="V87" s="372"/>
      <c r="W87" s="372"/>
      <c r="X87" s="372"/>
      <c r="Y87" s="372"/>
      <c r="Z87" s="372"/>
      <c r="AA87" s="372"/>
      <c r="AB87" s="372"/>
      <c r="AC87" s="473" t="str">
        <f t="shared" ca="1" si="6"/>
        <v/>
      </c>
      <c r="AD87" s="474" t="str">
        <f t="shared" ca="1" si="14"/>
        <v/>
      </c>
      <c r="AE87" s="474" t="str">
        <f t="shared" ca="1" si="11"/>
        <v/>
      </c>
      <c r="AF87" s="475" t="str">
        <f t="shared" ca="1" si="12"/>
        <v/>
      </c>
      <c r="AG87" s="367">
        <f t="shared" ca="1" si="8"/>
        <v>87.977491394834601</v>
      </c>
      <c r="AH87" s="476" t="str">
        <f t="shared" ca="1" si="15"/>
        <v/>
      </c>
      <c r="AI87" s="477" t="str">
        <f t="shared" ca="1" si="13"/>
        <v/>
      </c>
      <c r="AJ87" s="356"/>
    </row>
    <row r="88" spans="2:36" ht="26.25" customHeight="1">
      <c r="B88" s="445">
        <v>45</v>
      </c>
      <c r="C88" s="351">
        <f>IF(VLOOKUP(B88,PROPONENTES!$B$19:$E$109,2,0)="","",VLOOKUP(B88,PROPONENTES!$B$19:$E$109,2,0))</f>
        <v>45</v>
      </c>
      <c r="D88" s="352" t="str">
        <f>IF(VLOOKUP(B88,PROPONENTES!$B$19:$E$108,3,0)="","",VLOOKUP(B88,PROPONENTES!$B$19:$E$108,3,0))</f>
        <v>TECNOLOGÍA DE NUEVAS MEDICIONES COLOMBIA S.A.S. – TECNUMEC S.A.S.</v>
      </c>
      <c r="E88" s="353" t="str">
        <f>IF(ISNUMBER(D88),"",IF(VLOOKUP(B88,PROPONENTES!$B$19:$E$108,4,0)="","",IF(VLOOKUP(B88,PROPONENTES!$B$19:$E$108,4,0)&gt;1,"SI","NO")))</f>
        <v>NO</v>
      </c>
      <c r="F88" s="65" t="str">
        <f>IF(ISNUMBER(D88),"",IF(AND(VLOOKUP(B88,'HAB.GEN.'!$B$19:$L$108,8)="HÁBIL",VLOOKUP(B88,'HAB.GEN.'!$B$19:$L$108,10)&lt;&gt;"RECHAZO",VLOOKUP(B88,'HAB.GEN.'!$B$19:$L$108,10)&lt;&gt;"NO HÁBIL",VLOOKUP(B88,'HAB.GEN.'!$C$19:$L$108,9)="HÁBIL"),"CUMPLE","NO CUMPLE"))</f>
        <v>CUMPLE</v>
      </c>
      <c r="G88" s="365">
        <f>IF(ISNUMBER(D88),"",IF(B88&lt;&gt;"",VLOOKUP("M"&amp;C88,EXPERIENCIA!$A$20:$Y$5935,19,0),""))</f>
        <v>3</v>
      </c>
      <c r="H88" s="354" t="str">
        <f t="shared" si="10"/>
        <v>HÁBIL</v>
      </c>
      <c r="I88" s="366">
        <f>IF(ISNUMBER(D88),"",IF(H88="NO HÁBIL","",IF(AND(B88&lt;&gt;"",H88&lt;&gt;"NO HÁBIL"),VLOOKUP("Z"&amp;C88,EXPERIENCIA!$A$20:$Y$5935,15,FALSE),0)))</f>
        <v>469.20133333333337</v>
      </c>
      <c r="J88" s="355">
        <f t="shared" ca="1" si="4"/>
        <v>36.823659315784752</v>
      </c>
      <c r="K88" s="462">
        <f t="shared" ca="1" si="5"/>
        <v>36.823659315784752</v>
      </c>
      <c r="L88" s="372"/>
      <c r="M88" s="372"/>
      <c r="N88" s="372"/>
      <c r="O88" s="372"/>
      <c r="P88" s="372"/>
      <c r="Q88" s="372"/>
      <c r="R88" s="372"/>
      <c r="S88" s="372"/>
      <c r="T88" s="372"/>
      <c r="U88" s="372"/>
      <c r="V88" s="372"/>
      <c r="W88" s="372"/>
      <c r="X88" s="372"/>
      <c r="Y88" s="372"/>
      <c r="Z88" s="372"/>
      <c r="AA88" s="372"/>
      <c r="AB88" s="372"/>
      <c r="AC88" s="473" t="str">
        <f t="shared" ca="1" si="6"/>
        <v/>
      </c>
      <c r="AD88" s="474" t="str">
        <f t="shared" ca="1" si="14"/>
        <v/>
      </c>
      <c r="AE88" s="474" t="str">
        <f t="shared" ca="1" si="11"/>
        <v/>
      </c>
      <c r="AF88" s="475" t="str">
        <f t="shared" si="12"/>
        <v/>
      </c>
      <c r="AG88" s="367">
        <f t="shared" ca="1" si="8"/>
        <v>46.304841938498726</v>
      </c>
      <c r="AH88" s="476" t="str">
        <f t="shared" ca="1" si="15"/>
        <v/>
      </c>
      <c r="AI88" s="477" t="str">
        <f t="shared" ca="1" si="13"/>
        <v/>
      </c>
      <c r="AJ88" s="356"/>
    </row>
    <row r="89" spans="2:36" ht="26.25" customHeight="1">
      <c r="B89" s="445">
        <v>46</v>
      </c>
      <c r="C89" s="351">
        <f>IF(VLOOKUP(B89,PROPONENTES!$B$19:$E$109,2,0)="","",VLOOKUP(B89,PROPONENTES!$B$19:$E$109,2,0))</f>
        <v>46</v>
      </c>
      <c r="D89" s="352" t="str">
        <f>IF(VLOOKUP(B89,PROPONENTES!$B$19:$E$108,3,0)="","",VLOOKUP(B89,PROPONENTES!$B$19:$E$108,3,0))</f>
        <v>CONSULTORES SOLANO NAVAS LTDA</v>
      </c>
      <c r="E89" s="353" t="str">
        <f>IF(ISNUMBER(D89),"",IF(VLOOKUP(B89,PROPONENTES!$B$19:$E$108,4,0)="","",IF(VLOOKUP(B89,PROPONENTES!$B$19:$E$108,4,0)&gt;1,"SI","NO")))</f>
        <v>NO</v>
      </c>
      <c r="F89" s="65" t="str">
        <f>IF(ISNUMBER(D89),"",IF(AND(VLOOKUP(B89,'HAB.GEN.'!$B$19:$L$108,8)="HÁBIL",VLOOKUP(B89,'HAB.GEN.'!$B$19:$L$108,10)&lt;&gt;"RECHAZO",VLOOKUP(B89,'HAB.GEN.'!$B$19:$L$108,10)&lt;&gt;"NO HÁBIL",VLOOKUP(B89,'HAB.GEN.'!$C$19:$L$108,9)="HÁBIL"),"CUMPLE","NO CUMPLE"))</f>
        <v>CUMPLE</v>
      </c>
      <c r="G89" s="365">
        <f>IF(ISNUMBER(D89),"",IF(B89&lt;&gt;"",VLOOKUP("M"&amp;C89,EXPERIENCIA!$A$20:$Y$5935,19,0),""))</f>
        <v>3</v>
      </c>
      <c r="H89" s="354" t="str">
        <f t="shared" si="10"/>
        <v>HÁBIL</v>
      </c>
      <c r="I89" s="366">
        <f>IF(ISNUMBER(D89),"",IF(H89="NO HÁBIL","",IF(AND(B89&lt;&gt;"",H89&lt;&gt;"NO HÁBIL"),VLOOKUP("Z"&amp;C89,EXPERIENCIA!$A$20:$Y$5935,15,FALSE),0)))</f>
        <v>446.18779999999998</v>
      </c>
      <c r="J89" s="355">
        <f t="shared" ca="1" si="4"/>
        <v>35.017520988984479</v>
      </c>
      <c r="K89" s="462">
        <f t="shared" ca="1" si="5"/>
        <v>35.017520988984479</v>
      </c>
      <c r="L89" s="372"/>
      <c r="M89" s="372"/>
      <c r="N89" s="372"/>
      <c r="O89" s="372"/>
      <c r="P89" s="372"/>
      <c r="Q89" s="372"/>
      <c r="R89" s="372"/>
      <c r="S89" s="372"/>
      <c r="T89" s="372"/>
      <c r="U89" s="372"/>
      <c r="V89" s="372"/>
      <c r="W89" s="372"/>
      <c r="X89" s="372"/>
      <c r="Y89" s="372"/>
      <c r="Z89" s="372"/>
      <c r="AA89" s="372"/>
      <c r="AB89" s="372"/>
      <c r="AC89" s="473" t="str">
        <f t="shared" ca="1" si="6"/>
        <v/>
      </c>
      <c r="AD89" s="474" t="str">
        <f t="shared" ca="1" si="14"/>
        <v/>
      </c>
      <c r="AE89" s="474" t="str">
        <f t="shared" ca="1" si="11"/>
        <v/>
      </c>
      <c r="AF89" s="475" t="str">
        <f t="shared" si="12"/>
        <v/>
      </c>
      <c r="AG89" s="367">
        <f t="shared" ca="1" si="8"/>
        <v>23.291308605165341</v>
      </c>
      <c r="AH89" s="476" t="str">
        <f t="shared" ca="1" si="15"/>
        <v/>
      </c>
      <c r="AI89" s="477" t="str">
        <f t="shared" ca="1" si="13"/>
        <v/>
      </c>
      <c r="AJ89" s="356"/>
    </row>
    <row r="90" spans="2:36" ht="26.25" customHeight="1">
      <c r="B90" s="445">
        <v>47</v>
      </c>
      <c r="C90" s="351">
        <f>IF(VLOOKUP(B90,PROPONENTES!$B$19:$E$109,2,0)="","",VLOOKUP(B90,PROPONENTES!$B$19:$E$109,2,0))</f>
        <v>47</v>
      </c>
      <c r="D90" s="352" t="str">
        <f>IF(VLOOKUP(B90,PROPONENTES!$B$19:$E$108,3,0)="","",VLOOKUP(B90,PROPONENTES!$B$19:$E$108,3,0))</f>
        <v>CONSORCIO VIAS TOLIMA 22</v>
      </c>
      <c r="E90" s="353" t="str">
        <f>IF(ISNUMBER(D90),"",IF(VLOOKUP(B90,PROPONENTES!$B$19:$E$108,4,0)="","",IF(VLOOKUP(B90,PROPONENTES!$B$19:$E$108,4,0)&gt;1,"SI","NO")))</f>
        <v>SI</v>
      </c>
      <c r="F90" s="65" t="str">
        <f ca="1">IF(ISNUMBER(D90),"",IF(AND(VLOOKUP(B90,'HAB.GEN.'!$B$19:$L$108,8)="HÁBIL",VLOOKUP(B90,'HAB.GEN.'!$B$19:$L$108,10)&lt;&gt;"RECHAZO",VLOOKUP(B90,'HAB.GEN.'!$B$19:$L$108,10)&lt;&gt;"NO HÁBIL",VLOOKUP(B90,'HAB.GEN.'!$C$19:$L$108,9)="HÁBIL"),"CUMPLE","NO CUMPLE"))</f>
        <v>CUMPLE</v>
      </c>
      <c r="G90" s="365">
        <f>IF(ISNUMBER(D90),"",IF(B90&lt;&gt;"",VLOOKUP("M"&amp;C90,EXPERIENCIA!$A$20:$Y$5935,19,0),""))</f>
        <v>3</v>
      </c>
      <c r="H90" s="354" t="str">
        <f t="shared" ca="1" si="10"/>
        <v>HÁBIL</v>
      </c>
      <c r="I90" s="366">
        <f ca="1">IF(ISNUMBER(D90),"",IF(H90="NO HÁBIL","",IF(AND(B90&lt;&gt;"",H90&lt;&gt;"NO HÁBIL"),VLOOKUP("Z"&amp;C90,EXPERIENCIA!$A$20:$Y$5935,15,FALSE),0)))</f>
        <v>416.46033333333338</v>
      </c>
      <c r="J90" s="355">
        <f ca="1">IF(ISNUMBER(D90),"",IF(C90&lt;&gt;"",IF(F90="NO CUMPLE",0,IF(H90="HÁBIL",IF($F$37="MEDIANA CON VALOR ABSOLUTO",$J$24*(1-ABS(($J$37-I90)/$J$37)),IF(AND($F$37="MEDIA GEOMÉTRICA",I90=$J$30),$J$24,IF($F$37="MEDIA GEOMÉTRICA",$J$24*(1-(ABS($J$37-I90)/$J$37)),IF(AND($F$37="MEDIA ARITMÉTICA ALTA",I90&lt;=$J$37),$J$24*(1-(($J$37-I90)/$J$37)),IF($F$37="MEDIA ARITMÉTICA ALTA",$J$24*(1-2*(ABS($J$37-I90)/$J$37)),IF(I90&lt;=$J$37,$J$24*(1-(($J$37-I90)/$J$37)),$J$24*(1-(ABS($J$37-I90)/$J$37)))))))),0)),""))</f>
        <v>32.684462604265455</v>
      </c>
      <c r="K90" s="462">
        <f t="shared" ca="1" si="5"/>
        <v>32.684462604265455</v>
      </c>
      <c r="L90" s="372"/>
      <c r="M90" s="372"/>
      <c r="N90" s="372"/>
      <c r="O90" s="372"/>
      <c r="P90" s="372"/>
      <c r="Q90" s="372"/>
      <c r="R90" s="372"/>
      <c r="S90" s="372"/>
      <c r="T90" s="372"/>
      <c r="U90" s="372"/>
      <c r="V90" s="372"/>
      <c r="W90" s="372"/>
      <c r="X90" s="372"/>
      <c r="Y90" s="372"/>
      <c r="Z90" s="372"/>
      <c r="AA90" s="372"/>
      <c r="AB90" s="372"/>
      <c r="AC90" s="473" t="str">
        <f t="shared" ca="1" si="6"/>
        <v/>
      </c>
      <c r="AD90" s="474" t="str">
        <f t="shared" ca="1" si="14"/>
        <v/>
      </c>
      <c r="AE90" s="474" t="str">
        <f t="shared" ca="1" si="11"/>
        <v/>
      </c>
      <c r="AF90" s="475" t="str">
        <f t="shared" ca="1" si="12"/>
        <v/>
      </c>
      <c r="AG90" s="367">
        <f t="shared" ca="1" si="8"/>
        <v>6.4361580615012599</v>
      </c>
      <c r="AH90" s="476" t="str">
        <f t="shared" ca="1" si="15"/>
        <v/>
      </c>
      <c r="AI90" s="477" t="str">
        <f t="shared" ca="1" si="13"/>
        <v/>
      </c>
      <c r="AJ90" s="356"/>
    </row>
    <row r="91" spans="2:36" ht="26.25" customHeight="1">
      <c r="B91" s="445">
        <v>48</v>
      </c>
      <c r="C91" s="351">
        <f>IF(VLOOKUP(B91,PROPONENTES!$B$19:$E$109,2,0)="","",VLOOKUP(B91,PROPONENTES!$B$19:$E$109,2,0))</f>
        <v>48</v>
      </c>
      <c r="D91" s="352" t="str">
        <f>IF(VLOOKUP(B91,PROPONENTES!$B$19:$E$108,3,0)="","",VLOOKUP(B91,PROPONENTES!$B$19:$E$108,3,0))</f>
        <v>BRAIN INGENIERIA VIAL SAS</v>
      </c>
      <c r="E91" s="353" t="str">
        <f>IF(ISNUMBER(D91),"",IF(VLOOKUP(B91,PROPONENTES!$B$19:$E$108,4,0)="","",IF(VLOOKUP(B91,PROPONENTES!$B$19:$E$108,4,0)&gt;1,"SI","NO")))</f>
        <v>NO</v>
      </c>
      <c r="F91" s="65" t="str">
        <f>IF(ISNUMBER(D91),"",IF(AND(VLOOKUP(B91,'HAB.GEN.'!$B$19:$L$108,8)="HÁBIL",VLOOKUP(B91,'HAB.GEN.'!$B$19:$L$108,10)&lt;&gt;"RECHAZO",VLOOKUP(B91,'HAB.GEN.'!$B$19:$L$108,10)&lt;&gt;"NO HÁBIL",VLOOKUP(B91,'HAB.GEN.'!$C$19:$L$108,9)="HÁBIL"),"CUMPLE","NO CUMPLE"))</f>
        <v>CUMPLE</v>
      </c>
      <c r="G91" s="365">
        <f>IF(ISNUMBER(D91),"",IF(B91&lt;&gt;"",VLOOKUP("M"&amp;C91,EXPERIENCIA!$A$20:$Y$5935,19,0),""))</f>
        <v>1</v>
      </c>
      <c r="H91" s="354" t="str">
        <f t="shared" si="10"/>
        <v>HÁBIL</v>
      </c>
      <c r="I91" s="366">
        <f>IF(ISNUMBER(D91),"",IF(H91="NO HÁBIL","",IF(AND(B91&lt;&gt;"",H91&lt;&gt;"NO HÁBIL"),VLOOKUP("Z"&amp;C91,EXPERIENCIA!$A$20:$Y$5935,15,FALSE),0)))</f>
        <v>357.54</v>
      </c>
      <c r="J91" s="355">
        <f t="shared" ca="1" si="4"/>
        <v>28.060302084461991</v>
      </c>
      <c r="K91" s="462">
        <f t="shared" ca="1" si="5"/>
        <v>28.060302084461991</v>
      </c>
      <c r="L91" s="425"/>
      <c r="M91" s="425"/>
      <c r="N91" s="425"/>
      <c r="O91" s="425"/>
      <c r="P91" s="425"/>
      <c r="Q91" s="425"/>
      <c r="R91" s="425"/>
      <c r="S91" s="425"/>
      <c r="T91" s="425"/>
      <c r="U91" s="425"/>
      <c r="V91" s="425"/>
      <c r="W91" s="425"/>
      <c r="X91" s="425"/>
      <c r="Y91" s="425"/>
      <c r="Z91" s="425"/>
      <c r="AA91" s="425"/>
      <c r="AB91" s="372"/>
      <c r="AC91" s="473" t="str">
        <f t="shared" ca="1" si="6"/>
        <v/>
      </c>
      <c r="AD91" s="474" t="str">
        <f t="shared" ca="1" si="14"/>
        <v/>
      </c>
      <c r="AE91" s="474" t="str">
        <f t="shared" ca="1" si="11"/>
        <v/>
      </c>
      <c r="AF91" s="475" t="str">
        <f t="shared" si="12"/>
        <v/>
      </c>
      <c r="AG91" s="367">
        <f t="shared" ca="1" si="8"/>
        <v>65.35649139483462</v>
      </c>
      <c r="AH91" s="476" t="str">
        <f t="shared" ca="1" si="15"/>
        <v/>
      </c>
      <c r="AI91" s="477" t="str">
        <f t="shared" ca="1" si="13"/>
        <v/>
      </c>
      <c r="AJ91" s="356"/>
    </row>
    <row r="92" spans="2:36" ht="26.25" customHeight="1">
      <c r="B92" s="445">
        <v>49</v>
      </c>
      <c r="C92" s="351">
        <f>IF(VLOOKUP(B92,PROPONENTES!$B$19:$E$109,2,0)="","",VLOOKUP(B92,PROPONENTES!$B$19:$E$109,2,0))</f>
        <v>49</v>
      </c>
      <c r="D92" s="352" t="str">
        <f>IF(VLOOKUP(B92,PROPONENTES!$B$19:$E$108,3,0)="","",VLOOKUP(B92,PROPONENTES!$B$19:$E$108,3,0))</f>
        <v>CONSORCIO LAPP</v>
      </c>
      <c r="E92" s="353" t="str">
        <f>IF(ISNUMBER(D92),"",IF(VLOOKUP(B92,PROPONENTES!$B$19:$E$108,4,0)="","",IF(VLOOKUP(B92,PROPONENTES!$B$19:$E$108,4,0)&gt;1,"SI","NO")))</f>
        <v>SI</v>
      </c>
      <c r="F92" s="65" t="str">
        <f ca="1">IF(ISNUMBER(D92),"",IF(AND(VLOOKUP(B92,'HAB.GEN.'!$B$19:$L$108,8)="HÁBIL",VLOOKUP(B92,'HAB.GEN.'!$B$19:$L$108,10)&lt;&gt;"RECHAZO",VLOOKUP(B92,'HAB.GEN.'!$B$19:$L$108,10)&lt;&gt;"NO HÁBIL",VLOOKUP(B92,'HAB.GEN.'!$C$19:$L$108,9)="HÁBIL"),"CUMPLE","NO CUMPLE"))</f>
        <v>CUMPLE</v>
      </c>
      <c r="G92" s="365">
        <f>IF(ISNUMBER(D92),"",IF(B92&lt;&gt;"",VLOOKUP("M"&amp;C92,EXPERIENCIA!$A$20:$Y$5935,19,0),""))</f>
        <v>3</v>
      </c>
      <c r="H92" s="354" t="str">
        <f t="shared" ca="1" si="10"/>
        <v>HÁBIL</v>
      </c>
      <c r="I92" s="366">
        <f ca="1">IF(ISNUMBER(D92),"",IF(H92="NO HÁBIL","",IF(AND(B92&lt;&gt;"",H92&lt;&gt;"NO HÁBIL"),VLOOKUP("Z"&amp;C92,EXPERIENCIA!$A$20:$Y$5935,15,FALSE),0)))</f>
        <v>540.62666666666667</v>
      </c>
      <c r="J92" s="355">
        <f t="shared" ca="1" si="4"/>
        <v>42.429231922532878</v>
      </c>
      <c r="K92" s="462">
        <f t="shared" ca="1" si="5"/>
        <v>42.429231922532878</v>
      </c>
      <c r="L92" s="372"/>
      <c r="M92" s="372"/>
      <c r="N92" s="372"/>
      <c r="O92" s="372"/>
      <c r="P92" s="372"/>
      <c r="Q92" s="372"/>
      <c r="R92" s="372"/>
      <c r="S92" s="372"/>
      <c r="T92" s="372"/>
      <c r="U92" s="372"/>
      <c r="V92" s="372"/>
      <c r="W92" s="372"/>
      <c r="X92" s="372"/>
      <c r="Y92" s="372"/>
      <c r="Z92" s="372"/>
      <c r="AA92" s="372"/>
      <c r="AB92" s="372"/>
      <c r="AC92" s="473" t="str">
        <f t="shared" ca="1" si="6"/>
        <v/>
      </c>
      <c r="AD92" s="474" t="str">
        <f t="shared" ca="1" si="14"/>
        <v/>
      </c>
      <c r="AE92" s="474" t="str">
        <f t="shared" ca="1" si="11"/>
        <v/>
      </c>
      <c r="AF92" s="475" t="str">
        <f t="shared" ca="1" si="12"/>
        <v/>
      </c>
      <c r="AG92" s="367">
        <f t="shared" ca="1" si="8"/>
        <v>117.73017527183202</v>
      </c>
      <c r="AH92" s="476" t="str">
        <f t="shared" ca="1" si="15"/>
        <v/>
      </c>
      <c r="AI92" s="477" t="str">
        <f t="shared" ca="1" si="13"/>
        <v/>
      </c>
      <c r="AJ92" s="356"/>
    </row>
    <row r="93" spans="2:36" ht="26.25" customHeight="1">
      <c r="B93" s="445">
        <v>50</v>
      </c>
      <c r="C93" s="351">
        <f>IF(VLOOKUP(B93,PROPONENTES!$B$19:$E$109,2,0)="","",VLOOKUP(B93,PROPONENTES!$B$19:$E$109,2,0))</f>
        <v>50</v>
      </c>
      <c r="D93" s="352" t="str">
        <f>IF(VLOOKUP(B93,PROPONENTES!$B$19:$E$108,3,0)="","",VLOOKUP(B93,PROPONENTES!$B$19:$E$108,3,0))</f>
        <v>PROYECTISTAS ASOCIADOS SAS</v>
      </c>
      <c r="E93" s="353" t="str">
        <f>IF(ISNUMBER(D93),"",IF(VLOOKUP(B93,PROPONENTES!$B$19:$E$108,4,0)="","",IF(VLOOKUP(B93,PROPONENTES!$B$19:$E$108,4,0)&gt;1,"SI","NO")))</f>
        <v>NO</v>
      </c>
      <c r="F93" s="65" t="str">
        <f>IF(ISNUMBER(D93),"",IF(AND(VLOOKUP(B93,'HAB.GEN.'!$B$19:$L$108,8)="HÁBIL",VLOOKUP(B93,'HAB.GEN.'!$B$19:$L$108,10)&lt;&gt;"RECHAZO",VLOOKUP(B93,'HAB.GEN.'!$B$19:$L$108,10)&lt;&gt;"NO HÁBIL",VLOOKUP(B93,'HAB.GEN.'!$C$19:$L$108,9)="HÁBIL"),"CUMPLE","NO CUMPLE"))</f>
        <v>CUMPLE</v>
      </c>
      <c r="G93" s="365">
        <f>IF(ISNUMBER(D93),"",IF(B93&lt;&gt;"",VLOOKUP("M"&amp;C93,EXPERIENCIA!$A$20:$Y$5935,19,0),""))</f>
        <v>2</v>
      </c>
      <c r="H93" s="354" t="str">
        <f t="shared" si="10"/>
        <v>HÁBIL</v>
      </c>
      <c r="I93" s="366">
        <f>IF(ISNUMBER(D93),"",IF(H93="NO HÁBIL","",IF(AND(B93&lt;&gt;"",H93&lt;&gt;"NO HÁBIL"),VLOOKUP("Z"&amp;C93,EXPERIENCIA!$A$20:$Y$5935,15,FALSE),0)))</f>
        <v>456.55099999999999</v>
      </c>
      <c r="J93" s="355">
        <f t="shared" ca="1" si="4"/>
        <v>35.830841240038055</v>
      </c>
      <c r="K93" s="462">
        <f t="shared" ca="1" si="5"/>
        <v>35.830841240038055</v>
      </c>
      <c r="L93" s="372"/>
      <c r="M93" s="372"/>
      <c r="N93" s="372"/>
      <c r="O93" s="372"/>
      <c r="P93" s="372"/>
      <c r="Q93" s="372"/>
      <c r="R93" s="372"/>
      <c r="S93" s="372"/>
      <c r="T93" s="372"/>
      <c r="U93" s="372"/>
      <c r="V93" s="372"/>
      <c r="W93" s="372"/>
      <c r="X93" s="372"/>
      <c r="Y93" s="372"/>
      <c r="Z93" s="372"/>
      <c r="AA93" s="372"/>
      <c r="AB93" s="372"/>
      <c r="AC93" s="473" t="str">
        <f t="shared" ca="1" si="6"/>
        <v/>
      </c>
      <c r="AD93" s="474" t="str">
        <f t="shared" ca="1" si="14"/>
        <v/>
      </c>
      <c r="AE93" s="474" t="str">
        <f t="shared" ca="1" si="11"/>
        <v/>
      </c>
      <c r="AF93" s="475" t="str">
        <f t="shared" si="12"/>
        <v/>
      </c>
      <c r="AG93" s="367">
        <f t="shared" ca="1" si="8"/>
        <v>33.654508605165347</v>
      </c>
      <c r="AH93" s="476" t="str">
        <f t="shared" ca="1" si="15"/>
        <v/>
      </c>
      <c r="AI93" s="477" t="str">
        <f t="shared" ca="1" si="13"/>
        <v/>
      </c>
      <c r="AJ93" s="356"/>
    </row>
    <row r="94" spans="2:36" ht="26.25" customHeight="1">
      <c r="B94" s="445">
        <v>51</v>
      </c>
      <c r="C94" s="351">
        <f>IF(VLOOKUP(B94,PROPONENTES!$B$19:$E$109,2,0)="","",VLOOKUP(B94,PROPONENTES!$B$19:$E$109,2,0))</f>
        <v>51</v>
      </c>
      <c r="D94" s="352" t="str">
        <f>IF(VLOOKUP(B94,PROPONENTES!$B$19:$E$108,3,0)="","",VLOOKUP(B94,PROPONENTES!$B$19:$E$108,3,0))</f>
        <v>DAM SOLUCIONES E INGENIERIA SAS</v>
      </c>
      <c r="E94" s="353" t="str">
        <f>IF(ISNUMBER(D94),"",IF(VLOOKUP(B94,PROPONENTES!$B$19:$E$108,4,0)="","",IF(VLOOKUP(B94,PROPONENTES!$B$19:$E$108,4,0)&gt;1,"SI","NO")))</f>
        <v>NO</v>
      </c>
      <c r="F94" s="65" t="str">
        <f>IF(ISNUMBER(D94),"",IF(AND(VLOOKUP(B94,'HAB.GEN.'!$B$19:$L$108,8)="HÁBIL",VLOOKUP(B94,'HAB.GEN.'!$B$19:$L$108,10)&lt;&gt;"RECHAZO",VLOOKUP(B94,'HAB.GEN.'!$B$19:$L$108,10)&lt;&gt;"NO HÁBIL",VLOOKUP(B94,'HAB.GEN.'!$C$19:$L$108,9)="HÁBIL"),"CUMPLE","NO CUMPLE"))</f>
        <v>NO CUMPLE</v>
      </c>
      <c r="G94" s="365">
        <f>IF(ISNUMBER(D94),"",IF(B94&lt;&gt;"",VLOOKUP("M"&amp;C94,EXPERIENCIA!$A$20:$Y$5935,19,0),""))</f>
        <v>1</v>
      </c>
      <c r="H94" s="354" t="str">
        <f t="shared" si="10"/>
        <v>NO HÁBIL</v>
      </c>
      <c r="I94" s="366" t="str">
        <f>IF(ISNUMBER(D94),"",IF(H94="NO HÁBIL","",IF(AND(B94&lt;&gt;"",H94&lt;&gt;"NO HÁBIL"),VLOOKUP("Z"&amp;C94,EXPERIENCIA!$A$20:$Y$5935,15,FALSE),0)))</f>
        <v/>
      </c>
      <c r="J94" s="355">
        <f t="shared" si="4"/>
        <v>0</v>
      </c>
      <c r="K94" s="462">
        <f t="shared" si="5"/>
        <v>0</v>
      </c>
      <c r="L94" s="372"/>
      <c r="M94" s="372"/>
      <c r="N94" s="372"/>
      <c r="O94" s="372"/>
      <c r="P94" s="372"/>
      <c r="Q94" s="372"/>
      <c r="R94" s="372"/>
      <c r="S94" s="372"/>
      <c r="T94" s="372"/>
      <c r="U94" s="372"/>
      <c r="V94" s="372"/>
      <c r="W94" s="372"/>
      <c r="X94" s="372"/>
      <c r="Y94" s="372"/>
      <c r="Z94" s="372"/>
      <c r="AA94" s="372"/>
      <c r="AB94" s="372"/>
      <c r="AC94" s="473" t="str">
        <f t="shared" si="6"/>
        <v/>
      </c>
      <c r="AD94" s="474" t="str">
        <f t="shared" ca="1" si="14"/>
        <v/>
      </c>
      <c r="AE94" s="474" t="str">
        <f t="shared" ca="1" si="11"/>
        <v/>
      </c>
      <c r="AF94" s="475" t="str">
        <f t="shared" si="12"/>
        <v/>
      </c>
      <c r="AG94" s="367" t="str">
        <f t="shared" si="8"/>
        <v/>
      </c>
      <c r="AH94" s="476" t="str">
        <f t="shared" ca="1" si="15"/>
        <v/>
      </c>
      <c r="AI94" s="477" t="str">
        <f t="shared" ca="1" si="13"/>
        <v/>
      </c>
      <c r="AJ94" s="356"/>
    </row>
    <row r="95" spans="2:36" ht="26.25" customHeight="1">
      <c r="B95" s="445">
        <v>52</v>
      </c>
      <c r="C95" s="351">
        <f>IF(VLOOKUP(B95,PROPONENTES!$B$19:$E$109,2,0)="","",VLOOKUP(B95,PROPONENTES!$B$19:$E$109,2,0))</f>
        <v>52</v>
      </c>
      <c r="D95" s="352" t="str">
        <f>IF(VLOOKUP(B95,PROPONENTES!$B$19:$E$108,3,0)="","",VLOOKUP(B95,PROPONENTES!$B$19:$E$108,3,0))</f>
        <v>COINZA ING SAS</v>
      </c>
      <c r="E95" s="353" t="str">
        <f>IF(ISNUMBER(D95),"",IF(VLOOKUP(B95,PROPONENTES!$B$19:$E$108,4,0)="","",IF(VLOOKUP(B95,PROPONENTES!$B$19:$E$108,4,0)&gt;1,"SI","NO")))</f>
        <v>NO</v>
      </c>
      <c r="F95" s="65" t="str">
        <f>IF(ISNUMBER(D95),"",IF(AND(VLOOKUP(B95,'HAB.GEN.'!$B$19:$L$108,8)="HÁBIL",VLOOKUP(B95,'HAB.GEN.'!$B$19:$L$108,10)&lt;&gt;"RECHAZO",VLOOKUP(B95,'HAB.GEN.'!$B$19:$L$108,10)&lt;&gt;"NO HÁBIL",VLOOKUP(B95,'HAB.GEN.'!$C$19:$L$108,9)="HÁBIL"),"CUMPLE","NO CUMPLE"))</f>
        <v>CUMPLE</v>
      </c>
      <c r="G95" s="365">
        <f>IF(ISNUMBER(D95),"",IF(B95&lt;&gt;"",VLOOKUP("M"&amp;C95,EXPERIENCIA!$A$20:$Y$5935,19,0),""))</f>
        <v>4</v>
      </c>
      <c r="H95" s="354" t="str">
        <f t="shared" si="10"/>
        <v>HÁBIL</v>
      </c>
      <c r="I95" s="366">
        <f>IF(ISNUMBER(D95),"",IF(H95="NO HÁBIL","",IF(AND(B95&lt;&gt;"",H95&lt;&gt;"NO HÁBIL"),VLOOKUP("Z"&amp;C95,EXPERIENCIA!$A$20:$Y$5935,15,FALSE),0)))</f>
        <v>337.63</v>
      </c>
      <c r="J95" s="355">
        <f t="shared" ca="1" si="4"/>
        <v>26.497733939634454</v>
      </c>
      <c r="K95" s="462">
        <f t="shared" ca="1" si="5"/>
        <v>26.497733939634454</v>
      </c>
      <c r="L95" s="372"/>
      <c r="M95" s="372"/>
      <c r="N95" s="372"/>
      <c r="O95" s="372"/>
      <c r="P95" s="372"/>
      <c r="Q95" s="372"/>
      <c r="R95" s="372"/>
      <c r="S95" s="372"/>
      <c r="T95" s="372"/>
      <c r="U95" s="372"/>
      <c r="V95" s="372"/>
      <c r="W95" s="372"/>
      <c r="X95" s="372"/>
      <c r="Y95" s="372"/>
      <c r="Z95" s="372"/>
      <c r="AA95" s="372"/>
      <c r="AB95" s="372"/>
      <c r="AC95" s="473" t="str">
        <f t="shared" ca="1" si="6"/>
        <v/>
      </c>
      <c r="AD95" s="474" t="str">
        <f t="shared" ca="1" si="14"/>
        <v/>
      </c>
      <c r="AE95" s="474" t="str">
        <f t="shared" ca="1" si="11"/>
        <v/>
      </c>
      <c r="AF95" s="475" t="str">
        <f t="shared" si="12"/>
        <v/>
      </c>
      <c r="AG95" s="367">
        <f t="shared" ca="1" si="8"/>
        <v>85.266491394834645</v>
      </c>
      <c r="AH95" s="476" t="str">
        <f t="shared" ca="1" si="15"/>
        <v/>
      </c>
      <c r="AI95" s="477" t="str">
        <f t="shared" ca="1" si="13"/>
        <v/>
      </c>
      <c r="AJ95" s="356"/>
    </row>
    <row r="96" spans="2:36" ht="26.25" customHeight="1">
      <c r="B96" s="445">
        <v>53</v>
      </c>
      <c r="C96" s="351">
        <f>IF(VLOOKUP(B96,PROPONENTES!$B$19:$E$109,2,0)="","",VLOOKUP(B96,PROPONENTES!$B$19:$E$109,2,0))</f>
        <v>53</v>
      </c>
      <c r="D96" s="352" t="str">
        <f>IF(VLOOKUP(B96,PROPONENTES!$B$19:$E$108,3,0)="","",VLOOKUP(B96,PROPONENTES!$B$19:$E$108,3,0))</f>
        <v>NORBERTO BAYONA ESPITIA</v>
      </c>
      <c r="E96" s="353" t="str">
        <f>IF(ISNUMBER(D96),"",IF(VLOOKUP(B96,PROPONENTES!$B$19:$E$108,4,0)="","",IF(VLOOKUP(B96,PROPONENTES!$B$19:$E$108,4,0)&gt;1,"SI","NO")))</f>
        <v>NO</v>
      </c>
      <c r="F96" s="65" t="str">
        <f>IF(ISNUMBER(D96),"",IF(AND(VLOOKUP(B96,'HAB.GEN.'!$B$19:$L$108,8)="HÁBIL",VLOOKUP(B96,'HAB.GEN.'!$B$19:$L$108,10)&lt;&gt;"RECHAZO",VLOOKUP(B96,'HAB.GEN.'!$B$19:$L$108,10)&lt;&gt;"NO HÁBIL",VLOOKUP(B96,'HAB.GEN.'!$C$19:$L$108,9)="HÁBIL"),"CUMPLE","NO CUMPLE"))</f>
        <v>CUMPLE</v>
      </c>
      <c r="G96" s="365">
        <f>IF(ISNUMBER(D96),"",IF(B96&lt;&gt;"",VLOOKUP("M"&amp;C96,EXPERIENCIA!$A$20:$Y$5935,19,0),""))</f>
        <v>4</v>
      </c>
      <c r="H96" s="354" t="str">
        <f t="shared" si="10"/>
        <v>HÁBIL</v>
      </c>
      <c r="I96" s="366">
        <f>IF(ISNUMBER(D96),"",IF(H96="NO HÁBIL","",IF(AND(B96&lt;&gt;"",H96&lt;&gt;"NO HÁBIL"),VLOOKUP("Z"&amp;C96,EXPERIENCIA!$A$20:$Y$5935,15,FALSE),0)))</f>
        <v>494.95202499999999</v>
      </c>
      <c r="J96" s="355">
        <f t="shared" ca="1" si="4"/>
        <v>38.844614137764118</v>
      </c>
      <c r="K96" s="462">
        <f t="shared" ca="1" si="5"/>
        <v>38.844614137764118</v>
      </c>
      <c r="L96" s="372"/>
      <c r="M96" s="372"/>
      <c r="N96" s="372"/>
      <c r="O96" s="372"/>
      <c r="P96" s="372"/>
      <c r="Q96" s="372"/>
      <c r="R96" s="372"/>
      <c r="S96" s="372"/>
      <c r="T96" s="372"/>
      <c r="U96" s="372"/>
      <c r="V96" s="372"/>
      <c r="W96" s="372"/>
      <c r="X96" s="372"/>
      <c r="Y96" s="372"/>
      <c r="Z96" s="372"/>
      <c r="AA96" s="372"/>
      <c r="AB96" s="372"/>
      <c r="AC96" s="473" t="str">
        <f t="shared" ca="1" si="6"/>
        <v/>
      </c>
      <c r="AD96" s="474" t="str">
        <f t="shared" ca="1" si="14"/>
        <v/>
      </c>
      <c r="AE96" s="474" t="str">
        <f t="shared" ca="1" si="11"/>
        <v/>
      </c>
      <c r="AF96" s="475" t="str">
        <f t="shared" si="12"/>
        <v/>
      </c>
      <c r="AG96" s="367">
        <f t="shared" ca="1" si="8"/>
        <v>72.055533605165351</v>
      </c>
      <c r="AH96" s="476" t="str">
        <f t="shared" ca="1" si="15"/>
        <v/>
      </c>
      <c r="AI96" s="477" t="str">
        <f t="shared" ca="1" si="13"/>
        <v/>
      </c>
      <c r="AJ96" s="356"/>
    </row>
    <row r="97" spans="2:36" ht="26.25" customHeight="1">
      <c r="B97" s="445">
        <v>54</v>
      </c>
      <c r="C97" s="351">
        <f>IF(VLOOKUP(B97,PROPONENTES!$B$19:$E$109,2,0)="","",VLOOKUP(B97,PROPONENTES!$B$19:$E$109,2,0))</f>
        <v>54</v>
      </c>
      <c r="D97" s="352" t="str">
        <f>IF(VLOOKUP(B97,PROPONENTES!$B$19:$E$108,3,0)="","",VLOOKUP(B97,PROPONENTES!$B$19:$E$108,3,0))</f>
        <v>CONSORCIO HC INTERVENTORES 2022</v>
      </c>
      <c r="E97" s="353" t="str">
        <f>IF(ISNUMBER(D97),"",IF(VLOOKUP(B97,PROPONENTES!$B$19:$E$108,4,0)="","",IF(VLOOKUP(B97,PROPONENTES!$B$19:$E$108,4,0)&gt;1,"SI","NO")))</f>
        <v>SI</v>
      </c>
      <c r="F97" s="65" t="str">
        <f ca="1">IF(ISNUMBER(D97),"",IF(AND(VLOOKUP(B97,'HAB.GEN.'!$B$19:$L$108,8)="HÁBIL",VLOOKUP(B97,'HAB.GEN.'!$B$19:$L$108,10)&lt;&gt;"RECHAZO",VLOOKUP(B97,'HAB.GEN.'!$B$19:$L$108,10)&lt;&gt;"NO HÁBIL",VLOOKUP(B97,'HAB.GEN.'!$C$19:$L$108,9)="HÁBIL"),"CUMPLE","NO CUMPLE"))</f>
        <v>CUMPLE</v>
      </c>
      <c r="G97" s="365">
        <f>IF(ISNUMBER(D97),"",IF(B97&lt;&gt;"",VLOOKUP("M"&amp;C97,EXPERIENCIA!$A$20:$Y$5935,19,0),""))</f>
        <v>3</v>
      </c>
      <c r="H97" s="354" t="str">
        <f t="shared" ca="1" si="10"/>
        <v>HÁBIL</v>
      </c>
      <c r="I97" s="366">
        <f ca="1">IF(ISNUMBER(D97),"",IF(H97="NO HÁBIL","",IF(AND(B97&lt;&gt;"",H97&lt;&gt;"NO HÁBIL"),VLOOKUP("Z"&amp;C97,EXPERIENCIA!$A$20:$Y$5935,15,FALSE),0)))</f>
        <v>360.38400000000001</v>
      </c>
      <c r="J97" s="355">
        <f t="shared" ca="1" si="4"/>
        <v>28.283503681844692</v>
      </c>
      <c r="K97" s="462">
        <f ca="1">IF(C97&lt;&gt;"",IF(F97="NO CUMPLE",0,IF(H97="HÁBIL",IF($F$37="MEDIANA CON VALOR ABSOLUTO",IF($J$24*(1-ABS(($J$37-I97)/$J$37))&lt;0,0,$J$24*(1-ABS(($J$37-I97)/$J$37))),IF(AND($F$37="MEDIA GEOMÉTRICA",I97=$J$30),$J$24,IF($F$37="MEDIA GEOMÉTRICA",IF($J$24*(1-(ABS($J$37-I97)/$J$37))&lt;0,0,$J$24*(1-(ABS($J$37-I97)/$J$37))),IF(AND($F$37="MEDIA ARITMÉTICA ALTA",I97&lt;=$J$37),IF($J$24*(1-(($J$37-I97)/$J$37))&lt;0,0,$J$24*(1-(($J$37-I97)/$J$37))),IF($F$37="MEDIA ARITMÉTICA ALTA",IF($J$24*(1-2*(ABS($J$37-I97)/$J$37))&lt;0,0,$J$24*(1-2*(ABS($J$37-I97)/$J$37))),IF(I97&lt;=$J$37,IF($J$24*(1-(($J$37-I97)/$J$37))&lt;0,0,$J$24*(1-(($J$37-I97)/$J$37))),IF($J$24*(1-(ABS($J$37-I97)/$J$37))&lt;0,0,$J$24*(1-(ABS($J$37-I97)/$J$37))))))))),0)),"")</f>
        <v>28.283503681844692</v>
      </c>
      <c r="L97" s="372"/>
      <c r="M97" s="372"/>
      <c r="N97" s="372"/>
      <c r="O97" s="372"/>
      <c r="P97" s="372"/>
      <c r="Q97" s="372"/>
      <c r="R97" s="372"/>
      <c r="S97" s="372"/>
      <c r="T97" s="372"/>
      <c r="U97" s="372"/>
      <c r="V97" s="372"/>
      <c r="W97" s="372"/>
      <c r="X97" s="372"/>
      <c r="Y97" s="372"/>
      <c r="Z97" s="372"/>
      <c r="AA97" s="372"/>
      <c r="AB97" s="372"/>
      <c r="AC97" s="473" t="str">
        <f t="shared" ca="1" si="6"/>
        <v/>
      </c>
      <c r="AD97" s="474" t="str">
        <f t="shared" ca="1" si="14"/>
        <v/>
      </c>
      <c r="AE97" s="474" t="str">
        <f t="shared" ca="1" si="11"/>
        <v/>
      </c>
      <c r="AF97" s="475" t="str">
        <f t="shared" ca="1" si="12"/>
        <v/>
      </c>
      <c r="AG97" s="367">
        <f t="shared" ca="1" si="8"/>
        <v>62.512491394834626</v>
      </c>
      <c r="AH97" s="476" t="str">
        <f t="shared" ca="1" si="15"/>
        <v/>
      </c>
      <c r="AI97" s="477" t="str">
        <f t="shared" ca="1" si="13"/>
        <v/>
      </c>
      <c r="AJ97" s="356"/>
    </row>
    <row r="98" spans="2:36" ht="26.25" customHeight="1">
      <c r="B98" s="445">
        <v>55</v>
      </c>
      <c r="C98" s="351">
        <f>IF(VLOOKUP(B98,PROPONENTES!$B$19:$E$109,2,0)="","",VLOOKUP(B98,PROPONENTES!$B$19:$E$109,2,0))</f>
        <v>55</v>
      </c>
      <c r="D98" s="352" t="str">
        <f>IF(VLOOKUP(B98,PROPONENTES!$B$19:$E$108,3,0)="","",VLOOKUP(B98,PROPONENTES!$B$19:$E$108,3,0))</f>
        <v>MARIO DE JESUS GIL CARDONA</v>
      </c>
      <c r="E98" s="353" t="str">
        <f>IF(ISNUMBER(D98),"",IF(VLOOKUP(B98,PROPONENTES!$B$19:$E$108,4,0)="","",IF(VLOOKUP(B98,PROPONENTES!$B$19:$E$108,4,0)&gt;1,"SI","NO")))</f>
        <v>NO</v>
      </c>
      <c r="F98" s="65" t="str">
        <f>IF(ISNUMBER(D98),"",IF(AND(VLOOKUP(B98,'HAB.GEN.'!$B$19:$L$108,8)="HÁBIL",VLOOKUP(B98,'HAB.GEN.'!$B$19:$L$108,10)&lt;&gt;"RECHAZO",VLOOKUP(B98,'HAB.GEN.'!$B$19:$L$108,10)&lt;&gt;"NO HÁBIL",VLOOKUP(B98,'HAB.GEN.'!$C$19:$L$108,9)="HÁBIL"),"CUMPLE","NO CUMPLE"))</f>
        <v>CUMPLE</v>
      </c>
      <c r="G98" s="365">
        <f>IF(ISNUMBER(D98),"",IF(B98&lt;&gt;"",VLOOKUP("M"&amp;C98,EXPERIENCIA!$A$20:$Y$5935,19,0),""))</f>
        <v>2</v>
      </c>
      <c r="H98" s="354" t="str">
        <f t="shared" si="10"/>
        <v>HÁBIL</v>
      </c>
      <c r="I98" s="366">
        <f>IF(ISNUMBER(D98),"",IF(H98="NO HÁBIL","",IF(AND(B98&lt;&gt;"",H98&lt;&gt;"NO HÁBIL"),VLOOKUP("Z"&amp;C98,EXPERIENCIA!$A$20:$Y$5935,15,FALSE),0)))</f>
        <v>692.98199999999997</v>
      </c>
      <c r="J98" s="355">
        <f t="shared" ca="1" si="4"/>
        <v>54.386318339471501</v>
      </c>
      <c r="K98" s="462">
        <f t="shared" ca="1" si="5"/>
        <v>54.386318339471501</v>
      </c>
      <c r="L98" s="372"/>
      <c r="M98" s="372"/>
      <c r="N98" s="372"/>
      <c r="O98" s="372"/>
      <c r="P98" s="372"/>
      <c r="Q98" s="372"/>
      <c r="R98" s="372"/>
      <c r="S98" s="372"/>
      <c r="T98" s="372"/>
      <c r="U98" s="372"/>
      <c r="V98" s="372"/>
      <c r="W98" s="372"/>
      <c r="X98" s="372"/>
      <c r="Y98" s="372"/>
      <c r="Z98" s="372"/>
      <c r="AA98" s="372"/>
      <c r="AB98" s="372"/>
      <c r="AC98" s="473" t="str">
        <f t="shared" ca="1" si="6"/>
        <v/>
      </c>
      <c r="AD98" s="474" t="str">
        <f t="shared" ca="1" si="14"/>
        <v/>
      </c>
      <c r="AE98" s="474" t="str">
        <f t="shared" ca="1" si="11"/>
        <v/>
      </c>
      <c r="AF98" s="475" t="str">
        <f t="shared" si="12"/>
        <v/>
      </c>
      <c r="AG98" s="367">
        <f t="shared" ca="1" si="8"/>
        <v>270.08550860516533</v>
      </c>
      <c r="AH98" s="476" t="str">
        <f t="shared" ca="1" si="15"/>
        <v/>
      </c>
      <c r="AI98" s="477" t="str">
        <f t="shared" ca="1" si="13"/>
        <v/>
      </c>
      <c r="AJ98" s="356"/>
    </row>
    <row r="99" spans="2:36" ht="26.25" customHeight="1">
      <c r="B99" s="445">
        <v>56</v>
      </c>
      <c r="C99" s="351">
        <f>IF(VLOOKUP(B99,PROPONENTES!$B$19:$E$109,2,0)="","",VLOOKUP(B99,PROPONENTES!$B$19:$E$109,2,0))</f>
        <v>56</v>
      </c>
      <c r="D99" s="352" t="str">
        <f>IF(VLOOKUP(B99,PROPONENTES!$B$19:$E$108,3,0)="","",VLOOKUP(B99,PROPONENTES!$B$19:$E$108,3,0))</f>
        <v>CONSORCIO COLOMBIA RURAL ET</v>
      </c>
      <c r="E99" s="353" t="str">
        <f>IF(ISNUMBER(D99),"",IF(VLOOKUP(B99,PROPONENTES!$B$19:$E$108,4,0)="","",IF(VLOOKUP(B99,PROPONENTES!$B$19:$E$108,4,0)&gt;1,"SI","NO")))</f>
        <v>SI</v>
      </c>
      <c r="F99" s="65" t="str">
        <f ca="1">IF(ISNUMBER(D99),"",IF(AND(VLOOKUP(B99,'HAB.GEN.'!$B$19:$L$108,8)="HÁBIL",VLOOKUP(B99,'HAB.GEN.'!$B$19:$L$108,10)&lt;&gt;"RECHAZO",VLOOKUP(B99,'HAB.GEN.'!$B$19:$L$108,10)&lt;&gt;"NO HÁBIL",VLOOKUP(B99,'HAB.GEN.'!$C$19:$L$108,9)="HÁBIL"),"CUMPLE","NO CUMPLE"))</f>
        <v>CUMPLE</v>
      </c>
      <c r="G99" s="365">
        <f>IF(ISNUMBER(D99),"",IF(B99&lt;&gt;"",VLOOKUP("M"&amp;C99,EXPERIENCIA!$A$20:$Y$5935,19,0),""))</f>
        <v>3</v>
      </c>
      <c r="H99" s="354" t="str">
        <f t="shared" ca="1" si="10"/>
        <v>HÁBIL</v>
      </c>
      <c r="I99" s="366">
        <f ca="1">IF(ISNUMBER(D99),"",IF(H99="NO HÁBIL","",IF(AND(B99&lt;&gt;"",H99&lt;&gt;"NO HÁBIL"),VLOOKUP("Z"&amp;C99,EXPERIENCIA!$A$20:$Y$5935,15,FALSE),0)))</f>
        <v>533.49</v>
      </c>
      <c r="J99" s="355">
        <f t="shared" ca="1" si="4"/>
        <v>41.869135087094108</v>
      </c>
      <c r="K99" s="462">
        <f t="shared" ca="1" si="5"/>
        <v>41.869135087094108</v>
      </c>
      <c r="L99" s="372"/>
      <c r="M99" s="372"/>
      <c r="N99" s="372"/>
      <c r="O99" s="372"/>
      <c r="P99" s="372"/>
      <c r="Q99" s="372"/>
      <c r="R99" s="372"/>
      <c r="S99" s="372"/>
      <c r="T99" s="372"/>
      <c r="U99" s="372"/>
      <c r="V99" s="372"/>
      <c r="W99" s="372"/>
      <c r="X99" s="372"/>
      <c r="Y99" s="372"/>
      <c r="Z99" s="372"/>
      <c r="AA99" s="372"/>
      <c r="AB99" s="372"/>
      <c r="AC99" s="473" t="str">
        <f t="shared" ca="1" si="6"/>
        <v/>
      </c>
      <c r="AD99" s="474" t="str">
        <f t="shared" ca="1" si="14"/>
        <v/>
      </c>
      <c r="AE99" s="474" t="str">
        <f t="shared" ca="1" si="11"/>
        <v/>
      </c>
      <c r="AF99" s="475" t="str">
        <f t="shared" ca="1" si="12"/>
        <v/>
      </c>
      <c r="AG99" s="367">
        <f t="shared" ca="1" si="8"/>
        <v>110.59350860516537</v>
      </c>
      <c r="AH99" s="476" t="str">
        <f t="shared" ca="1" si="15"/>
        <v/>
      </c>
      <c r="AI99" s="477" t="str">
        <f t="shared" ca="1" si="13"/>
        <v/>
      </c>
      <c r="AJ99" s="356"/>
    </row>
    <row r="100" spans="2:36" ht="26.25" customHeight="1">
      <c r="B100" s="445">
        <v>57</v>
      </c>
      <c r="C100" s="351">
        <f>IF(VLOOKUP(B100,PROPONENTES!$B$19:$E$109,2,0)="","",VLOOKUP(B100,PROPONENTES!$B$19:$E$109,2,0))</f>
        <v>57</v>
      </c>
      <c r="D100" s="352" t="str">
        <f>IF(VLOOKUP(B100,PROPONENTES!$B$19:$E$108,3,0)="","",VLOOKUP(B100,PROPONENTES!$B$19:$E$108,3,0))</f>
        <v>CONSORCIO ROGER 20</v>
      </c>
      <c r="E100" s="353" t="str">
        <f>IF(ISNUMBER(D100),"",IF(VLOOKUP(B100,PROPONENTES!$B$19:$E$108,4,0)="","",IF(VLOOKUP(B100,PROPONENTES!$B$19:$E$108,4,0)&gt;1,"SI","NO")))</f>
        <v>SI</v>
      </c>
      <c r="F100" s="65" t="str">
        <f ca="1">IF(ISNUMBER(D100),"",IF(AND(VLOOKUP(B100,'HAB.GEN.'!$B$19:$L$108,8)="HÁBIL",VLOOKUP(B100,'HAB.GEN.'!$B$19:$L$108,10)&lt;&gt;"RECHAZO",VLOOKUP(B100,'HAB.GEN.'!$B$19:$L$108,10)&lt;&gt;"NO HÁBIL",VLOOKUP(B100,'HAB.GEN.'!$C$19:$L$108,9)="HÁBIL"),"CUMPLE","NO CUMPLE"))</f>
        <v>CUMPLE</v>
      </c>
      <c r="G100" s="365">
        <f>IF(ISNUMBER(D100),"",IF(B100&lt;&gt;"",VLOOKUP("M"&amp;C100,EXPERIENCIA!$A$20:$Y$5935,19,0),""))</f>
        <v>1</v>
      </c>
      <c r="H100" s="354" t="str">
        <f t="shared" ca="1" si="10"/>
        <v>HÁBIL</v>
      </c>
      <c r="I100" s="366">
        <f ca="1">IF(ISNUMBER(D100),"",IF(H100="NO HÁBIL","",IF(AND(B100&lt;&gt;"",H100&lt;&gt;"NO HÁBIL"),VLOOKUP("Z"&amp;C100,EXPERIENCIA!$A$20:$Y$5935,15,FALSE),0)))</f>
        <v>367.64249999999998</v>
      </c>
      <c r="J100" s="355">
        <f t="shared" ca="1" si="4"/>
        <v>28.853162189088824</v>
      </c>
      <c r="K100" s="462">
        <f ca="1">IF(C100&lt;&gt;"",IF(F100="NO CUMPLE",0,IF(H100="HÁBIL",IF($F$37="MEDIANA CON VALOR ABSOLUTO",IF($J$24*(1-ABS(($J$37-I100)/$J$37))&lt;0,0,$J$24*(1-ABS(($J$37-I100)/$J$37))),IF(AND($F$37="MEDIA GEOMÉTRICA",I100=$J$30),$J$24,IF($F$37="MEDIA GEOMÉTRICA",IF($J$24*(1-(ABS($J$37-I100)/$J$37))&lt;0,0,$J$24*(1-(ABS($J$37-I100)/$J$37))),IF(AND($F$37="MEDIA ARITMÉTICA ALTA",I100&lt;=$J$37),IF($J$24*(1-(($J$37-I100)/$J$37))&lt;0,0,$J$24*(1-(($J$37-I100)/$J$37))),IF($F$37="MEDIA ARITMÉTICA ALTA",IF($J$24*(1-2*(ABS($J$37-I100)/$J$37))&lt;0,0,$J$24*(1-2*(ABS($J$37-I100)/$J$37))),IF(I100&lt;=$J$37,IF($J$24*(1-(($J$37-I100)/$J$37))&lt;0,0,$J$24*(1-(($J$37-I100)/$J$37))),IF($J$24*(1-(ABS($J$37-I100)/$J$37))&lt;0,0,$J$24*(1-(ABS($J$37-I100)/$J$37))))))))),0)),"")</f>
        <v>28.853162189088824</v>
      </c>
      <c r="L100" s="372"/>
      <c r="M100" s="372"/>
      <c r="N100" s="372"/>
      <c r="O100" s="372"/>
      <c r="P100" s="372"/>
      <c r="Q100" s="372"/>
      <c r="R100" s="372"/>
      <c r="S100" s="372"/>
      <c r="T100" s="372"/>
      <c r="U100" s="372"/>
      <c r="V100" s="372"/>
      <c r="W100" s="372"/>
      <c r="X100" s="372"/>
      <c r="Y100" s="372"/>
      <c r="Z100" s="372"/>
      <c r="AA100" s="372"/>
      <c r="AB100" s="372"/>
      <c r="AC100" s="473" t="str">
        <f t="shared" ca="1" si="6"/>
        <v/>
      </c>
      <c r="AD100" s="474" t="str">
        <f t="shared" ca="1" si="14"/>
        <v/>
      </c>
      <c r="AE100" s="474" t="str">
        <f t="shared" ca="1" si="11"/>
        <v/>
      </c>
      <c r="AF100" s="475" t="str">
        <f t="shared" ca="1" si="12"/>
        <v/>
      </c>
      <c r="AG100" s="367">
        <f t="shared" ca="1" si="8"/>
        <v>55.253991394834657</v>
      </c>
      <c r="AH100" s="476" t="str">
        <f t="shared" ca="1" si="15"/>
        <v/>
      </c>
      <c r="AI100" s="477" t="str">
        <f t="shared" ca="1" si="13"/>
        <v/>
      </c>
      <c r="AJ100" s="356"/>
    </row>
    <row r="101" spans="2:36" ht="26.25" customHeight="1">
      <c r="B101" s="445">
        <v>58</v>
      </c>
      <c r="C101" s="351">
        <f>IF(VLOOKUP(B101,PROPONENTES!$B$19:$E$109,2,0)="","",VLOOKUP(B101,PROPONENTES!$B$19:$E$109,2,0))</f>
        <v>58</v>
      </c>
      <c r="D101" s="352" t="str">
        <f>IF(VLOOKUP(B101,PROPONENTES!$B$19:$E$108,3,0)="","",VLOOKUP(B101,PROPONENTES!$B$19:$E$108,3,0))</f>
        <v>VALLEJO H INGENIEROS CONSULTORES CONSTRUCTORES C S.A.S -BIC</v>
      </c>
      <c r="E101" s="353" t="str">
        <f>IF(ISNUMBER(D101),"",IF(VLOOKUP(B101,PROPONENTES!$B$19:$E$108,4,0)="","",IF(VLOOKUP(B101,PROPONENTES!$B$19:$E$108,4,0)&gt;1,"SI","NO")))</f>
        <v>NO</v>
      </c>
      <c r="F101" s="65" t="str">
        <f>IF(ISNUMBER(D101),"",IF(AND(VLOOKUP(B101,'HAB.GEN.'!$B$19:$L$108,8)="HÁBIL",VLOOKUP(B101,'HAB.GEN.'!$B$19:$L$108,10)&lt;&gt;"RECHAZO",VLOOKUP(B101,'HAB.GEN.'!$B$19:$L$108,10)&lt;&gt;"NO HÁBIL",VLOOKUP(B101,'HAB.GEN.'!$C$19:$L$108,9)="HÁBIL"),"CUMPLE","NO CUMPLE"))</f>
        <v>CUMPLE</v>
      </c>
      <c r="G101" s="365">
        <f>IF(ISNUMBER(D101),"",IF(B101&lt;&gt;"",VLOOKUP("M"&amp;C101,EXPERIENCIA!$A$20:$Y$5935,19,0),""))</f>
        <v>1</v>
      </c>
      <c r="H101" s="354" t="str">
        <f t="shared" si="10"/>
        <v>HÁBIL</v>
      </c>
      <c r="I101" s="366">
        <f>IF(ISNUMBER(D101),"",IF(H101="NO HÁBIL","",IF(AND(B101&lt;&gt;"",H101&lt;&gt;"NO HÁBIL"),VLOOKUP("Z"&amp;C101,EXPERIENCIA!$A$20:$Y$5935,15,FALSE),0)))</f>
        <v>294.642</v>
      </c>
      <c r="J101" s="355">
        <f t="shared" ca="1" si="4"/>
        <v>23.123968022515111</v>
      </c>
      <c r="K101" s="462">
        <f t="shared" ca="1" si="5"/>
        <v>23.123968022515111</v>
      </c>
      <c r="L101" s="372"/>
      <c r="M101" s="372"/>
      <c r="N101" s="372"/>
      <c r="O101" s="372"/>
      <c r="P101" s="372"/>
      <c r="Q101" s="372"/>
      <c r="R101" s="372"/>
      <c r="S101" s="372"/>
      <c r="T101" s="372"/>
      <c r="U101" s="372"/>
      <c r="V101" s="372"/>
      <c r="W101" s="372"/>
      <c r="X101" s="372"/>
      <c r="Y101" s="372"/>
      <c r="Z101" s="372"/>
      <c r="AA101" s="372"/>
      <c r="AB101" s="372"/>
      <c r="AC101" s="473" t="str">
        <f t="shared" ca="1" si="6"/>
        <v/>
      </c>
      <c r="AD101" s="474" t="str">
        <f t="shared" ca="1" si="14"/>
        <v/>
      </c>
      <c r="AE101" s="474" t="str">
        <f t="shared" ca="1" si="11"/>
        <v/>
      </c>
      <c r="AF101" s="475" t="str">
        <f t="shared" si="12"/>
        <v/>
      </c>
      <c r="AG101" s="367">
        <f t="shared" ca="1" si="8"/>
        <v>128.25449139483464</v>
      </c>
      <c r="AH101" s="476" t="str">
        <f t="shared" ca="1" si="15"/>
        <v/>
      </c>
      <c r="AI101" s="477" t="str">
        <f t="shared" ca="1" si="13"/>
        <v/>
      </c>
      <c r="AJ101" s="356"/>
    </row>
    <row r="102" spans="2:36" ht="26.25" customHeight="1">
      <c r="B102" s="445">
        <v>59</v>
      </c>
      <c r="C102" s="351">
        <f>IF(VLOOKUP(B102,PROPONENTES!$B$19:$E$109,2,0)="","",VLOOKUP(B102,PROPONENTES!$B$19:$E$109,2,0))</f>
        <v>59</v>
      </c>
      <c r="D102" s="352" t="str">
        <f>IF(VLOOKUP(B102,PROPONENTES!$B$19:$E$108,3,0)="","",VLOOKUP(B102,PROPONENTES!$B$19:$E$108,3,0))</f>
        <v>Consorcio JR</v>
      </c>
      <c r="E102" s="353" t="str">
        <f>IF(ISNUMBER(D102),"",IF(VLOOKUP(B102,PROPONENTES!$B$19:$E$108,4,0)="","",IF(VLOOKUP(B102,PROPONENTES!$B$19:$E$108,4,0)&gt;1,"SI","NO")))</f>
        <v>SI</v>
      </c>
      <c r="F102" s="65" t="str">
        <f ca="1">IF(ISNUMBER(D102),"",IF(AND(VLOOKUP(B102,'HAB.GEN.'!$B$19:$L$108,8)="HÁBIL",VLOOKUP(B102,'HAB.GEN.'!$B$19:$L$108,10)&lt;&gt;"RECHAZO",VLOOKUP(B102,'HAB.GEN.'!$B$19:$L$108,10)&lt;&gt;"NO HÁBIL",VLOOKUP(B102,'HAB.GEN.'!$C$19:$L$108,9)="HÁBIL"),"CUMPLE","NO CUMPLE"))</f>
        <v>CUMPLE</v>
      </c>
      <c r="G102" s="365">
        <f>IF(ISNUMBER(D102),"",IF(B102&lt;&gt;"",VLOOKUP("M"&amp;C102,EXPERIENCIA!$A$20:$Y$5935,19,0),""))</f>
        <v>4</v>
      </c>
      <c r="H102" s="354" t="str">
        <f t="shared" ca="1" si="10"/>
        <v>HÁBIL</v>
      </c>
      <c r="I102" s="366">
        <f ca="1">IF(ISNUMBER(D102),"",IF(H102="NO HÁBIL","",IF(AND(B102&lt;&gt;"",H102&lt;&gt;"NO HÁBIL"),VLOOKUP("Z"&amp;C102,EXPERIENCIA!$A$20:$Y$5935,15,FALSE),0)))</f>
        <v>217.10749999999999</v>
      </c>
      <c r="J102" s="355">
        <f t="shared" ca="1" si="4"/>
        <v>17.038938397948012</v>
      </c>
      <c r="K102" s="462">
        <f t="shared" ca="1" si="5"/>
        <v>17.038938397948012</v>
      </c>
      <c r="L102" s="372"/>
      <c r="M102" s="372"/>
      <c r="N102" s="372"/>
      <c r="O102" s="372"/>
      <c r="P102" s="372"/>
      <c r="Q102" s="372"/>
      <c r="R102" s="372"/>
      <c r="S102" s="372"/>
      <c r="T102" s="372"/>
      <c r="U102" s="372"/>
      <c r="V102" s="372"/>
      <c r="W102" s="372"/>
      <c r="X102" s="372"/>
      <c r="Y102" s="372"/>
      <c r="Z102" s="372"/>
      <c r="AA102" s="372"/>
      <c r="AB102" s="372"/>
      <c r="AC102" s="473" t="str">
        <f t="shared" ca="1" si="6"/>
        <v/>
      </c>
      <c r="AD102" s="474" t="str">
        <f t="shared" ca="1" si="14"/>
        <v/>
      </c>
      <c r="AE102" s="474" t="str">
        <f t="shared" ca="1" si="11"/>
        <v/>
      </c>
      <c r="AF102" s="475" t="str">
        <f t="shared" ca="1" si="12"/>
        <v/>
      </c>
      <c r="AG102" s="367">
        <f t="shared" ca="1" si="8"/>
        <v>205.78899139483465</v>
      </c>
      <c r="AH102" s="476" t="str">
        <f t="shared" ca="1" si="15"/>
        <v/>
      </c>
      <c r="AI102" s="477" t="str">
        <f t="shared" ca="1" si="13"/>
        <v/>
      </c>
      <c r="AJ102" s="356"/>
    </row>
    <row r="103" spans="2:36" ht="26.25" customHeight="1">
      <c r="B103" s="445">
        <v>60</v>
      </c>
      <c r="C103" s="351">
        <f>IF(VLOOKUP(B103,PROPONENTES!$B$19:$E$109,2,0)="","",VLOOKUP(B103,PROPONENTES!$B$19:$E$109,2,0))</f>
        <v>60</v>
      </c>
      <c r="D103" s="352" t="str">
        <f>IF(VLOOKUP(B103,PROPONENTES!$B$19:$E$108,3,0)="","",VLOOKUP(B103,PROPONENTES!$B$19:$E$108,3,0))</f>
        <v>ARA INGENIERIA S.A.S</v>
      </c>
      <c r="E103" s="353" t="str">
        <f>IF(ISNUMBER(D103),"",IF(VLOOKUP(B103,PROPONENTES!$B$19:$E$108,4,0)="","",IF(VLOOKUP(B103,PROPONENTES!$B$19:$E$108,4,0)&gt;1,"SI","NO")))</f>
        <v>NO</v>
      </c>
      <c r="F103" s="65" t="str">
        <f>IF(ISNUMBER(D103),"",IF(AND(VLOOKUP(B103,'HAB.GEN.'!$B$19:$L$108,8)="HÁBIL",VLOOKUP(B103,'HAB.GEN.'!$B$19:$L$108,10)&lt;&gt;"RECHAZO",VLOOKUP(B103,'HAB.GEN.'!$B$19:$L$108,10)&lt;&gt;"NO HÁBIL",VLOOKUP(B103,'HAB.GEN.'!$C$19:$L$108,9)="HÁBIL"),"CUMPLE","NO CUMPLE"))</f>
        <v>NO CUMPLE</v>
      </c>
      <c r="G103" s="365">
        <f>IF(ISNUMBER(D103),"",IF(B103&lt;&gt;"",VLOOKUP("M"&amp;C103,EXPERIENCIA!$A$20:$Y$5935,19,0),""))</f>
        <v>3</v>
      </c>
      <c r="H103" s="354" t="str">
        <f t="shared" si="10"/>
        <v>NO HÁBIL</v>
      </c>
      <c r="I103" s="366" t="str">
        <f>IF(ISNUMBER(D103),"",IF(H103="NO HÁBIL","",IF(AND(B103&lt;&gt;"",H103&lt;&gt;"NO HÁBIL"),VLOOKUP("Z"&amp;C103,EXPERIENCIA!$A$20:$Y$5935,15,FALSE),0)))</f>
        <v/>
      </c>
      <c r="J103" s="355">
        <f t="shared" si="4"/>
        <v>0</v>
      </c>
      <c r="K103" s="462">
        <f t="shared" si="5"/>
        <v>0</v>
      </c>
      <c r="L103" s="372"/>
      <c r="M103" s="372"/>
      <c r="N103" s="372"/>
      <c r="O103" s="372"/>
      <c r="P103" s="372"/>
      <c r="Q103" s="372"/>
      <c r="R103" s="372"/>
      <c r="S103" s="372"/>
      <c r="T103" s="372"/>
      <c r="U103" s="372"/>
      <c r="V103" s="372"/>
      <c r="W103" s="372"/>
      <c r="X103" s="372"/>
      <c r="Y103" s="372"/>
      <c r="Z103" s="372"/>
      <c r="AA103" s="372"/>
      <c r="AB103" s="372"/>
      <c r="AC103" s="473" t="str">
        <f t="shared" si="6"/>
        <v/>
      </c>
      <c r="AD103" s="474" t="str">
        <f t="shared" ca="1" si="14"/>
        <v/>
      </c>
      <c r="AE103" s="474" t="str">
        <f t="shared" ca="1" si="11"/>
        <v/>
      </c>
      <c r="AF103" s="475" t="str">
        <f t="shared" si="12"/>
        <v/>
      </c>
      <c r="AG103" s="367" t="str">
        <f t="shared" si="8"/>
        <v/>
      </c>
      <c r="AH103" s="476" t="str">
        <f t="shared" ca="1" si="15"/>
        <v/>
      </c>
      <c r="AI103" s="477" t="str">
        <f t="shared" ca="1" si="13"/>
        <v/>
      </c>
      <c r="AJ103" s="356"/>
    </row>
    <row r="104" spans="2:36" ht="26.25" customHeight="1">
      <c r="B104" s="445">
        <v>61</v>
      </c>
      <c r="C104" s="351">
        <f>IF(VLOOKUP(B104,PROPONENTES!$B$19:$E$109,2,0)="","",VLOOKUP(B104,PROPONENTES!$B$19:$E$109,2,0))</f>
        <v>61</v>
      </c>
      <c r="D104" s="352" t="str">
        <f>IF(VLOOKUP(B104,PROPONENTES!$B$19:$E$108,3,0)="","",VLOOKUP(B104,PROPONENTES!$B$19:$E$108,3,0))</f>
        <v>CONSORCIO INVITOL 2022</v>
      </c>
      <c r="E104" s="353" t="str">
        <f>IF(ISNUMBER(D104),"",IF(VLOOKUP(B104,PROPONENTES!$B$19:$E$108,4,0)="","",IF(VLOOKUP(B104,PROPONENTES!$B$19:$E$108,4,0)&gt;1,"SI","NO")))</f>
        <v>SI</v>
      </c>
      <c r="F104" s="65" t="str">
        <f ca="1">IF(ISNUMBER(D104),"",IF(AND(VLOOKUP(B104,'HAB.GEN.'!$B$19:$L$108,8)="HÁBIL",VLOOKUP(B104,'HAB.GEN.'!$B$19:$L$108,10)&lt;&gt;"RECHAZO",VLOOKUP(B104,'HAB.GEN.'!$B$19:$L$108,10)&lt;&gt;"NO HÁBIL",VLOOKUP(B104,'HAB.GEN.'!$C$19:$L$108,9)="HÁBIL"),"CUMPLE","NO CUMPLE"))</f>
        <v>CUMPLE</v>
      </c>
      <c r="G104" s="365">
        <f>IF(ISNUMBER(D104),"",IF(B104&lt;&gt;"",VLOOKUP("M"&amp;C104,EXPERIENCIA!$A$20:$Y$5935,19,0),""))</f>
        <v>5</v>
      </c>
      <c r="H104" s="354" t="str">
        <f t="shared" ca="1" si="10"/>
        <v>HÁBIL</v>
      </c>
      <c r="I104" s="366">
        <f ca="1">IF(ISNUMBER(D104),"",IF(H104="NO HÁBIL","",IF(AND(B104&lt;&gt;"",H104&lt;&gt;"NO HÁBIL"),VLOOKUP("Z"&amp;C104,EXPERIENCIA!$A$20:$Y$5935,15,FALSE),0)))</f>
        <v>394.637</v>
      </c>
      <c r="J104" s="355">
        <f t="shared" ca="1" si="4"/>
        <v>30.971733047227797</v>
      </c>
      <c r="K104" s="462">
        <f t="shared" ca="1" si="5"/>
        <v>30.971733047227797</v>
      </c>
      <c r="L104" s="372"/>
      <c r="M104" s="372"/>
      <c r="N104" s="372"/>
      <c r="O104" s="372"/>
      <c r="P104" s="372"/>
      <c r="Q104" s="372"/>
      <c r="R104" s="372"/>
      <c r="S104" s="372"/>
      <c r="T104" s="372"/>
      <c r="U104" s="372"/>
      <c r="V104" s="372"/>
      <c r="W104" s="372"/>
      <c r="X104" s="372"/>
      <c r="Y104" s="372"/>
      <c r="Z104" s="372"/>
      <c r="AA104" s="372"/>
      <c r="AB104" s="372"/>
      <c r="AC104" s="473" t="str">
        <f t="shared" ca="1" si="6"/>
        <v/>
      </c>
      <c r="AD104" s="474" t="str">
        <f t="shared" ca="1" si="14"/>
        <v/>
      </c>
      <c r="AE104" s="474" t="str">
        <f t="shared" ca="1" si="11"/>
        <v/>
      </c>
      <c r="AF104" s="475" t="str">
        <f t="shared" ca="1" si="12"/>
        <v/>
      </c>
      <c r="AG104" s="367">
        <f t="shared" ca="1" si="8"/>
        <v>28.25949139483464</v>
      </c>
      <c r="AH104" s="476" t="str">
        <f t="shared" ca="1" si="15"/>
        <v/>
      </c>
      <c r="AI104" s="477" t="str">
        <f t="shared" ca="1" si="13"/>
        <v/>
      </c>
      <c r="AJ104" s="356"/>
    </row>
    <row r="105" spans="2:36" ht="26.25" customHeight="1">
      <c r="B105" s="445">
        <v>62</v>
      </c>
      <c r="C105" s="351">
        <f>IF(VLOOKUP(B105,PROPONENTES!$B$19:$E$109,2,0)="","",VLOOKUP(B105,PROPONENTES!$B$19:$E$109,2,0))</f>
        <v>62</v>
      </c>
      <c r="D105" s="352" t="str">
        <f>IF(VLOOKUP(B105,PROPONENTES!$B$19:$E$108,3,0)="","",VLOOKUP(B105,PROPONENTES!$B$19:$E$108,3,0))</f>
        <v>CONSORCIO INTERVIAL TOL 001</v>
      </c>
      <c r="E105" s="353" t="str">
        <f>IF(ISNUMBER(D105),"",IF(VLOOKUP(B105,PROPONENTES!$B$19:$E$108,4,0)="","",IF(VLOOKUP(B105,PROPONENTES!$B$19:$E$108,4,0)&gt;1,"SI","NO")))</f>
        <v>SI</v>
      </c>
      <c r="F105" s="65" t="str">
        <f ca="1">IF(ISNUMBER(D105),"",IF(AND(VLOOKUP(B105,'HAB.GEN.'!$B$19:$L$108,8)="HÁBIL",VLOOKUP(B105,'HAB.GEN.'!$B$19:$L$108,10)&lt;&gt;"RECHAZO",VLOOKUP(B105,'HAB.GEN.'!$B$19:$L$108,10)&lt;&gt;"NO HÁBIL",VLOOKUP(B105,'HAB.GEN.'!$C$19:$L$108,9)="HÁBIL"),"CUMPLE","NO CUMPLE"))</f>
        <v>CUMPLE</v>
      </c>
      <c r="G105" s="365">
        <f>IF(ISNUMBER(D105),"",IF(B105&lt;&gt;"",VLOOKUP("M"&amp;C105,EXPERIENCIA!$A$20:$Y$5935,19,0),""))</f>
        <v>2</v>
      </c>
      <c r="H105" s="354" t="str">
        <f t="shared" ca="1" si="10"/>
        <v>HÁBIL</v>
      </c>
      <c r="I105" s="366">
        <f ca="1">IF(ISNUMBER(D105),"",IF(H105="NO HÁBIL","",IF(AND(B105&lt;&gt;"",H105&lt;&gt;"NO HÁBIL"),VLOOKUP("Z"&amp;C105,EXPERIENCIA!$A$20:$Y$5935,15,FALSE),0)))</f>
        <v>492.97924999999998</v>
      </c>
      <c r="J105" s="355">
        <f t="shared" ca="1" si="4"/>
        <v>38.689787649973454</v>
      </c>
      <c r="K105" s="462">
        <f t="shared" ca="1" si="5"/>
        <v>38.689787649973454</v>
      </c>
      <c r="L105" s="372"/>
      <c r="M105" s="372"/>
      <c r="N105" s="372"/>
      <c r="O105" s="372"/>
      <c r="P105" s="372"/>
      <c r="Q105" s="372"/>
      <c r="R105" s="372"/>
      <c r="S105" s="372"/>
      <c r="T105" s="372"/>
      <c r="U105" s="372"/>
      <c r="V105" s="372"/>
      <c r="W105" s="372"/>
      <c r="X105" s="372"/>
      <c r="Y105" s="372"/>
      <c r="Z105" s="372"/>
      <c r="AA105" s="372"/>
      <c r="AB105" s="372"/>
      <c r="AC105" s="473" t="str">
        <f t="shared" ca="1" si="6"/>
        <v/>
      </c>
      <c r="AD105" s="474" t="str">
        <f t="shared" ca="1" si="14"/>
        <v/>
      </c>
      <c r="AE105" s="474" t="str">
        <f t="shared" ca="1" si="11"/>
        <v/>
      </c>
      <c r="AF105" s="475" t="str">
        <f t="shared" ca="1" si="12"/>
        <v/>
      </c>
      <c r="AG105" s="367">
        <f t="shared" ca="1" si="8"/>
        <v>70.082758605165338</v>
      </c>
      <c r="AH105" s="476" t="str">
        <f t="shared" ca="1" si="15"/>
        <v/>
      </c>
      <c r="AI105" s="477" t="str">
        <f t="shared" ca="1" si="13"/>
        <v/>
      </c>
      <c r="AJ105" s="356"/>
    </row>
    <row r="106" spans="2:36" ht="26.25" customHeight="1">
      <c r="B106" s="445">
        <v>63</v>
      </c>
      <c r="C106" s="351">
        <f>IF(VLOOKUP(B106,PROPONENTES!$B$19:$E$109,2,0)="","",VLOOKUP(B106,PROPONENTES!$B$19:$E$109,2,0))</f>
        <v>63</v>
      </c>
      <c r="D106" s="352" t="str">
        <f>IF(VLOOKUP(B106,PROPONENTES!$B$19:$E$108,3,0)="","",VLOOKUP(B106,PROPONENTES!$B$19:$E$108,3,0))</f>
        <v>COMPAÑIA CONSULTORA COLOMBIANA TRIPLE C BIC SAS</v>
      </c>
      <c r="E106" s="353" t="str">
        <f>IF(ISNUMBER(D106),"",IF(VLOOKUP(B106,PROPONENTES!$B$19:$E$108,4,0)="","",IF(VLOOKUP(B106,PROPONENTES!$B$19:$E$108,4,0)&gt;1,"SI","NO")))</f>
        <v>NO</v>
      </c>
      <c r="F106" s="65" t="str">
        <f>IF(ISNUMBER(D106),"",IF(AND(VLOOKUP(B106,'HAB.GEN.'!$B$19:$L$108,8)="HÁBIL",VLOOKUP(B106,'HAB.GEN.'!$B$19:$L$108,10)&lt;&gt;"RECHAZO",VLOOKUP(B106,'HAB.GEN.'!$B$19:$L$108,10)&lt;&gt;"NO HÁBIL",VLOOKUP(B106,'HAB.GEN.'!$C$19:$L$108,9)="HÁBIL"),"CUMPLE","NO CUMPLE"))</f>
        <v>CUMPLE</v>
      </c>
      <c r="G106" s="365">
        <f>IF(ISNUMBER(D106),"",IF(B106&lt;&gt;"",VLOOKUP("M"&amp;C106,EXPERIENCIA!$A$20:$Y$5935,19,0),""))</f>
        <v>2</v>
      </c>
      <c r="H106" s="354" t="str">
        <f t="shared" si="10"/>
        <v>HÁBIL</v>
      </c>
      <c r="I106" s="366">
        <f>IF(ISNUMBER(D106),"",IF(H106="NO HÁBIL","",IF(AND(B106&lt;&gt;"",H106&lt;&gt;"NO HÁBIL"),VLOOKUP("Z"&amp;C106,EXPERIENCIA!$A$20:$Y$5935,15,FALSE),0)))</f>
        <v>396.13799999999998</v>
      </c>
      <c r="J106" s="355">
        <f t="shared" ca="1" si="4"/>
        <v>31.089533890290888</v>
      </c>
      <c r="K106" s="462">
        <f t="shared" ca="1" si="5"/>
        <v>31.089533890290888</v>
      </c>
      <c r="L106" s="372"/>
      <c r="M106" s="372"/>
      <c r="N106" s="372"/>
      <c r="O106" s="372"/>
      <c r="P106" s="372"/>
      <c r="Q106" s="372"/>
      <c r="R106" s="372"/>
      <c r="S106" s="372"/>
      <c r="T106" s="372"/>
      <c r="U106" s="372"/>
      <c r="V106" s="372"/>
      <c r="W106" s="372"/>
      <c r="X106" s="372"/>
      <c r="Y106" s="372"/>
      <c r="Z106" s="372"/>
      <c r="AA106" s="372"/>
      <c r="AB106" s="372"/>
      <c r="AC106" s="473" t="str">
        <f t="shared" ca="1" si="6"/>
        <v/>
      </c>
      <c r="AD106" s="474" t="str">
        <f t="shared" ca="1" si="14"/>
        <v/>
      </c>
      <c r="AE106" s="474" t="str">
        <f t="shared" ca="1" si="11"/>
        <v/>
      </c>
      <c r="AF106" s="475" t="str">
        <f t="shared" si="12"/>
        <v/>
      </c>
      <c r="AG106" s="367">
        <f t="shared" ca="1" si="8"/>
        <v>26.758491394834664</v>
      </c>
      <c r="AH106" s="476" t="str">
        <f t="shared" ca="1" si="15"/>
        <v/>
      </c>
      <c r="AI106" s="477" t="str">
        <f t="shared" ca="1" si="13"/>
        <v/>
      </c>
      <c r="AJ106" s="356"/>
    </row>
    <row r="107" spans="2:36" ht="26.25" customHeight="1">
      <c r="B107" s="445">
        <v>64</v>
      </c>
      <c r="C107" s="351">
        <f>IF(VLOOKUP(B107,PROPONENTES!$B$19:$E$109,2,0)="","",VLOOKUP(B107,PROPONENTES!$B$19:$E$109,2,0))</f>
        <v>64</v>
      </c>
      <c r="D107" s="352" t="str">
        <f>IF(VLOOKUP(B107,PROPONENTES!$B$19:$E$108,3,0)="","",VLOOKUP(B107,PROPONENTES!$B$19:$E$108,3,0))</f>
        <v>UNION TEMPORAL INTERTOL 001 2022</v>
      </c>
      <c r="E107" s="353" t="str">
        <f>IF(ISNUMBER(D107),"",IF(VLOOKUP(B107,PROPONENTES!$B$19:$E$108,4,0)="","",IF(VLOOKUP(B107,PROPONENTES!$B$19:$E$108,4,0)&gt;1,"SI","NO")))</f>
        <v>SI</v>
      </c>
      <c r="F107" s="65" t="str">
        <f ca="1">IF(ISNUMBER(D107),"",IF(AND(VLOOKUP(B107,'HAB.GEN.'!$B$19:$L$108,8)="HÁBIL",VLOOKUP(B107,'HAB.GEN.'!$B$19:$L$108,10)&lt;&gt;"RECHAZO",VLOOKUP(B107,'HAB.GEN.'!$B$19:$L$108,10)&lt;&gt;"NO HÁBIL",VLOOKUP(B107,'HAB.GEN.'!$C$19:$L$108,9)="HÁBIL"),"CUMPLE","NO CUMPLE"))</f>
        <v>CUMPLE</v>
      </c>
      <c r="G107" s="365">
        <f>IF(ISNUMBER(D107),"",IF(B107&lt;&gt;"",VLOOKUP("M"&amp;C107,EXPERIENCIA!$A$20:$Y$5935,19,0),""))</f>
        <v>5</v>
      </c>
      <c r="H107" s="354" t="str">
        <f t="shared" ca="1" si="10"/>
        <v>HÁBIL</v>
      </c>
      <c r="I107" s="366">
        <f ca="1">IF(ISNUMBER(D107),"",IF(H107="NO HÁBIL","",IF(AND(B107&lt;&gt;"",H107&lt;&gt;"NO HÁBIL"),VLOOKUP("Z"&amp;C107,EXPERIENCIA!$A$20:$Y$5935,15,FALSE),0)))</f>
        <v>311.31020000000001</v>
      </c>
      <c r="J107" s="355">
        <f t="shared" ca="1" si="4"/>
        <v>24.432114599693129</v>
      </c>
      <c r="K107" s="462">
        <f t="shared" ca="1" si="5"/>
        <v>24.432114599693129</v>
      </c>
      <c r="L107" s="372"/>
      <c r="M107" s="372"/>
      <c r="N107" s="372"/>
      <c r="O107" s="372"/>
      <c r="P107" s="372"/>
      <c r="Q107" s="372"/>
      <c r="R107" s="372"/>
      <c r="S107" s="372"/>
      <c r="T107" s="372"/>
      <c r="U107" s="372"/>
      <c r="V107" s="372"/>
      <c r="W107" s="372"/>
      <c r="X107" s="372"/>
      <c r="Y107" s="372"/>
      <c r="Z107" s="372"/>
      <c r="AA107" s="372"/>
      <c r="AB107" s="372"/>
      <c r="AC107" s="473" t="str">
        <f t="shared" ca="1" si="6"/>
        <v/>
      </c>
      <c r="AD107" s="474" t="str">
        <f t="shared" ca="1" si="14"/>
        <v/>
      </c>
      <c r="AE107" s="474" t="str">
        <f t="shared" ca="1" si="11"/>
        <v/>
      </c>
      <c r="AF107" s="475" t="str">
        <f t="shared" ca="1" si="12"/>
        <v/>
      </c>
      <c r="AG107" s="367">
        <f t="shared" ca="1" si="8"/>
        <v>111.58629139483463</v>
      </c>
      <c r="AH107" s="476" t="str">
        <f t="shared" ca="1" si="15"/>
        <v/>
      </c>
      <c r="AI107" s="477" t="str">
        <f t="shared" ca="1" si="13"/>
        <v/>
      </c>
      <c r="AJ107" s="356"/>
    </row>
    <row r="108" spans="2:36" ht="26.25" customHeight="1">
      <c r="B108" s="445">
        <v>65</v>
      </c>
      <c r="C108" s="351">
        <f>IF(VLOOKUP(B108,PROPONENTES!$B$19:$E$109,2,0)="","",VLOOKUP(B108,PROPONENTES!$B$19:$E$109,2,0))</f>
        <v>65</v>
      </c>
      <c r="D108" s="352" t="str">
        <f>IF(VLOOKUP(B108,PROPONENTES!$B$19:$E$108,3,0)="","",VLOOKUP(B108,PROPONENTES!$B$19:$E$108,3,0))</f>
        <v>PROYECTISTAS DE COLOMBIA &amp; CIA SAS</v>
      </c>
      <c r="E108" s="353" t="str">
        <f>IF(ISNUMBER(D108),"",IF(VLOOKUP(B108,PROPONENTES!$B$19:$E$108,4,0)="","",IF(VLOOKUP(B108,PROPONENTES!$B$19:$E$108,4,0)&gt;1,"SI","NO")))</f>
        <v>NO</v>
      </c>
      <c r="F108" s="65" t="str">
        <f>IF(ISNUMBER(D108),"",IF(AND(VLOOKUP(B108,'HAB.GEN.'!$B$19:$L$108,8)="HÁBIL",VLOOKUP(B108,'HAB.GEN.'!$B$19:$L$108,10)&lt;&gt;"RECHAZO",VLOOKUP(B108,'HAB.GEN.'!$B$19:$L$108,10)&lt;&gt;"NO HÁBIL",VLOOKUP(B108,'HAB.GEN.'!$C$19:$L$108,9)="HÁBIL"),"CUMPLE","NO CUMPLE"))</f>
        <v>CUMPLE</v>
      </c>
      <c r="G108" s="365">
        <f>IF(ISNUMBER(D108),"",IF(B108&lt;&gt;"",VLOOKUP("M"&amp;C108,EXPERIENCIA!$A$20:$Y$5935,19,0),""))</f>
        <v>2</v>
      </c>
      <c r="H108" s="354" t="str">
        <f t="shared" ref="H108:H133" si="16">IF(ISNUMBER(D108),"",IF(C108&lt;&gt;"",IF(AND(OR(F108="CUMPLE",F108="NO APLICA"),G108&gt;=NUMMINCONT,G108&lt;=NUMMAXCONT),"HÁBIL","NO HÁBIL"),""))</f>
        <v>HÁBIL</v>
      </c>
      <c r="I108" s="366">
        <f>IF(ISNUMBER(D108),"",IF(H108="NO HÁBIL","",IF(AND(B108&lt;&gt;"",H108&lt;&gt;"NO HÁBIL"),VLOOKUP("Z"&amp;C108,EXPERIENCIA!$A$20:$Y$5935,15,FALSE),0)))</f>
        <v>460.52249999999998</v>
      </c>
      <c r="J108" s="355">
        <f t="shared" ca="1" si="4"/>
        <v>36.142530812473147</v>
      </c>
      <c r="K108" s="462">
        <f t="shared" ca="1" si="5"/>
        <v>36.142530812473147</v>
      </c>
      <c r="L108" s="372"/>
      <c r="M108" s="372"/>
      <c r="N108" s="372"/>
      <c r="O108" s="372"/>
      <c r="P108" s="372"/>
      <c r="Q108" s="372"/>
      <c r="R108" s="372"/>
      <c r="S108" s="372"/>
      <c r="T108" s="372"/>
      <c r="U108" s="372"/>
      <c r="V108" s="372"/>
      <c r="W108" s="372"/>
      <c r="X108" s="372"/>
      <c r="Y108" s="372"/>
      <c r="Z108" s="372"/>
      <c r="AA108" s="372"/>
      <c r="AB108" s="372"/>
      <c r="AC108" s="473" t="str">
        <f t="shared" ca="1" si="6"/>
        <v/>
      </c>
      <c r="AD108" s="474" t="str">
        <f t="shared" ref="AD108:AD133" ca="1" si="17">IF(AC108=MIN($AC$44:$AC$133),"MÍNIMO","")</f>
        <v/>
      </c>
      <c r="AE108" s="474" t="str">
        <f t="shared" ca="1" si="11"/>
        <v/>
      </c>
      <c r="AF108" s="475" t="str">
        <f t="shared" si="12"/>
        <v/>
      </c>
      <c r="AG108" s="367">
        <f t="shared" ca="1" si="8"/>
        <v>37.626008605165339</v>
      </c>
      <c r="AH108" s="476" t="str">
        <f t="shared" ref="AH108:AH133" ca="1" si="18">IF(AG108=MIN($AG$44:$AG$133),"MÍNIMO","")</f>
        <v/>
      </c>
      <c r="AI108" s="477" t="str">
        <f t="shared" ca="1" si="13"/>
        <v/>
      </c>
      <c r="AJ108" s="356"/>
    </row>
    <row r="109" spans="2:36" ht="26.25" customHeight="1">
      <c r="B109" s="445">
        <v>66</v>
      </c>
      <c r="C109" s="351">
        <f>IF(VLOOKUP(B109,PROPONENTES!$B$19:$E$109,2,0)="","",VLOOKUP(B109,PROPONENTES!$B$19:$E$109,2,0))</f>
        <v>66</v>
      </c>
      <c r="D109" s="352" t="str">
        <f>IF(VLOOKUP(B109,PROPONENTES!$B$19:$E$108,3,0)="","",VLOOKUP(B109,PROPONENTES!$B$19:$E$108,3,0))</f>
        <v>CONSORCIO VIAL INGENIERIA 2022</v>
      </c>
      <c r="E109" s="353" t="str">
        <f>IF(ISNUMBER(D109),"",IF(VLOOKUP(B109,PROPONENTES!$B$19:$E$108,4,0)="","",IF(VLOOKUP(B109,PROPONENTES!$B$19:$E$108,4,0)&gt;1,"SI","NO")))</f>
        <v>SI</v>
      </c>
      <c r="F109" s="65" t="str">
        <f ca="1">IF(ISNUMBER(D109),"",IF(AND(VLOOKUP(B109,'HAB.GEN.'!$B$19:$L$108,8)="HÁBIL",VLOOKUP(B109,'HAB.GEN.'!$B$19:$L$108,10)&lt;&gt;"RECHAZO",VLOOKUP(B109,'HAB.GEN.'!$B$19:$L$108,10)&lt;&gt;"NO HÁBIL",VLOOKUP(B109,'HAB.GEN.'!$C$19:$L$108,9)="HÁBIL"),"CUMPLE","NO CUMPLE"))</f>
        <v>CUMPLE</v>
      </c>
      <c r="G109" s="365">
        <f>IF(ISNUMBER(D109),"",IF(B109&lt;&gt;"",VLOOKUP("M"&amp;C109,EXPERIENCIA!$A$20:$Y$5935,19,0),""))</f>
        <v>4</v>
      </c>
      <c r="H109" s="354" t="str">
        <f t="shared" ca="1" si="16"/>
        <v>HÁBIL</v>
      </c>
      <c r="I109" s="366">
        <f ca="1">IF(ISNUMBER(D109),"",IF(H109="NO HÁBIL","",IF(AND(B109&lt;&gt;"",H109&lt;&gt;"NO HÁBIL"),VLOOKUP("Z"&amp;C109,EXPERIENCIA!$A$20:$Y$5935,15,FALSE),0)))</f>
        <v>396.83374999999995</v>
      </c>
      <c r="J109" s="355">
        <f t="shared" ref="J109:J133" ca="1" si="19">IF(ISNUMBER(D109),"",IF(C109&lt;&gt;"",IF(F109="NO CUMPLE",0,IF(H109="HÁBIL",IF($F$37="MEDIANA CON VALOR ABSOLUTO",$J$24*(1-ABS(($J$37-I109)/$J$37)),IF(AND($F$37="MEDIA GEOMÉTRICA",I109=$J$30),$J$24,IF($F$37="MEDIA GEOMÉTRICA",$J$24*(1-(ABS($J$37-I109)/$J$37)),IF(AND($F$37="MEDIA ARITMÉTICA ALTA",I109&lt;=$J$37),$J$24*(1-(($J$37-I109)/$J$37)),IF($F$37="MEDIA ARITMÉTICA ALTA",$J$24*(1-2*(ABS($J$37-I109)/$J$37)),IF(I109&lt;=$J$37,$J$24*(1-(($J$37-I109)/$J$37)),$J$24*(1-(ABS($J$37-I109)/$J$37)))))))),0)),""))</f>
        <v>31.14413744562809</v>
      </c>
      <c r="K109" s="462">
        <f t="shared" ref="K109:K133" ca="1" si="20">IF(C109&lt;&gt;"",IF(F109="NO CUMPLE",0,IF(H109="HÁBIL",IF($F$37="MEDIANA CON VALOR ABSOLUTO",IF($J$24*(1-ABS(($J$37-I109)/$J$37))&lt;0,0,$J$24*(1-ABS(($J$37-I109)/$J$37))),IF(AND($F$37="MEDIA GEOMÉTRICA",I109=$J$30),$J$24,IF($F$37="MEDIA GEOMÉTRICA",IF($J$24*(1-(ABS($J$37-I109)/$J$37))&lt;0,0,$J$24*(1-(ABS($J$37-I109)/$J$37))),IF(AND($F$37="MEDIA ARITMÉTICA ALTA",I109&lt;=$J$37),IF($J$24*(1-(($J$37-I109)/$J$37))&lt;0,0,$J$24*(1-(($J$37-I109)/$J$37))),IF($F$37="MEDIA ARITMÉTICA ALTA",IF($J$24*(1-2*(ABS($J$37-I109)/$J$37))&lt;0,0,$J$24*(1-2*(ABS($J$37-I109)/$J$37))),IF(I109&lt;=$J$37,IF($J$24*(1-(($J$37-I109)/$J$37))&lt;0,0,$J$24*(1-(($J$37-I109)/$J$37))),IF($J$24*(1-(ABS($J$37-I109)/$J$37))&lt;0,0,$J$24*(1-(ABS($J$37-I109)/$J$37))))))))),0)),"")</f>
        <v>31.14413744562809</v>
      </c>
      <c r="L109" s="372"/>
      <c r="M109" s="372"/>
      <c r="N109" s="372"/>
      <c r="O109" s="372"/>
      <c r="P109" s="372"/>
      <c r="Q109" s="372"/>
      <c r="R109" s="372"/>
      <c r="S109" s="372"/>
      <c r="T109" s="372"/>
      <c r="U109" s="372"/>
      <c r="V109" s="372"/>
      <c r="W109" s="372"/>
      <c r="X109" s="372"/>
      <c r="Y109" s="372"/>
      <c r="Z109" s="372"/>
      <c r="AA109" s="372"/>
      <c r="AB109" s="372"/>
      <c r="AC109" s="473" t="str">
        <f t="shared" ref="AC109:AC133" ca="1" si="21">IF(F109="NO CUMPLE","",IF($J$27="Impar","",IF(I109&gt;$J$22,"",$J$22-I109)))</f>
        <v/>
      </c>
      <c r="AD109" s="474" t="str">
        <f t="shared" ca="1" si="17"/>
        <v/>
      </c>
      <c r="AE109" s="474" t="str">
        <f t="shared" ca="1" si="11"/>
        <v/>
      </c>
      <c r="AF109" s="475" t="str">
        <f t="shared" ca="1" si="12"/>
        <v/>
      </c>
      <c r="AG109" s="367">
        <f t="shared" ref="AG109:AG132" ca="1" si="22">IF(OR(F109="",F109="NO CUMPLE"),"",ABS(I109-$J$31))</f>
        <v>26.062741394834688</v>
      </c>
      <c r="AH109" s="476" t="str">
        <f t="shared" ca="1" si="18"/>
        <v/>
      </c>
      <c r="AI109" s="477" t="str">
        <f t="shared" ca="1" si="13"/>
        <v/>
      </c>
      <c r="AJ109" s="356"/>
    </row>
    <row r="110" spans="2:36" ht="26.25" customHeight="1">
      <c r="B110" s="445">
        <v>67</v>
      </c>
      <c r="C110" s="351">
        <f>IF(VLOOKUP(B110,PROPONENTES!$B$19:$E$109,2,0)="","",VLOOKUP(B110,PROPONENTES!$B$19:$E$109,2,0))</f>
        <v>67</v>
      </c>
      <c r="D110" s="352" t="str">
        <f>IF(VLOOKUP(B110,PROPONENTES!$B$19:$E$108,3,0)="","",VLOOKUP(B110,PROPONENTES!$B$19:$E$108,3,0))</f>
        <v>CONSORCIO AV</v>
      </c>
      <c r="E110" s="353" t="str">
        <f>IF(ISNUMBER(D110),"",IF(VLOOKUP(B110,PROPONENTES!$B$19:$E$108,4,0)="","",IF(VLOOKUP(B110,PROPONENTES!$B$19:$E$108,4,0)&gt;1,"SI","NO")))</f>
        <v>SI</v>
      </c>
      <c r="F110" s="65" t="str">
        <f ca="1">IF(ISNUMBER(D110),"",IF(AND(VLOOKUP(B110,'HAB.GEN.'!$B$19:$L$108,8)="HÁBIL",VLOOKUP(B110,'HAB.GEN.'!$B$19:$L$108,10)&lt;&gt;"RECHAZO",VLOOKUP(B110,'HAB.GEN.'!$B$19:$L$108,10)&lt;&gt;"NO HÁBIL",VLOOKUP(B110,'HAB.GEN.'!$C$19:$L$108,9)="HÁBIL"),"CUMPLE","NO CUMPLE"))</f>
        <v>CUMPLE</v>
      </c>
      <c r="G110" s="365">
        <f>IF(ISNUMBER(D110),"",IF(B110&lt;&gt;"",VLOOKUP("M"&amp;C110,EXPERIENCIA!$A$20:$Y$5935,19,0),""))</f>
        <v>2</v>
      </c>
      <c r="H110" s="354" t="str">
        <f t="shared" ca="1" si="16"/>
        <v>HÁBIL</v>
      </c>
      <c r="I110" s="366">
        <f ca="1">IF(ISNUMBER(D110),"",IF(H110="NO HÁBIL","",IF(AND(B110&lt;&gt;"",H110&lt;&gt;"NO HÁBIL"),VLOOKUP("Z"&amp;C110,EXPERIENCIA!$A$20:$Y$5935,15,FALSE),0)))</f>
        <v>421.97749999999996</v>
      </c>
      <c r="J110" s="355">
        <f t="shared" ca="1" si="19"/>
        <v>33.117458530083518</v>
      </c>
      <c r="K110" s="462">
        <f t="shared" ca="1" si="20"/>
        <v>33.117458530083518</v>
      </c>
      <c r="L110" s="372"/>
      <c r="M110" s="372"/>
      <c r="N110" s="372"/>
      <c r="O110" s="372"/>
      <c r="P110" s="372"/>
      <c r="Q110" s="372"/>
      <c r="R110" s="372"/>
      <c r="S110" s="372"/>
      <c r="T110" s="372"/>
      <c r="U110" s="372"/>
      <c r="V110" s="372"/>
      <c r="W110" s="372"/>
      <c r="X110" s="372"/>
      <c r="Y110" s="372"/>
      <c r="Z110" s="372"/>
      <c r="AA110" s="372"/>
      <c r="AB110" s="372"/>
      <c r="AC110" s="473" t="str">
        <f t="shared" ca="1" si="21"/>
        <v/>
      </c>
      <c r="AD110" s="474" t="str">
        <f t="shared" ca="1" si="17"/>
        <v/>
      </c>
      <c r="AE110" s="474" t="str">
        <f t="shared" ca="1" si="11"/>
        <v/>
      </c>
      <c r="AF110" s="475" t="str">
        <f t="shared" ca="1" si="12"/>
        <v/>
      </c>
      <c r="AG110" s="367">
        <f t="shared" ca="1" si="22"/>
        <v>0.91899139483467707</v>
      </c>
      <c r="AH110" s="476" t="str">
        <f t="shared" ca="1" si="18"/>
        <v>MÍNIMO</v>
      </c>
      <c r="AI110" s="477">
        <f t="shared" ca="1" si="13"/>
        <v>421.97749999999996</v>
      </c>
      <c r="AJ110" s="356"/>
    </row>
    <row r="111" spans="2:36" ht="26.25" customHeight="1">
      <c r="B111" s="445">
        <v>68</v>
      </c>
      <c r="C111" s="351">
        <f>IF(VLOOKUP(B111,PROPONENTES!$B$19:$E$109,2,0)="","",VLOOKUP(B111,PROPONENTES!$B$19:$E$109,2,0))</f>
        <v>68</v>
      </c>
      <c r="D111" s="352" t="str">
        <f>IF(VLOOKUP(B111,PROPONENTES!$B$19:$E$108,3,0)="","",VLOOKUP(B111,PROPONENTES!$B$19:$E$108,3,0))</f>
        <v>SOLUCIONES PARA LA INGENIERÍA S.A.S.</v>
      </c>
      <c r="E111" s="353" t="str">
        <f>IF(ISNUMBER(D111),"",IF(VLOOKUP(B111,PROPONENTES!$B$19:$E$108,4,0)="","",IF(VLOOKUP(B111,PROPONENTES!$B$19:$E$108,4,0)&gt;1,"SI","NO")))</f>
        <v>NO</v>
      </c>
      <c r="F111" s="65" t="str">
        <f>IF(ISNUMBER(D111),"",IF(AND(VLOOKUP(B111,'HAB.GEN.'!$B$19:$L$108,8)="HÁBIL",VLOOKUP(B111,'HAB.GEN.'!$B$19:$L$108,10)&lt;&gt;"RECHAZO",VLOOKUP(B111,'HAB.GEN.'!$B$19:$L$108,10)&lt;&gt;"NO HÁBIL",VLOOKUP(B111,'HAB.GEN.'!$C$19:$L$108,9)="HÁBIL"),"CUMPLE","NO CUMPLE"))</f>
        <v>CUMPLE</v>
      </c>
      <c r="G111" s="365">
        <f>IF(ISNUMBER(D111),"",IF(B111&lt;&gt;"",VLOOKUP("M"&amp;C111,EXPERIENCIA!$A$20:$Y$5935,19,0),""))</f>
        <v>5</v>
      </c>
      <c r="H111" s="354" t="str">
        <f t="shared" si="16"/>
        <v>HÁBIL</v>
      </c>
      <c r="I111" s="366">
        <f>IF(ISNUMBER(D111),"",IF(H111="NO HÁBIL","",IF(AND(B111&lt;&gt;"",H111&lt;&gt;"NO HÁBIL"),VLOOKUP("Z"&amp;C111,EXPERIENCIA!$A$20:$Y$5935,15,FALSE),0)))</f>
        <v>464.58774000000005</v>
      </c>
      <c r="J111" s="355">
        <f t="shared" ca="1" si="19"/>
        <v>36.461577247685533</v>
      </c>
      <c r="K111" s="462">
        <f t="shared" ca="1" si="20"/>
        <v>36.461577247685533</v>
      </c>
      <c r="L111" s="372"/>
      <c r="M111" s="372"/>
      <c r="N111" s="372"/>
      <c r="O111" s="372"/>
      <c r="P111" s="372"/>
      <c r="Q111" s="372"/>
      <c r="R111" s="372"/>
      <c r="S111" s="372"/>
      <c r="T111" s="372"/>
      <c r="U111" s="372"/>
      <c r="V111" s="372"/>
      <c r="W111" s="372"/>
      <c r="X111" s="372"/>
      <c r="Y111" s="372"/>
      <c r="Z111" s="372"/>
      <c r="AA111" s="372"/>
      <c r="AB111" s="372"/>
      <c r="AC111" s="473" t="str">
        <f t="shared" ca="1" si="21"/>
        <v/>
      </c>
      <c r="AD111" s="474" t="str">
        <f t="shared" ca="1" si="17"/>
        <v/>
      </c>
      <c r="AE111" s="474" t="str">
        <f t="shared" ca="1" si="11"/>
        <v/>
      </c>
      <c r="AF111" s="475" t="str">
        <f t="shared" si="12"/>
        <v/>
      </c>
      <c r="AG111" s="367">
        <f t="shared" ca="1" si="22"/>
        <v>41.691248605165413</v>
      </c>
      <c r="AH111" s="476" t="str">
        <f t="shared" ca="1" si="18"/>
        <v/>
      </c>
      <c r="AI111" s="477" t="str">
        <f t="shared" ca="1" si="13"/>
        <v/>
      </c>
      <c r="AJ111" s="356"/>
    </row>
    <row r="112" spans="2:36" ht="26.25" customHeight="1">
      <c r="B112" s="445">
        <v>69</v>
      </c>
      <c r="C112" s="351">
        <f>IF(VLOOKUP(B112,PROPONENTES!$B$19:$E$109,2,0)="","",VLOOKUP(B112,PROPONENTES!$B$19:$E$109,2,0))</f>
        <v>69</v>
      </c>
      <c r="D112" s="352" t="str">
        <f>IF(VLOOKUP(B112,PROPONENTES!$B$19:$E$108,3,0)="","",VLOOKUP(B112,PROPONENTES!$B$19:$E$108,3,0))</f>
        <v>Unión Temporal Intervías Tolima</v>
      </c>
      <c r="E112" s="353" t="str">
        <f>IF(ISNUMBER(D112),"",IF(VLOOKUP(B112,PROPONENTES!$B$19:$E$108,4,0)="","",IF(VLOOKUP(B112,PROPONENTES!$B$19:$E$108,4,0)&gt;1,"SI","NO")))</f>
        <v>SI</v>
      </c>
      <c r="F112" s="65" t="str">
        <f ca="1">IF(ISNUMBER(D112),"",IF(AND(VLOOKUP(B112,'HAB.GEN.'!$B$19:$L$108,8)="HÁBIL",VLOOKUP(B112,'HAB.GEN.'!$B$19:$L$108,10)&lt;&gt;"RECHAZO",VLOOKUP(B112,'HAB.GEN.'!$B$19:$L$108,10)&lt;&gt;"NO HÁBIL",VLOOKUP(B112,'HAB.GEN.'!$C$19:$L$108,9)="HÁBIL"),"CUMPLE","NO CUMPLE"))</f>
        <v>CUMPLE</v>
      </c>
      <c r="G112" s="365">
        <f>IF(ISNUMBER(D112),"",IF(B112&lt;&gt;"",VLOOKUP("M"&amp;C112,EXPERIENCIA!$A$20:$Y$5935,19,0),""))</f>
        <v>4</v>
      </c>
      <c r="H112" s="354" t="str">
        <f t="shared" ca="1" si="16"/>
        <v>HÁBIL</v>
      </c>
      <c r="I112" s="366">
        <f ca="1">IF(ISNUMBER(D112),"",IF(H112="NO HÁBIL","",IF(AND(B112&lt;&gt;"",H112&lt;&gt;"NO HÁBIL"),VLOOKUP("Z"&amp;C112,EXPERIENCIA!$A$20:$Y$5935,15,FALSE),0)))</f>
        <v>1303.14625</v>
      </c>
      <c r="J112" s="355">
        <f t="shared" ca="1" si="19"/>
        <v>2.4540614463622061</v>
      </c>
      <c r="K112" s="462">
        <f t="shared" ca="1" si="20"/>
        <v>2.4540614463622061</v>
      </c>
      <c r="L112" s="372"/>
      <c r="M112" s="372"/>
      <c r="N112" s="372"/>
      <c r="O112" s="372"/>
      <c r="P112" s="372"/>
      <c r="Q112" s="372"/>
      <c r="R112" s="372"/>
      <c r="S112" s="372"/>
      <c r="T112" s="372"/>
      <c r="U112" s="372"/>
      <c r="V112" s="372"/>
      <c r="W112" s="372"/>
      <c r="X112" s="372"/>
      <c r="Y112" s="372"/>
      <c r="Z112" s="372"/>
      <c r="AA112" s="372"/>
      <c r="AB112" s="372"/>
      <c r="AC112" s="473" t="str">
        <f t="shared" ca="1" si="21"/>
        <v/>
      </c>
      <c r="AD112" s="474" t="str">
        <f t="shared" ca="1" si="17"/>
        <v/>
      </c>
      <c r="AE112" s="474" t="str">
        <f t="shared" ca="1" si="11"/>
        <v/>
      </c>
      <c r="AF112" s="475" t="str">
        <f t="shared" ca="1" si="12"/>
        <v/>
      </c>
      <c r="AG112" s="367">
        <f t="shared" ca="1" si="22"/>
        <v>880.24975860516543</v>
      </c>
      <c r="AH112" s="476" t="str">
        <f t="shared" ca="1" si="18"/>
        <v/>
      </c>
      <c r="AI112" s="477" t="str">
        <f t="shared" ca="1" si="13"/>
        <v/>
      </c>
      <c r="AJ112" s="356"/>
    </row>
    <row r="113" spans="2:36" ht="26.25" customHeight="1">
      <c r="B113" s="445">
        <v>70</v>
      </c>
      <c r="C113" s="351">
        <f>IF(VLOOKUP(B113,PROPONENTES!$B$19:$E$109,2,0)="","",VLOOKUP(B113,PROPONENTES!$B$19:$E$109,2,0))</f>
        <v>70</v>
      </c>
      <c r="D113" s="352" t="str">
        <f>IF(VLOOKUP(B113,PROPONENTES!$B$19:$E$108,3,0)="","",VLOOKUP(B113,PROPONENTES!$B$19:$E$108,3,0))</f>
        <v>CONSORCIO DT TOLIMA ZP</v>
      </c>
      <c r="E113" s="353" t="str">
        <f>IF(ISNUMBER(D113),"",IF(VLOOKUP(B113,PROPONENTES!$B$19:$E$108,4,0)="","",IF(VLOOKUP(B113,PROPONENTES!$B$19:$E$108,4,0)&gt;1,"SI","NO")))</f>
        <v>SI</v>
      </c>
      <c r="F113" s="65" t="str">
        <f ca="1">IF(ISNUMBER(D113),"",IF(AND(VLOOKUP(B113,'HAB.GEN.'!$B$19:$L$108,8)="HÁBIL",VLOOKUP(B113,'HAB.GEN.'!$B$19:$L$108,10)&lt;&gt;"RECHAZO",VLOOKUP(B113,'HAB.GEN.'!$B$19:$L$108,10)&lt;&gt;"NO HÁBIL",VLOOKUP(B113,'HAB.GEN.'!$C$19:$L$108,9)="HÁBIL"),"CUMPLE","NO CUMPLE"))</f>
        <v>CUMPLE</v>
      </c>
      <c r="G113" s="365">
        <f>IF(ISNUMBER(D113),"",IF(B113&lt;&gt;"",VLOOKUP("M"&amp;C113,EXPERIENCIA!$A$20:$Y$5935,19,0),""))</f>
        <v>4</v>
      </c>
      <c r="H113" s="354" t="str">
        <f t="shared" ca="1" si="16"/>
        <v>HÁBIL</v>
      </c>
      <c r="I113" s="366">
        <f ca="1">IF(ISNUMBER(D113),"",IF(H113="NO HÁBIL","",IF(AND(B113&lt;&gt;"",H113&lt;&gt;"NO HÁBIL"),VLOOKUP("Z"&amp;C113,EXPERIENCIA!$A$20:$Y$5935,15,FALSE),0)))</f>
        <v>418.79075</v>
      </c>
      <c r="J113" s="355">
        <f t="shared" ca="1" si="19"/>
        <v>32.867357373100631</v>
      </c>
      <c r="K113" s="462">
        <f t="shared" ca="1" si="20"/>
        <v>32.867357373100631</v>
      </c>
      <c r="L113" s="372"/>
      <c r="M113" s="372"/>
      <c r="N113" s="372"/>
      <c r="O113" s="372"/>
      <c r="P113" s="372"/>
      <c r="Q113" s="372"/>
      <c r="R113" s="372"/>
      <c r="S113" s="372"/>
      <c r="T113" s="372"/>
      <c r="U113" s="372"/>
      <c r="V113" s="372"/>
      <c r="W113" s="372"/>
      <c r="X113" s="372"/>
      <c r="Y113" s="372"/>
      <c r="Z113" s="372"/>
      <c r="AA113" s="372"/>
      <c r="AB113" s="372"/>
      <c r="AC113" s="473" t="str">
        <f t="shared" ca="1" si="21"/>
        <v/>
      </c>
      <c r="AD113" s="474" t="str">
        <f t="shared" ca="1" si="17"/>
        <v/>
      </c>
      <c r="AE113" s="474" t="str">
        <f t="shared" ca="1" si="11"/>
        <v/>
      </c>
      <c r="AF113" s="475" t="str">
        <f t="shared" ca="1" si="12"/>
        <v/>
      </c>
      <c r="AG113" s="367">
        <f t="shared" ca="1" si="22"/>
        <v>4.105741394834638</v>
      </c>
      <c r="AH113" s="476" t="str">
        <f t="shared" ca="1" si="18"/>
        <v/>
      </c>
      <c r="AI113" s="477" t="str">
        <f t="shared" ca="1" si="13"/>
        <v/>
      </c>
      <c r="AJ113" s="356"/>
    </row>
    <row r="114" spans="2:36" ht="26.25" customHeight="1">
      <c r="B114" s="445">
        <v>71</v>
      </c>
      <c r="C114" s="351">
        <f>IF(VLOOKUP(B114,PROPONENTES!$B$19:$E$109,2,0)="","",VLOOKUP(B114,PROPONENTES!$B$19:$E$109,2,0))</f>
        <v>71</v>
      </c>
      <c r="D114" s="352" t="str">
        <f>IF(VLOOKUP(B114,PROPONENTES!$B$19:$E$108,3,0)="","",VLOOKUP(B114,PROPONENTES!$B$19:$E$108,3,0))</f>
        <v>INGENIEROS CIVILES ESPECIALISTAS S.A.S.</v>
      </c>
      <c r="E114" s="353" t="str">
        <f>IF(ISNUMBER(D114),"",IF(VLOOKUP(B114,PROPONENTES!$B$19:$E$108,4,0)="","",IF(VLOOKUP(B114,PROPONENTES!$B$19:$E$108,4,0)&gt;1,"SI","NO")))</f>
        <v>NO</v>
      </c>
      <c r="F114" s="65" t="str">
        <f>IF(ISNUMBER(D114),"",IF(AND(VLOOKUP(B114,'HAB.GEN.'!$B$19:$L$108,8)="HÁBIL",VLOOKUP(B114,'HAB.GEN.'!$B$19:$L$108,10)&lt;&gt;"RECHAZO",VLOOKUP(B114,'HAB.GEN.'!$B$19:$L$108,10)&lt;&gt;"NO HÁBIL",VLOOKUP(B114,'HAB.GEN.'!$C$19:$L$108,9)="HÁBIL"),"CUMPLE","NO CUMPLE"))</f>
        <v>CUMPLE</v>
      </c>
      <c r="G114" s="365">
        <f>IF(ISNUMBER(D114),"",IF(B114&lt;&gt;"",VLOOKUP("M"&amp;C114,EXPERIENCIA!$A$20:$Y$5935,19,0),""))</f>
        <v>5</v>
      </c>
      <c r="H114" s="354" t="str">
        <f t="shared" si="16"/>
        <v>HÁBIL</v>
      </c>
      <c r="I114" s="366">
        <f>IF(ISNUMBER(D114),"",IF(H114="NO HÁBIL","",IF(AND(B114&lt;&gt;"",H114&lt;&gt;"NO HÁBIL"),VLOOKUP("Z"&amp;C114,EXPERIENCIA!$A$20:$Y$5935,15,FALSE),0)))</f>
        <v>554.83899999999994</v>
      </c>
      <c r="J114" s="355">
        <f t="shared" ca="1" si="19"/>
        <v>43.54463821737653</v>
      </c>
      <c r="K114" s="462">
        <f t="shared" ca="1" si="20"/>
        <v>43.54463821737653</v>
      </c>
      <c r="L114" s="372"/>
      <c r="M114" s="372"/>
      <c r="N114" s="372"/>
      <c r="O114" s="372"/>
      <c r="P114" s="372"/>
      <c r="Q114" s="372"/>
      <c r="R114" s="372"/>
      <c r="S114" s="372"/>
      <c r="T114" s="372"/>
      <c r="U114" s="372"/>
      <c r="V114" s="372"/>
      <c r="W114" s="372"/>
      <c r="X114" s="372"/>
      <c r="Y114" s="372"/>
      <c r="Z114" s="372"/>
      <c r="AA114" s="372"/>
      <c r="AB114" s="372"/>
      <c r="AC114" s="473" t="str">
        <f t="shared" ca="1" si="21"/>
        <v/>
      </c>
      <c r="AD114" s="474" t="str">
        <f t="shared" ca="1" si="17"/>
        <v/>
      </c>
      <c r="AE114" s="474" t="str">
        <f t="shared" ca="1" si="11"/>
        <v/>
      </c>
      <c r="AF114" s="475" t="str">
        <f t="shared" si="12"/>
        <v/>
      </c>
      <c r="AG114" s="367">
        <f t="shared" ca="1" si="22"/>
        <v>131.9425086051653</v>
      </c>
      <c r="AH114" s="476" t="str">
        <f t="shared" ca="1" si="18"/>
        <v/>
      </c>
      <c r="AI114" s="477" t="str">
        <f t="shared" ca="1" si="13"/>
        <v/>
      </c>
      <c r="AJ114" s="356"/>
    </row>
    <row r="115" spans="2:36" ht="26.25" customHeight="1">
      <c r="B115" s="445">
        <v>72</v>
      </c>
      <c r="C115" s="351">
        <f>IF(VLOOKUP(B115,PROPONENTES!$B$19:$E$109,2,0)="","",VLOOKUP(B115,PROPONENTES!$B$19:$E$109,2,0))</f>
        <v>72</v>
      </c>
      <c r="D115" s="352" t="str">
        <f>IF(VLOOKUP(B115,PROPONENTES!$B$19:$E$108,3,0)="","",VLOOKUP(B115,PROPONENTES!$B$19:$E$108,3,0))</f>
        <v>GRUPO QUIMBAYA S.A.S.</v>
      </c>
      <c r="E115" s="353" t="str">
        <f>IF(ISNUMBER(D115),"",IF(VLOOKUP(B115,PROPONENTES!$B$19:$E$108,4,0)="","",IF(VLOOKUP(B115,PROPONENTES!$B$19:$E$108,4,0)&gt;1,"SI","NO")))</f>
        <v>NO</v>
      </c>
      <c r="F115" s="65" t="str">
        <f>IF(ISNUMBER(D115),"",IF(AND(VLOOKUP(B115,'HAB.GEN.'!$B$19:$L$108,8)="HÁBIL",VLOOKUP(B115,'HAB.GEN.'!$B$19:$L$108,10)&lt;&gt;"RECHAZO",VLOOKUP(B115,'HAB.GEN.'!$B$19:$L$108,10)&lt;&gt;"NO HÁBIL",VLOOKUP(B115,'HAB.GEN.'!$C$19:$L$108,9)="HÁBIL"),"CUMPLE","NO CUMPLE"))</f>
        <v>CUMPLE</v>
      </c>
      <c r="G115" s="365">
        <f>IF(ISNUMBER(D115),"",IF(B115&lt;&gt;"",VLOOKUP("M"&amp;C115,EXPERIENCIA!$A$20:$Y$5935,19,0),""))</f>
        <v>2</v>
      </c>
      <c r="H115" s="354" t="str">
        <f t="shared" si="16"/>
        <v>HÁBIL</v>
      </c>
      <c r="I115" s="366">
        <f>IF(ISNUMBER(D115),"",IF(H115="NO HÁBIL","",IF(AND(B115&lt;&gt;"",H115&lt;&gt;"NO HÁBIL"),VLOOKUP("Z"&amp;C115,EXPERIENCIA!$A$20:$Y$5935,15,FALSE),0)))</f>
        <v>333.50390000000004</v>
      </c>
      <c r="J115" s="355">
        <f t="shared" ca="1" si="19"/>
        <v>26.173911115808597</v>
      </c>
      <c r="K115" s="462">
        <f t="shared" ca="1" si="20"/>
        <v>26.173911115808597</v>
      </c>
      <c r="L115" s="372"/>
      <c r="M115" s="372"/>
      <c r="N115" s="372"/>
      <c r="O115" s="372"/>
      <c r="P115" s="372"/>
      <c r="Q115" s="372"/>
      <c r="R115" s="372"/>
      <c r="S115" s="372"/>
      <c r="T115" s="372"/>
      <c r="U115" s="372"/>
      <c r="V115" s="372"/>
      <c r="W115" s="372"/>
      <c r="X115" s="372"/>
      <c r="Y115" s="372"/>
      <c r="Z115" s="372"/>
      <c r="AA115" s="372"/>
      <c r="AB115" s="372"/>
      <c r="AC115" s="473" t="str">
        <f t="shared" ca="1" si="21"/>
        <v/>
      </c>
      <c r="AD115" s="474" t="str">
        <f t="shared" ca="1" si="17"/>
        <v/>
      </c>
      <c r="AE115" s="474" t="str">
        <f t="shared" ca="1" si="11"/>
        <v/>
      </c>
      <c r="AF115" s="475" t="str">
        <f t="shared" si="12"/>
        <v/>
      </c>
      <c r="AG115" s="367">
        <f t="shared" ca="1" si="22"/>
        <v>89.392591394834596</v>
      </c>
      <c r="AH115" s="476" t="str">
        <f t="shared" ca="1" si="18"/>
        <v/>
      </c>
      <c r="AI115" s="477" t="str">
        <f t="shared" ca="1" si="13"/>
        <v/>
      </c>
      <c r="AJ115" s="356"/>
    </row>
    <row r="116" spans="2:36" ht="26.25" customHeight="1">
      <c r="B116" s="445">
        <v>73</v>
      </c>
      <c r="C116" s="351">
        <f>IF(VLOOKUP(B116,PROPONENTES!$B$19:$E$109,2,0)="","",VLOOKUP(B116,PROPONENTES!$B$19:$E$109,2,0))</f>
        <v>73</v>
      </c>
      <c r="D116" s="352" t="str">
        <f>IF(VLOOKUP(B116,PROPONENTES!$B$19:$E$108,3,0)="","",VLOOKUP(B116,PROPONENTES!$B$19:$E$108,3,0))</f>
        <v>CONSORCIO TOLIMA JI 001</v>
      </c>
      <c r="E116" s="353" t="str">
        <f>IF(ISNUMBER(D116),"",IF(VLOOKUP(B116,PROPONENTES!$B$19:$E$108,4,0)="","",IF(VLOOKUP(B116,PROPONENTES!$B$19:$E$108,4,0)&gt;1,"SI","NO")))</f>
        <v>SI</v>
      </c>
      <c r="F116" s="65" t="str">
        <f ca="1">IF(ISNUMBER(D116),"",IF(AND(VLOOKUP(B116,'HAB.GEN.'!$B$19:$L$108,8)="HÁBIL",VLOOKUP(B116,'HAB.GEN.'!$B$19:$L$108,10)&lt;&gt;"RECHAZO",VLOOKUP(B116,'HAB.GEN.'!$B$19:$L$108,10)&lt;&gt;"NO HÁBIL",VLOOKUP(B116,'HAB.GEN.'!$C$19:$L$108,9)="HÁBIL"),"CUMPLE","NO CUMPLE"))</f>
        <v>NO CUMPLE</v>
      </c>
      <c r="G116" s="365">
        <f>IF(ISNUMBER(D116),"",IF(B116&lt;&gt;"",VLOOKUP("M"&amp;C116,EXPERIENCIA!$A$20:$Y$5935,19,0),""))</f>
        <v>4</v>
      </c>
      <c r="H116" s="354" t="str">
        <f t="shared" ca="1" si="16"/>
        <v>NO HÁBIL</v>
      </c>
      <c r="I116" s="366" t="str">
        <f ca="1">IF(ISNUMBER(D116),"",IF(H116="NO HÁBIL","",IF(AND(B116&lt;&gt;"",H116&lt;&gt;"NO HÁBIL"),VLOOKUP("Z"&amp;C116,EXPERIENCIA!$A$20:$Y$5935,15,FALSE),0)))</f>
        <v/>
      </c>
      <c r="J116" s="355">
        <f t="shared" ca="1" si="19"/>
        <v>0</v>
      </c>
      <c r="K116" s="462">
        <f t="shared" ca="1" si="20"/>
        <v>0</v>
      </c>
      <c r="L116" s="372"/>
      <c r="M116" s="372"/>
      <c r="N116" s="372"/>
      <c r="O116" s="372"/>
      <c r="P116" s="372"/>
      <c r="Q116" s="372"/>
      <c r="R116" s="372"/>
      <c r="S116" s="372"/>
      <c r="T116" s="372"/>
      <c r="U116" s="372"/>
      <c r="V116" s="372"/>
      <c r="W116" s="372"/>
      <c r="X116" s="372"/>
      <c r="Y116" s="372"/>
      <c r="Z116" s="372"/>
      <c r="AA116" s="372"/>
      <c r="AB116" s="372"/>
      <c r="AC116" s="473" t="str">
        <f t="shared" ca="1" si="21"/>
        <v/>
      </c>
      <c r="AD116" s="474" t="str">
        <f t="shared" ca="1" si="17"/>
        <v/>
      </c>
      <c r="AE116" s="474" t="str">
        <f t="shared" ca="1" si="11"/>
        <v/>
      </c>
      <c r="AF116" s="475" t="str">
        <f t="shared" ca="1" si="12"/>
        <v/>
      </c>
      <c r="AG116" s="367" t="str">
        <f t="shared" ca="1" si="22"/>
        <v/>
      </c>
      <c r="AH116" s="476" t="str">
        <f t="shared" ca="1" si="18"/>
        <v/>
      </c>
      <c r="AI116" s="477" t="str">
        <f t="shared" ca="1" si="13"/>
        <v/>
      </c>
      <c r="AJ116" s="356"/>
    </row>
    <row r="117" spans="2:36" ht="26.25" customHeight="1">
      <c r="B117" s="445">
        <v>74</v>
      </c>
      <c r="C117" s="351">
        <f>IF(VLOOKUP(B117,PROPONENTES!$B$19:$E$109,2,0)="","",VLOOKUP(B117,PROPONENTES!$B$19:$E$109,2,0))</f>
        <v>74</v>
      </c>
      <c r="D117" s="352" t="str">
        <f>IF(VLOOKUP(B117,PROPONENTES!$B$19:$E$108,3,0)="","",VLOOKUP(B117,PROPONENTES!$B$19:$E$108,3,0))</f>
        <v>INGENIERIA CONUSLTORIA Y PLANEACION S.A – INCOPLAN S.A</v>
      </c>
      <c r="E117" s="353" t="str">
        <f>IF(ISNUMBER(D117),"",IF(VLOOKUP(B117,PROPONENTES!$B$19:$E$108,4,0)="","",IF(VLOOKUP(B117,PROPONENTES!$B$19:$E$108,4,0)&gt;1,"SI","NO")))</f>
        <v>NO</v>
      </c>
      <c r="F117" s="65" t="str">
        <f>IF(ISNUMBER(D117),"",IF(AND(VLOOKUP(B117,'HAB.GEN.'!$B$19:$L$108,8)="HÁBIL",VLOOKUP(B117,'HAB.GEN.'!$B$19:$L$108,10)&lt;&gt;"RECHAZO",VLOOKUP(B117,'HAB.GEN.'!$B$19:$L$108,10)&lt;&gt;"NO HÁBIL",VLOOKUP(B117,'HAB.GEN.'!$C$19:$L$108,9)="HÁBIL"),"CUMPLE","NO CUMPLE"))</f>
        <v>CUMPLE</v>
      </c>
      <c r="G117" s="365">
        <f>IF(ISNUMBER(D117),"",IF(B117&lt;&gt;"",VLOOKUP("M"&amp;C117,EXPERIENCIA!$A$20:$Y$5935,19,0),""))</f>
        <v>3</v>
      </c>
      <c r="H117" s="354" t="str">
        <f t="shared" si="16"/>
        <v>HÁBIL</v>
      </c>
      <c r="I117" s="366">
        <f>IF(ISNUMBER(D117),"",IF(H117="NO HÁBIL","",IF(AND(B117&lt;&gt;"",H117&lt;&gt;"NO HÁBIL"),VLOOKUP("Z"&amp;C117,EXPERIENCIA!$A$20:$Y$5935,15,FALSE),0)))</f>
        <v>256.28366666666665</v>
      </c>
      <c r="J117" s="355">
        <f t="shared" ca="1" si="19"/>
        <v>20.113545633999635</v>
      </c>
      <c r="K117" s="462">
        <f t="shared" ca="1" si="20"/>
        <v>20.113545633999635</v>
      </c>
      <c r="L117" s="372"/>
      <c r="M117" s="372"/>
      <c r="N117" s="372"/>
      <c r="O117" s="372"/>
      <c r="P117" s="372"/>
      <c r="Q117" s="372"/>
      <c r="R117" s="372"/>
      <c r="S117" s="372"/>
      <c r="T117" s="372"/>
      <c r="U117" s="372"/>
      <c r="V117" s="372"/>
      <c r="W117" s="372"/>
      <c r="X117" s="372"/>
      <c r="Y117" s="372"/>
      <c r="Z117" s="372"/>
      <c r="AA117" s="372"/>
      <c r="AB117" s="372"/>
      <c r="AC117" s="473" t="str">
        <f t="shared" ca="1" si="21"/>
        <v/>
      </c>
      <c r="AD117" s="474" t="str">
        <f t="shared" ca="1" si="17"/>
        <v/>
      </c>
      <c r="AE117" s="474" t="str">
        <f t="shared" ca="1" si="11"/>
        <v/>
      </c>
      <c r="AF117" s="475" t="str">
        <f t="shared" si="12"/>
        <v/>
      </c>
      <c r="AG117" s="367">
        <f t="shared" ca="1" si="22"/>
        <v>166.61282472816799</v>
      </c>
      <c r="AH117" s="476" t="str">
        <f t="shared" ca="1" si="18"/>
        <v/>
      </c>
      <c r="AI117" s="477" t="str">
        <f t="shared" ca="1" si="13"/>
        <v/>
      </c>
      <c r="AJ117" s="356"/>
    </row>
    <row r="118" spans="2:36" ht="26.25" customHeight="1">
      <c r="B118" s="445">
        <v>75</v>
      </c>
      <c r="C118" s="351">
        <f>IF(VLOOKUP(B118,PROPONENTES!$B$19:$E$109,2,0)="","",VLOOKUP(B118,PROPONENTES!$B$19:$E$109,2,0))</f>
        <v>75</v>
      </c>
      <c r="D118" s="352" t="str">
        <f>IF(VLOOKUP(B118,PROPONENTES!$B$19:$E$108,3,0)="","",VLOOKUP(B118,PROPONENTES!$B$19:$E$108,3,0))</f>
        <v>JAIME MORENO ESPAÑA</v>
      </c>
      <c r="E118" s="353" t="str">
        <f>IF(ISNUMBER(D118),"",IF(VLOOKUP(B118,PROPONENTES!$B$19:$E$108,4,0)="","",IF(VLOOKUP(B118,PROPONENTES!$B$19:$E$108,4,0)&gt;1,"SI","NO")))</f>
        <v>NO</v>
      </c>
      <c r="F118" s="65" t="str">
        <f>IF(ISNUMBER(D118),"",IF(AND(VLOOKUP(B118,'HAB.GEN.'!$B$19:$L$108,8)="HÁBIL",VLOOKUP(B118,'HAB.GEN.'!$B$19:$L$108,10)&lt;&gt;"RECHAZO",VLOOKUP(B118,'HAB.GEN.'!$B$19:$L$108,10)&lt;&gt;"NO HÁBIL",VLOOKUP(B118,'HAB.GEN.'!$C$19:$L$108,9)="HÁBIL"),"CUMPLE","NO CUMPLE"))</f>
        <v>CUMPLE</v>
      </c>
      <c r="G118" s="365">
        <f>IF(ISNUMBER(D118),"",IF(B118&lt;&gt;"",VLOOKUP("M"&amp;C118,EXPERIENCIA!$A$20:$Y$5935,19,0),""))</f>
        <v>5</v>
      </c>
      <c r="H118" s="354" t="str">
        <f t="shared" si="16"/>
        <v>HÁBIL</v>
      </c>
      <c r="I118" s="366">
        <f>IF(ISNUMBER(D118),"",IF(H118="NO HÁBIL","",IF(AND(B118&lt;&gt;"",H118&lt;&gt;"NO HÁBIL"),VLOOKUP("Z"&amp;C118,EXPERIENCIA!$A$20:$Y$5935,15,FALSE),0)))</f>
        <v>63.144600000000004</v>
      </c>
      <c r="J118" s="355">
        <f t="shared" ca="1" si="19"/>
        <v>4.9556876181756424</v>
      </c>
      <c r="K118" s="462">
        <f t="shared" ca="1" si="20"/>
        <v>4.9556876181756424</v>
      </c>
      <c r="L118" s="372"/>
      <c r="M118" s="372"/>
      <c r="N118" s="372"/>
      <c r="O118" s="372"/>
      <c r="P118" s="372"/>
      <c r="Q118" s="372"/>
      <c r="R118" s="372"/>
      <c r="S118" s="372"/>
      <c r="T118" s="372"/>
      <c r="U118" s="372"/>
      <c r="V118" s="372"/>
      <c r="W118" s="372"/>
      <c r="X118" s="372"/>
      <c r="Y118" s="372"/>
      <c r="Z118" s="372"/>
      <c r="AA118" s="372"/>
      <c r="AB118" s="372"/>
      <c r="AC118" s="473" t="str">
        <f t="shared" ca="1" si="21"/>
        <v/>
      </c>
      <c r="AD118" s="474" t="str">
        <f t="shared" ca="1" si="17"/>
        <v/>
      </c>
      <c r="AE118" s="474" t="str">
        <f t="shared" ca="1" si="11"/>
        <v/>
      </c>
      <c r="AF118" s="475" t="str">
        <f t="shared" si="12"/>
        <v/>
      </c>
      <c r="AG118" s="367">
        <f t="shared" ca="1" si="22"/>
        <v>359.75189139483462</v>
      </c>
      <c r="AH118" s="476" t="str">
        <f t="shared" ca="1" si="18"/>
        <v/>
      </c>
      <c r="AI118" s="477" t="str">
        <f t="shared" ca="1" si="13"/>
        <v/>
      </c>
      <c r="AJ118" s="356"/>
    </row>
    <row r="119" spans="2:36" ht="26.25" customHeight="1">
      <c r="B119" s="445">
        <v>76</v>
      </c>
      <c r="C119" s="351">
        <f>IF(VLOOKUP(B119,PROPONENTES!$B$19:$E$109,2,0)="","",VLOOKUP(B119,PROPONENTES!$B$19:$E$109,2,0))</f>
        <v>76</v>
      </c>
      <c r="D119" s="352" t="str">
        <f>IF(VLOOKUP(B119,PROPONENTES!$B$19:$E$108,3,0)="","",VLOOKUP(B119,PROPONENTES!$B$19:$E$108,3,0))</f>
        <v>CONSORCIO DIN ISUTECH</v>
      </c>
      <c r="E119" s="353" t="str">
        <f>IF(ISNUMBER(D119),"",IF(VLOOKUP(B119,PROPONENTES!$B$19:$E$108,4,0)="","",IF(VLOOKUP(B119,PROPONENTES!$B$19:$E$108,4,0)&gt;1,"SI","NO")))</f>
        <v>SI</v>
      </c>
      <c r="F119" s="65" t="str">
        <f ca="1">IF(ISNUMBER(D119),"",IF(AND(VLOOKUP(B119,'HAB.GEN.'!$B$19:$L$108,8)="HÁBIL",VLOOKUP(B119,'HAB.GEN.'!$B$19:$L$108,10)&lt;&gt;"RECHAZO",VLOOKUP(B119,'HAB.GEN.'!$B$19:$L$108,10)&lt;&gt;"NO HÁBIL",VLOOKUP(B119,'HAB.GEN.'!$C$19:$L$108,9)="HÁBIL"),"CUMPLE","NO CUMPLE"))</f>
        <v>CUMPLE</v>
      </c>
      <c r="G119" s="365">
        <f>IF(ISNUMBER(D119),"",IF(B119&lt;&gt;"",VLOOKUP("M"&amp;C119,EXPERIENCIA!$A$20:$Y$5935,19,0),""))</f>
        <v>3</v>
      </c>
      <c r="H119" s="354" t="str">
        <f t="shared" ca="1" si="16"/>
        <v>HÁBIL</v>
      </c>
      <c r="I119" s="366">
        <f ca="1">IF(ISNUMBER(D119),"",IF(H119="NO HÁBIL","",IF(AND(B119&lt;&gt;"",H119&lt;&gt;"NO HÁBIL"),VLOOKUP("Z"&amp;C119,EXPERIENCIA!$A$20:$Y$5935,15,FALSE),0)))</f>
        <v>421.07</v>
      </c>
      <c r="J119" s="355">
        <f t="shared" ca="1" si="19"/>
        <v>33.046236501382815</v>
      </c>
      <c r="K119" s="462">
        <f t="shared" ca="1" si="20"/>
        <v>33.046236501382815</v>
      </c>
      <c r="L119" s="372"/>
      <c r="M119" s="372"/>
      <c r="N119" s="372"/>
      <c r="O119" s="372"/>
      <c r="P119" s="372"/>
      <c r="Q119" s="372"/>
      <c r="R119" s="372"/>
      <c r="S119" s="372"/>
      <c r="T119" s="372"/>
      <c r="U119" s="372"/>
      <c r="V119" s="372"/>
      <c r="W119" s="372"/>
      <c r="X119" s="372"/>
      <c r="Y119" s="372"/>
      <c r="Z119" s="372"/>
      <c r="AA119" s="372"/>
      <c r="AB119" s="372"/>
      <c r="AC119" s="473" t="str">
        <f t="shared" ca="1" si="21"/>
        <v/>
      </c>
      <c r="AD119" s="474" t="str">
        <f t="shared" ca="1" si="17"/>
        <v/>
      </c>
      <c r="AE119" s="474" t="str">
        <f t="shared" ca="1" si="11"/>
        <v/>
      </c>
      <c r="AF119" s="475" t="str">
        <f t="shared" ca="1" si="12"/>
        <v/>
      </c>
      <c r="AG119" s="367">
        <f t="shared" ca="1" si="22"/>
        <v>1.8264913948346475</v>
      </c>
      <c r="AH119" s="476" t="str">
        <f t="shared" ca="1" si="18"/>
        <v/>
      </c>
      <c r="AI119" s="477" t="str">
        <f t="shared" ca="1" si="13"/>
        <v/>
      </c>
      <c r="AJ119" s="356"/>
    </row>
    <row r="120" spans="2:36" ht="26.25" customHeight="1">
      <c r="B120" s="445">
        <v>77</v>
      </c>
      <c r="C120" s="351">
        <f>IF(VLOOKUP(B120,PROPONENTES!$B$19:$E$109,2,0)="","",VLOOKUP(B120,PROPONENTES!$B$19:$E$109,2,0))</f>
        <v>77</v>
      </c>
      <c r="D120" s="352" t="str">
        <f>IF(VLOOKUP(B120,PROPONENTES!$B$19:$E$108,3,0)="","",VLOOKUP(B120,PROPONENTES!$B$19:$E$108,3,0))</f>
        <v>CONSORCIO CASTORES – INGES INVIAS 2022</v>
      </c>
      <c r="E120" s="353" t="str">
        <f>IF(ISNUMBER(D120),"",IF(VLOOKUP(B120,PROPONENTES!$B$19:$E$108,4,0)="","",IF(VLOOKUP(B120,PROPONENTES!$B$19:$E$108,4,0)&gt;1,"SI","NO")))</f>
        <v>SI</v>
      </c>
      <c r="F120" s="65" t="str">
        <f ca="1">IF(ISNUMBER(D120),"",IF(AND(VLOOKUP(B120,'HAB.GEN.'!$B$19:$L$108,8)="HÁBIL",VLOOKUP(B120,'HAB.GEN.'!$B$19:$L$108,10)&lt;&gt;"RECHAZO",VLOOKUP(B120,'HAB.GEN.'!$B$19:$L$108,10)&lt;&gt;"NO HÁBIL",VLOOKUP(B120,'HAB.GEN.'!$C$19:$L$108,9)="HÁBIL"),"CUMPLE","NO CUMPLE"))</f>
        <v>CUMPLE</v>
      </c>
      <c r="G120" s="365">
        <f>IF(ISNUMBER(D120),"",IF(B120&lt;&gt;"",VLOOKUP("M"&amp;C120,EXPERIENCIA!$A$20:$Y$5935,19,0),""))</f>
        <v>2</v>
      </c>
      <c r="H120" s="354" t="str">
        <f t="shared" ca="1" si="16"/>
        <v>HÁBIL</v>
      </c>
      <c r="I120" s="366">
        <f ca="1">IF(ISNUMBER(D120),"",IF(H120="NO HÁBIL","",IF(AND(B120&lt;&gt;"",H120&lt;&gt;"NO HÁBIL"),VLOOKUP("Z"&amp;C120,EXPERIENCIA!$A$20:$Y$5935,15,FALSE),0)))</f>
        <v>384.40499999999997</v>
      </c>
      <c r="J120" s="355">
        <f t="shared" ca="1" si="19"/>
        <v>30.168709578725768</v>
      </c>
      <c r="K120" s="462">
        <f t="shared" ca="1" si="20"/>
        <v>30.168709578725768</v>
      </c>
      <c r="L120" s="372"/>
      <c r="M120" s="372"/>
      <c r="N120" s="372"/>
      <c r="O120" s="372"/>
      <c r="P120" s="372"/>
      <c r="Q120" s="372"/>
      <c r="R120" s="372"/>
      <c r="S120" s="372"/>
      <c r="T120" s="372"/>
      <c r="U120" s="372"/>
      <c r="V120" s="372"/>
      <c r="W120" s="372"/>
      <c r="X120" s="372"/>
      <c r="Y120" s="372"/>
      <c r="Z120" s="372"/>
      <c r="AA120" s="372"/>
      <c r="AB120" s="372"/>
      <c r="AC120" s="473" t="str">
        <f t="shared" ca="1" si="21"/>
        <v/>
      </c>
      <c r="AD120" s="474" t="str">
        <f t="shared" ca="1" si="17"/>
        <v/>
      </c>
      <c r="AE120" s="474" t="str">
        <f t="shared" ca="1" si="11"/>
        <v/>
      </c>
      <c r="AF120" s="475" t="str">
        <f t="shared" ca="1" si="12"/>
        <v/>
      </c>
      <c r="AG120" s="367">
        <f t="shared" ca="1" si="22"/>
        <v>38.491491394834668</v>
      </c>
      <c r="AH120" s="476" t="str">
        <f t="shared" ca="1" si="18"/>
        <v/>
      </c>
      <c r="AI120" s="477" t="str">
        <f t="shared" ca="1" si="13"/>
        <v/>
      </c>
      <c r="AJ120" s="356"/>
    </row>
    <row r="121" spans="2:36" ht="26.25" customHeight="1">
      <c r="B121" s="445">
        <v>78</v>
      </c>
      <c r="C121" s="351">
        <f>IF(VLOOKUP(B121,PROPONENTES!$B$19:$E$109,2,0)="","",VLOOKUP(B121,PROPONENTES!$B$19:$E$109,2,0))</f>
        <v>78</v>
      </c>
      <c r="D121" s="352" t="str">
        <f>IF(VLOOKUP(B121,PROPONENTES!$B$19:$E$108,3,0)="","",VLOOKUP(B121,PROPONENTES!$B$19:$E$108,3,0))</f>
        <v>NUBIA ISABEL QUEVEDO ÁNGEL</v>
      </c>
      <c r="E121" s="353" t="str">
        <f>IF(ISNUMBER(D121),"",IF(VLOOKUP(B121,PROPONENTES!$B$19:$E$108,4,0)="","",IF(VLOOKUP(B121,PROPONENTES!$B$19:$E$108,4,0)&gt;1,"SI","NO")))</f>
        <v>NO</v>
      </c>
      <c r="F121" s="65" t="str">
        <f>IF(ISNUMBER(D121),"",IF(AND(VLOOKUP(B121,'HAB.GEN.'!$B$19:$L$108,8)="HÁBIL",VLOOKUP(B121,'HAB.GEN.'!$B$19:$L$108,10)&lt;&gt;"RECHAZO",VLOOKUP(B121,'HAB.GEN.'!$B$19:$L$108,10)&lt;&gt;"NO HÁBIL",VLOOKUP(B121,'HAB.GEN.'!$C$19:$L$108,9)="HÁBIL"),"CUMPLE","NO CUMPLE"))</f>
        <v>CUMPLE</v>
      </c>
      <c r="G121" s="365">
        <f>IF(ISNUMBER(D121),"",IF(B121&lt;&gt;"",VLOOKUP("M"&amp;C121,EXPERIENCIA!$A$20:$Y$5935,19,0),""))</f>
        <v>1</v>
      </c>
      <c r="H121" s="354" t="str">
        <f t="shared" si="16"/>
        <v>HÁBIL</v>
      </c>
      <c r="I121" s="366">
        <f>IF(ISNUMBER(D121),"",IF(H121="NO HÁBIL","",IF(AND(B121&lt;&gt;"",H121&lt;&gt;"NO HÁBIL"),VLOOKUP("Z"&amp;C121,EXPERIENCIA!$A$20:$Y$5935,15,FALSE),0)))</f>
        <v>411.02</v>
      </c>
      <c r="J121" s="355">
        <f t="shared" ca="1" si="19"/>
        <v>32.257496679408092</v>
      </c>
      <c r="K121" s="462">
        <f t="shared" ca="1" si="20"/>
        <v>32.257496679408092</v>
      </c>
      <c r="L121" s="372"/>
      <c r="M121" s="372"/>
      <c r="N121" s="372"/>
      <c r="O121" s="372"/>
      <c r="P121" s="372"/>
      <c r="Q121" s="372"/>
      <c r="R121" s="372"/>
      <c r="S121" s="372"/>
      <c r="T121" s="372"/>
      <c r="U121" s="372"/>
      <c r="V121" s="372"/>
      <c r="W121" s="372"/>
      <c r="X121" s="372"/>
      <c r="Y121" s="372"/>
      <c r="Z121" s="372"/>
      <c r="AA121" s="372"/>
      <c r="AB121" s="372"/>
      <c r="AC121" s="473" t="str">
        <f t="shared" ca="1" si="21"/>
        <v/>
      </c>
      <c r="AD121" s="474" t="str">
        <f t="shared" ca="1" si="17"/>
        <v/>
      </c>
      <c r="AE121" s="474" t="str">
        <f t="shared" ca="1" si="11"/>
        <v/>
      </c>
      <c r="AF121" s="475" t="str">
        <f t="shared" si="12"/>
        <v/>
      </c>
      <c r="AG121" s="367">
        <f t="shared" ca="1" si="22"/>
        <v>11.876491394834659</v>
      </c>
      <c r="AH121" s="476" t="str">
        <f t="shared" ca="1" si="18"/>
        <v/>
      </c>
      <c r="AI121" s="477" t="str">
        <f t="shared" ca="1" si="13"/>
        <v/>
      </c>
      <c r="AJ121" s="356"/>
    </row>
    <row r="122" spans="2:36" ht="26.25" customHeight="1">
      <c r="B122" s="445">
        <v>79</v>
      </c>
      <c r="C122" s="351">
        <f>IF(VLOOKUP(B122,PROPONENTES!$B$19:$E$109,2,0)="","",VLOOKUP(B122,PROPONENTES!$B$19:$E$109,2,0))</f>
        <v>79</v>
      </c>
      <c r="D122" s="352" t="str">
        <f>IF(VLOOKUP(B122,PROPONENTES!$B$19:$E$108,3,0)="","",VLOOKUP(B122,PROPONENTES!$B$19:$E$108,3,0))</f>
        <v>CONSORCIO TOLIMA BD</v>
      </c>
      <c r="E122" s="353" t="str">
        <f>IF(ISNUMBER(D122),"",IF(VLOOKUP(B122,PROPONENTES!$B$19:$E$108,4,0)="","",IF(VLOOKUP(B122,PROPONENTES!$B$19:$E$108,4,0)&gt;1,"SI","NO")))</f>
        <v>SI</v>
      </c>
      <c r="F122" s="65" t="str">
        <f ca="1">IF(ISNUMBER(D122),"",IF(AND(VLOOKUP(B122,'HAB.GEN.'!$B$19:$L$108,8)="HÁBIL",VLOOKUP(B122,'HAB.GEN.'!$B$19:$L$108,10)&lt;&gt;"RECHAZO",VLOOKUP(B122,'HAB.GEN.'!$B$19:$L$108,10)&lt;&gt;"NO HÁBIL",VLOOKUP(B122,'HAB.GEN.'!$C$19:$L$108,9)="HÁBIL"),"CUMPLE","NO CUMPLE"))</f>
        <v>CUMPLE</v>
      </c>
      <c r="G122" s="365">
        <f>IF(ISNUMBER(D122),"",IF(B122&lt;&gt;"",VLOOKUP("M"&amp;C122,EXPERIENCIA!$A$20:$Y$5935,19,0),""))</f>
        <v>2</v>
      </c>
      <c r="H122" s="354" t="str">
        <f t="shared" ca="1" si="16"/>
        <v>HÁBIL</v>
      </c>
      <c r="I122" s="366">
        <f ca="1">IF(ISNUMBER(D122),"",IF(H122="NO HÁBIL","",IF(AND(B122&lt;&gt;"",H122&lt;&gt;"NO HÁBIL"),VLOOKUP("Z"&amp;C122,EXPERIENCIA!$A$20:$Y$5935,15,FALSE),0)))</f>
        <v>587.96384999999998</v>
      </c>
      <c r="J122" s="355">
        <f t="shared" ca="1" si="19"/>
        <v>46.144328594683948</v>
      </c>
      <c r="K122" s="462">
        <f t="shared" ca="1" si="20"/>
        <v>46.144328594683948</v>
      </c>
      <c r="L122" s="372"/>
      <c r="M122" s="372"/>
      <c r="N122" s="372"/>
      <c r="O122" s="372"/>
      <c r="P122" s="372"/>
      <c r="Q122" s="372"/>
      <c r="R122" s="372"/>
      <c r="S122" s="372"/>
      <c r="T122" s="372"/>
      <c r="U122" s="372"/>
      <c r="V122" s="372"/>
      <c r="W122" s="372"/>
      <c r="X122" s="372"/>
      <c r="Y122" s="372"/>
      <c r="Z122" s="372"/>
      <c r="AA122" s="372"/>
      <c r="AB122" s="372"/>
      <c r="AC122" s="473" t="str">
        <f t="shared" ca="1" si="21"/>
        <v/>
      </c>
      <c r="AD122" s="474" t="str">
        <f t="shared" ca="1" si="17"/>
        <v/>
      </c>
      <c r="AE122" s="474" t="str">
        <f t="shared" ca="1" si="11"/>
        <v/>
      </c>
      <c r="AF122" s="475" t="str">
        <f t="shared" ca="1" si="12"/>
        <v/>
      </c>
      <c r="AG122" s="367">
        <f t="shared" ca="1" si="22"/>
        <v>165.06735860516534</v>
      </c>
      <c r="AH122" s="476" t="str">
        <f t="shared" ca="1" si="18"/>
        <v/>
      </c>
      <c r="AI122" s="477" t="str">
        <f t="shared" ca="1" si="13"/>
        <v/>
      </c>
      <c r="AJ122" s="356"/>
    </row>
    <row r="123" spans="2:36" ht="26.25" customHeight="1">
      <c r="B123" s="445">
        <v>80</v>
      </c>
      <c r="C123" s="351">
        <f>IF(VLOOKUP(B123,PROPONENTES!$B$19:$E$109,2,0)="","",VLOOKUP(B123,PROPONENTES!$B$19:$E$109,2,0))</f>
        <v>80</v>
      </c>
      <c r="D123" s="352" t="str">
        <f>IF(VLOOKUP(B123,PROPONENTES!$B$19:$E$108,3,0)="","",VLOOKUP(B123,PROPONENTES!$B$19:$E$108,3,0))</f>
        <v>CB INGENIEROS S.A.S</v>
      </c>
      <c r="E123" s="353" t="str">
        <f>IF(ISNUMBER(D123),"",IF(VLOOKUP(B123,PROPONENTES!$B$19:$E$108,4,0)="","",IF(VLOOKUP(B123,PROPONENTES!$B$19:$E$108,4,0)&gt;1,"SI","NO")))</f>
        <v>NO</v>
      </c>
      <c r="F123" s="65" t="str">
        <f>IF(ISNUMBER(D123),"",IF(AND(VLOOKUP(B123,'HAB.GEN.'!$B$19:$L$108,8)="HÁBIL",VLOOKUP(B123,'HAB.GEN.'!$B$19:$L$108,10)&lt;&gt;"RECHAZO",VLOOKUP(B123,'HAB.GEN.'!$B$19:$L$108,10)&lt;&gt;"NO HÁBIL",VLOOKUP(B123,'HAB.GEN.'!$C$19:$L$108,9)="HÁBIL"),"CUMPLE","NO CUMPLE"))</f>
        <v>CUMPLE</v>
      </c>
      <c r="G123" s="365">
        <f>IF(ISNUMBER(D123),"",IF(B123&lt;&gt;"",VLOOKUP("M"&amp;C123,EXPERIENCIA!$A$20:$Y$5935,19,0),""))</f>
        <v>2</v>
      </c>
      <c r="H123" s="354" t="str">
        <f t="shared" si="16"/>
        <v>HÁBIL</v>
      </c>
      <c r="I123" s="366">
        <f>IF(ISNUMBER(D123),"",IF(H123="NO HÁBIL","",IF(AND(B123&lt;&gt;"",H123&lt;&gt;"NO HÁBIL"),VLOOKUP("Z"&amp;C123,EXPERIENCIA!$A$20:$Y$5935,15,FALSE),0)))</f>
        <v>386.95850000000002</v>
      </c>
      <c r="J123" s="355">
        <f t="shared" ca="1" si="19"/>
        <v>30.36911227876681</v>
      </c>
      <c r="K123" s="462">
        <f t="shared" ca="1" si="20"/>
        <v>30.36911227876681</v>
      </c>
      <c r="L123" s="425"/>
      <c r="M123" s="425"/>
      <c r="N123" s="425"/>
      <c r="O123" s="425"/>
      <c r="P123" s="425"/>
      <c r="Q123" s="425"/>
      <c r="R123" s="425"/>
      <c r="S123" s="425"/>
      <c r="T123" s="425"/>
      <c r="U123" s="425"/>
      <c r="V123" s="425"/>
      <c r="W123" s="425"/>
      <c r="X123" s="425"/>
      <c r="Y123" s="425"/>
      <c r="Z123" s="425"/>
      <c r="AA123" s="425"/>
      <c r="AB123" s="372"/>
      <c r="AC123" s="473" t="str">
        <f t="shared" ca="1" si="21"/>
        <v/>
      </c>
      <c r="AD123" s="474" t="str">
        <f t="shared" ca="1" si="17"/>
        <v/>
      </c>
      <c r="AE123" s="474" t="str">
        <f t="shared" ca="1" si="11"/>
        <v/>
      </c>
      <c r="AF123" s="475" t="str">
        <f t="shared" si="12"/>
        <v/>
      </c>
      <c r="AG123" s="367">
        <f t="shared" ca="1" si="22"/>
        <v>35.937991394834626</v>
      </c>
      <c r="AH123" s="476" t="str">
        <f t="shared" ca="1" si="18"/>
        <v/>
      </c>
      <c r="AI123" s="477" t="str">
        <f t="shared" ca="1" si="13"/>
        <v/>
      </c>
      <c r="AJ123" s="356"/>
    </row>
    <row r="124" spans="2:36" ht="26.25" customHeight="1">
      <c r="B124" s="445">
        <v>81</v>
      </c>
      <c r="C124" s="351">
        <f>IF(VLOOKUP(B124,PROPONENTES!$B$19:$E$109,2,0)="","",VLOOKUP(B124,PROPONENTES!$B$19:$E$109,2,0))</f>
        <v>81</v>
      </c>
      <c r="D124" s="352" t="str">
        <f>IF(VLOOKUP(B124,PROPONENTES!$B$19:$E$108,3,0)="","",VLOOKUP(B124,PROPONENTES!$B$19:$E$108,3,0))</f>
        <v>CONSORCIO INVIAS JP 2022</v>
      </c>
      <c r="E124" s="353" t="str">
        <f>IF(ISNUMBER(D124),"",IF(VLOOKUP(B124,PROPONENTES!$B$19:$E$108,4,0)="","",IF(VLOOKUP(B124,PROPONENTES!$B$19:$E$108,4,0)&gt;1,"SI","NO")))</f>
        <v>SI</v>
      </c>
      <c r="F124" s="65" t="str">
        <f ca="1">IF(ISNUMBER(D124),"",IF(AND(VLOOKUP(B124,'HAB.GEN.'!$B$19:$L$108,8)="HÁBIL",VLOOKUP(B124,'HAB.GEN.'!$B$19:$L$108,10)&lt;&gt;"RECHAZO",VLOOKUP(B124,'HAB.GEN.'!$B$19:$L$108,10)&lt;&gt;"NO HÁBIL",VLOOKUP(B124,'HAB.GEN.'!$C$19:$L$108,9)="HÁBIL"),"CUMPLE","NO CUMPLE"))</f>
        <v>CUMPLE</v>
      </c>
      <c r="G124" s="365">
        <f>IF(ISNUMBER(D124),"",IF(B124&lt;&gt;"",VLOOKUP("M"&amp;C124,EXPERIENCIA!$A$20:$Y$5935,19,0),""))</f>
        <v>2</v>
      </c>
      <c r="H124" s="354" t="str">
        <f t="shared" ca="1" si="16"/>
        <v>HÁBIL</v>
      </c>
      <c r="I124" s="366">
        <f ca="1">IF(ISNUMBER(D124),"",IF(H124="NO HÁBIL","",IF(AND(B124&lt;&gt;"",H124&lt;&gt;"NO HÁBIL"),VLOOKUP("Z"&amp;C124,EXPERIENCIA!$A$20:$Y$5935,15,FALSE),0)))</f>
        <v>512.60400000000004</v>
      </c>
      <c r="J124" s="355">
        <f t="shared" ca="1" si="19"/>
        <v>40.229968925724556</v>
      </c>
      <c r="K124" s="462">
        <f t="shared" ca="1" si="20"/>
        <v>40.229968925724556</v>
      </c>
      <c r="L124" s="372"/>
      <c r="M124" s="372"/>
      <c r="N124" s="372"/>
      <c r="O124" s="372"/>
      <c r="P124" s="372"/>
      <c r="Q124" s="372"/>
      <c r="R124" s="372"/>
      <c r="S124" s="372"/>
      <c r="T124" s="372"/>
      <c r="U124" s="372"/>
      <c r="V124" s="372"/>
      <c r="W124" s="372"/>
      <c r="X124" s="372"/>
      <c r="Y124" s="372"/>
      <c r="Z124" s="372"/>
      <c r="AA124" s="372"/>
      <c r="AB124" s="372"/>
      <c r="AC124" s="473" t="str">
        <f t="shared" ca="1" si="21"/>
        <v/>
      </c>
      <c r="AD124" s="474" t="str">
        <f t="shared" ca="1" si="17"/>
        <v/>
      </c>
      <c r="AE124" s="474" t="str">
        <f t="shared" ca="1" si="11"/>
        <v/>
      </c>
      <c r="AF124" s="475" t="str">
        <f t="shared" ca="1" si="12"/>
        <v/>
      </c>
      <c r="AG124" s="367">
        <f t="shared" ca="1" si="22"/>
        <v>89.707508605165401</v>
      </c>
      <c r="AH124" s="476" t="str">
        <f t="shared" ca="1" si="18"/>
        <v/>
      </c>
      <c r="AI124" s="477" t="str">
        <f t="shared" ca="1" si="13"/>
        <v/>
      </c>
      <c r="AJ124" s="356"/>
    </row>
    <row r="125" spans="2:36" ht="26.25" customHeight="1">
      <c r="B125" s="445">
        <v>82</v>
      </c>
      <c r="C125" s="351">
        <f>IF(VLOOKUP(B125,PROPONENTES!$B$19:$E$109,2,0)="","",VLOOKUP(B125,PROPONENTES!$B$19:$E$109,2,0))</f>
        <v>82</v>
      </c>
      <c r="D125" s="352" t="str">
        <f>IF(VLOOKUP(B125,PROPONENTES!$B$19:$E$108,3,0)="","",VLOOKUP(B125,PROPONENTES!$B$19:$E$108,3,0))</f>
        <v>SOCIEDAD TECNICA SOTA LTDA</v>
      </c>
      <c r="E125" s="353" t="str">
        <f>IF(ISNUMBER(D125),"",IF(VLOOKUP(B125,PROPONENTES!$B$19:$E$108,4,0)="","",IF(VLOOKUP(B125,PROPONENTES!$B$19:$E$108,4,0)&gt;1,"SI","NO")))</f>
        <v>NO</v>
      </c>
      <c r="F125" s="65" t="str">
        <f>IF(ISNUMBER(D125),"",IF(AND(VLOOKUP(B125,'HAB.GEN.'!$B$19:$L$108,8)="HÁBIL",VLOOKUP(B125,'HAB.GEN.'!$B$19:$L$108,10)&lt;&gt;"RECHAZO",VLOOKUP(B125,'HAB.GEN.'!$B$19:$L$108,10)&lt;&gt;"NO HÁBIL",VLOOKUP(B125,'HAB.GEN.'!$C$19:$L$108,9)="HÁBIL"),"CUMPLE","NO CUMPLE"))</f>
        <v>CUMPLE</v>
      </c>
      <c r="G125" s="365">
        <f>IF(ISNUMBER(D125),"",IF(B125&lt;&gt;"",VLOOKUP("M"&amp;C125,EXPERIENCIA!$A$20:$Y$5935,19,0),""))</f>
        <v>2</v>
      </c>
      <c r="H125" s="354" t="str">
        <f t="shared" si="16"/>
        <v>HÁBIL</v>
      </c>
      <c r="I125" s="366">
        <f>IF(ISNUMBER(D125),"",IF(H125="NO HÁBIL","",IF(AND(B125&lt;&gt;"",H125&lt;&gt;"NO HÁBIL"),VLOOKUP("Z"&amp;C125,EXPERIENCIA!$A$20:$Y$5935,15,FALSE),0)))</f>
        <v>315.33100000000002</v>
      </c>
      <c r="J125" s="355">
        <f t="shared" ca="1" si="19"/>
        <v>24.747673313742474</v>
      </c>
      <c r="K125" s="462">
        <f t="shared" ca="1" si="20"/>
        <v>24.747673313742474</v>
      </c>
      <c r="L125" s="372"/>
      <c r="M125" s="372"/>
      <c r="N125" s="372"/>
      <c r="O125" s="372"/>
      <c r="P125" s="372"/>
      <c r="Q125" s="372"/>
      <c r="R125" s="372"/>
      <c r="S125" s="372"/>
      <c r="T125" s="372"/>
      <c r="U125" s="372"/>
      <c r="V125" s="372"/>
      <c r="W125" s="372"/>
      <c r="X125" s="372"/>
      <c r="Y125" s="372"/>
      <c r="Z125" s="372"/>
      <c r="AA125" s="372"/>
      <c r="AB125" s="372"/>
      <c r="AC125" s="473" t="str">
        <f t="shared" ca="1" si="21"/>
        <v/>
      </c>
      <c r="AD125" s="474" t="str">
        <f t="shared" ca="1" si="17"/>
        <v/>
      </c>
      <c r="AE125" s="474" t="str">
        <f t="shared" ca="1" si="11"/>
        <v/>
      </c>
      <c r="AF125" s="475" t="str">
        <f t="shared" si="12"/>
        <v/>
      </c>
      <c r="AG125" s="367">
        <f t="shared" ca="1" si="22"/>
        <v>107.56549139483462</v>
      </c>
      <c r="AH125" s="476" t="str">
        <f t="shared" ca="1" si="18"/>
        <v/>
      </c>
      <c r="AI125" s="477" t="str">
        <f t="shared" ca="1" si="13"/>
        <v/>
      </c>
      <c r="AJ125" s="356"/>
    </row>
    <row r="126" spans="2:36" ht="26.25" customHeight="1">
      <c r="B126" s="445">
        <v>83</v>
      </c>
      <c r="C126" s="351">
        <f>IF(VLOOKUP(B126,PROPONENTES!$B$19:$E$109,2,0)="","",VLOOKUP(B126,PROPONENTES!$B$19:$E$109,2,0))</f>
        <v>83</v>
      </c>
      <c r="D126" s="352" t="str">
        <f>IF(VLOOKUP(B126,PROPONENTES!$B$19:$E$108,3,0)="","",VLOOKUP(B126,PROPONENTES!$B$19:$E$108,3,0))</f>
        <v>CONSORCIO INTERVENTORES ASOCIADOS DEL TOLIMA</v>
      </c>
      <c r="E126" s="353" t="str">
        <f>IF(ISNUMBER(D126),"",IF(VLOOKUP(B126,PROPONENTES!$B$19:$E$108,4,0)="","",IF(VLOOKUP(B126,PROPONENTES!$B$19:$E$108,4,0)&gt;1,"SI","NO")))</f>
        <v>SI</v>
      </c>
      <c r="F126" s="65" t="str">
        <f ca="1">IF(ISNUMBER(D126),"",IF(AND(VLOOKUP(B126,'HAB.GEN.'!$B$19:$L$108,8)="HÁBIL",VLOOKUP(B126,'HAB.GEN.'!$B$19:$L$108,10)&lt;&gt;"RECHAZO",VLOOKUP(B126,'HAB.GEN.'!$B$19:$L$108,10)&lt;&gt;"NO HÁBIL",VLOOKUP(B126,'HAB.GEN.'!$C$19:$L$108,9)="HÁBIL"),"CUMPLE","NO CUMPLE"))</f>
        <v>CUMPLE</v>
      </c>
      <c r="G126" s="365">
        <f>IF(ISNUMBER(D126),"",IF(B126&lt;&gt;"",VLOOKUP("M"&amp;C126,EXPERIENCIA!$A$20:$Y$5935,19,0),""))</f>
        <v>1</v>
      </c>
      <c r="H126" s="354" t="str">
        <f t="shared" ca="1" si="16"/>
        <v>HÁBIL</v>
      </c>
      <c r="I126" s="366">
        <f ca="1">IF(ISNUMBER(D126),"",IF(H126="NO HÁBIL","",IF(AND(B126&lt;&gt;"",H126&lt;&gt;"NO HÁBIL"),VLOOKUP("Z"&amp;C126,EXPERIENCIA!$A$20:$Y$5935,15,FALSE),0)))</f>
        <v>329.09</v>
      </c>
      <c r="J126" s="355">
        <f t="shared" ca="1" si="19"/>
        <v>25.827501294891746</v>
      </c>
      <c r="K126" s="462">
        <f t="shared" ca="1" si="20"/>
        <v>25.827501294891746</v>
      </c>
      <c r="L126" s="372"/>
      <c r="M126" s="372"/>
      <c r="N126" s="372"/>
      <c r="O126" s="372"/>
      <c r="P126" s="372"/>
      <c r="Q126" s="372"/>
      <c r="R126" s="372"/>
      <c r="S126" s="372"/>
      <c r="T126" s="372"/>
      <c r="U126" s="372"/>
      <c r="V126" s="372"/>
      <c r="W126" s="372"/>
      <c r="X126" s="372"/>
      <c r="Y126" s="372"/>
      <c r="Z126" s="372"/>
      <c r="AA126" s="372"/>
      <c r="AB126" s="372"/>
      <c r="AC126" s="473" t="str">
        <f t="shared" ca="1" si="21"/>
        <v/>
      </c>
      <c r="AD126" s="474" t="str">
        <f t="shared" ca="1" si="17"/>
        <v/>
      </c>
      <c r="AE126" s="474" t="str">
        <f t="shared" ca="1" si="11"/>
        <v/>
      </c>
      <c r="AF126" s="475" t="str">
        <f t="shared" ca="1" si="12"/>
        <v/>
      </c>
      <c r="AG126" s="367">
        <f t="shared" ca="1" si="22"/>
        <v>93.806491394834666</v>
      </c>
      <c r="AH126" s="476" t="str">
        <f t="shared" ca="1" si="18"/>
        <v/>
      </c>
      <c r="AI126" s="477" t="str">
        <f t="shared" ca="1" si="13"/>
        <v/>
      </c>
      <c r="AJ126" s="356"/>
    </row>
    <row r="127" spans="2:36" ht="26.25" customHeight="1">
      <c r="B127" s="445">
        <v>84</v>
      </c>
      <c r="C127" s="351">
        <f>IF(VLOOKUP(B127,PROPONENTES!$B$19:$E$109,2,0)="","",VLOOKUP(B127,PROPONENTES!$B$19:$E$109,2,0))</f>
        <v>84</v>
      </c>
      <c r="D127" s="352" t="str">
        <f>IF(VLOOKUP(B127,PROPONENTES!$B$19:$E$108,3,0)="","",VLOOKUP(B127,PROPONENTES!$B$19:$E$108,3,0))</f>
        <v>GRUPO EMPRESARIAL DE INFRAESTRUCTURA COLOMBIANO S.A.S.</v>
      </c>
      <c r="E127" s="353" t="str">
        <f>IF(ISNUMBER(D127),"",IF(VLOOKUP(B127,PROPONENTES!$B$19:$E$108,4,0)="","",IF(VLOOKUP(B127,PROPONENTES!$B$19:$E$108,4,0)&gt;1,"SI","NO")))</f>
        <v>NO</v>
      </c>
      <c r="F127" s="65" t="str">
        <f>IF(ISNUMBER(D127),"",IF(AND(VLOOKUP(B127,'HAB.GEN.'!$B$19:$L$108,8)="HÁBIL",VLOOKUP(B127,'HAB.GEN.'!$B$19:$L$108,10)&lt;&gt;"RECHAZO",VLOOKUP(B127,'HAB.GEN.'!$B$19:$L$108,10)&lt;&gt;"NO HÁBIL",VLOOKUP(B127,'HAB.GEN.'!$C$19:$L$108,9)="HÁBIL"),"CUMPLE","NO CUMPLE"))</f>
        <v>CUMPLE</v>
      </c>
      <c r="G127" s="365">
        <f>IF(ISNUMBER(D127),"",IF(B127&lt;&gt;"",VLOOKUP("M"&amp;C127,EXPERIENCIA!$A$20:$Y$5935,19,0),""))</f>
        <v>1</v>
      </c>
      <c r="H127" s="354" t="str">
        <f t="shared" si="16"/>
        <v>HÁBIL</v>
      </c>
      <c r="I127" s="366">
        <f>IF(ISNUMBER(D127),"",IF(H127="NO HÁBIL","",IF(AND(B127&lt;&gt;"",H127&lt;&gt;"NO HÁBIL"),VLOOKUP("Z"&amp;C127,EXPERIENCIA!$A$20:$Y$5935,15,FALSE),0)))</f>
        <v>449.51</v>
      </c>
      <c r="J127" s="355">
        <f t="shared" ca="1" si="19"/>
        <v>35.278252475209797</v>
      </c>
      <c r="K127" s="462">
        <f t="shared" ca="1" si="20"/>
        <v>35.278252475209797</v>
      </c>
      <c r="L127" s="372"/>
      <c r="M127" s="372"/>
      <c r="N127" s="372"/>
      <c r="O127" s="372"/>
      <c r="P127" s="372"/>
      <c r="Q127" s="372"/>
      <c r="R127" s="372"/>
      <c r="S127" s="372"/>
      <c r="T127" s="372"/>
      <c r="U127" s="372"/>
      <c r="V127" s="372"/>
      <c r="W127" s="372"/>
      <c r="X127" s="372"/>
      <c r="Y127" s="372"/>
      <c r="Z127" s="372"/>
      <c r="AA127" s="372"/>
      <c r="AB127" s="372"/>
      <c r="AC127" s="473" t="str">
        <f t="shared" ca="1" si="21"/>
        <v/>
      </c>
      <c r="AD127" s="474" t="str">
        <f t="shared" ca="1" si="17"/>
        <v/>
      </c>
      <c r="AE127" s="474" t="str">
        <f t="shared" ca="1" si="11"/>
        <v/>
      </c>
      <c r="AF127" s="475" t="str">
        <f t="shared" si="12"/>
        <v/>
      </c>
      <c r="AG127" s="367">
        <f t="shared" ca="1" si="22"/>
        <v>26.61350860516535</v>
      </c>
      <c r="AH127" s="476" t="str">
        <f t="shared" ca="1" si="18"/>
        <v/>
      </c>
      <c r="AI127" s="477" t="str">
        <f t="shared" ca="1" si="13"/>
        <v/>
      </c>
      <c r="AJ127" s="356"/>
    </row>
    <row r="128" spans="2:36" ht="26.25" customHeight="1">
      <c r="B128" s="445">
        <v>85</v>
      </c>
      <c r="C128" s="351">
        <f>IF(VLOOKUP(B128,PROPONENTES!$B$19:$E$109,2,0)="","",VLOOKUP(B128,PROPONENTES!$B$19:$E$109,2,0))</f>
        <v>85</v>
      </c>
      <c r="D128" s="352" t="str">
        <f>IF(VLOOKUP(B128,PROPONENTES!$B$19:$E$108,3,0)="","",VLOOKUP(B128,PROPONENTES!$B$19:$E$108,3,0))</f>
        <v>DBB INGENIERÍA S.A.S.</v>
      </c>
      <c r="E128" s="353" t="str">
        <f>IF(ISNUMBER(D128),"",IF(VLOOKUP(B128,PROPONENTES!$B$19:$E$108,4,0)="","",IF(VLOOKUP(B128,PROPONENTES!$B$19:$E$108,4,0)&gt;1,"SI","NO")))</f>
        <v>NO</v>
      </c>
      <c r="F128" s="65" t="str">
        <f>IF(ISNUMBER(D128),"",IF(AND(VLOOKUP(B128,'HAB.GEN.'!$B$19:$L$108,8)="HÁBIL",VLOOKUP(B128,'HAB.GEN.'!$B$19:$L$108,10)&lt;&gt;"RECHAZO",VLOOKUP(B128,'HAB.GEN.'!$B$19:$L$108,10)&lt;&gt;"NO HÁBIL",VLOOKUP(B128,'HAB.GEN.'!$C$19:$L$108,9)="HÁBIL"),"CUMPLE","NO CUMPLE"))</f>
        <v>CUMPLE</v>
      </c>
      <c r="G128" s="365">
        <f>IF(ISNUMBER(D128),"",IF(B128&lt;&gt;"",VLOOKUP("M"&amp;C128,EXPERIENCIA!$A$20:$Y$5935,19,0),""))</f>
        <v>2</v>
      </c>
      <c r="H128" s="354" t="str">
        <f t="shared" si="16"/>
        <v>HÁBIL</v>
      </c>
      <c r="I128" s="366">
        <f>IF(ISNUMBER(D128),"",IF(H128="NO HÁBIL","",IF(AND(B128&lt;&gt;"",H128&lt;&gt;"NO HÁBIL"),VLOOKUP("Z"&amp;C128,EXPERIENCIA!$A$20:$Y$5935,15,FALSE),0)))</f>
        <v>434.29624999999999</v>
      </c>
      <c r="J128" s="355">
        <f t="shared" ca="1" si="19"/>
        <v>34.08425342380999</v>
      </c>
      <c r="K128" s="462">
        <f t="shared" ca="1" si="20"/>
        <v>34.08425342380999</v>
      </c>
      <c r="L128" s="372"/>
      <c r="M128" s="372"/>
      <c r="N128" s="372"/>
      <c r="O128" s="372"/>
      <c r="P128" s="372"/>
      <c r="Q128" s="372"/>
      <c r="R128" s="372"/>
      <c r="S128" s="372"/>
      <c r="T128" s="372"/>
      <c r="U128" s="372"/>
      <c r="V128" s="372"/>
      <c r="W128" s="372"/>
      <c r="X128" s="372"/>
      <c r="Y128" s="372"/>
      <c r="Z128" s="372"/>
      <c r="AA128" s="372"/>
      <c r="AB128" s="372"/>
      <c r="AC128" s="473" t="str">
        <f t="shared" ca="1" si="21"/>
        <v/>
      </c>
      <c r="AD128" s="474" t="str">
        <f t="shared" ca="1" si="17"/>
        <v/>
      </c>
      <c r="AE128" s="474" t="str">
        <f t="shared" ca="1" si="11"/>
        <v/>
      </c>
      <c r="AF128" s="475" t="str">
        <f t="shared" si="12"/>
        <v/>
      </c>
      <c r="AG128" s="367">
        <f t="shared" ca="1" si="22"/>
        <v>11.399758605165346</v>
      </c>
      <c r="AH128" s="476" t="str">
        <f t="shared" ca="1" si="18"/>
        <v/>
      </c>
      <c r="AI128" s="477" t="str">
        <f t="shared" ca="1" si="13"/>
        <v/>
      </c>
      <c r="AJ128" s="356"/>
    </row>
    <row r="129" spans="1:36" ht="26.25" customHeight="1">
      <c r="B129" s="445">
        <v>86</v>
      </c>
      <c r="C129" s="351">
        <f>IF(VLOOKUP(B129,PROPONENTES!$B$19:$E$109,2,0)="","",VLOOKUP(B129,PROPONENTES!$B$19:$E$109,2,0))</f>
        <v>86</v>
      </c>
      <c r="D129" s="352" t="str">
        <f>IF(VLOOKUP(B129,PROPONENTES!$B$19:$E$108,3,0)="","",VLOOKUP(B129,PROPONENTES!$B$19:$E$108,3,0))</f>
        <v>CARLOS ANDRES CHAVARRO CASTRO</v>
      </c>
      <c r="E129" s="353" t="str">
        <f>IF(ISNUMBER(D129),"",IF(VLOOKUP(B129,PROPONENTES!$B$19:$E$108,4,0)="","",IF(VLOOKUP(B129,PROPONENTES!$B$19:$E$108,4,0)&gt;1,"SI","NO")))</f>
        <v>NO</v>
      </c>
      <c r="F129" s="65" t="str">
        <f>IF(ISNUMBER(D129),"",IF(AND(VLOOKUP(B129,'HAB.GEN.'!$B$19:$L$108,8)="HÁBIL",VLOOKUP(B129,'HAB.GEN.'!$B$19:$L$108,10)&lt;&gt;"RECHAZO",VLOOKUP(B129,'HAB.GEN.'!$B$19:$L$108,10)&lt;&gt;"NO HÁBIL",VLOOKUP(B129,'HAB.GEN.'!$C$19:$L$108,9)="HÁBIL"),"CUMPLE","NO CUMPLE"))</f>
        <v>CUMPLE</v>
      </c>
      <c r="G129" s="365">
        <f>IF(ISNUMBER(D129),"",IF(B129&lt;&gt;"",VLOOKUP("M"&amp;C129,EXPERIENCIA!$A$20:$Y$5935,19,0),""))</f>
        <v>2</v>
      </c>
      <c r="H129" s="354" t="str">
        <f t="shared" si="16"/>
        <v>HÁBIL</v>
      </c>
      <c r="I129" s="366">
        <f>IF(ISNUMBER(D129),"",IF(H129="NO HÁBIL","",IF(AND(B129&lt;&gt;"",H129&lt;&gt;"NO HÁBIL"),VLOOKUP("Z"&amp;C129,EXPERIENCIA!$A$20:$Y$5935,15,FALSE),0)))</f>
        <v>440.13549999999998</v>
      </c>
      <c r="J129" s="355">
        <f t="shared" ca="1" si="19"/>
        <v>34.542526956692171</v>
      </c>
      <c r="K129" s="462">
        <f t="shared" ca="1" si="20"/>
        <v>34.542526956692171</v>
      </c>
      <c r="L129" s="372"/>
      <c r="M129" s="372"/>
      <c r="N129" s="372"/>
      <c r="O129" s="372"/>
      <c r="P129" s="372"/>
      <c r="Q129" s="372"/>
      <c r="R129" s="372"/>
      <c r="S129" s="372"/>
      <c r="T129" s="372"/>
      <c r="U129" s="372"/>
      <c r="V129" s="372"/>
      <c r="W129" s="372"/>
      <c r="X129" s="372"/>
      <c r="Y129" s="372"/>
      <c r="Z129" s="372"/>
      <c r="AA129" s="372"/>
      <c r="AB129" s="372"/>
      <c r="AC129" s="473" t="str">
        <f t="shared" ca="1" si="21"/>
        <v/>
      </c>
      <c r="AD129" s="474" t="str">
        <f t="shared" ca="1" si="17"/>
        <v/>
      </c>
      <c r="AE129" s="474" t="str">
        <f t="shared" ca="1" si="11"/>
        <v/>
      </c>
      <c r="AF129" s="475" t="str">
        <f t="shared" si="12"/>
        <v/>
      </c>
      <c r="AG129" s="367">
        <f t="shared" ca="1" si="22"/>
        <v>17.239008605165338</v>
      </c>
      <c r="AH129" s="476" t="str">
        <f t="shared" ca="1" si="18"/>
        <v/>
      </c>
      <c r="AI129" s="477" t="str">
        <f t="shared" ca="1" si="13"/>
        <v/>
      </c>
      <c r="AJ129" s="356"/>
    </row>
    <row r="130" spans="1:36" ht="26.25" customHeight="1">
      <c r="B130" s="445">
        <v>87</v>
      </c>
      <c r="C130" s="351">
        <f>IF(VLOOKUP(B130,PROPONENTES!$B$19:$E$109,2,0)="","",VLOOKUP(B130,PROPONENTES!$B$19:$E$109,2,0))</f>
        <v>87</v>
      </c>
      <c r="D130" s="352" t="str">
        <f>IF(VLOOKUP(B130,PROPONENTES!$B$19:$E$108,3,0)="","",VLOOKUP(B130,PROPONENTES!$B$19:$E$108,3,0))</f>
        <v>CONSORCIO INTERVÍAS TOLIMA 22</v>
      </c>
      <c r="E130" s="353" t="str">
        <f>IF(ISNUMBER(D130),"",IF(VLOOKUP(B130,PROPONENTES!$B$19:$E$108,4,0)="","",IF(VLOOKUP(B130,PROPONENTES!$B$19:$E$108,4,0)&gt;1,"SI","NO")))</f>
        <v>SI</v>
      </c>
      <c r="F130" s="65" t="str">
        <f ca="1">IF(ISNUMBER(D130),"",IF(AND(VLOOKUP(B130,'HAB.GEN.'!$B$19:$L$108,8)="HÁBIL",VLOOKUP(B130,'HAB.GEN.'!$B$19:$L$108,10)&lt;&gt;"RECHAZO",VLOOKUP(B130,'HAB.GEN.'!$B$19:$L$108,10)&lt;&gt;"NO HÁBIL",VLOOKUP(B130,'HAB.GEN.'!$C$19:$L$108,9)="HÁBIL"),"CUMPLE","NO CUMPLE"))</f>
        <v>CUMPLE</v>
      </c>
      <c r="G130" s="365">
        <f>IF(ISNUMBER(D130),"",IF(B130&lt;&gt;"",VLOOKUP("M"&amp;C130,EXPERIENCIA!$A$20:$Y$5935,19,0),""))</f>
        <v>3</v>
      </c>
      <c r="H130" s="354" t="str">
        <f t="shared" ca="1" si="16"/>
        <v>HÁBIL</v>
      </c>
      <c r="I130" s="366">
        <f ca="1">IF(ISNUMBER(D130),"",IF(H130="NO HÁBIL","",IF(AND(B130&lt;&gt;"",H130&lt;&gt;"NO HÁBIL"),VLOOKUP("Z"&amp;C130,EXPERIENCIA!$A$20:$Y$5935,15,FALSE),0)))</f>
        <v>746.53666666666675</v>
      </c>
      <c r="J130" s="355">
        <f t="shared" ca="1" si="19"/>
        <v>58.589372891967265</v>
      </c>
      <c r="K130" s="462">
        <f t="shared" ca="1" si="20"/>
        <v>58.589372891967265</v>
      </c>
      <c r="L130" s="372"/>
      <c r="M130" s="372"/>
      <c r="N130" s="372"/>
      <c r="O130" s="372"/>
      <c r="P130" s="372"/>
      <c r="Q130" s="372"/>
      <c r="R130" s="372"/>
      <c r="S130" s="372"/>
      <c r="T130" s="372"/>
      <c r="U130" s="372"/>
      <c r="V130" s="372"/>
      <c r="W130" s="372"/>
      <c r="X130" s="372"/>
      <c r="Y130" s="372"/>
      <c r="Z130" s="372"/>
      <c r="AA130" s="372"/>
      <c r="AB130" s="372"/>
      <c r="AC130" s="473" t="str">
        <f t="shared" ca="1" si="21"/>
        <v/>
      </c>
      <c r="AD130" s="474" t="str">
        <f t="shared" ca="1" si="17"/>
        <v/>
      </c>
      <c r="AE130" s="474" t="str">
        <f t="shared" ca="1" si="11"/>
        <v/>
      </c>
      <c r="AF130" s="475" t="str">
        <f t="shared" ca="1" si="12"/>
        <v/>
      </c>
      <c r="AG130" s="367">
        <f t="shared" ca="1" si="22"/>
        <v>323.64017527183211</v>
      </c>
      <c r="AH130" s="476" t="str">
        <f t="shared" ca="1" si="18"/>
        <v/>
      </c>
      <c r="AI130" s="477" t="str">
        <f t="shared" ca="1" si="13"/>
        <v/>
      </c>
      <c r="AJ130" s="356"/>
    </row>
    <row r="131" spans="1:36" ht="26.25" customHeight="1">
      <c r="B131" s="445">
        <v>88</v>
      </c>
      <c r="C131" s="351">
        <f>IF(VLOOKUP(B131,PROPONENTES!$B$19:$E$109,2,0)="","",VLOOKUP(B131,PROPONENTES!$B$19:$E$109,2,0))</f>
        <v>88</v>
      </c>
      <c r="D131" s="352" t="str">
        <f>IF(VLOOKUP(B131,PROPONENTES!$B$19:$E$108,3,0)="","",VLOOKUP(B131,PROPONENTES!$B$19:$E$108,3,0))</f>
        <v>INGENIERÍA Y CONSULTORÍA INGECON SAS</v>
      </c>
      <c r="E131" s="353" t="str">
        <f>IF(ISNUMBER(D131),"",IF(VLOOKUP(B131,PROPONENTES!$B$19:$E$108,4,0)="","",IF(VLOOKUP(B131,PROPONENTES!$B$19:$E$108,4,0)&gt;1,"SI","NO")))</f>
        <v>NO</v>
      </c>
      <c r="F131" s="65" t="str">
        <f>IF(ISNUMBER(D131),"",IF(AND(VLOOKUP(B131,'HAB.GEN.'!$B$19:$L$108,8)="HÁBIL",VLOOKUP(B131,'HAB.GEN.'!$B$19:$L$108,10)&lt;&gt;"RECHAZO",VLOOKUP(B131,'HAB.GEN.'!$B$19:$L$108,10)&lt;&gt;"NO HÁBIL",VLOOKUP(B131,'HAB.GEN.'!$C$19:$L$108,9)="HÁBIL"),"CUMPLE","NO CUMPLE"))</f>
        <v>CUMPLE</v>
      </c>
      <c r="G131" s="365">
        <f>IF(ISNUMBER(D131),"",IF(B131&lt;&gt;"",VLOOKUP("M"&amp;C131,EXPERIENCIA!$A$20:$Y$5935,19,0),""))</f>
        <v>4</v>
      </c>
      <c r="H131" s="354" t="str">
        <f t="shared" si="16"/>
        <v>HÁBIL</v>
      </c>
      <c r="I131" s="366">
        <f>IF(ISNUMBER(D131),"",IF(H131="NO HÁBIL","",IF(AND(B131&lt;&gt;"",H131&lt;&gt;"NO HÁBIL"),VLOOKUP("Z"&amp;C131,EXPERIENCIA!$A$20:$Y$5935,15,FALSE),0)))</f>
        <v>334.64499999999998</v>
      </c>
      <c r="J131" s="355">
        <f ca="1">IF(ISNUMBER(D131),"",IF(C131&lt;&gt;"",IF(F131="NO CUMPLE",0,IF(H131="HÁBIL",IF($F$37="MEDIANA CON VALOR ABSOLUTO",$J$24*(1-ABS(($J$37-I131)/$J$37)),IF(AND($F$37="MEDIA GEOMÉTRICA",I131=$J$30),$J$24,IF($F$37="MEDIA GEOMÉTRICA",$J$24*(1-(ABS($J$37-I131)/$J$37)),IF(AND($F$37="MEDIA ARITMÉTICA ALTA",I131&lt;=$J$37),$J$24*(1-(($J$37-I131)/$J$37)),IF($F$37="MEDIA ARITMÉTICA ALTA",$J$24*(1-2*(ABS($J$37-I131)/$J$37)),IF(I131&lt;=$J$37,$J$24*(1-(($J$37-I131)/$J$37)),$J$24*(1-(ABS($J$37-I131)/$J$37)))))))),0)),""))</f>
        <v>26.263466440271813</v>
      </c>
      <c r="K131" s="462">
        <f t="shared" ca="1" si="20"/>
        <v>26.263466440271813</v>
      </c>
      <c r="L131" s="372"/>
      <c r="M131" s="372"/>
      <c r="N131" s="372"/>
      <c r="O131" s="372"/>
      <c r="P131" s="372"/>
      <c r="Q131" s="372"/>
      <c r="R131" s="372"/>
      <c r="S131" s="372"/>
      <c r="T131" s="372"/>
      <c r="U131" s="372"/>
      <c r="V131" s="372"/>
      <c r="W131" s="372"/>
      <c r="X131" s="372"/>
      <c r="Y131" s="372"/>
      <c r="Z131" s="372"/>
      <c r="AA131" s="372"/>
      <c r="AB131" s="372"/>
      <c r="AC131" s="473" t="str">
        <f t="shared" ca="1" si="21"/>
        <v/>
      </c>
      <c r="AD131" s="474" t="str">
        <f t="shared" ca="1" si="17"/>
        <v/>
      </c>
      <c r="AE131" s="474" t="str">
        <f t="shared" ca="1" si="11"/>
        <v/>
      </c>
      <c r="AF131" s="475" t="str">
        <f t="shared" si="12"/>
        <v/>
      </c>
      <c r="AG131" s="367">
        <f t="shared" ca="1" si="22"/>
        <v>88.251491394834659</v>
      </c>
      <c r="AH131" s="476" t="str">
        <f t="shared" ca="1" si="18"/>
        <v/>
      </c>
      <c r="AI131" s="477" t="str">
        <f t="shared" ca="1" si="13"/>
        <v/>
      </c>
      <c r="AJ131" s="356"/>
    </row>
    <row r="132" spans="1:36" ht="26.25" customHeight="1">
      <c r="B132" s="445">
        <v>89</v>
      </c>
      <c r="C132" s="351">
        <f>IF(VLOOKUP(B132,PROPONENTES!$B$19:$E$109,2,0)="","",VLOOKUP(B132,PROPONENTES!$B$19:$E$109,2,0))</f>
        <v>89</v>
      </c>
      <c r="D132" s="352" t="str">
        <f>IF(VLOOKUP(B132,PROPONENTES!$B$19:$E$108,3,0)="","",VLOOKUP(B132,PROPONENTES!$B$19:$E$108,3,0))</f>
        <v>CONSORCIO INTER C&amp;R</v>
      </c>
      <c r="E132" s="353" t="str">
        <f>IF(ISNUMBER(D132),"",IF(VLOOKUP(B132,PROPONENTES!$B$19:$E$108,4,0)="","",IF(VLOOKUP(B132,PROPONENTES!$B$19:$E$108,4,0)&gt;1,"SI","NO")))</f>
        <v>SI</v>
      </c>
      <c r="F132" s="65" t="str">
        <f ca="1">IF(ISNUMBER(D132),"",IF(AND(VLOOKUP(B132,'HAB.GEN.'!$B$19:$L$108,8)="HÁBIL",VLOOKUP(B132,'HAB.GEN.'!$B$19:$L$108,10)&lt;&gt;"RECHAZO",VLOOKUP(B132,'HAB.GEN.'!$B$19:$L$108,10)&lt;&gt;"NO HÁBIL",VLOOKUP(B132,'HAB.GEN.'!$C$19:$L$108,9)="HÁBIL"),"CUMPLE","NO CUMPLE"))</f>
        <v>CUMPLE</v>
      </c>
      <c r="G132" s="365">
        <f>IF(ISNUMBER(D132),"",IF(B132&lt;&gt;"",VLOOKUP("M"&amp;C132,EXPERIENCIA!$A$20:$Y$5935,19,0),""))</f>
        <v>1</v>
      </c>
      <c r="H132" s="354" t="str">
        <f t="shared" ca="1" si="16"/>
        <v>HÁBIL</v>
      </c>
      <c r="I132" s="366">
        <f ca="1">IF(ISNUMBER(D132),"",IF(H132="NO HÁBIL","",IF(AND(B132&lt;&gt;"",H132&lt;&gt;"NO HÁBIL"),VLOOKUP("Z"&amp;C132,EXPERIENCIA!$A$20:$Y$5935,15,FALSE),0)))</f>
        <v>475.26049999999998</v>
      </c>
      <c r="J132" s="355">
        <f t="shared" ca="1" si="19"/>
        <v>37.299192254887423</v>
      </c>
      <c r="K132" s="462">
        <f t="shared" ca="1" si="20"/>
        <v>37.299192254887423</v>
      </c>
      <c r="L132" s="372"/>
      <c r="M132" s="372"/>
      <c r="N132" s="372"/>
      <c r="O132" s="372"/>
      <c r="P132" s="372"/>
      <c r="Q132" s="372"/>
      <c r="R132" s="372"/>
      <c r="S132" s="372"/>
      <c r="T132" s="372"/>
      <c r="U132" s="372"/>
      <c r="V132" s="372"/>
      <c r="W132" s="372"/>
      <c r="X132" s="372"/>
      <c r="Y132" s="372"/>
      <c r="Z132" s="372"/>
      <c r="AA132" s="372"/>
      <c r="AB132" s="372"/>
      <c r="AC132" s="473" t="str">
        <f t="shared" ca="1" si="21"/>
        <v/>
      </c>
      <c r="AD132" s="474" t="str">
        <f t="shared" ca="1" si="17"/>
        <v/>
      </c>
      <c r="AE132" s="474" t="str">
        <f t="shared" ca="1" si="11"/>
        <v/>
      </c>
      <c r="AF132" s="475" t="str">
        <f t="shared" ca="1" si="12"/>
        <v/>
      </c>
      <c r="AG132" s="367">
        <f t="shared" ca="1" si="22"/>
        <v>52.364008605165338</v>
      </c>
      <c r="AH132" s="476" t="str">
        <f t="shared" ca="1" si="18"/>
        <v/>
      </c>
      <c r="AI132" s="477" t="str">
        <f t="shared" ca="1" si="13"/>
        <v/>
      </c>
      <c r="AJ132" s="356"/>
    </row>
    <row r="133" spans="1:36" ht="26.25" customHeight="1">
      <c r="B133" s="445">
        <v>90</v>
      </c>
      <c r="C133" s="351">
        <f>IF(VLOOKUP(B133,PROPONENTES!$B$19:$E$109,2,0)="","",VLOOKUP(B133,PROPONENTES!$B$19:$E$109,2,0))</f>
        <v>90</v>
      </c>
      <c r="D133" s="352" t="str">
        <f>IF(VLOOKUP(B133,PROPONENTES!$B$19:$E$108,3,0)="","",VLOOKUP(B133,PROPONENTES!$B$19:$E$108,3,0))</f>
        <v>GM SOLUTIONS S.A.S</v>
      </c>
      <c r="E133" s="353" t="str">
        <f>IF(ISNUMBER(D133),"",IF(VLOOKUP(B133,PROPONENTES!$B$19:$E$108,4,0)="","",IF(VLOOKUP(B133,PROPONENTES!$B$19:$E$108,4,0)&gt;1,"SI","NO")))</f>
        <v>NO</v>
      </c>
      <c r="F133" s="65" t="str">
        <f>IF(ISNUMBER(D133),"",IF(AND(VLOOKUP(B133,'HAB.GEN.'!$B$19:$L$108,8)="HÁBIL",VLOOKUP(B133,'HAB.GEN.'!$B$19:$L$108,10)&lt;&gt;"RECHAZO",VLOOKUP(B133,'HAB.GEN.'!$B$19:$L$108,10)&lt;&gt;"NO HÁBIL",VLOOKUP(B133,'HAB.GEN.'!$C$19:$L$108,9)="HÁBIL"),"CUMPLE","NO CUMPLE"))</f>
        <v>CUMPLE</v>
      </c>
      <c r="G133" s="365">
        <f>IF(ISNUMBER(D133),"",IF(B133&lt;&gt;"",VLOOKUP("M"&amp;C133,EXPERIENCIA!$A$20:$Y$5935,19,0),""))</f>
        <v>1</v>
      </c>
      <c r="H133" s="354" t="str">
        <f t="shared" si="16"/>
        <v>HÁBIL</v>
      </c>
      <c r="I133" s="366">
        <f>IF(ISNUMBER(D133),"",IF(H133="NO HÁBIL","",IF(AND(B133&lt;&gt;"",H133&lt;&gt;"NO HÁBIL"),VLOOKUP("Z"&amp;C133,EXPERIENCIA!$A$20:$Y$5935,15,FALSE),0)))</f>
        <v>363.81</v>
      </c>
      <c r="J133" s="355">
        <f t="shared" ca="1" si="19"/>
        <v>28.552381555485024</v>
      </c>
      <c r="K133" s="462">
        <f t="shared" ca="1" si="20"/>
        <v>28.552381555485024</v>
      </c>
      <c r="L133" s="372"/>
      <c r="M133" s="372"/>
      <c r="N133" s="372"/>
      <c r="O133" s="372"/>
      <c r="P133" s="372"/>
      <c r="Q133" s="372"/>
      <c r="R133" s="372"/>
      <c r="S133" s="372"/>
      <c r="T133" s="372"/>
      <c r="U133" s="372"/>
      <c r="V133" s="372"/>
      <c r="W133" s="372"/>
      <c r="X133" s="372"/>
      <c r="Y133" s="372"/>
      <c r="Z133" s="372"/>
      <c r="AA133" s="372"/>
      <c r="AB133" s="372"/>
      <c r="AC133" s="473" t="str">
        <f t="shared" ca="1" si="21"/>
        <v/>
      </c>
      <c r="AD133" s="474" t="str">
        <f t="shared" ca="1" si="17"/>
        <v/>
      </c>
      <c r="AE133" s="474" t="str">
        <f t="shared" ca="1" si="11"/>
        <v/>
      </c>
      <c r="AF133" s="475" t="str">
        <f t="shared" si="12"/>
        <v/>
      </c>
      <c r="AG133" s="367">
        <f ca="1">IF(OR(F133="",F133="NO CUMPLE"),"",ABS(I133-$J$31))</f>
        <v>59.086491394834638</v>
      </c>
      <c r="AH133" s="476" t="str">
        <f t="shared" ca="1" si="18"/>
        <v/>
      </c>
      <c r="AI133" s="477" t="str">
        <f t="shared" ca="1" si="13"/>
        <v/>
      </c>
      <c r="AJ133" s="356"/>
    </row>
    <row r="134" spans="1:36" s="334" customFormat="1" ht="12.75">
      <c r="A134" s="2"/>
      <c r="B134" s="972" t="s">
        <v>1225</v>
      </c>
      <c r="C134" s="973"/>
      <c r="D134" s="973"/>
      <c r="E134" s="973"/>
      <c r="F134" s="973"/>
      <c r="G134" s="973"/>
      <c r="H134" s="973"/>
      <c r="I134" s="973"/>
      <c r="J134" s="357">
        <f ca="1">COUNTIF(J44:J133,0)</f>
        <v>3</v>
      </c>
      <c r="K134" s="428">
        <f ca="1">COUNTIF(K44:K133,0)</f>
        <v>3</v>
      </c>
      <c r="L134" s="2"/>
      <c r="M134" s="2"/>
      <c r="N134" s="2"/>
      <c r="O134" s="2"/>
      <c r="P134" s="2"/>
      <c r="Q134" s="2"/>
      <c r="R134" s="2"/>
      <c r="S134" s="2"/>
      <c r="T134" s="2"/>
      <c r="U134" s="2"/>
      <c r="V134" s="2"/>
      <c r="W134" s="2"/>
      <c r="X134" s="2"/>
      <c r="Y134" s="2"/>
      <c r="Z134" s="2"/>
      <c r="AA134" s="2"/>
      <c r="AB134" s="2"/>
      <c r="AC134" s="478"/>
      <c r="AD134" s="475"/>
      <c r="AE134" s="475"/>
      <c r="AF134" s="475"/>
      <c r="AG134" s="2"/>
      <c r="AI134" s="479"/>
      <c r="AJ134" s="356"/>
    </row>
    <row r="135" spans="1:36" ht="13.15" customHeight="1">
      <c r="B135" s="972" t="s">
        <v>1226</v>
      </c>
      <c r="C135" s="973"/>
      <c r="D135" s="973"/>
      <c r="E135" s="973"/>
      <c r="F135" s="973"/>
      <c r="G135" s="973"/>
      <c r="H135" s="973"/>
      <c r="I135" s="973"/>
      <c r="J135" s="358">
        <f ca="1">COUNTIF(I44:I133,"&lt;="&amp;J37)</f>
        <v>82</v>
      </c>
      <c r="K135" s="429">
        <f ca="1">COUNTIF(I44:I133,"&lt;="&amp;J37)</f>
        <v>82</v>
      </c>
      <c r="L135" s="2"/>
      <c r="M135" s="2"/>
      <c r="N135" s="2"/>
      <c r="O135" s="2"/>
      <c r="P135" s="2"/>
      <c r="Q135" s="2"/>
      <c r="R135" s="2"/>
      <c r="S135" s="2"/>
      <c r="T135" s="2"/>
      <c r="U135" s="2"/>
      <c r="V135" s="2"/>
      <c r="W135" s="2"/>
      <c r="X135" s="2"/>
      <c r="Y135" s="2"/>
      <c r="Z135" s="2"/>
      <c r="AA135" s="2"/>
      <c r="AB135" s="2"/>
      <c r="AC135" s="478"/>
      <c r="AD135" s="475"/>
      <c r="AE135" s="475"/>
      <c r="AF135" s="475"/>
      <c r="AI135" s="472"/>
      <c r="AJ135" s="356"/>
    </row>
    <row r="136" spans="1:36" ht="13.15" customHeight="1">
      <c r="B136" s="972" t="s">
        <v>1227</v>
      </c>
      <c r="C136" s="973"/>
      <c r="D136" s="973"/>
      <c r="E136" s="973"/>
      <c r="F136" s="973"/>
      <c r="G136" s="973"/>
      <c r="H136" s="973"/>
      <c r="I136" s="973"/>
      <c r="J136" s="358">
        <f ca="1">COUNTIF(I44:I133,"&gt;"&amp;J37)</f>
        <v>5</v>
      </c>
      <c r="K136" s="429">
        <f ca="1">COUNTIF(I44:I133,"&gt;"&amp;J37)</f>
        <v>5</v>
      </c>
      <c r="L136" s="2"/>
      <c r="M136" s="2"/>
      <c r="N136" s="2"/>
      <c r="O136" s="2"/>
      <c r="P136" s="2"/>
      <c r="Q136" s="2"/>
      <c r="R136" s="2"/>
      <c r="S136" s="2"/>
      <c r="T136" s="2"/>
      <c r="U136" s="2"/>
      <c r="V136" s="2"/>
      <c r="W136" s="2"/>
      <c r="X136" s="2"/>
      <c r="Y136" s="2"/>
      <c r="Z136" s="2"/>
      <c r="AA136" s="2"/>
      <c r="AB136" s="2"/>
      <c r="AC136" s="478"/>
      <c r="AD136" s="475"/>
      <c r="AE136" s="475"/>
      <c r="AF136" s="475"/>
      <c r="AI136" s="472"/>
      <c r="AJ136" s="356"/>
    </row>
    <row r="137" spans="1:36" ht="13.15" customHeight="1">
      <c r="B137" s="972" t="s">
        <v>1228</v>
      </c>
      <c r="C137" s="973"/>
      <c r="D137" s="973"/>
      <c r="E137" s="973"/>
      <c r="F137" s="973"/>
      <c r="G137" s="973"/>
      <c r="H137" s="973"/>
      <c r="I137" s="973"/>
      <c r="J137" s="359">
        <f ca="1">DMIN(I41:J133,1,I141:J142)</f>
        <v>0</v>
      </c>
      <c r="K137" s="430">
        <f ca="1">DMIN(J41:K133,1,J141:K142)</f>
        <v>68.581489971984979</v>
      </c>
      <c r="L137" s="2"/>
      <c r="M137" s="2"/>
      <c r="N137" s="2"/>
      <c r="O137" s="2"/>
      <c r="P137" s="2"/>
      <c r="Q137" s="2"/>
      <c r="R137" s="2"/>
      <c r="S137" s="2"/>
      <c r="T137" s="2"/>
      <c r="U137" s="2"/>
      <c r="V137" s="2"/>
      <c r="W137" s="2"/>
      <c r="X137" s="2"/>
      <c r="Y137" s="2"/>
      <c r="Z137" s="2"/>
      <c r="AA137" s="2"/>
      <c r="AB137" s="2"/>
      <c r="AC137" s="478"/>
      <c r="AD137" s="475"/>
      <c r="AE137" s="475"/>
      <c r="AF137" s="475"/>
      <c r="AI137" s="472"/>
      <c r="AJ137" s="356"/>
    </row>
    <row r="138" spans="1:36" ht="13.9" customHeight="1" thickBot="1">
      <c r="B138" s="974" t="s">
        <v>1229</v>
      </c>
      <c r="C138" s="975"/>
      <c r="D138" s="975"/>
      <c r="E138" s="975"/>
      <c r="F138" s="975"/>
      <c r="G138" s="975"/>
      <c r="H138" s="975"/>
      <c r="I138" s="975"/>
      <c r="J138" s="377">
        <f ca="1">IF(J18=0,"",DGET(C41:J133,1,J141:J142))</f>
        <v>30</v>
      </c>
      <c r="K138" s="431">
        <f ca="1">IF(J18=0,"",DGET(C41:K133,1,K141:K142))</f>
        <v>30</v>
      </c>
      <c r="L138" s="2"/>
      <c r="M138" s="2"/>
      <c r="N138" s="2"/>
      <c r="O138" s="2"/>
      <c r="P138" s="2"/>
      <c r="Q138" s="2"/>
      <c r="R138" s="2"/>
      <c r="S138" s="2"/>
      <c r="T138" s="2"/>
      <c r="U138" s="2"/>
      <c r="V138" s="2"/>
      <c r="W138" s="2"/>
      <c r="X138" s="2"/>
      <c r="Y138" s="2"/>
      <c r="Z138" s="2"/>
      <c r="AA138" s="2"/>
      <c r="AB138" s="2"/>
      <c r="AC138" s="478"/>
      <c r="AD138" s="475"/>
      <c r="AE138" s="475"/>
      <c r="AF138" s="475"/>
      <c r="AI138" s="472"/>
      <c r="AJ138" s="356"/>
    </row>
    <row r="139" spans="1:36" s="344" customFormat="1" ht="13.5" thickBot="1">
      <c r="A139" s="315"/>
      <c r="B139" s="970" t="s">
        <v>1230</v>
      </c>
      <c r="C139" s="971"/>
      <c r="D139" s="971"/>
      <c r="E139" s="971"/>
      <c r="F139" s="971"/>
      <c r="G139" s="971"/>
      <c r="H139" s="971"/>
      <c r="I139" s="971"/>
      <c r="J139" s="402" t="str">
        <f ca="1">IF(J18=0,"",DGET(C41:J133,2,J141:J142))</f>
        <v>CONSORCIO INTER TOLIMA</v>
      </c>
      <c r="K139" s="432" t="str">
        <f ca="1">IF(J18=0,"",DGET(C41:K133,2,K141:K142))</f>
        <v>CONSORCIO INTER TOLIMA</v>
      </c>
      <c r="L139" s="21"/>
      <c r="M139" s="21"/>
      <c r="N139" s="21"/>
      <c r="O139" s="21"/>
      <c r="P139" s="21"/>
      <c r="Q139" s="21"/>
      <c r="R139" s="21"/>
      <c r="S139" s="21"/>
      <c r="T139" s="21"/>
      <c r="U139" s="21"/>
      <c r="V139" s="21"/>
      <c r="W139" s="21"/>
      <c r="X139" s="21"/>
      <c r="Y139" s="21"/>
      <c r="Z139" s="21"/>
      <c r="AA139" s="21"/>
      <c r="AB139" s="21"/>
      <c r="AC139" s="478"/>
      <c r="AD139" s="475"/>
      <c r="AE139" s="475"/>
      <c r="AF139" s="475"/>
      <c r="AG139" s="315"/>
      <c r="AI139" s="480"/>
      <c r="AJ139" s="356"/>
    </row>
    <row r="140" spans="1:36" ht="3" customHeight="1">
      <c r="B140" s="321" t="s">
        <v>134</v>
      </c>
      <c r="C140" s="2"/>
      <c r="D140" s="2"/>
      <c r="E140" s="2"/>
      <c r="F140" s="2"/>
      <c r="G140" s="2"/>
      <c r="H140" s="2"/>
      <c r="J140" s="316"/>
      <c r="K140" s="417" t="str">
        <f>IF(C140&lt;&gt;"",IF(F140="NO CUMPLE",0,IF(H140="HÁBIL",IF($F$37="MEDIANA CON VALOR ABSOLUTO",IF($J$24*(1-ABS(($J$37-I140)/$J$37))&lt;0,0,$J$24*(1-ABS(($J$37-I140)/$J$37))),IF(AND($F$37="MEDIA GEOMÉTRICA",I140=$J$30),$J$24,IF($F$37="MEDIA GEOMÉTRICA",IF($J$24*(1-(ABS($J$37-I140)/$J$37))&lt;0,0,$J$24*(1-(ABS($J$37-I140)/$J$37))),IF(AND($F$37="MEDIA ARITMÉTICA ALTA",I140&lt;=#REF!),IF($J$24*(1-(($J$37-I140)/$J$37))&lt;0,0,$J$24*(1-(($J$37-I140)/$J$37))),IF($F$37="MEDIA ARITMÉTICA ALTA",IF($J$24*(1-2*(ABS($J$37-I140)/$J$37))&lt;0,0,$J$24*(1-2*(ABS($J$37-I140)/$J$37))),IF(I140&lt;=$J$37,IF($J$24*(1-(($J$37-I140)/$J$37))&lt;0,0,$J$24*(1-(($J$37-I140)/$J$37))),IF($J$24*(1-(ABS($J$37-I140)/$J$37))&lt;0,0,$J$24*(1-(ABS($J$37-I140)/$J$37))))))))),0)),"")</f>
        <v/>
      </c>
      <c r="L140" s="316"/>
      <c r="M140" s="316"/>
      <c r="N140" s="316"/>
      <c r="O140" s="316"/>
      <c r="P140" s="316"/>
      <c r="Q140" s="316"/>
      <c r="R140" s="316"/>
      <c r="S140" s="316"/>
      <c r="T140" s="316"/>
      <c r="U140" s="316"/>
      <c r="V140" s="316"/>
      <c r="W140" s="316"/>
      <c r="X140" s="316"/>
      <c r="Y140" s="316"/>
      <c r="Z140" s="316"/>
      <c r="AA140" s="316"/>
      <c r="AB140" s="2"/>
      <c r="AC140" s="478"/>
      <c r="AD140" s="475"/>
      <c r="AE140" s="475"/>
      <c r="AF140" s="475"/>
      <c r="AI140" s="472"/>
      <c r="AJ140" s="356"/>
    </row>
    <row r="141" spans="1:36" ht="22.5" hidden="1">
      <c r="B141" s="2"/>
      <c r="C141" s="2"/>
      <c r="D141" s="2"/>
      <c r="E141" s="2"/>
      <c r="F141" s="2"/>
      <c r="G141" s="2"/>
      <c r="H141" s="2"/>
      <c r="I141" s="360" t="s">
        <v>1231</v>
      </c>
      <c r="J141" s="360" t="s">
        <v>1218</v>
      </c>
      <c r="K141" s="360" t="s">
        <v>1219</v>
      </c>
      <c r="L141" s="316"/>
      <c r="M141" s="316"/>
      <c r="N141" s="316"/>
      <c r="O141" s="316"/>
      <c r="P141" s="316"/>
      <c r="Q141" s="316"/>
      <c r="R141" s="316"/>
      <c r="S141" s="316"/>
      <c r="T141" s="316"/>
      <c r="U141" s="316"/>
      <c r="V141" s="316"/>
      <c r="W141" s="316"/>
      <c r="X141" s="316"/>
      <c r="Y141" s="316"/>
      <c r="Z141" s="316"/>
      <c r="AA141" s="316"/>
      <c r="AB141" s="2"/>
      <c r="AC141" s="478"/>
      <c r="AD141" s="475"/>
      <c r="AE141" s="475"/>
      <c r="AF141" s="475"/>
      <c r="AI141" s="472"/>
      <c r="AJ141" s="356"/>
    </row>
    <row r="142" spans="1:36" ht="13.5" hidden="1" customHeight="1" thickBot="1">
      <c r="B142" s="2"/>
      <c r="C142" s="2"/>
      <c r="D142" s="2"/>
      <c r="E142" s="2"/>
      <c r="F142" s="2"/>
      <c r="G142" s="2"/>
      <c r="H142" s="2"/>
      <c r="I142" s="361" t="s">
        <v>1232</v>
      </c>
      <c r="J142" s="362">
        <f ca="1">MAX(J44:J133)</f>
        <v>68.581489971984979</v>
      </c>
      <c r="K142" s="463">
        <f ca="1">MAX(K44:K133)</f>
        <v>68.581489971984979</v>
      </c>
      <c r="L142" s="316"/>
      <c r="M142" s="316"/>
      <c r="N142" s="316"/>
      <c r="O142" s="316"/>
      <c r="P142" s="316"/>
      <c r="Q142" s="316"/>
      <c r="R142" s="316"/>
      <c r="S142" s="316"/>
      <c r="T142" s="316"/>
      <c r="U142" s="316"/>
      <c r="V142" s="316"/>
      <c r="W142" s="316"/>
      <c r="X142" s="316"/>
      <c r="Y142" s="316"/>
      <c r="Z142" s="316"/>
      <c r="AA142" s="316"/>
      <c r="AB142" s="2"/>
      <c r="AC142" s="478"/>
      <c r="AD142" s="475"/>
      <c r="AE142" s="475"/>
      <c r="AF142" s="475"/>
      <c r="AI142" s="472"/>
      <c r="AJ142" s="356"/>
    </row>
    <row r="143" spans="1:36" ht="3.95" customHeight="1" thickBot="1">
      <c r="B143" s="2" t="s">
        <v>134</v>
      </c>
      <c r="C143" s="2"/>
      <c r="D143" s="2"/>
      <c r="E143" s="2"/>
      <c r="F143" s="2"/>
      <c r="G143" s="2"/>
      <c r="H143" s="2"/>
      <c r="J143" s="316"/>
      <c r="K143" s="464" t="str">
        <f t="shared" ref="K143" si="23">IF(C143&lt;&gt;"",IF(F143="NO CUMPLE",0,IF(H143="HÁBIL",IF($F$37="MEDIANA CON VALOR ABSOLUTO",IF($J$24*(1-ABS(($J$37-I143)/$J$37))&lt;0,0,$J$24*(1-ABS(($J$37-I143)/$J$37))),IF(AND($F$37="MEDIA GEOMÉTRICA",I143=$J$30),$J$24,IF($F$37="MEDIA GEOMÉTRICA",IF($J$24*(1-(ABS($J$37-I143)/$J$37))&lt;0,0,$J$24*(1-(ABS($J$37-I143)/$J$37))),IF(AND($F$37="MEDIA ARITMÉTICA ALTA",I143&lt;=J136),IF($J$24*(1-(($J$37-I143)/$J$37))&lt;0,0,$J$24*(1-(($J$37-I143)/$J$37))),IF($F$37="MEDIA ARITMÉTICA ALTA",IF($J$24*(1-2*(ABS($J$37-I143)/$J$37))&lt;0,0,$J$24*(1-2*(ABS($J$37-I143)/$J$37))),IF(I143&lt;=$J$37,IF($J$24*(1-(($J$37-I143)/$J$37))&lt;0,0,$J$24*(1-(($J$37-I143)/$J$37))),IF($J$24*(1-(ABS($J$37-I143)/$J$37))&lt;0,0,$J$24*(1-(ABS($J$37-I143)/$J$37))))))))),0)),"")</f>
        <v/>
      </c>
      <c r="L143" s="316"/>
      <c r="M143" s="316"/>
      <c r="N143" s="316"/>
      <c r="O143" s="316"/>
      <c r="P143" s="316"/>
      <c r="Q143" s="316"/>
      <c r="R143" s="316"/>
      <c r="S143" s="316"/>
      <c r="T143" s="316"/>
      <c r="U143" s="316"/>
      <c r="V143" s="316"/>
      <c r="W143" s="316"/>
      <c r="X143" s="316"/>
      <c r="Y143" s="316"/>
      <c r="Z143" s="316"/>
      <c r="AA143" s="316"/>
      <c r="AB143" s="2"/>
      <c r="AC143" s="481"/>
      <c r="AD143" s="482"/>
      <c r="AE143" s="482"/>
      <c r="AF143" s="482"/>
      <c r="AG143" s="483"/>
      <c r="AH143" s="484"/>
      <c r="AI143" s="485"/>
      <c r="AJ143" s="356"/>
    </row>
    <row r="144" spans="1:36" ht="13.5" customHeight="1">
      <c r="B144" s="2"/>
      <c r="C144" s="2"/>
      <c r="D144" s="2"/>
      <c r="E144" s="2"/>
      <c r="F144" s="2"/>
      <c r="G144" s="2"/>
      <c r="H144" s="2"/>
      <c r="J144" s="316"/>
      <c r="K144" s="316"/>
      <c r="L144" s="316"/>
      <c r="M144" s="316"/>
      <c r="N144" s="316"/>
      <c r="O144" s="316"/>
      <c r="P144" s="316"/>
      <c r="Q144" s="316"/>
      <c r="R144" s="316"/>
      <c r="S144" s="316"/>
      <c r="T144" s="316"/>
      <c r="U144" s="316"/>
      <c r="V144" s="316"/>
      <c r="W144" s="316"/>
      <c r="X144" s="316"/>
      <c r="Y144" s="316"/>
      <c r="Z144" s="316"/>
      <c r="AA144" s="316"/>
      <c r="AB144" s="2"/>
      <c r="AC144" s="356"/>
      <c r="AD144" s="356"/>
      <c r="AE144" s="356"/>
      <c r="AF144" s="356"/>
      <c r="AJ144" s="356"/>
    </row>
    <row r="145" spans="2:36" ht="13.5" customHeight="1">
      <c r="B145" s="2"/>
      <c r="C145" s="2"/>
      <c r="D145" s="2"/>
      <c r="E145" s="2"/>
      <c r="F145" s="2"/>
      <c r="G145" s="2"/>
      <c r="H145" s="2"/>
      <c r="J145" s="316"/>
      <c r="K145" s="316"/>
      <c r="L145" s="316"/>
      <c r="M145" s="316"/>
      <c r="N145" s="316"/>
      <c r="O145" s="316"/>
      <c r="P145" s="316"/>
      <c r="Q145" s="316"/>
      <c r="R145" s="316"/>
      <c r="S145" s="316"/>
      <c r="T145" s="316"/>
      <c r="U145" s="316"/>
      <c r="V145" s="316"/>
      <c r="W145" s="316"/>
      <c r="X145" s="316"/>
      <c r="Y145" s="316"/>
      <c r="Z145" s="316"/>
      <c r="AA145" s="316"/>
      <c r="AB145" s="2"/>
      <c r="AC145" s="356"/>
      <c r="AD145" s="356"/>
      <c r="AE145" s="356"/>
      <c r="AF145" s="356"/>
      <c r="AJ145" s="356"/>
    </row>
    <row r="146" spans="2:36" ht="13.5" customHeight="1">
      <c r="B146" s="2"/>
      <c r="C146" s="2"/>
      <c r="D146" s="2"/>
      <c r="E146" s="2"/>
      <c r="F146" s="2"/>
      <c r="G146" s="2"/>
      <c r="H146" s="2"/>
      <c r="J146" s="316"/>
      <c r="K146" s="316"/>
      <c r="L146" s="316"/>
      <c r="M146" s="316"/>
      <c r="N146" s="316"/>
      <c r="O146" s="316"/>
      <c r="P146" s="316"/>
      <c r="Q146" s="316"/>
      <c r="R146" s="316"/>
      <c r="S146" s="316"/>
      <c r="T146" s="316"/>
      <c r="U146" s="316"/>
      <c r="V146" s="316"/>
      <c r="W146" s="316"/>
      <c r="X146" s="316"/>
      <c r="Y146" s="316"/>
      <c r="Z146" s="316"/>
      <c r="AA146" s="316"/>
      <c r="AB146" s="2"/>
    </row>
    <row r="147" spans="2:36" ht="12.75" hidden="1" customHeight="1"/>
    <row r="148" spans="2:36" ht="24.95" hidden="1" customHeight="1">
      <c r="G148" s="404"/>
      <c r="J148" s="405" t="e">
        <f>#REF!</f>
        <v>#REF!</v>
      </c>
      <c r="K148" s="405"/>
    </row>
    <row r="149" spans="2:36" ht="24.95" hidden="1" customHeight="1" thickBot="1">
      <c r="D149" s="316">
        <v>87</v>
      </c>
      <c r="E149" s="406" t="str">
        <f>IF(D149=0,0,IF(MOD(D149,2)=0,"Par","Impar"))</f>
        <v>Impar</v>
      </c>
      <c r="G149" s="404"/>
    </row>
    <row r="150" spans="2:36" ht="24.95" hidden="1" customHeight="1" thickBot="1">
      <c r="C150" s="316" t="e">
        <f>IF(#REF!="","",ABS(#REF!-#REF!))</f>
        <v>#REF!</v>
      </c>
      <c r="D150" s="407"/>
      <c r="E150" s="408" t="s">
        <v>1233</v>
      </c>
      <c r="F150" s="409">
        <f ca="1">MIN(I44:I133)</f>
        <v>63.144600000000004</v>
      </c>
    </row>
    <row r="151" spans="2:36" ht="24.95" hidden="1" customHeight="1" thickBot="1">
      <c r="C151" s="316" t="e">
        <f>IF(#REF!="","",ABS(#REF!-#REF!))</f>
        <v>#REF!</v>
      </c>
      <c r="D151" s="407"/>
      <c r="E151" s="408" t="s">
        <v>1234</v>
      </c>
      <c r="F151" s="409">
        <f ca="1">MAX(I44:I133)</f>
        <v>1303.14625</v>
      </c>
    </row>
    <row r="152" spans="2:36" ht="24.95" hidden="1" customHeight="1" thickBot="1">
      <c r="C152" s="316" t="e">
        <f>IF(#REF!="","",ABS(#REF!-#REF!))</f>
        <v>#REF!</v>
      </c>
      <c r="D152" s="407"/>
      <c r="E152" s="408" t="s">
        <v>1235</v>
      </c>
      <c r="F152" s="409">
        <f ca="1">AVERAGE(I44:I133)</f>
        <v>464.97444632183897</v>
      </c>
    </row>
    <row r="153" spans="2:36" ht="24.95" hidden="1" customHeight="1" thickBot="1">
      <c r="C153" s="316" t="e">
        <f>IF(#REF!="","",ABS(#REF!-#REF!))</f>
        <v>#REF!</v>
      </c>
      <c r="D153" s="407">
        <v>70</v>
      </c>
      <c r="E153" s="408" t="s">
        <v>1236</v>
      </c>
      <c r="F153" s="409">
        <f ca="1">MEDIAN(I44:I133)</f>
        <v>435.76</v>
      </c>
    </row>
    <row r="154" spans="2:36" ht="24.95" hidden="1" customHeight="1" thickBot="1">
      <c r="C154" s="316" t="e">
        <f>IF(#REF!="","",ABS(#REF!-#REF!))</f>
        <v>#REF!</v>
      </c>
      <c r="D154" s="407">
        <v>71</v>
      </c>
      <c r="E154" s="408" t="s">
        <v>1237</v>
      </c>
      <c r="F154" s="409">
        <f ca="1">GEOMEAN(I44:I133)</f>
        <v>422.89649139483464</v>
      </c>
    </row>
    <row r="155" spans="2:36" ht="24.95" hidden="1" customHeight="1" thickBot="1">
      <c r="C155" s="316" t="e">
        <f>IF(#REF!="","",ABS(#REF!-#REF!))</f>
        <v>#REF!</v>
      </c>
      <c r="D155" s="407">
        <v>72</v>
      </c>
      <c r="E155" s="408" t="s">
        <v>1238</v>
      </c>
      <c r="F155" s="409">
        <f ca="1">(F151+F152)/2</f>
        <v>884.06034816091949</v>
      </c>
    </row>
    <row r="156" spans="2:36" ht="24.95" hidden="1" customHeight="1" thickBot="1">
      <c r="C156" s="316" t="e">
        <f>IF(#REF!="","",ABS(#REF!-#REF!))</f>
        <v>#REF!</v>
      </c>
      <c r="D156" s="407">
        <v>73</v>
      </c>
      <c r="E156" s="408" t="s">
        <v>1239</v>
      </c>
      <c r="F156" s="409">
        <f ca="1">(F150+F152)/2</f>
        <v>264.05952316091947</v>
      </c>
    </row>
    <row r="157" spans="2:36" ht="24.95" hidden="1" customHeight="1">
      <c r="B157" s="410">
        <f>I134</f>
        <v>0</v>
      </c>
      <c r="C157" s="316" t="str">
        <f>IF(I134="","",ABS(#REF!-I134))</f>
        <v/>
      </c>
      <c r="D157" s="407"/>
    </row>
    <row r="158" spans="2:36" ht="24.95" hidden="1" customHeight="1">
      <c r="C158" s="316" t="str">
        <f>IF(I135="","",ABS(#REF!-I135))</f>
        <v/>
      </c>
      <c r="D158" s="407"/>
      <c r="E158" s="316" t="s">
        <v>1240</v>
      </c>
      <c r="F158" s="411" t="e">
        <f ca="1">IF(E149="IMPAR",((1-ABS((F153-J148)/F153))*69),((1-ABS((F153-J148)/F153))*69))</f>
        <v>#REF!</v>
      </c>
    </row>
    <row r="159" spans="2:36" ht="24.95" hidden="1" customHeight="1">
      <c r="C159" s="316" t="str">
        <f>IF(I136="","",ABS(#REF!-I136))</f>
        <v/>
      </c>
      <c r="D159" s="407"/>
      <c r="E159" s="316" t="s">
        <v>1241</v>
      </c>
      <c r="F159" s="412" t="e">
        <f>IF(J148=B157,69,(1-(ABS(F154-J148)/F154))*69)</f>
        <v>#REF!</v>
      </c>
    </row>
    <row r="160" spans="2:36" ht="24.95" hidden="1" customHeight="1">
      <c r="C160" s="316" t="e">
        <f>MIN(C150:C159)</f>
        <v>#REF!</v>
      </c>
      <c r="D160" s="407"/>
      <c r="E160" s="316" t="s">
        <v>1242</v>
      </c>
      <c r="F160" s="407" t="e">
        <f ca="1">IF(J148&lt;F155,(1-((F155-J148)/F155))*69,(1-2*(ABS(F155-J148)/F155))*69)</f>
        <v>#REF!</v>
      </c>
    </row>
    <row r="161" spans="4:6" ht="24.95" hidden="1" customHeight="1">
      <c r="D161" s="407"/>
      <c r="E161" s="316" t="s">
        <v>1243</v>
      </c>
      <c r="F161" s="413" t="e">
        <f ca="1">IF(J148&lt;=F156,(1-(F156-J148)/F156)*69,(1-(ABS(F156-J148)/F156))*69)</f>
        <v>#REF!</v>
      </c>
    </row>
    <row r="162" spans="4:6" ht="24.95" hidden="1" customHeight="1"/>
    <row r="163" spans="4:6" ht="12.75" hidden="1" customHeight="1"/>
    <row r="164" spans="4:6" ht="12.75" customHeight="1"/>
    <row r="165" spans="4:6" ht="12.75" customHeight="1"/>
    <row r="166" spans="4:6" ht="12.75" customHeight="1"/>
    <row r="167" spans="4:6" ht="12.75" customHeight="1"/>
    <row r="168" spans="4:6" ht="12.75" customHeight="1"/>
    <row r="169" spans="4:6" ht="12.75" customHeight="1"/>
    <row r="170" spans="4:6" ht="12.75" customHeight="1"/>
    <row r="171" spans="4:6" ht="12.75" customHeight="1"/>
    <row r="172" spans="4:6" ht="12.75" customHeight="1"/>
    <row r="173" spans="4:6" ht="12.75" customHeight="1"/>
    <row r="174" spans="4:6" ht="12.75" customHeight="1"/>
    <row r="175" spans="4:6" ht="12.75" customHeight="1"/>
    <row r="176" spans="4:6" ht="12.75" hidden="1"/>
    <row r="177" ht="12.75" hidden="1"/>
    <row r="178" ht="12.75" hidden="1"/>
    <row r="179" ht="12.75" hidden="1"/>
    <row r="180" ht="12.75" hidden="1"/>
    <row r="181" ht="12.75" hidden="1"/>
    <row r="182" ht="12.75" hidden="1"/>
    <row r="183" ht="12.75" hidden="1"/>
    <row r="184" ht="12.75" hidden="1"/>
    <row r="185" ht="12.75" hidden="1"/>
    <row r="186" ht="12.75" hidden="1"/>
    <row r="187" ht="12.75" hidden="1"/>
    <row r="188" ht="12.75" hidden="1"/>
    <row r="189" ht="12.75" hidden="1"/>
    <row r="190" ht="12.75" hidden="1"/>
    <row r="191" ht="12.75" hidden="1"/>
    <row r="192"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sheetData>
  <sheetProtection selectLockedCells="1"/>
  <dataConsolidate/>
  <mergeCells count="45">
    <mergeCell ref="L41:L42"/>
    <mergeCell ref="AB41:AB42"/>
    <mergeCell ref="B139:I139"/>
    <mergeCell ref="B134:I134"/>
    <mergeCell ref="B135:I135"/>
    <mergeCell ref="B136:I136"/>
    <mergeCell ref="B137:I137"/>
    <mergeCell ref="B138:I138"/>
    <mergeCell ref="F37:I37"/>
    <mergeCell ref="H33:I33"/>
    <mergeCell ref="C40:C42"/>
    <mergeCell ref="B40:B42"/>
    <mergeCell ref="D40:D42"/>
    <mergeCell ref="E40:E41"/>
    <mergeCell ref="F40:F41"/>
    <mergeCell ref="G40:G42"/>
    <mergeCell ref="H40:H41"/>
    <mergeCell ref="I40:J40"/>
    <mergeCell ref="B7:J7"/>
    <mergeCell ref="B9:J9"/>
    <mergeCell ref="B10:J10"/>
    <mergeCell ref="B12:C13"/>
    <mergeCell ref="E13:H13"/>
    <mergeCell ref="E12:I12"/>
    <mergeCell ref="B1:J1"/>
    <mergeCell ref="B2:J2"/>
    <mergeCell ref="B3:J3"/>
    <mergeCell ref="B4:J4"/>
    <mergeCell ref="B5:J5"/>
    <mergeCell ref="AC42:AE42"/>
    <mergeCell ref="AG42:AI42"/>
    <mergeCell ref="B14:C15"/>
    <mergeCell ref="E15:F15"/>
    <mergeCell ref="G15:J15"/>
    <mergeCell ref="B35:I35"/>
    <mergeCell ref="B17:J17"/>
    <mergeCell ref="B26:J26"/>
    <mergeCell ref="B27:I27"/>
    <mergeCell ref="B28:I28"/>
    <mergeCell ref="B29:J29"/>
    <mergeCell ref="B30:I30"/>
    <mergeCell ref="B31:I31"/>
    <mergeCell ref="B32:J32"/>
    <mergeCell ref="B34:J34"/>
    <mergeCell ref="B37:D37"/>
  </mergeCells>
  <conditionalFormatting sqref="E44:E133 H44:H133">
    <cfRule type="cellIs" dxfId="58" priority="84" stopIfTrue="1" operator="equal">
      <formula>"NO ADMISIBLE"</formula>
    </cfRule>
  </conditionalFormatting>
  <conditionalFormatting sqref="E44:E133 H44:H133">
    <cfRule type="cellIs" dxfId="57" priority="83" stopIfTrue="1" operator="equal">
      <formula>"DESCARTADO"</formula>
    </cfRule>
  </conditionalFormatting>
  <conditionalFormatting sqref="F44:G133">
    <cfRule type="cellIs" dxfId="56" priority="68" stopIfTrue="1" operator="equal">
      <formula>"NO HÁBIL"</formula>
    </cfRule>
    <cfRule type="cellIs" dxfId="55" priority="70" stopIfTrue="1" operator="equal">
      <formula>"CUMPLE"</formula>
    </cfRule>
    <cfRule type="cellIs" dxfId="54" priority="71" stopIfTrue="1" operator="equal">
      <formula>"NO CUMPLE"</formula>
    </cfRule>
    <cfRule type="cellIs" dxfId="53" priority="72" stopIfTrue="1" operator="equal">
      <formula>"PENDIENTE"</formula>
    </cfRule>
  </conditionalFormatting>
  <conditionalFormatting sqref="F44:F133">
    <cfRule type="cellIs" dxfId="52" priority="69" stopIfTrue="1" operator="equal">
      <formula>"NO APLICA"</formula>
    </cfRule>
  </conditionalFormatting>
  <conditionalFormatting sqref="C150:C159">
    <cfRule type="cellIs" dxfId="51" priority="67" operator="equal">
      <formula>#REF!</formula>
    </cfRule>
  </conditionalFormatting>
  <conditionalFormatting sqref="E158:E161">
    <cfRule type="cellIs" dxfId="50" priority="66" operator="equal">
      <formula>$F$37</formula>
    </cfRule>
  </conditionalFormatting>
  <conditionalFormatting sqref="J44:J133">
    <cfRule type="cellIs" dxfId="49" priority="62" operator="lessThan">
      <formula>0</formula>
    </cfRule>
  </conditionalFormatting>
  <conditionalFormatting sqref="C44:K133">
    <cfRule type="expression" dxfId="48" priority="65" stopIfTrue="1">
      <formula>MOD(ROW(),2)</formula>
    </cfRule>
  </conditionalFormatting>
  <dataValidations disablePrompts="1" count="3">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 type="list" allowBlank="1" showInputMessage="1" showErrorMessage="1" sqref="D33" xr:uid="{56EEB278-42CE-4D23-8C4D-ACE4CEA99731}">
      <formula1>"NUEVA, ANTERIOR"</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8">
    <tabColor rgb="FFFFC000"/>
    <pageSetUpPr fitToPage="1"/>
  </sheetPr>
  <dimension ref="A1:L423"/>
  <sheetViews>
    <sheetView showGridLines="0" topLeftCell="A71" zoomScale="90" zoomScaleNormal="90" workbookViewId="0">
      <selection activeCell="H98" sqref="H98"/>
    </sheetView>
  </sheetViews>
  <sheetFormatPr baseColWidth="10" defaultColWidth="0" defaultRowHeight="15" zeroHeight="1"/>
  <cols>
    <col min="1" max="1" width="1.42578125" style="128" customWidth="1"/>
    <col min="2" max="2" width="9" style="128" customWidth="1"/>
    <col min="3" max="3" width="13.7109375" style="128" customWidth="1"/>
    <col min="4" max="4" width="14.42578125" style="128" hidden="1" customWidth="1"/>
    <col min="5" max="5" width="17.28515625" style="128" hidden="1" customWidth="1"/>
    <col min="6" max="6" width="14.140625" style="128" hidden="1" customWidth="1"/>
    <col min="7" max="7" width="76.85546875" style="128" customWidth="1"/>
    <col min="8" max="8" width="14.28515625" style="128" customWidth="1"/>
    <col min="9" max="9" width="15.28515625" style="128" customWidth="1"/>
    <col min="10" max="10" width="16.28515625" style="128" customWidth="1"/>
    <col min="11" max="11" width="12.42578125" style="128" customWidth="1"/>
    <col min="12" max="12" width="11.42578125" style="128" customWidth="1"/>
    <col min="13" max="16384" width="11.42578125" style="128" hidden="1"/>
  </cols>
  <sheetData>
    <row r="1" spans="1:11" s="4" customFormat="1" ht="15" customHeight="1">
      <c r="A1" s="121"/>
      <c r="B1" s="850" t="str">
        <f>PROPONENTES!B1</f>
        <v>INSTITUTO NACIONAL DE VÍAS</v>
      </c>
      <c r="C1" s="850"/>
      <c r="D1" s="850"/>
      <c r="E1" s="850"/>
      <c r="F1" s="850"/>
      <c r="G1" s="850"/>
      <c r="H1" s="850"/>
      <c r="I1" s="850"/>
      <c r="J1" s="850"/>
      <c r="K1" s="282" t="s">
        <v>1244</v>
      </c>
    </row>
    <row r="2" spans="1:11" s="2" customFormat="1" ht="15" customHeight="1">
      <c r="A2" s="123"/>
      <c r="B2" s="850" t="str">
        <f>PROPONENTES!B2</f>
        <v>DIRECCIÓN GENERAL</v>
      </c>
      <c r="C2" s="850"/>
      <c r="D2" s="850"/>
      <c r="E2" s="850"/>
      <c r="F2" s="850"/>
      <c r="G2" s="850"/>
      <c r="H2" s="850"/>
      <c r="I2" s="850"/>
      <c r="J2" s="850"/>
      <c r="K2" s="57"/>
    </row>
    <row r="3" spans="1:11" s="2" customFormat="1" ht="15" customHeight="1">
      <c r="A3" s="123"/>
      <c r="B3" s="850" t="str">
        <f>PROPONENTES!B3</f>
        <v>DIRECCION JURIDICA</v>
      </c>
      <c r="C3" s="850"/>
      <c r="D3" s="850"/>
      <c r="E3" s="850"/>
      <c r="F3" s="850"/>
      <c r="G3" s="850"/>
      <c r="H3" s="850"/>
      <c r="I3" s="850"/>
      <c r="J3" s="850"/>
      <c r="K3" s="57"/>
    </row>
    <row r="4" spans="1:11" s="2" customFormat="1" ht="12.75" customHeight="1">
      <c r="A4" s="123"/>
      <c r="B4" s="850" t="str">
        <f>PROPONENTES!B4</f>
        <v>TERRITORIAL TOLIMA</v>
      </c>
      <c r="C4" s="850"/>
      <c r="D4" s="850"/>
      <c r="E4" s="850"/>
      <c r="F4" s="850"/>
      <c r="G4" s="850"/>
      <c r="H4" s="850"/>
      <c r="I4" s="850"/>
      <c r="J4" s="850"/>
      <c r="K4" s="57"/>
    </row>
    <row r="5" spans="1:11" s="2" customFormat="1" ht="12.75">
      <c r="A5" s="123"/>
      <c r="B5" s="122"/>
      <c r="C5" s="122"/>
      <c r="D5" s="3"/>
      <c r="E5" s="57"/>
      <c r="F5" s="57"/>
      <c r="G5" s="57"/>
      <c r="H5" s="57"/>
      <c r="I5" s="57"/>
      <c r="J5" s="57"/>
      <c r="K5" s="57"/>
    </row>
    <row r="6" spans="1:11" s="2" customFormat="1" ht="12.75">
      <c r="A6" s="123"/>
      <c r="B6" s="850" t="str">
        <f>+PROPONENTES!B6</f>
        <v>CONCURSO DE MÉRITOS ABIERTO</v>
      </c>
      <c r="C6" s="850"/>
      <c r="D6" s="850"/>
      <c r="E6" s="850"/>
      <c r="F6" s="850"/>
      <c r="G6" s="850"/>
      <c r="H6" s="850"/>
      <c r="I6" s="850"/>
      <c r="J6" s="850"/>
      <c r="K6" s="57"/>
    </row>
    <row r="7" spans="1:11" s="2" customFormat="1" ht="12.75" customHeight="1">
      <c r="A7" s="123"/>
      <c r="B7" s="850" t="str">
        <f>PROPONENTES!B7</f>
        <v>CMA-DT-TOL-001-2022</v>
      </c>
      <c r="C7" s="850"/>
      <c r="D7" s="850"/>
      <c r="E7" s="850"/>
      <c r="F7" s="850"/>
      <c r="G7" s="850"/>
      <c r="H7" s="850"/>
      <c r="I7" s="850"/>
      <c r="J7" s="850"/>
      <c r="K7" s="57"/>
    </row>
    <row r="8" spans="1:11" s="2" customFormat="1" ht="15.75">
      <c r="A8" s="123"/>
      <c r="B8" s="122"/>
      <c r="C8" s="122"/>
      <c r="D8" s="125"/>
      <c r="E8" s="57"/>
      <c r="F8" s="57"/>
      <c r="G8" s="57"/>
      <c r="H8" s="57"/>
      <c r="I8" s="57"/>
      <c r="J8" s="57"/>
      <c r="K8" s="57"/>
    </row>
    <row r="9" spans="1:11" s="2" customFormat="1" ht="53.25" customHeight="1">
      <c r="A9" s="123"/>
      <c r="B9" s="850" t="str">
        <f>PROPONENTES!B9</f>
        <v>OBJETO: INTERVENTORÍA TECNICA, ADMINISTRATIVA, FINANCIERA Y AMBIENTAL PARA EL MANTENIMIENTO Y MEJORAMIENTO DE VIAS TERCIARIAS DEL PROGRAMA "COLOMBIA RURAL" EN LOS MUNICIPIOS DEL DEPARTAMENTO DEL TOLIMA - GRUPO II.</v>
      </c>
      <c r="C9" s="850"/>
      <c r="D9" s="850"/>
      <c r="E9" s="850"/>
      <c r="F9" s="850"/>
      <c r="G9" s="850"/>
      <c r="H9" s="850"/>
      <c r="I9" s="850"/>
      <c r="J9" s="850"/>
      <c r="K9" s="57"/>
    </row>
    <row r="10" spans="1:11" s="2" customFormat="1" ht="15.75">
      <c r="A10" s="123"/>
      <c r="B10" s="122"/>
      <c r="C10" s="122"/>
      <c r="D10" s="125"/>
      <c r="E10" s="57"/>
      <c r="F10" s="57"/>
      <c r="G10" s="57"/>
      <c r="H10" s="57"/>
      <c r="I10" s="57"/>
      <c r="J10" s="57"/>
      <c r="K10" s="57"/>
    </row>
    <row r="11" spans="1:11" s="2" customFormat="1" ht="12.75">
      <c r="A11" s="123"/>
      <c r="B11" s="850"/>
      <c r="C11" s="850"/>
      <c r="D11" s="850"/>
      <c r="E11" s="850"/>
      <c r="F11" s="850"/>
      <c r="G11" s="850"/>
      <c r="H11" s="850"/>
      <c r="I11" s="850"/>
      <c r="J11" s="850"/>
      <c r="K11" s="57"/>
    </row>
    <row r="12" spans="1:11" s="2" customFormat="1" ht="15.75">
      <c r="A12" s="123"/>
      <c r="B12" s="122"/>
      <c r="C12" s="122"/>
      <c r="D12" s="125"/>
      <c r="E12" s="57"/>
      <c r="F12" s="57"/>
      <c r="G12" s="57"/>
      <c r="H12" s="57"/>
      <c r="I12" s="57"/>
      <c r="J12" s="57"/>
      <c r="K12" s="57"/>
    </row>
    <row r="13" spans="1:11" s="2" customFormat="1" ht="12.75">
      <c r="A13" s="123"/>
      <c r="B13" s="693" t="s">
        <v>1173</v>
      </c>
      <c r="C13" s="693"/>
      <c r="D13" s="693"/>
      <c r="E13" s="693"/>
      <c r="F13" s="693"/>
      <c r="G13" s="693"/>
      <c r="H13" s="693"/>
      <c r="I13" s="693"/>
      <c r="J13" s="693"/>
      <c r="K13" s="57"/>
    </row>
    <row r="14" spans="1:11">
      <c r="A14" s="126"/>
      <c r="B14" s="693" t="s">
        <v>1245</v>
      </c>
      <c r="C14" s="693"/>
      <c r="D14" s="693"/>
      <c r="E14" s="693"/>
      <c r="F14" s="693"/>
      <c r="G14" s="693"/>
      <c r="H14" s="693"/>
      <c r="I14" s="693"/>
      <c r="J14" s="693"/>
      <c r="K14" s="127"/>
    </row>
    <row r="15" spans="1:11" ht="15.75" thickBot="1"/>
    <row r="16" spans="1:11" ht="32.25" thickTop="1">
      <c r="B16" s="980" t="s">
        <v>1246</v>
      </c>
      <c r="C16" s="978" t="s">
        <v>1247</v>
      </c>
      <c r="D16" s="978" t="s">
        <v>1248</v>
      </c>
      <c r="E16" s="978" t="s">
        <v>1249</v>
      </c>
      <c r="F16" s="978" t="s">
        <v>1250</v>
      </c>
      <c r="G16" s="577" t="s">
        <v>1251</v>
      </c>
      <c r="H16" s="577" t="s">
        <v>1252</v>
      </c>
      <c r="I16" s="978" t="s">
        <v>1247</v>
      </c>
      <c r="J16" s="976" t="s">
        <v>1253</v>
      </c>
    </row>
    <row r="17" spans="2:10" ht="30" customHeight="1" thickBot="1">
      <c r="B17" s="981"/>
      <c r="C17" s="979"/>
      <c r="D17" s="979"/>
      <c r="E17" s="979"/>
      <c r="F17" s="979"/>
      <c r="G17" s="578" t="s">
        <v>1254</v>
      </c>
      <c r="H17" s="578" t="s">
        <v>1222</v>
      </c>
      <c r="I17" s="979"/>
      <c r="J17" s="977"/>
    </row>
    <row r="18" spans="2:10" ht="5.25" customHeight="1" thickTop="1">
      <c r="B18" s="201"/>
      <c r="C18" s="202"/>
      <c r="D18" s="202"/>
      <c r="E18" s="202"/>
      <c r="F18" s="202"/>
      <c r="G18" s="200"/>
      <c r="H18" s="200"/>
      <c r="I18" s="200"/>
      <c r="J18" s="203"/>
    </row>
    <row r="19" spans="2:10">
      <c r="B19" s="204">
        <v>1</v>
      </c>
      <c r="C19" s="209">
        <f>IF(VLOOKUP(B19,PROPONENTES!$B$19:$E$109,2,0)="","",VLOOKUP(B19,PROPONENTES!$B$19:$E$109,2,0))</f>
        <v>1</v>
      </c>
      <c r="D19" s="205">
        <v>1.0000000000000001E-9</v>
      </c>
      <c r="E19" s="261">
        <f ca="1">IF(ISNUMBER(VLOOKUP(C19,RESUMENGEN!$C$21:$M$110,2,0)),"",IF(AND(VLOOKUP(C19,RESUMENGEN!$C$21:$M$110,3,FALSE)&lt;&gt;"NO HÁBIL",VLOOKUP(C19,RESUMENGEN!$C$21:$M$110,3,FALSE)&lt;&gt;"RECHAZO"),VLOOKUP(C19,RESUMENGEN!$C$21:$M$110,11,FALSE)-D19,-D19))</f>
        <v>55.165261549670404</v>
      </c>
      <c r="F19" s="206">
        <f t="shared" ref="F19:F50" ca="1" si="0">IFERROR(RANK(E19,$E$19:$E$108),"")</f>
        <v>65</v>
      </c>
      <c r="G19" s="258" t="str">
        <f ca="1">IF(I19="","",VLOOKUP(I19,RESUMENGEN!$C$21:$M$110,2,FALSE))</f>
        <v>CONSORCIO INTER TOLIMA</v>
      </c>
      <c r="H19" s="261">
        <f ca="1">IF(I19="","",VLOOKUP(I19,RESUMENGEN!$C$21:$M$110,11,FALSE))</f>
        <v>99.581489971984979</v>
      </c>
      <c r="I19" s="207">
        <f t="shared" ref="I19:I50" ca="1" si="1">IF(F19="","",OFFSET($C$18,MATCH(B19,$F$19:$F$108,0),0))</f>
        <v>30</v>
      </c>
      <c r="J19" s="208" t="str">
        <f ca="1">IFERROR(IF(AND(VLOOKUP(I19,RESUMENGEN!$C$21:$M$110,3,0)="HÁBIL",H19&lt;&gt;0),"ELEGIBLE","NO ELEGIBLE"),"")</f>
        <v>ELEGIBLE</v>
      </c>
    </row>
    <row r="20" spans="2:10">
      <c r="B20" s="204">
        <v>2</v>
      </c>
      <c r="C20" s="209">
        <f>IF(VLOOKUP(B20,PROPONENTES!$B$19:$E$109,2,0)="","",VLOOKUP(B20,PROPONENTES!$B$19:$E$109,2,0))</f>
        <v>2</v>
      </c>
      <c r="D20" s="205">
        <f>D19+0.0000000001</f>
        <v>1.1000000000000001E-9</v>
      </c>
      <c r="E20" s="261">
        <f ca="1">IF(ISNUMBER(VLOOKUP(C20,RESUMENGEN!$C$21:$M$110,2,0)),"",IF(AND(VLOOKUP(C20,RESUMENGEN!$C$21:$M$110,3,FALSE)&lt;&gt;"NO HÁBIL",VLOOKUP(C20,RESUMENGEN!$C$21:$M$110,3,FALSE)&lt;&gt;"RECHAZO"),VLOOKUP(C20,RESUMENGEN!$C$21:$M$110,11,FALSE)-D20,-D20))</f>
        <v>63.626360077639553</v>
      </c>
      <c r="F20" s="206">
        <f t="shared" ca="1" si="0"/>
        <v>44</v>
      </c>
      <c r="G20" s="258" t="str">
        <f ca="1">IF(I20="","",VLOOKUP(I20,RESUMENGEN!$C$21:$M$110,2,FALSE))</f>
        <v xml:space="preserve">GYG CONSTRUCCIONES S.A.S. </v>
      </c>
      <c r="H20" s="261">
        <f ca="1">IF(I20="","",VLOOKUP(I20,RESUMENGEN!$C$21:$M$110,11,FALSE))</f>
        <v>90.356538299507406</v>
      </c>
      <c r="I20" s="207">
        <f t="shared" ca="1" si="1"/>
        <v>32</v>
      </c>
      <c r="J20" s="208" t="str">
        <f ca="1">IFERROR(IF(AND(VLOOKUP(I20,RESUMENGEN!$C$21:$M$110,3,0)="HÁBIL",H20&lt;&gt;0),"ELEGIBLE","NO ELEGIBLE"),"")</f>
        <v>ELEGIBLE</v>
      </c>
    </row>
    <row r="21" spans="2:10">
      <c r="B21" s="204">
        <v>3</v>
      </c>
      <c r="C21" s="209">
        <f>IF(VLOOKUP(B21,PROPONENTES!$B$19:$E$109,2,0)="","",VLOOKUP(B21,PROPONENTES!$B$19:$E$109,2,0))</f>
        <v>3</v>
      </c>
      <c r="D21" s="205">
        <f t="shared" ref="D21:D84" si="2">D20+0.0000000001</f>
        <v>1.2000000000000002E-9</v>
      </c>
      <c r="E21" s="261">
        <f ca="1">IF(ISNUMBER(VLOOKUP(C21,RESUMENGEN!$C$21:$M$110,2,0)),"",IF(AND(VLOOKUP(C21,RESUMENGEN!$C$21:$M$110,3,FALSE)&lt;&gt;"NO HÁBIL",VLOOKUP(C21,RESUMENGEN!$C$21:$M$110,3,FALSE)&lt;&gt;"RECHAZO"),VLOOKUP(C21,RESUMENGEN!$C$21:$M$110,11,FALSE)-D21,-D21))</f>
        <v>67.762142840575677</v>
      </c>
      <c r="F21" s="206">
        <f t="shared" ca="1" si="0"/>
        <v>29</v>
      </c>
      <c r="G21" s="258" t="str">
        <f ca="1">IF(I21="","",VLOOKUP(I21,RESUMENGEN!$C$21:$M$110,2,FALSE))</f>
        <v>CONSORCIO INTERVÍAS TOLIMA 22</v>
      </c>
      <c r="H21" s="261">
        <f ca="1">IF(I21="","",VLOOKUP(I21,RESUMENGEN!$C$21:$M$110,11,FALSE))</f>
        <v>89.589372891967258</v>
      </c>
      <c r="I21" s="207">
        <f t="shared" ca="1" si="1"/>
        <v>87</v>
      </c>
      <c r="J21" s="208" t="str">
        <f ca="1">IFERROR(IF(AND(VLOOKUP(I21,RESUMENGEN!$C$21:$M$110,3,0)="HÁBIL",H21&lt;&gt;0),"ELEGIBLE","NO ELEGIBLE"),"")</f>
        <v>ELEGIBLE</v>
      </c>
    </row>
    <row r="22" spans="2:10">
      <c r="B22" s="204">
        <v>4</v>
      </c>
      <c r="C22" s="209">
        <f>IF(VLOOKUP(B22,PROPONENTES!$B$19:$E$109,2,0)="","",VLOOKUP(B22,PROPONENTES!$B$19:$E$109,2,0))</f>
        <v>4</v>
      </c>
      <c r="D22" s="205">
        <f t="shared" si="2"/>
        <v>1.3000000000000003E-9</v>
      </c>
      <c r="E22" s="261">
        <f ca="1">IF(ISNUMBER(VLOOKUP(C22,RESUMENGEN!$C$21:$M$110,2,0)),"",IF(AND(VLOOKUP(C22,RESUMENGEN!$C$21:$M$110,3,FALSE)&lt;&gt;"NO HÁBIL",VLOOKUP(C22,RESUMENGEN!$C$21:$M$110,3,FALSE)&lt;&gt;"RECHAZO"),VLOOKUP(C22,RESUMENGEN!$C$21:$M$110,11,FALSE)-D22,-D22))</f>
        <v>69.400445704527655</v>
      </c>
      <c r="F22" s="206">
        <f t="shared" ca="1" si="0"/>
        <v>21</v>
      </c>
      <c r="G22" s="258" t="str">
        <f ca="1">IF(I22="","",VLOOKUP(I22,RESUMENGEN!$C$21:$M$110,2,FALSE))</f>
        <v>MARIO DE JESUS GIL CARDONA</v>
      </c>
      <c r="H22" s="261">
        <f ca="1">IF(I22="","",VLOOKUP(I22,RESUMENGEN!$C$21:$M$110,11,FALSE))</f>
        <v>85.386318339471501</v>
      </c>
      <c r="I22" s="207">
        <f t="shared" ca="1" si="1"/>
        <v>55</v>
      </c>
      <c r="J22" s="208" t="str">
        <f ca="1">IFERROR(IF(AND(VLOOKUP(I22,RESUMENGEN!$C$21:$M$110,3,0)="HÁBIL",H22&lt;&gt;0),"ELEGIBLE","NO ELEGIBLE"),"")</f>
        <v>ELEGIBLE</v>
      </c>
    </row>
    <row r="23" spans="2:10">
      <c r="B23" s="204">
        <v>5</v>
      </c>
      <c r="C23" s="209">
        <f>IF(VLOOKUP(B23,PROPONENTES!$B$19:$E$109,2,0)="","",VLOOKUP(B23,PROPONENTES!$B$19:$E$109,2,0))</f>
        <v>5</v>
      </c>
      <c r="D23" s="205">
        <f t="shared" si="2"/>
        <v>1.4000000000000003E-9</v>
      </c>
      <c r="E23" s="261">
        <f ca="1">IF(ISNUMBER(VLOOKUP(C23,RESUMENGEN!$C$21:$M$110,2,0)),"",IF(AND(VLOOKUP(C23,RESUMENGEN!$C$21:$M$110,3,FALSE)&lt;&gt;"NO HÁBIL",VLOOKUP(C23,RESUMENGEN!$C$21:$M$110,3,FALSE)&lt;&gt;"RECHAZO"),VLOOKUP(C23,RESUMENGEN!$C$21:$M$110,11,FALSE)-D23,-D23))</f>
        <v>68.255752702098079</v>
      </c>
      <c r="F23" s="206">
        <f t="shared" ca="1" si="0"/>
        <v>26</v>
      </c>
      <c r="G23" s="258" t="str">
        <f ca="1">IF(I23="","",VLOOKUP(I23,RESUMENGEN!$C$21:$M$110,2,FALSE))</f>
        <v>PROES INGENIERÍA S.A.S</v>
      </c>
      <c r="H23" s="261">
        <f ca="1">IF(I23="","",VLOOKUP(I23,RESUMENGEN!$C$21:$M$110,11,FALSE))</f>
        <v>84.330953065039594</v>
      </c>
      <c r="I23" s="207">
        <f t="shared" ca="1" si="1"/>
        <v>20</v>
      </c>
      <c r="J23" s="208" t="str">
        <f ca="1">IFERROR(IF(AND(VLOOKUP(I23,RESUMENGEN!$C$21:$M$110,3,0)="HÁBIL",H23&lt;&gt;0),"ELEGIBLE","NO ELEGIBLE"),"")</f>
        <v>ELEGIBLE</v>
      </c>
    </row>
    <row r="24" spans="2:10">
      <c r="B24" s="204">
        <v>6</v>
      </c>
      <c r="C24" s="209">
        <f>IF(VLOOKUP(B24,PROPONENTES!$B$19:$E$109,2,0)="","",VLOOKUP(B24,PROPONENTES!$B$19:$E$109,2,0))</f>
        <v>6</v>
      </c>
      <c r="D24" s="205">
        <f t="shared" si="2"/>
        <v>1.5000000000000004E-9</v>
      </c>
      <c r="E24" s="261">
        <f ca="1">IF(ISNUMBER(VLOOKUP(C24,RESUMENGEN!$C$21:$M$110,2,0)),"",IF(AND(VLOOKUP(C24,RESUMENGEN!$C$21:$M$110,3,FALSE)&lt;&gt;"NO HÁBIL",VLOOKUP(C24,RESUMENGEN!$C$21:$M$110,3,FALSE)&lt;&gt;"RECHAZO"),VLOOKUP(C24,RESUMENGEN!$C$21:$M$110,11,FALSE)-D24,-D24))</f>
        <v>70.772264382756234</v>
      </c>
      <c r="F24" s="206">
        <f t="shared" ca="1" si="0"/>
        <v>16</v>
      </c>
      <c r="G24" s="258" t="str">
        <f ca="1">IF(I24="","",VLOOKUP(I24,RESUMENGEN!$C$21:$M$110,2,FALSE))</f>
        <v>R&amp;M CONSTRUCCIONES E INTERVENTORIAS S.A.S</v>
      </c>
      <c r="H24" s="261">
        <f ca="1">IF(I24="","",VLOOKUP(I24,RESUMENGEN!$C$21:$M$110,11,FALSE))</f>
        <v>81.782287483280129</v>
      </c>
      <c r="I24" s="207">
        <f t="shared" ca="1" si="1"/>
        <v>10</v>
      </c>
      <c r="J24" s="208" t="str">
        <f ca="1">IFERROR(IF(AND(VLOOKUP(I24,RESUMENGEN!$C$21:$M$110,3,0)="HÁBIL",H24&lt;&gt;0),"ELEGIBLE","NO ELEGIBLE"),"")</f>
        <v>ELEGIBLE</v>
      </c>
    </row>
    <row r="25" spans="2:10">
      <c r="B25" s="204">
        <v>7</v>
      </c>
      <c r="C25" s="209">
        <f>IF(VLOOKUP(B25,PROPONENTES!$B$19:$E$109,2,0)="","",VLOOKUP(B25,PROPONENTES!$B$19:$E$109,2,0))</f>
        <v>7</v>
      </c>
      <c r="D25" s="205">
        <f t="shared" si="2"/>
        <v>1.6000000000000005E-9</v>
      </c>
      <c r="E25" s="261">
        <f ca="1">IF(ISNUMBER(VLOOKUP(C25,RESUMENGEN!$C$21:$M$110,2,0)),"",IF(AND(VLOOKUP(C25,RESUMENGEN!$C$21:$M$110,3,FALSE)&lt;&gt;"NO HÁBIL",VLOOKUP(C25,RESUMENGEN!$C$21:$M$110,3,FALSE)&lt;&gt;"RECHAZO"),VLOOKUP(C25,RESUMENGEN!$C$21:$M$110,11,FALSE)-D25,-D25))</f>
        <v>-1.6000000000000005E-9</v>
      </c>
      <c r="F25" s="206">
        <f t="shared" ca="1" si="0"/>
        <v>83</v>
      </c>
      <c r="G25" s="258" t="str">
        <f ca="1">IF(I25="","",VLOOKUP(I25,RESUMENGEN!$C$21:$M$110,2,FALSE))</f>
        <v xml:space="preserve">ING INGENIERIA SAS </v>
      </c>
      <c r="H25" s="261">
        <f ca="1">IF(I25="","",VLOOKUP(I25,RESUMENGEN!$C$21:$M$110,11,FALSE))</f>
        <v>79.766880654592484</v>
      </c>
      <c r="I25" s="207">
        <f t="shared" ca="1" si="1"/>
        <v>35</v>
      </c>
      <c r="J25" s="208" t="str">
        <f ca="1">IFERROR(IF(AND(VLOOKUP(I25,RESUMENGEN!$C$21:$M$110,3,0)="HÁBIL",H25&lt;&gt;0),"ELEGIBLE","NO ELEGIBLE"),"")</f>
        <v>ELEGIBLE</v>
      </c>
    </row>
    <row r="26" spans="2:10">
      <c r="B26" s="204">
        <v>8</v>
      </c>
      <c r="C26" s="209">
        <f>IF(VLOOKUP(B26,PROPONENTES!$B$19:$E$109,2,0)="","",VLOOKUP(B26,PROPONENTES!$B$19:$E$109,2,0))</f>
        <v>8</v>
      </c>
      <c r="D26" s="205">
        <f t="shared" si="2"/>
        <v>1.7000000000000005E-9</v>
      </c>
      <c r="E26" s="261">
        <f ca="1">IF(ISNUMBER(VLOOKUP(C26,RESUMENGEN!$C$21:$M$110,2,0)),"",IF(AND(VLOOKUP(C26,RESUMENGEN!$C$21:$M$110,3,FALSE)&lt;&gt;"NO HÁBIL",VLOOKUP(C26,RESUMENGEN!$C$21:$M$110,3,FALSE)&lt;&gt;"RECHAZO"),VLOOKUP(C26,RESUMENGEN!$C$21:$M$110,11,FALSE)-D26,-D26))</f>
        <v>72.231786220293927</v>
      </c>
      <c r="F26" s="206">
        <f t="shared" ca="1" si="0"/>
        <v>14</v>
      </c>
      <c r="G26" s="258" t="str">
        <f ca="1">IF(I26="","",VLOOKUP(I26,RESUMENGEN!$C$21:$M$110,2,FALSE))</f>
        <v>CONSORCIO TOLIMA BD</v>
      </c>
      <c r="H26" s="261">
        <f ca="1">IF(I26="","",VLOOKUP(I26,RESUMENGEN!$C$21:$M$110,11,FALSE))</f>
        <v>77.144328594683941</v>
      </c>
      <c r="I26" s="207">
        <f t="shared" ca="1" si="1"/>
        <v>79</v>
      </c>
      <c r="J26" s="208" t="str">
        <f ca="1">IFERROR(IF(AND(VLOOKUP(I26,RESUMENGEN!$C$21:$M$110,3,0)="HÁBIL",H26&lt;&gt;0),"ELEGIBLE","NO ELEGIBLE"),"")</f>
        <v>ELEGIBLE</v>
      </c>
    </row>
    <row r="27" spans="2:10">
      <c r="B27" s="204">
        <v>9</v>
      </c>
      <c r="C27" s="209">
        <f>IF(VLOOKUP(B27,PROPONENTES!$B$19:$E$109,2,0)="","",VLOOKUP(B27,PROPONENTES!$B$19:$E$109,2,0))</f>
        <v>9</v>
      </c>
      <c r="D27" s="205">
        <f t="shared" si="2"/>
        <v>1.8000000000000006E-9</v>
      </c>
      <c r="E27" s="261">
        <f ca="1">IF(ISNUMBER(VLOOKUP(C27,RESUMENGEN!$C$21:$M$110,2,0)),"",IF(AND(VLOOKUP(C27,RESUMENGEN!$C$21:$M$110,3,FALSE)&lt;&gt;"NO HÁBIL",VLOOKUP(C27,RESUMENGEN!$C$21:$M$110,3,FALSE)&lt;&gt;"RECHAZO"),VLOOKUP(C27,RESUMENGEN!$C$21:$M$110,11,FALSE)-D27,-D27))</f>
        <v>65.954343319852171</v>
      </c>
      <c r="F27" s="206">
        <f t="shared" ca="1" si="0"/>
        <v>34</v>
      </c>
      <c r="G27" s="258" t="str">
        <f ca="1">IF(I27="","",VLOOKUP(I27,RESUMENGEN!$C$21:$M$110,2,FALSE))</f>
        <v>EMPROCIV SAS</v>
      </c>
      <c r="H27" s="261">
        <f ca="1">IF(I27="","",VLOOKUP(I27,RESUMENGEN!$C$21:$M$110,11,FALSE))</f>
        <v>75.788649652015494</v>
      </c>
      <c r="I27" s="207">
        <f t="shared" ca="1" si="1"/>
        <v>15</v>
      </c>
      <c r="J27" s="208" t="str">
        <f ca="1">IFERROR(IF(AND(VLOOKUP(I27,RESUMENGEN!$C$21:$M$110,3,0)="HÁBIL",H27&lt;&gt;0),"ELEGIBLE","NO ELEGIBLE"),"")</f>
        <v>ELEGIBLE</v>
      </c>
    </row>
    <row r="28" spans="2:10">
      <c r="B28" s="204">
        <v>10</v>
      </c>
      <c r="C28" s="209">
        <f>IF(VLOOKUP(B28,PROPONENTES!$B$19:$E$109,2,0)="","",VLOOKUP(B28,PROPONENTES!$B$19:$E$109,2,0))</f>
        <v>10</v>
      </c>
      <c r="D28" s="205">
        <f t="shared" si="2"/>
        <v>1.9000000000000005E-9</v>
      </c>
      <c r="E28" s="261">
        <f ca="1">IF(ISNUMBER(VLOOKUP(C28,RESUMENGEN!$C$21:$M$110,2,0)),"",IF(AND(VLOOKUP(C28,RESUMENGEN!$C$21:$M$110,3,FALSE)&lt;&gt;"NO HÁBIL",VLOOKUP(C28,RESUMENGEN!$C$21:$M$110,3,FALSE)&lt;&gt;"RECHAZO"),VLOOKUP(C28,RESUMENGEN!$C$21:$M$110,11,FALSE)-D28,-D28))</f>
        <v>81.782287481380123</v>
      </c>
      <c r="F28" s="206">
        <f t="shared" ca="1" si="0"/>
        <v>6</v>
      </c>
      <c r="G28" s="258" t="str">
        <f ca="1">IF(I28="","",VLOOKUP(I28,RESUMENGEN!$C$21:$M$110,2,FALSE))</f>
        <v>INGENIEROS CIVILES ESPECIALISTAS S.A.S.</v>
      </c>
      <c r="H28" s="261">
        <f ca="1">IF(I28="","",VLOOKUP(I28,RESUMENGEN!$C$21:$M$110,11,FALSE))</f>
        <v>74.54463821737653</v>
      </c>
      <c r="I28" s="207">
        <f t="shared" ca="1" si="1"/>
        <v>71</v>
      </c>
      <c r="J28" s="208" t="str">
        <f ca="1">IFERROR(IF(AND(VLOOKUP(I28,RESUMENGEN!$C$21:$M$110,3,0)="HÁBIL",H28&lt;&gt;0),"ELEGIBLE","NO ELEGIBLE"),"")</f>
        <v>ELEGIBLE</v>
      </c>
    </row>
    <row r="29" spans="2:10">
      <c r="B29" s="204">
        <v>11</v>
      </c>
      <c r="C29" s="209">
        <f>IF(VLOOKUP(B29,PROPONENTES!$B$19:$E$109,2,0)="","",VLOOKUP(B29,PROPONENTES!$B$19:$E$109,2,0))</f>
        <v>11</v>
      </c>
      <c r="D29" s="205">
        <f t="shared" si="2"/>
        <v>2.0000000000000005E-9</v>
      </c>
      <c r="E29" s="261">
        <f ca="1">IF(ISNUMBER(VLOOKUP(C29,RESUMENGEN!$C$21:$M$110,2,0)),"",IF(AND(VLOOKUP(C29,RESUMENGEN!$C$21:$M$110,3,FALSE)&lt;&gt;"NO HÁBIL",VLOOKUP(C29,RESUMENGEN!$C$21:$M$110,3,FALSE)&lt;&gt;"RECHAZO"),VLOOKUP(C29,RESUMENGEN!$C$21:$M$110,11,FALSE)-D29,-D29))</f>
        <v>60.523198627895709</v>
      </c>
      <c r="F29" s="206">
        <f t="shared" ca="1" si="0"/>
        <v>52</v>
      </c>
      <c r="G29" s="258" t="str">
        <f ca="1">IF(I29="","",VLOOKUP(I29,RESUMENGEN!$C$21:$M$110,2,FALSE))</f>
        <v>CONSORCIO INTERTOLIMA CR</v>
      </c>
      <c r="H29" s="261">
        <f ca="1">IF(I29="","",VLOOKUP(I29,RESUMENGEN!$C$21:$M$110,11,FALSE))</f>
        <v>74.473280324294592</v>
      </c>
      <c r="I29" s="207">
        <f t="shared" ca="1" si="1"/>
        <v>38</v>
      </c>
      <c r="J29" s="208" t="str">
        <f ca="1">IFERROR(IF(AND(VLOOKUP(I29,RESUMENGEN!$C$21:$M$110,3,0)="HÁBIL",H29&lt;&gt;0),"ELEGIBLE","NO ELEGIBLE"),"")</f>
        <v>ELEGIBLE</v>
      </c>
    </row>
    <row r="30" spans="2:10">
      <c r="B30" s="204">
        <v>12</v>
      </c>
      <c r="C30" s="209">
        <f>IF(VLOOKUP(B30,PROPONENTES!$B$19:$E$109,2,0)="","",VLOOKUP(B30,PROPONENTES!$B$19:$E$109,2,0))</f>
        <v>12</v>
      </c>
      <c r="D30" s="205">
        <f t="shared" si="2"/>
        <v>2.1000000000000006E-9</v>
      </c>
      <c r="E30" s="261">
        <f ca="1">IF(ISNUMBER(VLOOKUP(C30,RESUMENGEN!$C$21:$M$110,2,0)),"",IF(AND(VLOOKUP(C30,RESUMENGEN!$C$21:$M$110,3,FALSE)&lt;&gt;"NO HÁBIL",VLOOKUP(C30,RESUMENGEN!$C$21:$M$110,3,FALSE)&lt;&gt;"RECHAZO"),VLOOKUP(C30,RESUMENGEN!$C$21:$M$110,11,FALSE)-D30,-D30))</f>
        <v>-2.1000000000000006E-9</v>
      </c>
      <c r="F30" s="206">
        <f t="shared" ca="1" si="0"/>
        <v>84</v>
      </c>
      <c r="G30" s="258" t="str">
        <f ca="1">IF(I30="","",VLOOKUP(I30,RESUMENGEN!$C$21:$M$110,2,FALSE))</f>
        <v>CONSORCIO LAPP</v>
      </c>
      <c r="H30" s="261">
        <f ca="1">IF(I30="","",VLOOKUP(I30,RESUMENGEN!$C$21:$M$110,11,FALSE))</f>
        <v>73.429231922532878</v>
      </c>
      <c r="I30" s="207">
        <f t="shared" ca="1" si="1"/>
        <v>49</v>
      </c>
      <c r="J30" s="208" t="str">
        <f ca="1">IFERROR(IF(AND(VLOOKUP(I30,RESUMENGEN!$C$21:$M$110,3,0)="HÁBIL",H30&lt;&gt;0),"ELEGIBLE","NO ELEGIBLE"),"")</f>
        <v>ELEGIBLE</v>
      </c>
    </row>
    <row r="31" spans="2:10">
      <c r="B31" s="204">
        <v>13</v>
      </c>
      <c r="C31" s="209">
        <f>IF(VLOOKUP(B31,PROPONENTES!$B$19:$E$109,2,0)="","",VLOOKUP(B31,PROPONENTES!$B$19:$E$109,2,0))</f>
        <v>13</v>
      </c>
      <c r="D31" s="205">
        <f t="shared" si="2"/>
        <v>2.2000000000000007E-9</v>
      </c>
      <c r="E31" s="261">
        <f ca="1">IF(ISNUMBER(VLOOKUP(C31,RESUMENGEN!$C$21:$M$110,2,0)),"",IF(AND(VLOOKUP(C31,RESUMENGEN!$C$21:$M$110,3,FALSE)&lt;&gt;"NO HÁBIL",VLOOKUP(C31,RESUMENGEN!$C$21:$M$110,3,FALSE)&lt;&gt;"RECHAZO"),VLOOKUP(C31,RESUMENGEN!$C$21:$M$110,11,FALSE)-D31,-D31))</f>
        <v>64.919814903003768</v>
      </c>
      <c r="F31" s="206">
        <f t="shared" ca="1" si="0"/>
        <v>39</v>
      </c>
      <c r="G31" s="258" t="str">
        <f ca="1">IF(I31="","",VLOOKUP(I31,RESUMENGEN!$C$21:$M$110,2,FALSE))</f>
        <v>INGENIEROS CONSULTORES Y CONSTRUCTORES ARG SAS</v>
      </c>
      <c r="H31" s="261">
        <f ca="1">IF(I31="","",VLOOKUP(I31,RESUMENGEN!$C$21:$M$110,11,FALSE))</f>
        <v>73.251902975691209</v>
      </c>
      <c r="I31" s="207">
        <f t="shared" ca="1" si="1"/>
        <v>21</v>
      </c>
      <c r="J31" s="208" t="str">
        <f ca="1">IFERROR(IF(AND(VLOOKUP(I31,RESUMENGEN!$C$21:$M$110,3,0)="HÁBIL",H31&lt;&gt;0),"ELEGIBLE","NO ELEGIBLE"),"")</f>
        <v>ELEGIBLE</v>
      </c>
    </row>
    <row r="32" spans="2:10">
      <c r="B32" s="204">
        <v>14</v>
      </c>
      <c r="C32" s="209">
        <f>IF(VLOOKUP(B32,PROPONENTES!$B$19:$E$109,2,0)="","",VLOOKUP(B32,PROPONENTES!$B$19:$E$109,2,0))</f>
        <v>14</v>
      </c>
      <c r="D32" s="205">
        <f t="shared" si="2"/>
        <v>2.3000000000000007E-9</v>
      </c>
      <c r="E32" s="261">
        <f ca="1">IF(ISNUMBER(VLOOKUP(C32,RESUMENGEN!$C$21:$M$110,2,0)),"",IF(AND(VLOOKUP(C32,RESUMENGEN!$C$21:$M$110,3,FALSE)&lt;&gt;"NO HÁBIL",VLOOKUP(C32,RESUMENGEN!$C$21:$M$110,3,FALSE)&lt;&gt;"RECHAZO"),VLOOKUP(C32,RESUMENGEN!$C$21:$M$110,11,FALSE)-D32,-D32))</f>
        <v>-2.3000000000000007E-9</v>
      </c>
      <c r="F32" s="206">
        <f t="shared" ca="1" si="0"/>
        <v>85</v>
      </c>
      <c r="G32" s="258" t="str">
        <f ca="1">IF(I32="","",VLOOKUP(I32,RESUMENGEN!$C$21:$M$110,2,FALSE))</f>
        <v>CARLOS ALBERTO PALTA MUÑOZ</v>
      </c>
      <c r="H32" s="261">
        <f ca="1">IF(I32="","",VLOOKUP(I32,RESUMENGEN!$C$21:$M$110,11,FALSE))</f>
        <v>72.231786221993929</v>
      </c>
      <c r="I32" s="207">
        <f t="shared" ca="1" si="1"/>
        <v>8</v>
      </c>
      <c r="J32" s="208" t="str">
        <f ca="1">IFERROR(IF(AND(VLOOKUP(I32,RESUMENGEN!$C$21:$M$110,3,0)="HÁBIL",H32&lt;&gt;0),"ELEGIBLE","NO ELEGIBLE"),"")</f>
        <v>ELEGIBLE</v>
      </c>
    </row>
    <row r="33" spans="2:10">
      <c r="B33" s="204">
        <v>15</v>
      </c>
      <c r="C33" s="209">
        <f>IF(VLOOKUP(B33,PROPONENTES!$B$19:$E$109,2,0)="","",VLOOKUP(B33,PROPONENTES!$B$19:$E$109,2,0))</f>
        <v>15</v>
      </c>
      <c r="D33" s="205">
        <f t="shared" si="2"/>
        <v>2.4000000000000008E-9</v>
      </c>
      <c r="E33" s="261">
        <f ca="1">IF(ISNUMBER(VLOOKUP(C33,RESUMENGEN!$C$21:$M$110,2,0)),"",IF(AND(VLOOKUP(C33,RESUMENGEN!$C$21:$M$110,3,FALSE)&lt;&gt;"NO HÁBIL",VLOOKUP(C33,RESUMENGEN!$C$21:$M$110,3,FALSE)&lt;&gt;"RECHAZO"),VLOOKUP(C33,RESUMENGEN!$C$21:$M$110,11,FALSE)-D33,-D33))</f>
        <v>75.788649649615493</v>
      </c>
      <c r="F33" s="206">
        <f t="shared" ca="1" si="0"/>
        <v>9</v>
      </c>
      <c r="G33" s="258" t="str">
        <f ca="1">IF(I33="","",VLOOKUP(I33,RESUMENGEN!$C$21:$M$110,2,FALSE))</f>
        <v>CONSORCIO INVIAS JP 2022</v>
      </c>
      <c r="H33" s="261">
        <f ca="1">IF(I33="","",VLOOKUP(I33,RESUMENGEN!$C$21:$M$110,11,FALSE))</f>
        <v>71.229968925724563</v>
      </c>
      <c r="I33" s="207">
        <f t="shared" ca="1" si="1"/>
        <v>81</v>
      </c>
      <c r="J33" s="208" t="str">
        <f ca="1">IFERROR(IF(AND(VLOOKUP(I33,RESUMENGEN!$C$21:$M$110,3,0)="HÁBIL",H33&lt;&gt;0),"ELEGIBLE","NO ELEGIBLE"),"")</f>
        <v>ELEGIBLE</v>
      </c>
    </row>
    <row r="34" spans="2:10">
      <c r="B34" s="204">
        <v>16</v>
      </c>
      <c r="C34" s="209">
        <f>IF(VLOOKUP(B34,PROPONENTES!$B$19:$E$109,2,0)="","",VLOOKUP(B34,PROPONENTES!$B$19:$E$109,2,0))</f>
        <v>16</v>
      </c>
      <c r="D34" s="205">
        <f t="shared" si="2"/>
        <v>2.5000000000000009E-9</v>
      </c>
      <c r="E34" s="261">
        <f ca="1">IF(ISNUMBER(VLOOKUP(C34,RESUMENGEN!$C$21:$M$110,2,0)),"",IF(AND(VLOOKUP(C34,RESUMENGEN!$C$21:$M$110,3,FALSE)&lt;&gt;"NO HÁBIL",VLOOKUP(C34,RESUMENGEN!$C$21:$M$110,3,FALSE)&lt;&gt;"RECHAZO"),VLOOKUP(C34,RESUMENGEN!$C$21:$M$110,11,FALSE)-D34,-D34))</f>
        <v>69.261937496878687</v>
      </c>
      <c r="F34" s="206">
        <f t="shared" ca="1" si="0"/>
        <v>22</v>
      </c>
      <c r="G34" s="258" t="str">
        <f ca="1">IF(I34="","",VLOOKUP(I34,RESUMENGEN!$C$21:$M$110,2,FALSE))</f>
        <v>RD INGENIEROS CIVILES SAS</v>
      </c>
      <c r="H34" s="261">
        <f ca="1">IF(I34="","",VLOOKUP(I34,RESUMENGEN!$C$21:$M$110,11,FALSE))</f>
        <v>70.772264384256232</v>
      </c>
      <c r="I34" s="207">
        <f t="shared" ca="1" si="1"/>
        <v>6</v>
      </c>
      <c r="J34" s="208" t="str">
        <f ca="1">IFERROR(IF(AND(VLOOKUP(I34,RESUMENGEN!$C$21:$M$110,3,0)="HÁBIL",H34&lt;&gt;0),"ELEGIBLE","NO ELEGIBLE"),"")</f>
        <v>ELEGIBLE</v>
      </c>
    </row>
    <row r="35" spans="2:10">
      <c r="B35" s="204">
        <v>17</v>
      </c>
      <c r="C35" s="209">
        <f>IF(VLOOKUP(B35,PROPONENTES!$B$19:$E$109,2,0)="","",VLOOKUP(B35,PROPONENTES!$B$19:$E$109,2,0))</f>
        <v>17</v>
      </c>
      <c r="D35" s="205">
        <f t="shared" si="2"/>
        <v>2.6000000000000009E-9</v>
      </c>
      <c r="E35" s="261">
        <f ca="1">IF(ISNUMBER(VLOOKUP(C35,RESUMENGEN!$C$21:$M$110,2,0)),"",IF(AND(VLOOKUP(C35,RESUMENGEN!$C$21:$M$110,3,FALSE)&lt;&gt;"NO HÁBIL",VLOOKUP(C35,RESUMENGEN!$C$21:$M$110,3,FALSE)&lt;&gt;"RECHAZO"),VLOOKUP(C35,RESUMENGEN!$C$21:$M$110,11,FALSE)-D35,-D35))</f>
        <v>68.796255303280148</v>
      </c>
      <c r="F35" s="206">
        <f t="shared" ca="1" si="0"/>
        <v>24</v>
      </c>
      <c r="G35" s="258" t="str">
        <f ca="1">IF(I35="","",VLOOKUP(I35,RESUMENGEN!$C$21:$M$110,2,FALSE))</f>
        <v>NORBERTO BAYONA ESPITIA</v>
      </c>
      <c r="H35" s="261">
        <f ca="1">IF(I35="","",VLOOKUP(I35,RESUMENGEN!$C$21:$M$110,11,FALSE))</f>
        <v>69.844614137764125</v>
      </c>
      <c r="I35" s="207">
        <f t="shared" ca="1" si="1"/>
        <v>53</v>
      </c>
      <c r="J35" s="208" t="str">
        <f ca="1">IFERROR(IF(AND(VLOOKUP(I35,RESUMENGEN!$C$21:$M$110,3,0)="HÁBIL",H35&lt;&gt;0),"ELEGIBLE","NO ELEGIBLE"),"")</f>
        <v>ELEGIBLE</v>
      </c>
    </row>
    <row r="36" spans="2:10">
      <c r="B36" s="204">
        <v>18</v>
      </c>
      <c r="C36" s="209">
        <f>IF(VLOOKUP(B36,PROPONENTES!$B$19:$E$109,2,0)="","",VLOOKUP(B36,PROPONENTES!$B$19:$E$109,2,0))</f>
        <v>18</v>
      </c>
      <c r="D36" s="205">
        <f t="shared" si="2"/>
        <v>2.700000000000001E-9</v>
      </c>
      <c r="E36" s="261">
        <f ca="1">IF(ISNUMBER(VLOOKUP(C36,RESUMENGEN!$C$21:$M$110,2,0)),"",IF(AND(VLOOKUP(C36,RESUMENGEN!$C$21:$M$110,3,FALSE)&lt;&gt;"NO HÁBIL",VLOOKUP(C36,RESUMENGEN!$C$21:$M$110,3,FALSE)&lt;&gt;"RECHAZO"),VLOOKUP(C36,RESUMENGEN!$C$21:$M$110,11,FALSE)-D36,-D36))</f>
        <v>68.905030765195761</v>
      </c>
      <c r="F36" s="206">
        <f t="shared" ca="1" si="0"/>
        <v>23</v>
      </c>
      <c r="G36" s="258" t="str">
        <f ca="1">IF(I36="","",VLOOKUP(I36,RESUMENGEN!$C$21:$M$110,2,FALSE))</f>
        <v>CONSORCIO INTERVIAL TOL 001</v>
      </c>
      <c r="H36" s="261">
        <f ca="1">IF(I36="","",VLOOKUP(I36,RESUMENGEN!$C$21:$M$110,11,FALSE))</f>
        <v>69.689787649973454</v>
      </c>
      <c r="I36" s="207">
        <f t="shared" ca="1" si="1"/>
        <v>62</v>
      </c>
      <c r="J36" s="208" t="str">
        <f ca="1">IFERROR(IF(AND(VLOOKUP(I36,RESUMENGEN!$C$21:$M$110,3,0)="HÁBIL",H36&lt;&gt;0),"ELEGIBLE","NO ELEGIBLE"),"")</f>
        <v>ELEGIBLE</v>
      </c>
    </row>
    <row r="37" spans="2:10">
      <c r="B37" s="204">
        <v>19</v>
      </c>
      <c r="C37" s="209">
        <f>IF(VLOOKUP(B37,PROPONENTES!$B$19:$E$109,2,0)="","",VLOOKUP(B37,PROPONENTES!$B$19:$E$109,2,0))</f>
        <v>19</v>
      </c>
      <c r="D37" s="205">
        <f t="shared" si="2"/>
        <v>2.8000000000000011E-9</v>
      </c>
      <c r="E37" s="261">
        <f ca="1">IF(ISNUMBER(VLOOKUP(C37,RESUMENGEN!$C$21:$M$110,2,0)),"",IF(AND(VLOOKUP(C37,RESUMENGEN!$C$21:$M$110,3,FALSE)&lt;&gt;"NO HÁBIL",VLOOKUP(C37,RESUMENGEN!$C$21:$M$110,3,FALSE)&lt;&gt;"RECHAZO"),VLOOKUP(C37,RESUMENGEN!$C$21:$M$110,11,FALSE)-D37,-D37))</f>
        <v>69.668133272790726</v>
      </c>
      <c r="F37" s="206">
        <f t="shared" ca="1" si="0"/>
        <v>19</v>
      </c>
      <c r="G37" s="258" t="str">
        <f ca="1">IF(I37="","",VLOOKUP(I37,RESUMENGEN!$C$21:$M$110,2,FALSE))</f>
        <v>ELSA MARIA RUEDA LANDINEZ INGENIERIA SAS</v>
      </c>
      <c r="H37" s="261">
        <f ca="1">IF(I37="","",VLOOKUP(I37,RESUMENGEN!$C$21:$M$110,11,FALSE))</f>
        <v>69.668133275590719</v>
      </c>
      <c r="I37" s="207">
        <f t="shared" ca="1" si="1"/>
        <v>19</v>
      </c>
      <c r="J37" s="208" t="str">
        <f ca="1">IFERROR(IF(AND(VLOOKUP(I37,RESUMENGEN!$C$21:$M$110,3,0)="HÁBIL",H37&lt;&gt;0),"ELEGIBLE","NO ELEGIBLE"),"")</f>
        <v>ELEGIBLE</v>
      </c>
    </row>
    <row r="38" spans="2:10">
      <c r="B38" s="204">
        <v>20</v>
      </c>
      <c r="C38" s="209">
        <f>IF(VLOOKUP(B38,PROPONENTES!$B$19:$E$109,2,0)="","",VLOOKUP(B38,PROPONENTES!$B$19:$E$109,2,0))</f>
        <v>20</v>
      </c>
      <c r="D38" s="205">
        <f t="shared" si="2"/>
        <v>2.9000000000000012E-9</v>
      </c>
      <c r="E38" s="261">
        <f ca="1">IF(ISNUMBER(VLOOKUP(C38,RESUMENGEN!$C$21:$M$110,2,0)),"",IF(AND(VLOOKUP(C38,RESUMENGEN!$C$21:$M$110,3,FALSE)&lt;&gt;"NO HÁBIL",VLOOKUP(C38,RESUMENGEN!$C$21:$M$110,3,FALSE)&lt;&gt;"RECHAZO"),VLOOKUP(C38,RESUMENGEN!$C$21:$M$110,11,FALSE)-D38,-D38))</f>
        <v>84.330953062139599</v>
      </c>
      <c r="F38" s="206">
        <f t="shared" ca="1" si="0"/>
        <v>5</v>
      </c>
      <c r="G38" s="258" t="str">
        <f ca="1">IF(I38="","",VLOOKUP(I38,RESUMENGEN!$C$21:$M$110,2,FALSE))</f>
        <v>CONSORCIO GABRIELA TOLIMA</v>
      </c>
      <c r="H38" s="261">
        <f ca="1">IF(I38="","",VLOOKUP(I38,RESUMENGEN!$C$21:$M$110,11,FALSE))</f>
        <v>69.442727653995703</v>
      </c>
      <c r="I38" s="207">
        <f t="shared" ca="1" si="1"/>
        <v>22</v>
      </c>
      <c r="J38" s="208" t="str">
        <f ca="1">IFERROR(IF(AND(VLOOKUP(I38,RESUMENGEN!$C$21:$M$110,3,0)="HÁBIL",H38&lt;&gt;0),"ELEGIBLE","NO ELEGIBLE"),"")</f>
        <v>ELEGIBLE</v>
      </c>
    </row>
    <row r="39" spans="2:10">
      <c r="B39" s="204">
        <v>21</v>
      </c>
      <c r="C39" s="209">
        <f>IF(VLOOKUP(B39,PROPONENTES!$B$19:$E$109,2,0)="","",VLOOKUP(B39,PROPONENTES!$B$19:$E$109,2,0))</f>
        <v>21</v>
      </c>
      <c r="D39" s="205">
        <f t="shared" si="2"/>
        <v>3.0000000000000012E-9</v>
      </c>
      <c r="E39" s="261">
        <f ca="1">IF(ISNUMBER(VLOOKUP(C39,RESUMENGEN!$C$21:$M$110,2,0)),"",IF(AND(VLOOKUP(C39,RESUMENGEN!$C$21:$M$110,3,FALSE)&lt;&gt;"NO HÁBIL",VLOOKUP(C39,RESUMENGEN!$C$21:$M$110,3,FALSE)&lt;&gt;"RECHAZO"),VLOOKUP(C39,RESUMENGEN!$C$21:$M$110,11,FALSE)-D39,-D39))</f>
        <v>73.251902972691212</v>
      </c>
      <c r="F39" s="206">
        <f t="shared" ca="1" si="0"/>
        <v>13</v>
      </c>
      <c r="G39" s="258" t="str">
        <f ca="1">IF(I39="","",VLOOKUP(I39,RESUMENGEN!$C$21:$M$110,2,FALSE))</f>
        <v>COMPAÑIA DE PROYECTOS TÉCNICOS CPT S.A</v>
      </c>
      <c r="H39" s="261">
        <f ca="1">IF(I39="","",VLOOKUP(I39,RESUMENGEN!$C$21:$M$110,11,FALSE))</f>
        <v>69.40044570582765</v>
      </c>
      <c r="I39" s="207">
        <f t="shared" ca="1" si="1"/>
        <v>4</v>
      </c>
      <c r="J39" s="208" t="str">
        <f ca="1">IFERROR(IF(AND(VLOOKUP(I39,RESUMENGEN!$C$21:$M$110,3,0)="HÁBIL",H39&lt;&gt;0),"ELEGIBLE","NO ELEGIBLE"),"")</f>
        <v>ELEGIBLE</v>
      </c>
    </row>
    <row r="40" spans="2:10">
      <c r="B40" s="204">
        <v>22</v>
      </c>
      <c r="C40" s="209">
        <f>IF(VLOOKUP(B40,PROPONENTES!$B$19:$E$109,2,0)="","",VLOOKUP(B40,PROPONENTES!$B$19:$E$109,2,0))</f>
        <v>22</v>
      </c>
      <c r="D40" s="205">
        <f t="shared" si="2"/>
        <v>3.1000000000000013E-9</v>
      </c>
      <c r="E40" s="261">
        <f ca="1">IF(ISNUMBER(VLOOKUP(C40,RESUMENGEN!$C$21:$M$110,2,0)),"",IF(AND(VLOOKUP(C40,RESUMENGEN!$C$21:$M$110,3,FALSE)&lt;&gt;"NO HÁBIL",VLOOKUP(C40,RESUMENGEN!$C$21:$M$110,3,FALSE)&lt;&gt;"RECHAZO"),VLOOKUP(C40,RESUMENGEN!$C$21:$M$110,11,FALSE)-D40,-D40))</f>
        <v>69.442727650895705</v>
      </c>
      <c r="F40" s="206">
        <f t="shared" ca="1" si="0"/>
        <v>20</v>
      </c>
      <c r="G40" s="258" t="str">
        <f ca="1">IF(I40="","",VLOOKUP(I40,RESUMENGEN!$C$21:$M$110,2,FALSE))</f>
        <v>CONSORCIO CAMCO</v>
      </c>
      <c r="H40" s="261">
        <f ca="1">IF(I40="","",VLOOKUP(I40,RESUMENGEN!$C$21:$M$110,11,FALSE))</f>
        <v>69.261937499378689</v>
      </c>
      <c r="I40" s="207">
        <f t="shared" ca="1" si="1"/>
        <v>16</v>
      </c>
      <c r="J40" s="208" t="str">
        <f ca="1">IFERROR(IF(AND(VLOOKUP(I40,RESUMENGEN!$C$21:$M$110,3,0)="HÁBIL",H40&lt;&gt;0),"ELEGIBLE","NO ELEGIBLE"),"")</f>
        <v>ELEGIBLE</v>
      </c>
    </row>
    <row r="41" spans="2:10">
      <c r="B41" s="204">
        <v>23</v>
      </c>
      <c r="C41" s="209">
        <f>IF(VLOOKUP(B41,PROPONENTES!$B$19:$E$109,2,0)="","",VLOOKUP(B41,PROPONENTES!$B$19:$E$109,2,0))</f>
        <v>23</v>
      </c>
      <c r="D41" s="205">
        <f t="shared" si="2"/>
        <v>3.2000000000000014E-9</v>
      </c>
      <c r="E41" s="261">
        <f ca="1">IF(ISNUMBER(VLOOKUP(C41,RESUMENGEN!$C$21:$M$110,2,0)),"",IF(AND(VLOOKUP(C41,RESUMENGEN!$C$21:$M$110,3,FALSE)&lt;&gt;"NO HÁBIL",VLOOKUP(C41,RESUMENGEN!$C$21:$M$110,3,FALSE)&lt;&gt;"RECHAZO"),VLOOKUP(C41,RESUMENGEN!$C$21:$M$110,11,FALSE)-D41,-D41))</f>
        <v>67.317479318707825</v>
      </c>
      <c r="F41" s="206">
        <f t="shared" ca="1" si="0"/>
        <v>31</v>
      </c>
      <c r="G41" s="258" t="str">
        <f ca="1">IF(I41="","",VLOOKUP(I41,RESUMENGEN!$C$21:$M$110,2,FALSE))</f>
        <v>ALPHA INGENIERIA INTEGRAL SAS</v>
      </c>
      <c r="H41" s="261">
        <f ca="1">IF(I41="","",VLOOKUP(I41,RESUMENGEN!$C$21:$M$110,11,FALSE))</f>
        <v>68.905030767895767</v>
      </c>
      <c r="I41" s="207">
        <f t="shared" ca="1" si="1"/>
        <v>18</v>
      </c>
      <c r="J41" s="208" t="str">
        <f ca="1">IFERROR(IF(AND(VLOOKUP(I41,RESUMENGEN!$C$21:$M$110,3,0)="HÁBIL",H41&lt;&gt;0),"ELEGIBLE","NO ELEGIBLE"),"")</f>
        <v>ELEGIBLE</v>
      </c>
    </row>
    <row r="42" spans="2:10">
      <c r="B42" s="204">
        <v>24</v>
      </c>
      <c r="C42" s="209">
        <f>IF(VLOOKUP(B42,PROPONENTES!$B$19:$E$109,2,0)="","",VLOOKUP(B42,PROPONENTES!$B$19:$E$109,2,0))</f>
        <v>24</v>
      </c>
      <c r="D42" s="205">
        <f t="shared" si="2"/>
        <v>3.3000000000000014E-9</v>
      </c>
      <c r="E42" s="261">
        <f ca="1">IF(ISNUMBER(VLOOKUP(C42,RESUMENGEN!$C$21:$M$110,2,0)),"",IF(AND(VLOOKUP(C42,RESUMENGEN!$C$21:$M$110,3,FALSE)&lt;&gt;"NO HÁBIL",VLOOKUP(C42,RESUMENGEN!$C$21:$M$110,3,FALSE)&lt;&gt;"RECHAZO"),VLOOKUP(C42,RESUMENGEN!$C$21:$M$110,11,FALSE)-D42,-D42))</f>
        <v>56.134116582422919</v>
      </c>
      <c r="F42" s="206">
        <f t="shared" ca="1" si="0"/>
        <v>61</v>
      </c>
      <c r="G42" s="258" t="str">
        <f ca="1">IF(I42="","",VLOOKUP(I42,RESUMENGEN!$C$21:$M$110,2,FALSE))</f>
        <v>ARCA AQUITECTURA E INGENIERÍA S.A</v>
      </c>
      <c r="H42" s="261">
        <f ca="1">IF(I42="","",VLOOKUP(I42,RESUMENGEN!$C$21:$M$110,11,FALSE))</f>
        <v>68.796255305880152</v>
      </c>
      <c r="I42" s="207">
        <f t="shared" ca="1" si="1"/>
        <v>17</v>
      </c>
      <c r="J42" s="208" t="str">
        <f ca="1">IFERROR(IF(AND(VLOOKUP(I42,RESUMENGEN!$C$21:$M$110,3,0)="HÁBIL",H42&lt;&gt;0),"ELEGIBLE","NO ELEGIBLE"),"")</f>
        <v>ELEGIBLE</v>
      </c>
    </row>
    <row r="43" spans="2:10">
      <c r="B43" s="204">
        <v>25</v>
      </c>
      <c r="C43" s="209">
        <f>IF(VLOOKUP(B43,PROPONENTES!$B$19:$E$109,2,0)="","",VLOOKUP(B43,PROPONENTES!$B$19:$E$109,2,0))</f>
        <v>25</v>
      </c>
      <c r="D43" s="205">
        <f t="shared" si="2"/>
        <v>3.4000000000000015E-9</v>
      </c>
      <c r="E43" s="261">
        <f ca="1">IF(ISNUMBER(VLOOKUP(C43,RESUMENGEN!$C$21:$M$110,2,0)),"",IF(AND(VLOOKUP(C43,RESUMENGEN!$C$21:$M$110,3,FALSE)&lt;&gt;"NO HÁBIL",VLOOKUP(C43,RESUMENGEN!$C$21:$M$110,3,FALSE)&lt;&gt;"RECHAZO"),VLOOKUP(C43,RESUMENGEN!$C$21:$M$110,11,FALSE)-D43,-D43))</f>
        <v>63.426519826581192</v>
      </c>
      <c r="F43" s="206">
        <f t="shared" ca="1" si="0"/>
        <v>45</v>
      </c>
      <c r="G43" s="258" t="str">
        <f ca="1">IF(I43="","",VLOOKUP(I43,RESUMENGEN!$C$21:$M$110,2,FALSE))</f>
        <v>CONSORCIO INTER C&amp;R</v>
      </c>
      <c r="H43" s="261">
        <f ca="1">IF(I43="","",VLOOKUP(I43,RESUMENGEN!$C$21:$M$110,11,FALSE))</f>
        <v>68.29919225488743</v>
      </c>
      <c r="I43" s="207">
        <f t="shared" ca="1" si="1"/>
        <v>89</v>
      </c>
      <c r="J43" s="208" t="str">
        <f ca="1">IFERROR(IF(AND(VLOOKUP(I43,RESUMENGEN!$C$21:$M$110,3,0)="HÁBIL",H43&lt;&gt;0),"ELEGIBLE","NO ELEGIBLE"),"")</f>
        <v>ELEGIBLE</v>
      </c>
    </row>
    <row r="44" spans="2:10">
      <c r="B44" s="204">
        <v>26</v>
      </c>
      <c r="C44" s="209">
        <f>IF(VLOOKUP(B44,PROPONENTES!$B$19:$E$109,2,0)="","",VLOOKUP(B44,PROPONENTES!$B$19:$E$109,2,0))</f>
        <v>26</v>
      </c>
      <c r="D44" s="205">
        <f t="shared" si="2"/>
        <v>3.5000000000000016E-9</v>
      </c>
      <c r="E44" s="261">
        <f ca="1">IF(ISNUMBER(VLOOKUP(C44,RESUMENGEN!$C$21:$M$110,2,0)),"",IF(AND(VLOOKUP(C44,RESUMENGEN!$C$21:$M$110,3,FALSE)&lt;&gt;"NO HÁBIL",VLOOKUP(C44,RESUMENGEN!$C$21:$M$110,3,FALSE)&lt;&gt;"RECHAZO"),VLOOKUP(C44,RESUMENGEN!$C$21:$M$110,11,FALSE)-D44,-D44))</f>
        <v>65.199130824729437</v>
      </c>
      <c r="F44" s="206">
        <f t="shared" ca="1" si="0"/>
        <v>35</v>
      </c>
      <c r="G44" s="258" t="str">
        <f ca="1">IF(I44="","",VLOOKUP(I44,RESUMENGEN!$C$21:$M$110,2,FALSE))</f>
        <v>GAVINCO INGENIEROS CONSULTORES SAS</v>
      </c>
      <c r="H44" s="261">
        <f ca="1">IF(I44="","",VLOOKUP(I44,RESUMENGEN!$C$21:$M$110,11,FALSE))</f>
        <v>68.255752703498075</v>
      </c>
      <c r="I44" s="207">
        <f t="shared" ca="1" si="1"/>
        <v>5</v>
      </c>
      <c r="J44" s="208" t="str">
        <f ca="1">IFERROR(IF(AND(VLOOKUP(I44,RESUMENGEN!$C$21:$M$110,3,0)="HÁBIL",H44&lt;&gt;0),"ELEGIBLE","NO ELEGIBLE"),"")</f>
        <v>ELEGIBLE</v>
      </c>
    </row>
    <row r="45" spans="2:10" ht="30">
      <c r="B45" s="204">
        <v>27</v>
      </c>
      <c r="C45" s="209">
        <f>IF(VLOOKUP(B45,PROPONENTES!$B$19:$E$109,2,0)="","",VLOOKUP(B45,PROPONENTES!$B$19:$E$109,2,0))</f>
        <v>27</v>
      </c>
      <c r="D45" s="205">
        <f t="shared" si="2"/>
        <v>3.6000000000000016E-9</v>
      </c>
      <c r="E45" s="261">
        <f ca="1">IF(ISNUMBER(VLOOKUP(C45,RESUMENGEN!$C$21:$M$110,2,0)),"",IF(AND(VLOOKUP(C45,RESUMENGEN!$C$21:$M$110,3,FALSE)&lt;&gt;"NO HÁBIL",VLOOKUP(C45,RESUMENGEN!$C$21:$M$110,3,FALSE)&lt;&gt;"RECHAZO"),VLOOKUP(C45,RESUMENGEN!$C$21:$M$110,11,FALSE)-D45,-D45))</f>
        <v>53.979593314785284</v>
      </c>
      <c r="F45" s="206">
        <f t="shared" ca="1" si="0"/>
        <v>67</v>
      </c>
      <c r="G45" s="258" t="str">
        <f ca="1">IF(I45="","",VLOOKUP(I45,RESUMENGEN!$C$21:$M$110,2,FALSE))</f>
        <v>TECNOLOGÍA DE NUEVAS MEDICIONES COLOMBIA S.A.S. – TECNUMEC S.A.S.</v>
      </c>
      <c r="H45" s="261">
        <f ca="1">IF(I45="","",VLOOKUP(I45,RESUMENGEN!$C$21:$M$110,11,FALSE))</f>
        <v>67.823659315784752</v>
      </c>
      <c r="I45" s="207">
        <f t="shared" ca="1" si="1"/>
        <v>45</v>
      </c>
      <c r="J45" s="208" t="str">
        <f ca="1">IFERROR(IF(AND(VLOOKUP(I45,RESUMENGEN!$C$21:$M$110,3,0)="HÁBIL",H45&lt;&gt;0),"ELEGIBLE","NO ELEGIBLE"),"")</f>
        <v>ELEGIBLE</v>
      </c>
    </row>
    <row r="46" spans="2:10">
      <c r="B46" s="204">
        <v>28</v>
      </c>
      <c r="C46" s="209">
        <f>IF(VLOOKUP(B46,PROPONENTES!$B$19:$E$109,2,0)="","",VLOOKUP(B46,PROPONENTES!$B$19:$E$109,2,0))</f>
        <v>28</v>
      </c>
      <c r="D46" s="205">
        <f t="shared" si="2"/>
        <v>3.7000000000000017E-9</v>
      </c>
      <c r="E46" s="261">
        <f ca="1">IF(ISNUMBER(VLOOKUP(C46,RESUMENGEN!$C$21:$M$110,2,0)),"",IF(AND(VLOOKUP(C46,RESUMENGEN!$C$21:$M$110,3,FALSE)&lt;&gt;"NO HÁBIL",VLOOKUP(C46,RESUMENGEN!$C$21:$M$110,3,FALSE)&lt;&gt;"RECHAZO"),VLOOKUP(C46,RESUMENGEN!$C$21:$M$110,11,FALSE)-D46,-D46))</f>
        <v>40.01556063088632</v>
      </c>
      <c r="F46" s="206">
        <f t="shared" ca="1" si="0"/>
        <v>74</v>
      </c>
      <c r="G46" s="258" t="str">
        <f ca="1">IF(I46="","",VLOOKUP(I46,RESUMENGEN!$C$21:$M$110,2,FALSE))</f>
        <v>CONSORCIO INVIAS 001</v>
      </c>
      <c r="H46" s="261">
        <f ca="1">IF(I46="","",VLOOKUP(I46,RESUMENGEN!$C$21:$M$110,11,FALSE))</f>
        <v>67.815510312317258</v>
      </c>
      <c r="I46" s="207">
        <f t="shared" ca="1" si="1"/>
        <v>40</v>
      </c>
      <c r="J46" s="208" t="str">
        <f ca="1">IFERROR(IF(AND(VLOOKUP(I46,RESUMENGEN!$C$21:$M$110,3,0)="HÁBIL",H46&lt;&gt;0),"ELEGIBLE","NO ELEGIBLE"),"")</f>
        <v>ELEGIBLE</v>
      </c>
    </row>
    <row r="47" spans="2:10">
      <c r="B47" s="204">
        <v>29</v>
      </c>
      <c r="C47" s="209">
        <f>IF(VLOOKUP(B47,PROPONENTES!$B$19:$E$109,2,0)="","",VLOOKUP(B47,PROPONENTES!$B$19:$E$109,2,0))</f>
        <v>29</v>
      </c>
      <c r="D47" s="205">
        <f t="shared" si="2"/>
        <v>3.8000000000000018E-9</v>
      </c>
      <c r="E47" s="261">
        <f ca="1">IF(ISNUMBER(VLOOKUP(C47,RESUMENGEN!$C$21:$M$110,2,0)),"",IF(AND(VLOOKUP(C47,RESUMENGEN!$C$21:$M$110,3,FALSE)&lt;&gt;"NO HÁBIL",VLOOKUP(C47,RESUMENGEN!$C$21:$M$110,3,FALSE)&lt;&gt;"RECHAZO"),VLOOKUP(C47,RESUMENGEN!$C$21:$M$110,11,FALSE)-D47,-D47))</f>
        <v>44.288146117893902</v>
      </c>
      <c r="F47" s="206">
        <f t="shared" ca="1" si="0"/>
        <v>72</v>
      </c>
      <c r="G47" s="258" t="str">
        <f ca="1">IF(I47="","",VLOOKUP(I47,RESUMENGEN!$C$21:$M$110,2,FALSE))</f>
        <v>CONSULTORES DONOVAN SAS</v>
      </c>
      <c r="H47" s="261">
        <f ca="1">IF(I47="","",VLOOKUP(I47,RESUMENGEN!$C$21:$M$110,11,FALSE))</f>
        <v>67.76214284177567</v>
      </c>
      <c r="I47" s="207">
        <f t="shared" ca="1" si="1"/>
        <v>3</v>
      </c>
      <c r="J47" s="208" t="str">
        <f ca="1">IFERROR(IF(AND(VLOOKUP(I47,RESUMENGEN!$C$21:$M$110,3,0)="HÁBIL",H47&lt;&gt;0),"ELEGIBLE","NO ELEGIBLE"),"")</f>
        <v>ELEGIBLE</v>
      </c>
    </row>
    <row r="48" spans="2:10">
      <c r="B48" s="204">
        <v>30</v>
      </c>
      <c r="C48" s="209">
        <f>IF(VLOOKUP(B48,PROPONENTES!$B$19:$E$109,2,0)="","",VLOOKUP(B48,PROPONENTES!$B$19:$E$109,2,0))</f>
        <v>30</v>
      </c>
      <c r="D48" s="205">
        <f t="shared" si="2"/>
        <v>3.9000000000000018E-9</v>
      </c>
      <c r="E48" s="261">
        <f ca="1">IF(ISNUMBER(VLOOKUP(C48,RESUMENGEN!$C$21:$M$110,2,0)),"",IF(AND(VLOOKUP(C48,RESUMENGEN!$C$21:$M$110,3,FALSE)&lt;&gt;"NO HÁBIL",VLOOKUP(C48,RESUMENGEN!$C$21:$M$110,3,FALSE)&lt;&gt;"RECHAZO"),VLOOKUP(C48,RESUMENGEN!$C$21:$M$110,11,FALSE)-D48,-D48))</f>
        <v>99.581489968084981</v>
      </c>
      <c r="F48" s="206">
        <f t="shared" ca="1" si="0"/>
        <v>1</v>
      </c>
      <c r="G48" s="258" t="str">
        <f ca="1">IF(I48="","",VLOOKUP(I48,RESUMENGEN!$C$21:$M$110,2,FALSE))</f>
        <v>SOLUCIONES PARA LA INGENIERÍA S.A.S.</v>
      </c>
      <c r="H48" s="261">
        <f ca="1">IF(I48="","",VLOOKUP(I48,RESUMENGEN!$C$21:$M$110,11,FALSE))</f>
        <v>67.46157724768554</v>
      </c>
      <c r="I48" s="207">
        <f t="shared" ca="1" si="1"/>
        <v>68</v>
      </c>
      <c r="J48" s="208" t="str">
        <f ca="1">IFERROR(IF(AND(VLOOKUP(I48,RESUMENGEN!$C$21:$M$110,3,0)="HÁBIL",H48&lt;&gt;0),"ELEGIBLE","NO ELEGIBLE"),"")</f>
        <v>ELEGIBLE</v>
      </c>
    </row>
    <row r="49" spans="2:10">
      <c r="B49" s="204">
        <v>31</v>
      </c>
      <c r="C49" s="209">
        <f>IF(VLOOKUP(B49,PROPONENTES!$B$19:$E$109,2,0)="","",VLOOKUP(B49,PROPONENTES!$B$19:$E$109,2,0))</f>
        <v>31</v>
      </c>
      <c r="D49" s="205">
        <f t="shared" si="2"/>
        <v>4.0000000000000019E-9</v>
      </c>
      <c r="E49" s="261">
        <f ca="1">IF(ISNUMBER(VLOOKUP(C49,RESUMENGEN!$C$21:$M$110,2,0)),"",IF(AND(VLOOKUP(C49,RESUMENGEN!$C$21:$M$110,3,FALSE)&lt;&gt;"NO HÁBIL",VLOOKUP(C49,RESUMENGEN!$C$21:$M$110,3,FALSE)&lt;&gt;"RECHAZO"),VLOOKUP(C49,RESUMENGEN!$C$21:$M$110,11,FALSE)-D49,-D49))</f>
        <v>54.695196157245753</v>
      </c>
      <c r="F49" s="206">
        <f t="shared" ca="1" si="0"/>
        <v>66</v>
      </c>
      <c r="G49" s="258" t="str">
        <f ca="1">IF(I49="","",VLOOKUP(I49,RESUMENGEN!$C$21:$M$110,2,FALSE))</f>
        <v>VELNEC S.A</v>
      </c>
      <c r="H49" s="261">
        <f ca="1">IF(I49="","",VLOOKUP(I49,RESUMENGEN!$C$21:$M$110,11,FALSE))</f>
        <v>67.317479321907825</v>
      </c>
      <c r="I49" s="207">
        <f t="shared" ca="1" si="1"/>
        <v>23</v>
      </c>
      <c r="J49" s="208" t="str">
        <f ca="1">IFERROR(IF(AND(VLOOKUP(I49,RESUMENGEN!$C$21:$M$110,3,0)="HÁBIL",H49&lt;&gt;0),"ELEGIBLE","NO ELEGIBLE"),"")</f>
        <v>ELEGIBLE</v>
      </c>
    </row>
    <row r="50" spans="2:10">
      <c r="B50" s="204">
        <v>32</v>
      </c>
      <c r="C50" s="209">
        <f>IF(VLOOKUP(B50,PROPONENTES!$B$19:$E$109,2,0)="","",VLOOKUP(B50,PROPONENTES!$B$19:$E$109,2,0))</f>
        <v>32</v>
      </c>
      <c r="D50" s="205">
        <f t="shared" si="2"/>
        <v>4.100000000000002E-9</v>
      </c>
      <c r="E50" s="261">
        <f ca="1">IF(ISNUMBER(VLOOKUP(C50,RESUMENGEN!$C$21:$M$110,2,0)),"",IF(AND(VLOOKUP(C50,RESUMENGEN!$C$21:$M$110,3,FALSE)&lt;&gt;"NO HÁBIL",VLOOKUP(C50,RESUMENGEN!$C$21:$M$110,3,FALSE)&lt;&gt;"RECHAZO"),VLOOKUP(C50,RESUMENGEN!$C$21:$M$110,11,FALSE)-D50,-D50))</f>
        <v>90.356538295407404</v>
      </c>
      <c r="F50" s="206">
        <f t="shared" ca="1" si="0"/>
        <v>2</v>
      </c>
      <c r="G50" s="258" t="str">
        <f ca="1">IF(I50="","",VLOOKUP(I50,RESUMENGEN!$C$21:$M$110,2,FALSE))</f>
        <v>PROYECTISTAS ASOCIADOS SAS</v>
      </c>
      <c r="H50" s="261">
        <f ca="1">IF(I50="","",VLOOKUP(I50,RESUMENGEN!$C$21:$M$110,11,FALSE))</f>
        <v>66.830841240038055</v>
      </c>
      <c r="I50" s="207">
        <f t="shared" ca="1" si="1"/>
        <v>50</v>
      </c>
      <c r="J50" s="208" t="str">
        <f ca="1">IFERROR(IF(AND(VLOOKUP(I50,RESUMENGEN!$C$21:$M$110,3,0)="HÁBIL",H50&lt;&gt;0),"ELEGIBLE","NO ELEGIBLE"),"")</f>
        <v>ELEGIBLE</v>
      </c>
    </row>
    <row r="51" spans="2:10">
      <c r="B51" s="204">
        <v>33</v>
      </c>
      <c r="C51" s="209">
        <f>IF(VLOOKUP(B51,PROPONENTES!$B$19:$E$109,2,0)="","",VLOOKUP(B51,PROPONENTES!$B$19:$E$109,2,0))</f>
        <v>33</v>
      </c>
      <c r="D51" s="205">
        <f t="shared" si="2"/>
        <v>4.200000000000002E-9</v>
      </c>
      <c r="E51" s="261">
        <f ca="1">IF(ISNUMBER(VLOOKUP(C51,RESUMENGEN!$C$21:$M$110,2,0)),"",IF(AND(VLOOKUP(C51,RESUMENGEN!$C$21:$M$110,3,FALSE)&lt;&gt;"NO HÁBIL",VLOOKUP(C51,RESUMENGEN!$C$21:$M$110,3,FALSE)&lt;&gt;"RECHAZO"),VLOOKUP(C51,RESUMENGEN!$C$21:$M$110,11,FALSE)-D51,-D51))</f>
        <v>25.644551890798294</v>
      </c>
      <c r="F51" s="206">
        <f t="shared" ref="F51:F82" ca="1" si="3">IFERROR(RANK(E51,$E$19:$E$108),"")</f>
        <v>82</v>
      </c>
      <c r="G51" s="258" t="str">
        <f ca="1">IF(I51="","",VLOOKUP(I51,RESUMENGEN!$C$21:$M$110,2,FALSE))</f>
        <v>CONSULTORES SOLANO NAVAS LTDA</v>
      </c>
      <c r="H51" s="261">
        <f ca="1">IF(I51="","",VLOOKUP(I51,RESUMENGEN!$C$21:$M$110,11,FALSE))</f>
        <v>66.017520988984472</v>
      </c>
      <c r="I51" s="207">
        <f t="shared" ref="I51:I82" ca="1" si="4">IF(F51="","",OFFSET($C$18,MATCH(B51,$F$19:$F$108,0),0))</f>
        <v>46</v>
      </c>
      <c r="J51" s="208" t="str">
        <f ca="1">IFERROR(IF(AND(VLOOKUP(I51,RESUMENGEN!$C$21:$M$110,3,0)="HÁBIL",H51&lt;&gt;0),"ELEGIBLE","NO ELEGIBLE"),"")</f>
        <v>ELEGIBLE</v>
      </c>
    </row>
    <row r="52" spans="2:10">
      <c r="B52" s="204">
        <v>34</v>
      </c>
      <c r="C52" s="209">
        <f>IF(VLOOKUP(B52,PROPONENTES!$B$19:$E$109,2,0)="","",VLOOKUP(B52,PROPONENTES!$B$19:$E$109,2,0))</f>
        <v>34</v>
      </c>
      <c r="D52" s="205">
        <f t="shared" si="2"/>
        <v>4.3000000000000021E-9</v>
      </c>
      <c r="E52" s="261">
        <f ca="1">IF(ISNUMBER(VLOOKUP(C52,RESUMENGEN!$C$21:$M$110,2,0)),"",IF(AND(VLOOKUP(C52,RESUMENGEN!$C$21:$M$110,3,FALSE)&lt;&gt;"NO HÁBIL",VLOOKUP(C52,RESUMENGEN!$C$21:$M$110,3,FALSE)&lt;&gt;"RECHAZO"),VLOOKUP(C52,RESUMENGEN!$C$21:$M$110,11,FALSE)-D52,-D52))</f>
        <v>59.39248515369291</v>
      </c>
      <c r="F52" s="206">
        <f t="shared" ca="1" si="3"/>
        <v>54</v>
      </c>
      <c r="G52" s="258" t="str">
        <f ca="1">IF(I52="","",VLOOKUP(I52,RESUMENGEN!$C$21:$M$110,2,FALSE))</f>
        <v>CONSORCIO GMC</v>
      </c>
      <c r="H52" s="261">
        <f ca="1">IF(I52="","",VLOOKUP(I52,RESUMENGEN!$C$21:$M$110,11,FALSE))</f>
        <v>65.954343321652175</v>
      </c>
      <c r="I52" s="207">
        <f t="shared" ca="1" si="4"/>
        <v>9</v>
      </c>
      <c r="J52" s="208" t="str">
        <f ca="1">IFERROR(IF(AND(VLOOKUP(I52,RESUMENGEN!$C$21:$M$110,3,0)="HÁBIL",H52&lt;&gt;0),"ELEGIBLE","NO ELEGIBLE"),"")</f>
        <v>ELEGIBLE</v>
      </c>
    </row>
    <row r="53" spans="2:10">
      <c r="B53" s="204">
        <v>35</v>
      </c>
      <c r="C53" s="209">
        <f>IF(VLOOKUP(B53,PROPONENTES!$B$19:$E$109,2,0)="","",VLOOKUP(B53,PROPONENTES!$B$19:$E$109,2,0))</f>
        <v>35</v>
      </c>
      <c r="D53" s="205">
        <f t="shared" si="2"/>
        <v>4.4000000000000022E-9</v>
      </c>
      <c r="E53" s="261">
        <f ca="1">IF(ISNUMBER(VLOOKUP(C53,RESUMENGEN!$C$21:$M$110,2,0)),"",IF(AND(VLOOKUP(C53,RESUMENGEN!$C$21:$M$110,3,FALSE)&lt;&gt;"NO HÁBIL",VLOOKUP(C53,RESUMENGEN!$C$21:$M$110,3,FALSE)&lt;&gt;"RECHAZO"),VLOOKUP(C53,RESUMENGEN!$C$21:$M$110,11,FALSE)-D53,-D53))</f>
        <v>79.766880650192491</v>
      </c>
      <c r="F53" s="206">
        <f t="shared" ca="1" si="3"/>
        <v>7</v>
      </c>
      <c r="G53" s="258" t="str">
        <f ca="1">IF(I53="","",VLOOKUP(I53,RESUMENGEN!$C$21:$M$110,2,FALSE))</f>
        <v>INGENIEROS CONSTRUCTORES Y ASESORES SAS</v>
      </c>
      <c r="H53" s="261">
        <f ca="1">IF(I53="","",VLOOKUP(I53,RESUMENGEN!$C$21:$M$110,11,FALSE))</f>
        <v>65.199130828229443</v>
      </c>
      <c r="I53" s="207">
        <f t="shared" ca="1" si="4"/>
        <v>26</v>
      </c>
      <c r="J53" s="208" t="str">
        <f ca="1">IFERROR(IF(AND(VLOOKUP(I53,RESUMENGEN!$C$21:$M$110,3,0)="HÁBIL",H53&lt;&gt;0),"ELEGIBLE","NO ELEGIBLE"),"")</f>
        <v>ELEGIBLE</v>
      </c>
    </row>
    <row r="54" spans="2:10">
      <c r="B54" s="204">
        <v>36</v>
      </c>
      <c r="C54" s="209">
        <f>IF(VLOOKUP(B54,PROPONENTES!$B$19:$E$109,2,0)="","",VLOOKUP(B54,PROPONENTES!$B$19:$E$109,2,0))</f>
        <v>36</v>
      </c>
      <c r="D54" s="205">
        <f t="shared" si="2"/>
        <v>4.5000000000000022E-9</v>
      </c>
      <c r="E54" s="261">
        <f ca="1">IF(ISNUMBER(VLOOKUP(C54,RESUMENGEN!$C$21:$M$110,2,0)),"",IF(AND(VLOOKUP(C54,RESUMENGEN!$C$21:$M$110,3,FALSE)&lt;&gt;"NO HÁBIL",VLOOKUP(C54,RESUMENGEN!$C$21:$M$110,3,FALSE)&lt;&gt;"RECHAZO"),VLOOKUP(C54,RESUMENGEN!$C$21:$M$110,11,FALSE)-D54,-D54))</f>
        <v>39.51341957311972</v>
      </c>
      <c r="F54" s="206">
        <f t="shared" ca="1" si="3"/>
        <v>75</v>
      </c>
      <c r="G54" s="258" t="str">
        <f ca="1">IF(I54="","",VLOOKUP(I54,RESUMENGEN!$C$21:$M$110,2,FALSE))</f>
        <v>DBB INGENIERÍA S.A.S.</v>
      </c>
      <c r="H54" s="261">
        <f ca="1">IF(I54="","",VLOOKUP(I54,RESUMENGEN!$C$21:$M$110,11,FALSE))</f>
        <v>65.084253423809997</v>
      </c>
      <c r="I54" s="207">
        <f t="shared" ca="1" si="4"/>
        <v>85</v>
      </c>
      <c r="J54" s="208" t="str">
        <f ca="1">IFERROR(IF(AND(VLOOKUP(I54,RESUMENGEN!$C$21:$M$110,3,0)="HÁBIL",H54&lt;&gt;0),"ELEGIBLE","NO ELEGIBLE"),"")</f>
        <v>ELEGIBLE</v>
      </c>
    </row>
    <row r="55" spans="2:10">
      <c r="B55" s="204">
        <v>37</v>
      </c>
      <c r="C55" s="209">
        <f>IF(VLOOKUP(B55,PROPONENTES!$B$19:$E$109,2,0)="","",VLOOKUP(B55,PROPONENTES!$B$19:$E$109,2,0))</f>
        <v>37</v>
      </c>
      <c r="D55" s="205">
        <f t="shared" si="2"/>
        <v>4.6000000000000023E-9</v>
      </c>
      <c r="E55" s="261">
        <f ca="1">IF(ISNUMBER(VLOOKUP(C55,RESUMENGEN!$C$21:$M$110,2,0)),"",IF(AND(VLOOKUP(C55,RESUMENGEN!$C$21:$M$110,3,FALSE)&lt;&gt;"NO HÁBIL",VLOOKUP(C55,RESUMENGEN!$C$21:$M$110,3,FALSE)&lt;&gt;"RECHAZO"),VLOOKUP(C55,RESUMENGEN!$C$21:$M$110,11,FALSE)-D55,-D55))</f>
        <v>64.946420154300228</v>
      </c>
      <c r="F55" s="206">
        <f t="shared" ca="1" si="3"/>
        <v>38</v>
      </c>
      <c r="G55" s="258" t="str">
        <f ca="1">IF(I55="","",VLOOKUP(I55,RESUMENGEN!$C$21:$M$110,2,FALSE))</f>
        <v>CONSORCIO VIAL ORIEMH”</v>
      </c>
      <c r="H55" s="261">
        <f ca="1">IF(I55="","",VLOOKUP(I55,RESUMENGEN!$C$21:$M$110,11,FALSE))</f>
        <v>64.987840117776926</v>
      </c>
      <c r="I55" s="207">
        <f t="shared" ca="1" si="4"/>
        <v>42</v>
      </c>
      <c r="J55" s="208" t="str">
        <f ca="1">IFERROR(IF(AND(VLOOKUP(I55,RESUMENGEN!$C$21:$M$110,3,0)="HÁBIL",H55&lt;&gt;0),"ELEGIBLE","NO ELEGIBLE"),"")</f>
        <v>ELEGIBLE</v>
      </c>
    </row>
    <row r="56" spans="2:10">
      <c r="B56" s="204">
        <v>38</v>
      </c>
      <c r="C56" s="209">
        <f>IF(VLOOKUP(B56,PROPONENTES!$B$19:$E$109,2,0)="","",VLOOKUP(B56,PROPONENTES!$B$19:$E$109,2,0))</f>
        <v>38</v>
      </c>
      <c r="D56" s="205">
        <f t="shared" si="2"/>
        <v>4.7000000000000024E-9</v>
      </c>
      <c r="E56" s="261">
        <f ca="1">IF(ISNUMBER(VLOOKUP(C56,RESUMENGEN!$C$21:$M$110,2,0)),"",IF(AND(VLOOKUP(C56,RESUMENGEN!$C$21:$M$110,3,FALSE)&lt;&gt;"NO HÁBIL",VLOOKUP(C56,RESUMENGEN!$C$21:$M$110,3,FALSE)&lt;&gt;"RECHAZO"),VLOOKUP(C56,RESUMENGEN!$C$21:$M$110,11,FALSE)-D56,-D56))</f>
        <v>74.473280319594593</v>
      </c>
      <c r="F56" s="206">
        <f t="shared" ca="1" si="3"/>
        <v>11</v>
      </c>
      <c r="G56" s="258" t="str">
        <f ca="1">IF(I56="","",VLOOKUP(I56,RESUMENGEN!$C$21:$M$110,2,FALSE))</f>
        <v>JORES INGENIERIA LTDA. JORES LTDA</v>
      </c>
      <c r="H56" s="261">
        <f ca="1">IF(I56="","",VLOOKUP(I56,RESUMENGEN!$C$21:$M$110,11,FALSE))</f>
        <v>64.946420158900224</v>
      </c>
      <c r="I56" s="207">
        <f t="shared" ca="1" si="4"/>
        <v>37</v>
      </c>
      <c r="J56" s="208" t="str">
        <f ca="1">IFERROR(IF(AND(VLOOKUP(I56,RESUMENGEN!$C$21:$M$110,3,0)="HÁBIL",H56&lt;&gt;0),"ELEGIBLE","NO ELEGIBLE"),"")</f>
        <v>ELEGIBLE</v>
      </c>
    </row>
    <row r="57" spans="2:10">
      <c r="B57" s="204">
        <v>39</v>
      </c>
      <c r="C57" s="209">
        <f>IF(VLOOKUP(B57,PROPONENTES!$B$19:$E$109,2,0)="","",VLOOKUP(B57,PROPONENTES!$B$19:$E$109,2,0))</f>
        <v>39</v>
      </c>
      <c r="D57" s="205">
        <f t="shared" si="2"/>
        <v>4.8000000000000024E-9</v>
      </c>
      <c r="E57" s="261">
        <f ca="1">IF(ISNUMBER(VLOOKUP(C57,RESUMENGEN!$C$21:$M$110,2,0)),"",IF(AND(VLOOKUP(C57,RESUMENGEN!$C$21:$M$110,3,FALSE)&lt;&gt;"NO HÁBIL",VLOOKUP(C57,RESUMENGEN!$C$21:$M$110,3,FALSE)&lt;&gt;"RECHAZO"),VLOOKUP(C57,RESUMENGEN!$C$21:$M$110,11,FALSE)-D57,-D57))</f>
        <v>62.88011802446227</v>
      </c>
      <c r="F57" s="206">
        <f t="shared" ca="1" si="3"/>
        <v>47</v>
      </c>
      <c r="G57" s="258" t="str">
        <f ca="1">IF(I57="","",VLOOKUP(I57,RESUMENGEN!$C$21:$M$110,2,FALSE))</f>
        <v>NICOLAS REDONDO MOLINA</v>
      </c>
      <c r="H57" s="261">
        <f ca="1">IF(I57="","",VLOOKUP(I57,RESUMENGEN!$C$21:$M$110,11,FALSE))</f>
        <v>64.919814905203765</v>
      </c>
      <c r="I57" s="207">
        <f t="shared" ca="1" si="4"/>
        <v>13</v>
      </c>
      <c r="J57" s="208" t="str">
        <f ca="1">IFERROR(IF(AND(VLOOKUP(I57,RESUMENGEN!$C$21:$M$110,3,0)="HÁBIL",H57&lt;&gt;0),"ELEGIBLE","NO ELEGIBLE"),"")</f>
        <v>ELEGIBLE</v>
      </c>
    </row>
    <row r="58" spans="2:10">
      <c r="B58" s="204">
        <v>40</v>
      </c>
      <c r="C58" s="209">
        <f>IF(VLOOKUP(B58,PROPONENTES!$B$19:$E$109,2,0)="","",VLOOKUP(B58,PROPONENTES!$B$19:$E$109,2,0))</f>
        <v>40</v>
      </c>
      <c r="D58" s="205">
        <f t="shared" si="2"/>
        <v>4.9000000000000025E-9</v>
      </c>
      <c r="E58" s="261">
        <f ca="1">IF(ISNUMBER(VLOOKUP(C58,RESUMENGEN!$C$21:$M$110,2,0)),"",IF(AND(VLOOKUP(C58,RESUMENGEN!$C$21:$M$110,3,FALSE)&lt;&gt;"NO HÁBIL",VLOOKUP(C58,RESUMENGEN!$C$21:$M$110,3,FALSE)&lt;&gt;"RECHAZO"),VLOOKUP(C58,RESUMENGEN!$C$21:$M$110,11,FALSE)-D58,-D58))</f>
        <v>67.815510307417256</v>
      </c>
      <c r="F58" s="206">
        <f t="shared" ca="1" si="3"/>
        <v>28</v>
      </c>
      <c r="G58" s="258" t="str">
        <f ca="1">IF(I58="","",VLOOKUP(I58,RESUMENGEN!$C$21:$M$110,2,FALSE))</f>
        <v>CONSORCIO AV</v>
      </c>
      <c r="H58" s="261">
        <f ca="1">IF(I58="","",VLOOKUP(I58,RESUMENGEN!$C$21:$M$110,11,FALSE))</f>
        <v>64.117458530083525</v>
      </c>
      <c r="I58" s="207">
        <f t="shared" ca="1" si="4"/>
        <v>67</v>
      </c>
      <c r="J58" s="208" t="str">
        <f ca="1">IFERROR(IF(AND(VLOOKUP(I58,RESUMENGEN!$C$21:$M$110,3,0)="HÁBIL",H58&lt;&gt;0),"ELEGIBLE","NO ELEGIBLE"),"")</f>
        <v>ELEGIBLE</v>
      </c>
    </row>
    <row r="59" spans="2:10">
      <c r="B59" s="204">
        <v>41</v>
      </c>
      <c r="C59" s="209">
        <f>IF(VLOOKUP(B59,PROPONENTES!$B$19:$E$109,2,0)="","",VLOOKUP(B59,PROPONENTES!$B$19:$E$109,2,0))</f>
        <v>41</v>
      </c>
      <c r="D59" s="205">
        <f t="shared" si="2"/>
        <v>5.0000000000000026E-9</v>
      </c>
      <c r="E59" s="261">
        <f ca="1">IF(ISNUMBER(VLOOKUP(C59,RESUMENGEN!$C$21:$M$110,2,0)),"",IF(AND(VLOOKUP(C59,RESUMENGEN!$C$21:$M$110,3,FALSE)&lt;&gt;"NO HÁBIL",VLOOKUP(C59,RESUMENGEN!$C$21:$M$110,3,FALSE)&lt;&gt;"RECHAZO"),VLOOKUP(C59,RESUMENGEN!$C$21:$M$110,11,FALSE)-D59,-D59))</f>
        <v>41.999087994667839</v>
      </c>
      <c r="F59" s="206">
        <f t="shared" ca="1" si="3"/>
        <v>73</v>
      </c>
      <c r="G59" s="258" t="str">
        <f ca="1">IF(I59="","",VLOOKUP(I59,RESUMENGEN!$C$21:$M$110,2,FALSE))</f>
        <v>CONSORCIO DIN ISUTECH</v>
      </c>
      <c r="H59" s="261">
        <f ca="1">IF(I59="","",VLOOKUP(I59,RESUMENGEN!$C$21:$M$110,11,FALSE))</f>
        <v>64.046236501382822</v>
      </c>
      <c r="I59" s="207">
        <f t="shared" ca="1" si="4"/>
        <v>76</v>
      </c>
      <c r="J59" s="208" t="str">
        <f ca="1">IFERROR(IF(AND(VLOOKUP(I59,RESUMENGEN!$C$21:$M$110,3,0)="HÁBIL",H59&lt;&gt;0),"ELEGIBLE","NO ELEGIBLE"),"")</f>
        <v>ELEGIBLE</v>
      </c>
    </row>
    <row r="60" spans="2:10">
      <c r="B60" s="204">
        <v>42</v>
      </c>
      <c r="C60" s="209">
        <f>IF(VLOOKUP(B60,PROPONENTES!$B$19:$E$109,2,0)="","",VLOOKUP(B60,PROPONENTES!$B$19:$E$109,2,0))</f>
        <v>42</v>
      </c>
      <c r="D60" s="205">
        <f t="shared" si="2"/>
        <v>5.1000000000000027E-9</v>
      </c>
      <c r="E60" s="261">
        <f ca="1">IF(ISNUMBER(VLOOKUP(C60,RESUMENGEN!$C$21:$M$110,2,0)),"",IF(AND(VLOOKUP(C60,RESUMENGEN!$C$21:$M$110,3,FALSE)&lt;&gt;"NO HÁBIL",VLOOKUP(C60,RESUMENGEN!$C$21:$M$110,3,FALSE)&lt;&gt;"RECHAZO"),VLOOKUP(C60,RESUMENGEN!$C$21:$M$110,11,FALSE)-D60,-D60))</f>
        <v>64.987840112676921</v>
      </c>
      <c r="F60" s="206">
        <f t="shared" ca="1" si="3"/>
        <v>37</v>
      </c>
      <c r="G60" s="258" t="str">
        <f ca="1">IF(I60="","",VLOOKUP(I60,RESUMENGEN!$C$21:$M$110,2,FALSE))</f>
        <v>CONSORCIO DT TOLIMA ZP</v>
      </c>
      <c r="H60" s="261">
        <f ca="1">IF(I60="","",VLOOKUP(I60,RESUMENGEN!$C$21:$M$110,11,FALSE))</f>
        <v>63.867357373100631</v>
      </c>
      <c r="I60" s="207">
        <f t="shared" ca="1" si="4"/>
        <v>70</v>
      </c>
      <c r="J60" s="208" t="str">
        <f ca="1">IFERROR(IF(AND(VLOOKUP(I60,RESUMENGEN!$C$21:$M$110,3,0)="HÁBIL",H60&lt;&gt;0),"ELEGIBLE","NO ELEGIBLE"),"")</f>
        <v>ELEGIBLE</v>
      </c>
    </row>
    <row r="61" spans="2:10">
      <c r="B61" s="204">
        <v>43</v>
      </c>
      <c r="C61" s="209">
        <f>IF(VLOOKUP(B61,PROPONENTES!$B$19:$E$109,2,0)="","",VLOOKUP(B61,PROPONENTES!$B$19:$E$109,2,0))</f>
        <v>43</v>
      </c>
      <c r="D61" s="205">
        <f t="shared" si="2"/>
        <v>5.2000000000000027E-9</v>
      </c>
      <c r="E61" s="261">
        <f ca="1">IF(ISNUMBER(VLOOKUP(C61,RESUMENGEN!$C$21:$M$110,2,0)),"",IF(AND(VLOOKUP(C61,RESUMENGEN!$C$21:$M$110,3,FALSE)&lt;&gt;"NO HÁBIL",VLOOKUP(C61,RESUMENGEN!$C$21:$M$110,3,FALSE)&lt;&gt;"RECHAZO"),VLOOKUP(C61,RESUMENGEN!$C$21:$M$110,11,FALSE)-D61,-D61))</f>
        <v>39.358287660502306</v>
      </c>
      <c r="F61" s="206">
        <f t="shared" ca="1" si="3"/>
        <v>76</v>
      </c>
      <c r="G61" s="258" t="str">
        <f ca="1">IF(I61="","",VLOOKUP(I61,RESUMENGEN!$C$21:$M$110,2,FALSE))</f>
        <v>CONSORCIO VIAS TOLIMA 22</v>
      </c>
      <c r="H61" s="261">
        <f ca="1">IF(I61="","",VLOOKUP(I61,RESUMENGEN!$C$21:$M$110,11,FALSE))</f>
        <v>63.684462604265455</v>
      </c>
      <c r="I61" s="207">
        <f t="shared" ca="1" si="4"/>
        <v>47</v>
      </c>
      <c r="J61" s="208" t="str">
        <f ca="1">IFERROR(IF(AND(VLOOKUP(I61,RESUMENGEN!$C$21:$M$110,3,0)="HÁBIL",H61&lt;&gt;0),"ELEGIBLE","NO ELEGIBLE"),"")</f>
        <v>ELEGIBLE</v>
      </c>
    </row>
    <row r="62" spans="2:10">
      <c r="B62" s="204">
        <v>44</v>
      </c>
      <c r="C62" s="209">
        <f>IF(VLOOKUP(B62,PROPONENTES!$B$19:$E$109,2,0)="","",VLOOKUP(B62,PROPONENTES!$B$19:$E$109,2,0))</f>
        <v>44</v>
      </c>
      <c r="D62" s="205">
        <f t="shared" si="2"/>
        <v>5.3000000000000028E-9</v>
      </c>
      <c r="E62" s="261">
        <f ca="1">IF(ISNUMBER(VLOOKUP(C62,RESUMENGEN!$C$21:$M$110,2,0)),"",IF(AND(VLOOKUP(C62,RESUMENGEN!$C$21:$M$110,3,FALSE)&lt;&gt;"NO HÁBIL",VLOOKUP(C62,RESUMENGEN!$C$21:$M$110,3,FALSE)&lt;&gt;"RECHAZO"),VLOOKUP(C62,RESUMENGEN!$C$21:$M$110,11,FALSE)-D62,-D62))</f>
        <v>57.284970386337093</v>
      </c>
      <c r="F62" s="206">
        <f t="shared" ca="1" si="3"/>
        <v>58</v>
      </c>
      <c r="G62" s="258" t="str">
        <f ca="1">IF(I62="","",VLOOKUP(I62,RESUMENGEN!$C$21:$M$110,2,FALSE))</f>
        <v>MIGUEL MORALES INGENIERIA SAS</v>
      </c>
      <c r="H62" s="261">
        <f ca="1">IF(I62="","",VLOOKUP(I62,RESUMENGEN!$C$21:$M$110,11,FALSE))</f>
        <v>63.626360078739552</v>
      </c>
      <c r="I62" s="207">
        <f t="shared" ca="1" si="4"/>
        <v>2</v>
      </c>
      <c r="J62" s="208" t="str">
        <f ca="1">IFERROR(IF(AND(VLOOKUP(I62,RESUMENGEN!$C$21:$M$110,3,0)="HÁBIL",H62&lt;&gt;0),"ELEGIBLE","NO ELEGIBLE"),"")</f>
        <v>ELEGIBLE</v>
      </c>
    </row>
    <row r="63" spans="2:10">
      <c r="B63" s="204">
        <v>45</v>
      </c>
      <c r="C63" s="209">
        <f>IF(VLOOKUP(B63,PROPONENTES!$B$19:$E$109,2,0)="","",VLOOKUP(B63,PROPONENTES!$B$19:$E$109,2,0))</f>
        <v>45</v>
      </c>
      <c r="D63" s="205">
        <f t="shared" si="2"/>
        <v>5.4000000000000029E-9</v>
      </c>
      <c r="E63" s="261">
        <f ca="1">IF(ISNUMBER(VLOOKUP(C63,RESUMENGEN!$C$21:$M$110,2,0)),"",IF(AND(VLOOKUP(C63,RESUMENGEN!$C$21:$M$110,3,FALSE)&lt;&gt;"NO HÁBIL",VLOOKUP(C63,RESUMENGEN!$C$21:$M$110,3,FALSE)&lt;&gt;"RECHAZO"),VLOOKUP(C63,RESUMENGEN!$C$21:$M$110,11,FALSE)-D63,-D63))</f>
        <v>67.823659310384755</v>
      </c>
      <c r="F63" s="206">
        <f t="shared" ca="1" si="3"/>
        <v>27</v>
      </c>
      <c r="G63" s="258" t="str">
        <f ca="1">IF(I63="","",VLOOKUP(I63,RESUMENGEN!$C$21:$M$110,2,FALSE))</f>
        <v>CONSORCIO RUTA TOLIMA 1</v>
      </c>
      <c r="H63" s="261">
        <f ca="1">IF(I63="","",VLOOKUP(I63,RESUMENGEN!$C$21:$M$110,11,FALSE))</f>
        <v>63.426519829981189</v>
      </c>
      <c r="I63" s="207">
        <f t="shared" ca="1" si="4"/>
        <v>25</v>
      </c>
      <c r="J63" s="208" t="str">
        <f ca="1">IFERROR(IF(AND(VLOOKUP(I63,RESUMENGEN!$C$21:$M$110,3,0)="HÁBIL",H63&lt;&gt;0),"ELEGIBLE","NO ELEGIBLE"),"")</f>
        <v>ELEGIBLE</v>
      </c>
    </row>
    <row r="64" spans="2:10">
      <c r="B64" s="204">
        <v>46</v>
      </c>
      <c r="C64" s="209">
        <f>IF(VLOOKUP(B64,PROPONENTES!$B$19:$E$109,2,0)="","",VLOOKUP(B64,PROPONENTES!$B$19:$E$109,2,0))</f>
        <v>46</v>
      </c>
      <c r="D64" s="205">
        <f t="shared" si="2"/>
        <v>5.5000000000000029E-9</v>
      </c>
      <c r="E64" s="261">
        <f ca="1">IF(ISNUMBER(VLOOKUP(C64,RESUMENGEN!$C$21:$M$110,2,0)),"",IF(AND(VLOOKUP(C64,RESUMENGEN!$C$21:$M$110,3,FALSE)&lt;&gt;"NO HÁBIL",VLOOKUP(C64,RESUMENGEN!$C$21:$M$110,3,FALSE)&lt;&gt;"RECHAZO"),VLOOKUP(C64,RESUMENGEN!$C$21:$M$110,11,FALSE)-D64,-D64))</f>
        <v>66.017520983484474</v>
      </c>
      <c r="F64" s="206">
        <f t="shared" ca="1" si="3"/>
        <v>33</v>
      </c>
      <c r="G64" s="258" t="str">
        <f ca="1">IF(I64="","",VLOOKUP(I64,RESUMENGEN!$C$21:$M$110,2,FALSE))</f>
        <v>NUBIA ISABEL QUEVEDO ÁNGEL</v>
      </c>
      <c r="H64" s="261">
        <f ca="1">IF(I64="","",VLOOKUP(I64,RESUMENGEN!$C$21:$M$110,11,FALSE))</f>
        <v>63.257496679408092</v>
      </c>
      <c r="I64" s="207">
        <f t="shared" ca="1" si="4"/>
        <v>78</v>
      </c>
      <c r="J64" s="208" t="str">
        <f ca="1">IFERROR(IF(AND(VLOOKUP(I64,RESUMENGEN!$C$21:$M$110,3,0)="HÁBIL",H64&lt;&gt;0),"ELEGIBLE","NO ELEGIBLE"),"")</f>
        <v>ELEGIBLE</v>
      </c>
    </row>
    <row r="65" spans="2:10">
      <c r="B65" s="204">
        <v>47</v>
      </c>
      <c r="C65" s="209">
        <f>IF(VLOOKUP(B65,PROPONENTES!$B$19:$E$109,2,0)="","",VLOOKUP(B65,PROPONENTES!$B$19:$E$109,2,0))</f>
        <v>47</v>
      </c>
      <c r="D65" s="205">
        <f t="shared" si="2"/>
        <v>5.600000000000003E-9</v>
      </c>
      <c r="E65" s="261">
        <f ca="1">IF(ISNUMBER(VLOOKUP(C65,RESUMENGEN!$C$21:$M$110,2,0)),"",IF(AND(VLOOKUP(C65,RESUMENGEN!$C$21:$M$110,3,FALSE)&lt;&gt;"NO HÁBIL",VLOOKUP(C65,RESUMENGEN!$C$21:$M$110,3,FALSE)&lt;&gt;"RECHAZO"),VLOOKUP(C65,RESUMENGEN!$C$21:$M$110,11,FALSE)-D65,-D65))</f>
        <v>63.684462598665455</v>
      </c>
      <c r="F65" s="206">
        <f t="shared" ca="1" si="3"/>
        <v>43</v>
      </c>
      <c r="G65" s="258" t="str">
        <f ca="1">IF(I65="","",VLOOKUP(I65,RESUMENGEN!$C$21:$M$110,2,FALSE))</f>
        <v>CONSORCIO TOLIMA G2</v>
      </c>
      <c r="H65" s="261">
        <f ca="1">IF(I65="","",VLOOKUP(I65,RESUMENGEN!$C$21:$M$110,11,FALSE))</f>
        <v>62.88011802926227</v>
      </c>
      <c r="I65" s="207">
        <f t="shared" ca="1" si="4"/>
        <v>39</v>
      </c>
      <c r="J65" s="208" t="str">
        <f ca="1">IFERROR(IF(AND(VLOOKUP(I65,RESUMENGEN!$C$21:$M$110,3,0)="HÁBIL",H65&lt;&gt;0),"ELEGIBLE","NO ELEGIBLE"),"")</f>
        <v>ELEGIBLE</v>
      </c>
    </row>
    <row r="66" spans="2:10">
      <c r="B66" s="204">
        <v>48</v>
      </c>
      <c r="C66" s="209">
        <f>IF(VLOOKUP(B66,PROPONENTES!$B$19:$E$109,2,0)="","",VLOOKUP(B66,PROPONENTES!$B$19:$E$109,2,0))</f>
        <v>48</v>
      </c>
      <c r="D66" s="205">
        <f t="shared" si="2"/>
        <v>5.7000000000000031E-9</v>
      </c>
      <c r="E66" s="261">
        <f ca="1">IF(ISNUMBER(VLOOKUP(C66,RESUMENGEN!$C$21:$M$110,2,0)),"",IF(AND(VLOOKUP(C66,RESUMENGEN!$C$21:$M$110,3,FALSE)&lt;&gt;"NO HÁBIL",VLOOKUP(C66,RESUMENGEN!$C$21:$M$110,3,FALSE)&lt;&gt;"RECHAZO"),VLOOKUP(C66,RESUMENGEN!$C$21:$M$110,11,FALSE)-D66,-D66))</f>
        <v>59.060302078761993</v>
      </c>
      <c r="F66" s="206">
        <f t="shared" ca="1" si="3"/>
        <v>55</v>
      </c>
      <c r="G66" s="258" t="str">
        <f ca="1">IF(I66="","",VLOOKUP(I66,RESUMENGEN!$C$21:$M$110,2,FALSE))</f>
        <v>CONSORCIO VIAL INGENIERIA 2022</v>
      </c>
      <c r="H66" s="261">
        <f ca="1">IF(I66="","",VLOOKUP(I66,RESUMENGEN!$C$21:$M$110,11,FALSE))</f>
        <v>62.14413744562809</v>
      </c>
      <c r="I66" s="207">
        <f t="shared" ca="1" si="4"/>
        <v>66</v>
      </c>
      <c r="J66" s="208" t="str">
        <f ca="1">IFERROR(IF(AND(VLOOKUP(I66,RESUMENGEN!$C$21:$M$110,3,0)="HÁBIL",H66&lt;&gt;0),"ELEGIBLE","NO ELEGIBLE"),"")</f>
        <v>ELEGIBLE</v>
      </c>
    </row>
    <row r="67" spans="2:10">
      <c r="B67" s="204">
        <v>49</v>
      </c>
      <c r="C67" s="209">
        <f>IF(VLOOKUP(B67,PROPONENTES!$B$19:$E$109,2,0)="","",VLOOKUP(B67,PROPONENTES!$B$19:$E$109,2,0))</f>
        <v>49</v>
      </c>
      <c r="D67" s="205">
        <f t="shared" si="2"/>
        <v>5.8000000000000031E-9</v>
      </c>
      <c r="E67" s="261">
        <f ca="1">IF(ISNUMBER(VLOOKUP(C67,RESUMENGEN!$C$21:$M$110,2,0)),"",IF(AND(VLOOKUP(C67,RESUMENGEN!$C$21:$M$110,3,FALSE)&lt;&gt;"NO HÁBIL",VLOOKUP(C67,RESUMENGEN!$C$21:$M$110,3,FALSE)&lt;&gt;"RECHAZO"),VLOOKUP(C67,RESUMENGEN!$C$21:$M$110,11,FALSE)-D67,-D67))</f>
        <v>73.429231916732874</v>
      </c>
      <c r="F67" s="206">
        <f t="shared" ca="1" si="3"/>
        <v>12</v>
      </c>
      <c r="G67" s="258" t="str">
        <f ca="1">IF(I67="","",VLOOKUP(I67,RESUMENGEN!$C$21:$M$110,2,FALSE))</f>
        <v>COMPAÑIA CONSULTORA COLOMBIANA TRIPLE C BIC SAS</v>
      </c>
      <c r="H67" s="261">
        <f ca="1">IF(I67="","",VLOOKUP(I67,RESUMENGEN!$C$21:$M$110,11,FALSE))</f>
        <v>62.089533890290888</v>
      </c>
      <c r="I67" s="207">
        <f t="shared" ca="1" si="4"/>
        <v>63</v>
      </c>
      <c r="J67" s="208" t="str">
        <f ca="1">IFERROR(IF(AND(VLOOKUP(I67,RESUMENGEN!$C$21:$M$110,3,0)="HÁBIL",H67&lt;&gt;0),"ELEGIBLE","NO ELEGIBLE"),"")</f>
        <v>ELEGIBLE</v>
      </c>
    </row>
    <row r="68" spans="2:10">
      <c r="B68" s="204">
        <v>50</v>
      </c>
      <c r="C68" s="209">
        <f>IF(VLOOKUP(B68,PROPONENTES!$B$19:$E$109,2,0)="","",VLOOKUP(B68,PROPONENTES!$B$19:$E$109,2,0))</f>
        <v>50</v>
      </c>
      <c r="D68" s="205">
        <f t="shared" si="2"/>
        <v>5.9000000000000032E-9</v>
      </c>
      <c r="E68" s="261">
        <f ca="1">IF(ISNUMBER(VLOOKUP(C68,RESUMENGEN!$C$21:$M$110,2,0)),"",IF(AND(VLOOKUP(C68,RESUMENGEN!$C$21:$M$110,3,FALSE)&lt;&gt;"NO HÁBIL",VLOOKUP(C68,RESUMENGEN!$C$21:$M$110,3,FALSE)&lt;&gt;"RECHAZO"),VLOOKUP(C68,RESUMENGEN!$C$21:$M$110,11,FALSE)-D68,-D68))</f>
        <v>66.830841234138049</v>
      </c>
      <c r="F68" s="206">
        <f t="shared" ca="1" si="3"/>
        <v>32</v>
      </c>
      <c r="G68" s="258" t="str">
        <f ca="1">IF(I68="","",VLOOKUP(I68,RESUMENGEN!$C$21:$M$110,2,FALSE))</f>
        <v>CB INGENIEROS S.A.S</v>
      </c>
      <c r="H68" s="261">
        <f ca="1">IF(I68="","",VLOOKUP(I68,RESUMENGEN!$C$21:$M$110,11,FALSE))</f>
        <v>61.369112278766806</v>
      </c>
      <c r="I68" s="207">
        <f t="shared" ca="1" si="4"/>
        <v>80</v>
      </c>
      <c r="J68" s="208" t="str">
        <f ca="1">IFERROR(IF(AND(VLOOKUP(I68,RESUMENGEN!$C$21:$M$110,3,0)="HÁBIL",H68&lt;&gt;0),"ELEGIBLE","NO ELEGIBLE"),"")</f>
        <v>ELEGIBLE</v>
      </c>
    </row>
    <row r="69" spans="2:10">
      <c r="B69" s="204">
        <v>51</v>
      </c>
      <c r="C69" s="209">
        <f>IF(VLOOKUP(B69,PROPONENTES!$B$19:$E$109,2,0)="","",VLOOKUP(B69,PROPONENTES!$B$19:$E$109,2,0))</f>
        <v>51</v>
      </c>
      <c r="D69" s="205">
        <f t="shared" si="2"/>
        <v>6.0000000000000033E-9</v>
      </c>
      <c r="E69" s="261">
        <f ca="1">IF(ISNUMBER(VLOOKUP(C69,RESUMENGEN!$C$21:$M$110,2,0)),"",IF(AND(VLOOKUP(C69,RESUMENGEN!$C$21:$M$110,3,FALSE)&lt;&gt;"NO HÁBIL",VLOOKUP(C69,RESUMENGEN!$C$21:$M$110,3,FALSE)&lt;&gt;"RECHAZO"),VLOOKUP(C69,RESUMENGEN!$C$21:$M$110,11,FALSE)-D69,-D69))</f>
        <v>-6.0000000000000033E-9</v>
      </c>
      <c r="F69" s="206">
        <f t="shared" ca="1" si="3"/>
        <v>86</v>
      </c>
      <c r="G69" s="258" t="str">
        <f ca="1">IF(I69="","",VLOOKUP(I69,RESUMENGEN!$C$21:$M$110,2,FALSE))</f>
        <v>CONSORCIO CASTORES – INGES INVIAS 2022</v>
      </c>
      <c r="H69" s="261">
        <f ca="1">IF(I69="","",VLOOKUP(I69,RESUMENGEN!$C$21:$M$110,11,FALSE))</f>
        <v>61.168709578725768</v>
      </c>
      <c r="I69" s="207">
        <f t="shared" ca="1" si="4"/>
        <v>77</v>
      </c>
      <c r="J69" s="208" t="str">
        <f ca="1">IFERROR(IF(AND(VLOOKUP(I69,RESUMENGEN!$C$21:$M$110,3,0)="HÁBIL",H69&lt;&gt;0),"ELEGIBLE","NO ELEGIBLE"),"")</f>
        <v>ELEGIBLE</v>
      </c>
    </row>
    <row r="70" spans="2:10">
      <c r="B70" s="204">
        <v>52</v>
      </c>
      <c r="C70" s="209">
        <f>IF(VLOOKUP(B70,PROPONENTES!$B$19:$E$109,2,0)="","",VLOOKUP(B70,PROPONENTES!$B$19:$E$109,2,0))</f>
        <v>52</v>
      </c>
      <c r="D70" s="205">
        <f t="shared" si="2"/>
        <v>6.1000000000000033E-9</v>
      </c>
      <c r="E70" s="261">
        <f ca="1">IF(ISNUMBER(VLOOKUP(C70,RESUMENGEN!$C$21:$M$110,2,0)),"",IF(AND(VLOOKUP(C70,RESUMENGEN!$C$21:$M$110,3,FALSE)&lt;&gt;"NO HÁBIL",VLOOKUP(C70,RESUMENGEN!$C$21:$M$110,3,FALSE)&lt;&gt;"RECHAZO"),VLOOKUP(C70,RESUMENGEN!$C$21:$M$110,11,FALSE)-D70,-D70))</f>
        <v>57.497733933534455</v>
      </c>
      <c r="F70" s="206">
        <f t="shared" ca="1" si="3"/>
        <v>57</v>
      </c>
      <c r="G70" s="258" t="str">
        <f ca="1">IF(I70="","",VLOOKUP(I70,RESUMENGEN!$C$21:$M$110,2,FALSE))</f>
        <v>CUBIKO OBRAS Y CONSULTORÍAS SAS</v>
      </c>
      <c r="H70" s="261">
        <f ca="1">IF(I70="","",VLOOKUP(I70,RESUMENGEN!$C$21:$M$110,11,FALSE))</f>
        <v>60.52319862989571</v>
      </c>
      <c r="I70" s="207">
        <f t="shared" ca="1" si="4"/>
        <v>11</v>
      </c>
      <c r="J70" s="208" t="str">
        <f ca="1">IFERROR(IF(AND(VLOOKUP(I70,RESUMENGEN!$C$21:$M$110,3,0)="HÁBIL",H70&lt;&gt;0),"ELEGIBLE","NO ELEGIBLE"),"")</f>
        <v>ELEGIBLE</v>
      </c>
    </row>
    <row r="71" spans="2:10">
      <c r="B71" s="204">
        <v>53</v>
      </c>
      <c r="C71" s="209">
        <f>IF(VLOOKUP(B71,PROPONENTES!$B$19:$E$109,2,0)="","",VLOOKUP(B71,PROPONENTES!$B$19:$E$109,2,0))</f>
        <v>53</v>
      </c>
      <c r="D71" s="205">
        <f t="shared" si="2"/>
        <v>6.2000000000000034E-9</v>
      </c>
      <c r="E71" s="261">
        <f ca="1">IF(ISNUMBER(VLOOKUP(C71,RESUMENGEN!$C$21:$M$110,2,0)),"",IF(AND(VLOOKUP(C71,RESUMENGEN!$C$21:$M$110,3,FALSE)&lt;&gt;"NO HÁBIL",VLOOKUP(C71,RESUMENGEN!$C$21:$M$110,3,FALSE)&lt;&gt;"RECHAZO"),VLOOKUP(C71,RESUMENGEN!$C$21:$M$110,11,FALSE)-D71,-D71))</f>
        <v>69.844614131564128</v>
      </c>
      <c r="F71" s="206">
        <f t="shared" ca="1" si="3"/>
        <v>17</v>
      </c>
      <c r="G71" s="258" t="str">
        <f ca="1">IF(I71="","",VLOOKUP(I71,RESUMENGEN!$C$21:$M$110,2,FALSE))</f>
        <v>CONSORCIO ROGER 20</v>
      </c>
      <c r="H71" s="261">
        <f ca="1">IF(I71="","",VLOOKUP(I71,RESUMENGEN!$C$21:$M$110,11,FALSE))</f>
        <v>59.85316218908882</v>
      </c>
      <c r="I71" s="207">
        <f t="shared" ca="1" si="4"/>
        <v>57</v>
      </c>
      <c r="J71" s="208" t="str">
        <f ca="1">IFERROR(IF(AND(VLOOKUP(I71,RESUMENGEN!$C$21:$M$110,3,0)="HÁBIL",H71&lt;&gt;0),"ELEGIBLE","NO ELEGIBLE"),"")</f>
        <v>ELEGIBLE</v>
      </c>
    </row>
    <row r="72" spans="2:10">
      <c r="B72" s="204">
        <v>54</v>
      </c>
      <c r="C72" s="209">
        <f>IF(VLOOKUP(B72,PROPONENTES!$B$19:$E$109,2,0)="","",VLOOKUP(B72,PROPONENTES!$B$19:$E$109,2,0))</f>
        <v>54</v>
      </c>
      <c r="D72" s="205">
        <f t="shared" si="2"/>
        <v>6.3000000000000035E-9</v>
      </c>
      <c r="E72" s="261">
        <f ca="1">IF(ISNUMBER(VLOOKUP(C72,RESUMENGEN!$C$21:$M$110,2,0)),"",IF(AND(VLOOKUP(C72,RESUMENGEN!$C$21:$M$110,3,FALSE)&lt;&gt;"NO HÁBIL",VLOOKUP(C72,RESUMENGEN!$C$21:$M$110,3,FALSE)&lt;&gt;"RECHAZO"),VLOOKUP(C72,RESUMENGEN!$C$21:$M$110,11,FALSE)-D72,-D72))</f>
        <v>-6.3000000000000035E-9</v>
      </c>
      <c r="F72" s="206">
        <f t="shared" ca="1" si="3"/>
        <v>87</v>
      </c>
      <c r="G72" s="258" t="str">
        <f ca="1">IF(I72="","",VLOOKUP(I72,RESUMENGEN!$C$21:$M$110,2,FALSE))</f>
        <v>CONSORCIO OPHAIH 2022</v>
      </c>
      <c r="H72" s="261">
        <f ca="1">IF(I72="","",VLOOKUP(I72,RESUMENGEN!$C$21:$M$110,11,FALSE))</f>
        <v>59.392485157992908</v>
      </c>
      <c r="I72" s="207">
        <f t="shared" ca="1" si="4"/>
        <v>34</v>
      </c>
      <c r="J72" s="208" t="str">
        <f ca="1">IFERROR(IF(AND(VLOOKUP(I72,RESUMENGEN!$C$21:$M$110,3,0)="HÁBIL",H72&lt;&gt;0),"ELEGIBLE","NO ELEGIBLE"),"")</f>
        <v>ELEGIBLE</v>
      </c>
    </row>
    <row r="73" spans="2:10">
      <c r="B73" s="204">
        <v>55</v>
      </c>
      <c r="C73" s="209">
        <f>IF(VLOOKUP(B73,PROPONENTES!$B$19:$E$109,2,0)="","",VLOOKUP(B73,PROPONENTES!$B$19:$E$109,2,0))</f>
        <v>55</v>
      </c>
      <c r="D73" s="205">
        <f t="shared" si="2"/>
        <v>6.4000000000000035E-9</v>
      </c>
      <c r="E73" s="261">
        <f ca="1">IF(ISNUMBER(VLOOKUP(C73,RESUMENGEN!$C$21:$M$110,2,0)),"",IF(AND(VLOOKUP(C73,RESUMENGEN!$C$21:$M$110,3,FALSE)&lt;&gt;"NO HÁBIL",VLOOKUP(C73,RESUMENGEN!$C$21:$M$110,3,FALSE)&lt;&gt;"RECHAZO"),VLOOKUP(C73,RESUMENGEN!$C$21:$M$110,11,FALSE)-D73,-D73))</f>
        <v>85.3863183330715</v>
      </c>
      <c r="F73" s="206">
        <f t="shared" ca="1" si="3"/>
        <v>4</v>
      </c>
      <c r="G73" s="258" t="str">
        <f ca="1">IF(I73="","",VLOOKUP(I73,RESUMENGEN!$C$21:$M$110,2,FALSE))</f>
        <v>BRAIN INGENIERIA VIAL SAS</v>
      </c>
      <c r="H73" s="261">
        <f ca="1">IF(I73="","",VLOOKUP(I73,RESUMENGEN!$C$21:$M$110,11,FALSE))</f>
        <v>59.060302084461995</v>
      </c>
      <c r="I73" s="207">
        <f t="shared" ca="1" si="4"/>
        <v>48</v>
      </c>
      <c r="J73" s="208" t="str">
        <f ca="1">IFERROR(IF(AND(VLOOKUP(I73,RESUMENGEN!$C$21:$M$110,3,0)="HÁBIL",H73&lt;&gt;0),"ELEGIBLE","NO ELEGIBLE"),"")</f>
        <v>ELEGIBLE</v>
      </c>
    </row>
    <row r="74" spans="2:10">
      <c r="B74" s="204">
        <v>56</v>
      </c>
      <c r="C74" s="209">
        <f>IF(VLOOKUP(B74,PROPONENTES!$B$19:$E$109,2,0)="","",VLOOKUP(B74,PROPONENTES!$B$19:$E$109,2,0))</f>
        <v>56</v>
      </c>
      <c r="D74" s="205">
        <f t="shared" si="2"/>
        <v>6.5000000000000036E-9</v>
      </c>
      <c r="E74" s="261">
        <f ca="1">IF(ISNUMBER(VLOOKUP(C74,RESUMENGEN!$C$21:$M$110,2,0)),"",IF(AND(VLOOKUP(C74,RESUMENGEN!$C$21:$M$110,3,FALSE)&lt;&gt;"NO HÁBIL",VLOOKUP(C74,RESUMENGEN!$C$21:$M$110,3,FALSE)&lt;&gt;"RECHAZO"),VLOOKUP(C74,RESUMENGEN!$C$21:$M$110,11,FALSE)-D74,-D74))</f>
        <v>52.869135080594106</v>
      </c>
      <c r="F74" s="206">
        <f t="shared" ca="1" si="3"/>
        <v>68</v>
      </c>
      <c r="G74" s="258" t="str">
        <f ca="1">IF(I74="","",VLOOKUP(I74,RESUMENGEN!$C$21:$M$110,2,FALSE))</f>
        <v>GM SOLUTIONS S.A.S</v>
      </c>
      <c r="H74" s="261">
        <f ca="1">IF(I74="","",VLOOKUP(I74,RESUMENGEN!$C$21:$M$110,11,FALSE))</f>
        <v>58.552381555485027</v>
      </c>
      <c r="I74" s="207">
        <f t="shared" ca="1" si="4"/>
        <v>90</v>
      </c>
      <c r="J74" s="208" t="str">
        <f ca="1">IFERROR(IF(AND(VLOOKUP(I74,RESUMENGEN!$C$21:$M$110,3,0)="HÁBIL",H74&lt;&gt;0),"ELEGIBLE","NO ELEGIBLE"),"")</f>
        <v>ELEGIBLE</v>
      </c>
    </row>
    <row r="75" spans="2:10">
      <c r="B75" s="204">
        <v>57</v>
      </c>
      <c r="C75" s="209">
        <f>IF(VLOOKUP(B75,PROPONENTES!$B$19:$E$109,2,0)="","",VLOOKUP(B75,PROPONENTES!$B$19:$E$109,2,0))</f>
        <v>57</v>
      </c>
      <c r="D75" s="205">
        <f t="shared" si="2"/>
        <v>6.6000000000000037E-9</v>
      </c>
      <c r="E75" s="261">
        <f ca="1">IF(ISNUMBER(VLOOKUP(C75,RESUMENGEN!$C$21:$M$110,2,0)),"",IF(AND(VLOOKUP(C75,RESUMENGEN!$C$21:$M$110,3,FALSE)&lt;&gt;"NO HÁBIL",VLOOKUP(C75,RESUMENGEN!$C$21:$M$110,3,FALSE)&lt;&gt;"RECHAZO"),VLOOKUP(C75,RESUMENGEN!$C$21:$M$110,11,FALSE)-D75,-D75))</f>
        <v>59.853162182488823</v>
      </c>
      <c r="F75" s="206">
        <f t="shared" ca="1" si="3"/>
        <v>53</v>
      </c>
      <c r="G75" s="258" t="str">
        <f ca="1">IF(I75="","",VLOOKUP(I75,RESUMENGEN!$C$21:$M$110,2,FALSE))</f>
        <v>COINZA ING SAS</v>
      </c>
      <c r="H75" s="261">
        <f ca="1">IF(I75="","",VLOOKUP(I75,RESUMENGEN!$C$21:$M$110,11,FALSE))</f>
        <v>57.497733939634458</v>
      </c>
      <c r="I75" s="207">
        <f t="shared" ca="1" si="4"/>
        <v>52</v>
      </c>
      <c r="J75" s="208" t="str">
        <f ca="1">IFERROR(IF(AND(VLOOKUP(I75,RESUMENGEN!$C$21:$M$110,3,0)="HÁBIL",H75&lt;&gt;0),"ELEGIBLE","NO ELEGIBLE"),"")</f>
        <v>ELEGIBLE</v>
      </c>
    </row>
    <row r="76" spans="2:10">
      <c r="B76" s="204">
        <v>58</v>
      </c>
      <c r="C76" s="209">
        <f>IF(VLOOKUP(B76,PROPONENTES!$B$19:$E$109,2,0)="","",VLOOKUP(B76,PROPONENTES!$B$19:$E$109,2,0))</f>
        <v>58</v>
      </c>
      <c r="D76" s="205">
        <f t="shared" si="2"/>
        <v>6.7000000000000037E-9</v>
      </c>
      <c r="E76" s="261">
        <f ca="1">IF(ISNUMBER(VLOOKUP(C76,RESUMENGEN!$C$21:$M$110,2,0)),"",IF(AND(VLOOKUP(C76,RESUMENGEN!$C$21:$M$110,3,FALSE)&lt;&gt;"NO HÁBIL",VLOOKUP(C76,RESUMENGEN!$C$21:$M$110,3,FALSE)&lt;&gt;"RECHAZO"),VLOOKUP(C76,RESUMENGEN!$C$21:$M$110,11,FALSE)-D76,-D76))</f>
        <v>-6.7000000000000037E-9</v>
      </c>
      <c r="F76" s="206">
        <f t="shared" ca="1" si="3"/>
        <v>88</v>
      </c>
      <c r="G76" s="258" t="str">
        <f ca="1">IF(I76="","",VLOOKUP(I76,RESUMENGEN!$C$21:$M$110,2,FALSE))</f>
        <v>CONSORCIO VIAS RURALES TOL</v>
      </c>
      <c r="H76" s="261">
        <f ca="1">IF(I76="","",VLOOKUP(I76,RESUMENGEN!$C$21:$M$110,11,FALSE))</f>
        <v>57.284970391637096</v>
      </c>
      <c r="I76" s="207">
        <f t="shared" ca="1" si="4"/>
        <v>44</v>
      </c>
      <c r="J76" s="208" t="str">
        <f ca="1">IFERROR(IF(AND(VLOOKUP(I76,RESUMENGEN!$C$21:$M$110,3,0)="HÁBIL",H76&lt;&gt;0),"ELEGIBLE","NO ELEGIBLE"),"")</f>
        <v>ELEGIBLE</v>
      </c>
    </row>
    <row r="77" spans="2:10">
      <c r="B77" s="204">
        <v>59</v>
      </c>
      <c r="C77" s="209">
        <f>IF(VLOOKUP(B77,PROPONENTES!$B$19:$E$109,2,0)="","",VLOOKUP(B77,PROPONENTES!$B$19:$E$109,2,0))</f>
        <v>59</v>
      </c>
      <c r="D77" s="205">
        <f t="shared" si="2"/>
        <v>6.8000000000000038E-9</v>
      </c>
      <c r="E77" s="261">
        <f ca="1">IF(ISNUMBER(VLOOKUP(C77,RESUMENGEN!$C$21:$M$110,2,0)),"",IF(AND(VLOOKUP(C77,RESUMENGEN!$C$21:$M$110,3,FALSE)&lt;&gt;"NO HÁBIL",VLOOKUP(C77,RESUMENGEN!$C$21:$M$110,3,FALSE)&lt;&gt;"RECHAZO"),VLOOKUP(C77,RESUMENGEN!$C$21:$M$110,11,FALSE)-D77,-D77))</f>
        <v>48.038938391148015</v>
      </c>
      <c r="F77" s="206">
        <f t="shared" ca="1" si="3"/>
        <v>70</v>
      </c>
      <c r="G77" s="258" t="str">
        <f ca="1">IF(I77="","",VLOOKUP(I77,RESUMENGEN!$C$21:$M$110,2,FALSE))</f>
        <v>INGENIERÍA Y CONSULTORÍA INGECON SAS</v>
      </c>
      <c r="H77" s="261">
        <f ca="1">IF(I77="","",VLOOKUP(I77,RESUMENGEN!$C$21:$M$110,11,FALSE))</f>
        <v>57.263466440271813</v>
      </c>
      <c r="I77" s="207">
        <f t="shared" ca="1" si="4"/>
        <v>88</v>
      </c>
      <c r="J77" s="208" t="str">
        <f ca="1">IFERROR(IF(AND(VLOOKUP(I77,RESUMENGEN!$C$21:$M$110,3,0)="HÁBIL",H77&lt;&gt;0),"ELEGIBLE","NO ELEGIBLE"),"")</f>
        <v>ELEGIBLE</v>
      </c>
    </row>
    <row r="78" spans="2:10">
      <c r="B78" s="204">
        <v>60</v>
      </c>
      <c r="C78" s="209">
        <f>IF(VLOOKUP(B78,PROPONENTES!$B$19:$E$109,2,0)="","",VLOOKUP(B78,PROPONENTES!$B$19:$E$109,2,0))</f>
        <v>60</v>
      </c>
      <c r="D78" s="205">
        <f t="shared" si="2"/>
        <v>6.9000000000000039E-9</v>
      </c>
      <c r="E78" s="261">
        <f ca="1">IF(ISNUMBER(VLOOKUP(C78,RESUMENGEN!$C$21:$M$110,2,0)),"",IF(AND(VLOOKUP(C78,RESUMENGEN!$C$21:$M$110,3,FALSE)&lt;&gt;"NO HÁBIL",VLOOKUP(C78,RESUMENGEN!$C$21:$M$110,3,FALSE)&lt;&gt;"RECHAZO"),VLOOKUP(C78,RESUMENGEN!$C$21:$M$110,11,FALSE)-D78,-D78))</f>
        <v>-6.9000000000000039E-9</v>
      </c>
      <c r="F78" s="206">
        <f t="shared" ca="1" si="3"/>
        <v>89</v>
      </c>
      <c r="G78" s="258" t="str">
        <f ca="1">IF(I78="","",VLOOKUP(I78,RESUMENGEN!$C$21:$M$110,2,FALSE))</f>
        <v>GRUPO QUIMBAYA S.A.S.</v>
      </c>
      <c r="H78" s="261">
        <f ca="1">IF(I78="","",VLOOKUP(I78,RESUMENGEN!$C$21:$M$110,11,FALSE))</f>
        <v>57.173911115808593</v>
      </c>
      <c r="I78" s="207">
        <f t="shared" ca="1" si="4"/>
        <v>72</v>
      </c>
      <c r="J78" s="208" t="str">
        <f ca="1">IFERROR(IF(AND(VLOOKUP(I78,RESUMENGEN!$C$21:$M$110,3,0)="HÁBIL",H78&lt;&gt;0),"ELEGIBLE","NO ELEGIBLE"),"")</f>
        <v>ELEGIBLE</v>
      </c>
    </row>
    <row r="79" spans="2:10">
      <c r="B79" s="204">
        <v>61</v>
      </c>
      <c r="C79" s="209">
        <f>IF(VLOOKUP(B79,PROPONENTES!$B$19:$E$109,2,0)="","",VLOOKUP(B79,PROPONENTES!$B$19:$E$109,2,0))</f>
        <v>61</v>
      </c>
      <c r="D79" s="205">
        <f t="shared" si="2"/>
        <v>7.000000000000004E-9</v>
      </c>
      <c r="E79" s="261">
        <f ca="1">IF(ISNUMBER(VLOOKUP(C79,RESUMENGEN!$C$21:$M$110,2,0)),"",IF(AND(VLOOKUP(C79,RESUMENGEN!$C$21:$M$110,3,FALSE)&lt;&gt;"NO HÁBIL",VLOOKUP(C79,RESUMENGEN!$C$21:$M$110,3,FALSE)&lt;&gt;"RECHAZO"),VLOOKUP(C79,RESUMENGEN!$C$21:$M$110,11,FALSE)-D79,-D79))</f>
        <v>30.999999992999999</v>
      </c>
      <c r="F79" s="206">
        <f t="shared" ca="1" si="3"/>
        <v>80</v>
      </c>
      <c r="G79" s="258" t="str">
        <f ca="1">IF(I79="","",VLOOKUP(I79,RESUMENGEN!$C$21:$M$110,2,FALSE))</f>
        <v>ARQUITECTOS  INGENIEROS CONSTRUCTORES S.A.S</v>
      </c>
      <c r="H79" s="261">
        <f ca="1">IF(I79="","",VLOOKUP(I79,RESUMENGEN!$C$21:$M$110,11,FALSE))</f>
        <v>56.134116585722921</v>
      </c>
      <c r="I79" s="207">
        <f t="shared" ca="1" si="4"/>
        <v>24</v>
      </c>
      <c r="J79" s="208" t="str">
        <f ca="1">IFERROR(IF(AND(VLOOKUP(I79,RESUMENGEN!$C$21:$M$110,3,0)="HÁBIL",H79&lt;&gt;0),"ELEGIBLE","NO ELEGIBLE"),"")</f>
        <v>ELEGIBLE</v>
      </c>
    </row>
    <row r="80" spans="2:10">
      <c r="B80" s="204">
        <v>62</v>
      </c>
      <c r="C80" s="209">
        <f>IF(VLOOKUP(B80,PROPONENTES!$B$19:$E$109,2,0)="","",VLOOKUP(B80,PROPONENTES!$B$19:$E$109,2,0))</f>
        <v>62</v>
      </c>
      <c r="D80" s="205">
        <f t="shared" si="2"/>
        <v>7.100000000000004E-9</v>
      </c>
      <c r="E80" s="261">
        <f ca="1">IF(ISNUMBER(VLOOKUP(C80,RESUMENGEN!$C$21:$M$110,2,0)),"",IF(AND(VLOOKUP(C80,RESUMENGEN!$C$21:$M$110,3,FALSE)&lt;&gt;"NO HÁBIL",VLOOKUP(C80,RESUMENGEN!$C$21:$M$110,3,FALSE)&lt;&gt;"RECHAZO"),VLOOKUP(C80,RESUMENGEN!$C$21:$M$110,11,FALSE)-D80,-D80))</f>
        <v>69.689787642873455</v>
      </c>
      <c r="F80" s="206">
        <f t="shared" ca="1" si="3"/>
        <v>18</v>
      </c>
      <c r="G80" s="258" t="str">
        <f ca="1">IF(I80="","",VLOOKUP(I80,RESUMENGEN!$C$21:$M$110,2,FALSE))</f>
        <v>CONSORCIO INTERVENTORES ASOCIADOS DEL TOLIMA</v>
      </c>
      <c r="H80" s="261">
        <f ca="1">IF(I80="","",VLOOKUP(I80,RESUMENGEN!$C$21:$M$110,11,FALSE))</f>
        <v>55.827501294891746</v>
      </c>
      <c r="I80" s="207">
        <f t="shared" ca="1" si="4"/>
        <v>83</v>
      </c>
      <c r="J80" s="208" t="str">
        <f ca="1">IFERROR(IF(AND(VLOOKUP(I80,RESUMENGEN!$C$21:$M$110,3,0)="HÁBIL",H80&lt;&gt;0),"ELEGIBLE","NO ELEGIBLE"),"")</f>
        <v>ELEGIBLE</v>
      </c>
    </row>
    <row r="81" spans="2:10">
      <c r="B81" s="204">
        <v>63</v>
      </c>
      <c r="C81" s="209">
        <f>IF(VLOOKUP(B81,PROPONENTES!$B$19:$E$109,2,0)="","",VLOOKUP(B81,PROPONENTES!$B$19:$E$109,2,0))</f>
        <v>63</v>
      </c>
      <c r="D81" s="205">
        <f t="shared" si="2"/>
        <v>7.2000000000000041E-9</v>
      </c>
      <c r="E81" s="261">
        <f ca="1">IF(ISNUMBER(VLOOKUP(C81,RESUMENGEN!$C$21:$M$110,2,0)),"",IF(AND(VLOOKUP(C81,RESUMENGEN!$C$21:$M$110,3,FALSE)&lt;&gt;"NO HÁBIL",VLOOKUP(C81,RESUMENGEN!$C$21:$M$110,3,FALSE)&lt;&gt;"RECHAZO"),VLOOKUP(C81,RESUMENGEN!$C$21:$M$110,11,FALSE)-D81,-D81))</f>
        <v>62.089533883090887</v>
      </c>
      <c r="F81" s="206">
        <f t="shared" ca="1" si="3"/>
        <v>49</v>
      </c>
      <c r="G81" s="258" t="str">
        <f ca="1">IF(I81="","",VLOOKUP(I81,RESUMENGEN!$C$21:$M$110,2,FALSE))</f>
        <v>SOCIEDAD TECNICA SOTA LTDA</v>
      </c>
      <c r="H81" s="261">
        <f ca="1">IF(I81="","",VLOOKUP(I81,RESUMENGEN!$C$21:$M$110,11,FALSE))</f>
        <v>55.747673313742474</v>
      </c>
      <c r="I81" s="207">
        <f t="shared" ca="1" si="4"/>
        <v>82</v>
      </c>
      <c r="J81" s="208" t="str">
        <f ca="1">IFERROR(IF(AND(VLOOKUP(I81,RESUMENGEN!$C$21:$M$110,3,0)="HÁBIL",H81&lt;&gt;0),"ELEGIBLE","NO ELEGIBLE"),"")</f>
        <v>ELEGIBLE</v>
      </c>
    </row>
    <row r="82" spans="2:10">
      <c r="B82" s="204">
        <v>64</v>
      </c>
      <c r="C82" s="209">
        <f>IF(VLOOKUP(B82,PROPONENTES!$B$19:$E$109,2,0)="","",VLOOKUP(B82,PROPONENTES!$B$19:$E$109,2,0))</f>
        <v>64</v>
      </c>
      <c r="D82" s="205">
        <f t="shared" si="2"/>
        <v>7.3000000000000042E-9</v>
      </c>
      <c r="E82" s="261">
        <f ca="1">IF(ISNUMBER(VLOOKUP(C82,RESUMENGEN!$C$21:$M$110,2,0)),"",IF(AND(VLOOKUP(C82,RESUMENGEN!$C$21:$M$110,3,FALSE)&lt;&gt;"NO HÁBIL",VLOOKUP(C82,RESUMENGEN!$C$21:$M$110,3,FALSE)&lt;&gt;"RECHAZO"),VLOOKUP(C82,RESUMENGEN!$C$21:$M$110,11,FALSE)-D82,-D82))</f>
        <v>55.432114592393127</v>
      </c>
      <c r="F82" s="206">
        <f t="shared" ca="1" si="3"/>
        <v>64</v>
      </c>
      <c r="G82" s="258" t="str">
        <f ca="1">IF(I82="","",VLOOKUP(I82,RESUMENGEN!$C$21:$M$110,2,FALSE))</f>
        <v>UNION TEMPORAL INTERTOL 001 2022</v>
      </c>
      <c r="H82" s="261">
        <f ca="1">IF(I82="","",VLOOKUP(I82,RESUMENGEN!$C$21:$M$110,11,FALSE))</f>
        <v>55.432114599693129</v>
      </c>
      <c r="I82" s="207">
        <f t="shared" ca="1" si="4"/>
        <v>64</v>
      </c>
      <c r="J82" s="208" t="str">
        <f ca="1">IFERROR(IF(AND(VLOOKUP(I82,RESUMENGEN!$C$21:$M$110,3,0)="HÁBIL",H82&lt;&gt;0),"ELEGIBLE","NO ELEGIBLE"),"")</f>
        <v>ELEGIBLE</v>
      </c>
    </row>
    <row r="83" spans="2:10">
      <c r="B83" s="204">
        <v>65</v>
      </c>
      <c r="C83" s="209">
        <f>IF(VLOOKUP(B83,PROPONENTES!$B$19:$E$109,2,0)="","",VLOOKUP(B83,PROPONENTES!$B$19:$E$109,2,0))</f>
        <v>65</v>
      </c>
      <c r="D83" s="205">
        <f t="shared" si="2"/>
        <v>7.4000000000000042E-9</v>
      </c>
      <c r="E83" s="261">
        <f ca="1">IF(ISNUMBER(VLOOKUP(C83,RESUMENGEN!$C$21:$M$110,2,0)),"",IF(AND(VLOOKUP(C83,RESUMENGEN!$C$21:$M$110,3,FALSE)&lt;&gt;"NO HÁBIL",VLOOKUP(C83,RESUMENGEN!$C$21:$M$110,3,FALSE)&lt;&gt;"RECHAZO"),VLOOKUP(C83,RESUMENGEN!$C$21:$M$110,11,FALSE)-D83,-D83))</f>
        <v>-7.4000000000000042E-9</v>
      </c>
      <c r="F83" s="206">
        <f t="shared" ref="F83:F108" ca="1" si="5">IFERROR(RANK(E83,$E$19:$E$108),"")</f>
        <v>90</v>
      </c>
      <c r="G83" s="258" t="str">
        <f ca="1">IF(I83="","",VLOOKUP(I83,RESUMENGEN!$C$21:$M$110,2,FALSE))</f>
        <v>PROYECTOS URBANOS &amp; CONSTRUCCIONES DEL CARIBE S.A.S</v>
      </c>
      <c r="H83" s="261">
        <f ca="1">IF(I83="","",VLOOKUP(I83,RESUMENGEN!$C$21:$M$110,11,FALSE))</f>
        <v>55.165261550670401</v>
      </c>
      <c r="I83" s="207">
        <f t="shared" ref="I83:I108" ca="1" si="6">IF(F83="","",OFFSET($C$18,MATCH(B83,$F$19:$F$108,0),0))</f>
        <v>1</v>
      </c>
      <c r="J83" s="208" t="str">
        <f ca="1">IFERROR(IF(AND(VLOOKUP(I83,RESUMENGEN!$C$21:$M$110,3,0)="HÁBIL",H83&lt;&gt;0),"ELEGIBLE","NO ELEGIBLE"),"")</f>
        <v>ELEGIBLE</v>
      </c>
    </row>
    <row r="84" spans="2:10">
      <c r="B84" s="204">
        <v>66</v>
      </c>
      <c r="C84" s="209">
        <f>IF(VLOOKUP(B84,PROPONENTES!$B$19:$E$109,2,0)="","",VLOOKUP(B84,PROPONENTES!$B$19:$E$109,2,0))</f>
        <v>66</v>
      </c>
      <c r="D84" s="205">
        <f t="shared" si="2"/>
        <v>7.5000000000000043E-9</v>
      </c>
      <c r="E84" s="261">
        <f ca="1">IF(ISNUMBER(VLOOKUP(C84,RESUMENGEN!$C$21:$M$110,2,0)),"",IF(AND(VLOOKUP(C84,RESUMENGEN!$C$21:$M$110,3,FALSE)&lt;&gt;"NO HÁBIL",VLOOKUP(C84,RESUMENGEN!$C$21:$M$110,3,FALSE)&lt;&gt;"RECHAZO"),VLOOKUP(C84,RESUMENGEN!$C$21:$M$110,11,FALSE)-D84,-D84))</f>
        <v>62.144137438128091</v>
      </c>
      <c r="F84" s="206">
        <f t="shared" ca="1" si="5"/>
        <v>48</v>
      </c>
      <c r="G84" s="258" t="str">
        <f ca="1">IF(I84="","",VLOOKUP(I84,RESUMENGEN!$C$21:$M$110,2,FALSE))</f>
        <v>INGENIERIA MASTER S.A.S.</v>
      </c>
      <c r="H84" s="261">
        <f ca="1">IF(I84="","",VLOOKUP(I84,RESUMENGEN!$C$21:$M$110,11,FALSE))</f>
        <v>54.695196161245754</v>
      </c>
      <c r="I84" s="207">
        <f t="shared" ca="1" si="6"/>
        <v>31</v>
      </c>
      <c r="J84" s="208" t="str">
        <f ca="1">IFERROR(IF(AND(VLOOKUP(I84,RESUMENGEN!$C$21:$M$110,3,0)="HÁBIL",H84&lt;&gt;0),"ELEGIBLE","NO ELEGIBLE"),"")</f>
        <v>ELEGIBLE</v>
      </c>
    </row>
    <row r="85" spans="2:10">
      <c r="B85" s="204">
        <v>67</v>
      </c>
      <c r="C85" s="209">
        <f>IF(VLOOKUP(B85,PROPONENTES!$B$19:$E$109,2,0)="","",VLOOKUP(B85,PROPONENTES!$B$19:$E$109,2,0))</f>
        <v>67</v>
      </c>
      <c r="D85" s="205">
        <f t="shared" ref="D85:D108" si="7">D84+0.0000000001</f>
        <v>7.6000000000000035E-9</v>
      </c>
      <c r="E85" s="261">
        <f ca="1">IF(ISNUMBER(VLOOKUP(C85,RESUMENGEN!$C$21:$M$110,2,0)),"",IF(AND(VLOOKUP(C85,RESUMENGEN!$C$21:$M$110,3,FALSE)&lt;&gt;"NO HÁBIL",VLOOKUP(C85,RESUMENGEN!$C$21:$M$110,3,FALSE)&lt;&gt;"RECHAZO"),VLOOKUP(C85,RESUMENGEN!$C$21:$M$110,11,FALSE)-D85,-D85))</f>
        <v>64.117458522483531</v>
      </c>
      <c r="F85" s="206">
        <f t="shared" ca="1" si="5"/>
        <v>40</v>
      </c>
      <c r="G85" s="258" t="str">
        <f ca="1">IF(I85="","",VLOOKUP(I85,RESUMENGEN!$C$21:$M$110,2,FALSE))</f>
        <v>CONSULTORIA Y CONSTRUCCIONES DARLEV SAS</v>
      </c>
      <c r="H85" s="261">
        <f ca="1">IF(I85="","",VLOOKUP(I85,RESUMENGEN!$C$21:$M$110,11,FALSE))</f>
        <v>53.979593318385284</v>
      </c>
      <c r="I85" s="207">
        <f t="shared" ca="1" si="6"/>
        <v>27</v>
      </c>
      <c r="J85" s="208" t="str">
        <f ca="1">IFERROR(IF(AND(VLOOKUP(I85,RESUMENGEN!$C$21:$M$110,3,0)="HÁBIL",H85&lt;&gt;0),"ELEGIBLE","NO ELEGIBLE"),"")</f>
        <v>ELEGIBLE</v>
      </c>
    </row>
    <row r="86" spans="2:10">
      <c r="B86" s="204">
        <v>68</v>
      </c>
      <c r="C86" s="209">
        <f>IF(VLOOKUP(B86,PROPONENTES!$B$19:$E$109,2,0)="","",VLOOKUP(B86,PROPONENTES!$B$19:$E$109,2,0))</f>
        <v>68</v>
      </c>
      <c r="D86" s="205">
        <f t="shared" si="7"/>
        <v>7.7000000000000028E-9</v>
      </c>
      <c r="E86" s="261">
        <f ca="1">IF(ISNUMBER(VLOOKUP(C86,RESUMENGEN!$C$21:$M$110,2,0)),"",IF(AND(VLOOKUP(C86,RESUMENGEN!$C$21:$M$110,3,FALSE)&lt;&gt;"NO HÁBIL",VLOOKUP(C86,RESUMENGEN!$C$21:$M$110,3,FALSE)&lt;&gt;"RECHAZO"),VLOOKUP(C86,RESUMENGEN!$C$21:$M$110,11,FALSE)-D86,-D86))</f>
        <v>67.461577239985544</v>
      </c>
      <c r="F86" s="206">
        <f t="shared" ca="1" si="5"/>
        <v>30</v>
      </c>
      <c r="G86" s="258" t="str">
        <f ca="1">IF(I86="","",VLOOKUP(I86,RESUMENGEN!$C$21:$M$110,2,FALSE))</f>
        <v>CONSORCIO COLOMBIA RURAL ET</v>
      </c>
      <c r="H86" s="261">
        <f ca="1">IF(I86="","",VLOOKUP(I86,RESUMENGEN!$C$21:$M$110,11,FALSE))</f>
        <v>52.869135087094108</v>
      </c>
      <c r="I86" s="207">
        <f t="shared" ca="1" si="6"/>
        <v>56</v>
      </c>
      <c r="J86" s="208" t="str">
        <f ca="1">IFERROR(IF(AND(VLOOKUP(I86,RESUMENGEN!$C$21:$M$110,3,0)="HÁBIL",H86&lt;&gt;0),"ELEGIBLE","NO ELEGIBLE"),"")</f>
        <v>ELEGIBLE</v>
      </c>
    </row>
    <row r="87" spans="2:10">
      <c r="B87" s="204">
        <v>69</v>
      </c>
      <c r="C87" s="209">
        <f>IF(VLOOKUP(B87,PROPONENTES!$B$19:$E$109,2,0)="","",VLOOKUP(B87,PROPONENTES!$B$19:$E$109,2,0))</f>
        <v>69</v>
      </c>
      <c r="D87" s="205">
        <f t="shared" si="7"/>
        <v>7.800000000000002E-9</v>
      </c>
      <c r="E87" s="261">
        <f ca="1">IF(ISNUMBER(VLOOKUP(C87,RESUMENGEN!$C$21:$M$110,2,0)),"",IF(AND(VLOOKUP(C87,RESUMENGEN!$C$21:$M$110,3,FALSE)&lt;&gt;"NO HÁBIL",VLOOKUP(C87,RESUMENGEN!$C$21:$M$110,3,FALSE)&lt;&gt;"RECHAZO"),VLOOKUP(C87,RESUMENGEN!$C$21:$M$110,11,FALSE)-D87,-D87))</f>
        <v>33.454061438562206</v>
      </c>
      <c r="F87" s="206">
        <f t="shared" ca="1" si="5"/>
        <v>79</v>
      </c>
      <c r="G87" s="258" t="str">
        <f ca="1">IF(I87="","",VLOOKUP(I87,RESUMENGEN!$C$21:$M$110,2,FALSE))</f>
        <v>INGENIERIA CONUSLTORIA Y PLANEACION S.A – INCOPLAN S.A</v>
      </c>
      <c r="H87" s="261">
        <f ca="1">IF(I87="","",VLOOKUP(I87,RESUMENGEN!$C$21:$M$110,11,FALSE))</f>
        <v>51.113545633999635</v>
      </c>
      <c r="I87" s="207">
        <f t="shared" ca="1" si="6"/>
        <v>74</v>
      </c>
      <c r="J87" s="208" t="str">
        <f ca="1">IFERROR(IF(AND(VLOOKUP(I87,RESUMENGEN!$C$21:$M$110,3,0)="HÁBIL",H87&lt;&gt;0),"ELEGIBLE","NO ELEGIBLE"),"")</f>
        <v>ELEGIBLE</v>
      </c>
    </row>
    <row r="88" spans="2:10">
      <c r="B88" s="204">
        <v>70</v>
      </c>
      <c r="C88" s="209">
        <f>IF(VLOOKUP(B88,PROPONENTES!$B$19:$E$109,2,0)="","",VLOOKUP(B88,PROPONENTES!$B$19:$E$109,2,0))</f>
        <v>70</v>
      </c>
      <c r="D88" s="205">
        <f t="shared" si="7"/>
        <v>7.9000000000000013E-9</v>
      </c>
      <c r="E88" s="261">
        <f ca="1">IF(ISNUMBER(VLOOKUP(C88,RESUMENGEN!$C$21:$M$110,2,0)),"",IF(AND(VLOOKUP(C88,RESUMENGEN!$C$21:$M$110,3,FALSE)&lt;&gt;"NO HÁBIL",VLOOKUP(C88,RESUMENGEN!$C$21:$M$110,3,FALSE)&lt;&gt;"RECHAZO"),VLOOKUP(C88,RESUMENGEN!$C$21:$M$110,11,FALSE)-D88,-D88))</f>
        <v>63.867357365200633</v>
      </c>
      <c r="F88" s="206">
        <f t="shared" ca="1" si="5"/>
        <v>42</v>
      </c>
      <c r="G88" s="258" t="str">
        <f ca="1">IF(I88="","",VLOOKUP(I88,RESUMENGEN!$C$21:$M$110,2,FALSE))</f>
        <v>Consorcio JR</v>
      </c>
      <c r="H88" s="261">
        <f ca="1">IF(I88="","",VLOOKUP(I88,RESUMENGEN!$C$21:$M$110,11,FALSE))</f>
        <v>48.038938397948016</v>
      </c>
      <c r="I88" s="207">
        <f t="shared" ca="1" si="6"/>
        <v>59</v>
      </c>
      <c r="J88" s="208" t="str">
        <f ca="1">IFERROR(IF(AND(VLOOKUP(I88,RESUMENGEN!$C$21:$M$110,3,0)="HÁBIL",H88&lt;&gt;0),"ELEGIBLE","NO ELEGIBLE"),"")</f>
        <v>ELEGIBLE</v>
      </c>
    </row>
    <row r="89" spans="2:10">
      <c r="B89" s="204">
        <v>71</v>
      </c>
      <c r="C89" s="209">
        <f>IF(VLOOKUP(B89,PROPONENTES!$B$19:$E$109,2,0)="","",VLOOKUP(B89,PROPONENTES!$B$19:$E$109,2,0))</f>
        <v>71</v>
      </c>
      <c r="D89" s="205">
        <f t="shared" si="7"/>
        <v>8.0000000000000005E-9</v>
      </c>
      <c r="E89" s="261">
        <f ca="1">IF(ISNUMBER(VLOOKUP(C89,RESUMENGEN!$C$21:$M$110,2,0)),"",IF(AND(VLOOKUP(C89,RESUMENGEN!$C$21:$M$110,3,FALSE)&lt;&gt;"NO HÁBIL",VLOOKUP(C89,RESUMENGEN!$C$21:$M$110,3,FALSE)&lt;&gt;"RECHAZO"),VLOOKUP(C89,RESUMENGEN!$C$21:$M$110,11,FALSE)-D89,-D89))</f>
        <v>74.544638209376529</v>
      </c>
      <c r="F89" s="206">
        <f t="shared" ca="1" si="5"/>
        <v>10</v>
      </c>
      <c r="G89" s="258" t="str">
        <f ca="1">IF(I89="","",VLOOKUP(I89,RESUMENGEN!$C$21:$M$110,2,FALSE))</f>
        <v>CARLOS ANDRES CHAVARRO CASTRO</v>
      </c>
      <c r="H89" s="261">
        <f ca="1">IF(I89="","",VLOOKUP(I89,RESUMENGEN!$C$21:$M$110,11,FALSE))</f>
        <v>45.542526956692171</v>
      </c>
      <c r="I89" s="207">
        <f t="shared" ca="1" si="6"/>
        <v>86</v>
      </c>
      <c r="J89" s="208" t="str">
        <f ca="1">IFERROR(IF(AND(VLOOKUP(I89,RESUMENGEN!$C$21:$M$110,3,0)="HÁBIL",H89&lt;&gt;0),"ELEGIBLE","NO ELEGIBLE"),"")</f>
        <v>ELEGIBLE</v>
      </c>
    </row>
    <row r="90" spans="2:10">
      <c r="B90" s="204">
        <v>72</v>
      </c>
      <c r="C90" s="209">
        <f>IF(VLOOKUP(B90,PROPONENTES!$B$19:$E$109,2,0)="","",VLOOKUP(B90,PROPONENTES!$B$19:$E$109,2,0))</f>
        <v>72</v>
      </c>
      <c r="D90" s="205">
        <f t="shared" si="7"/>
        <v>8.0999999999999997E-9</v>
      </c>
      <c r="E90" s="261">
        <f ca="1">IF(ISNUMBER(VLOOKUP(C90,RESUMENGEN!$C$21:$M$110,2,0)),"",IF(AND(VLOOKUP(C90,RESUMENGEN!$C$21:$M$110,3,FALSE)&lt;&gt;"NO HÁBIL",VLOOKUP(C90,RESUMENGEN!$C$21:$M$110,3,FALSE)&lt;&gt;"RECHAZO"),VLOOKUP(C90,RESUMENGEN!$C$21:$M$110,11,FALSE)-D90,-D90))</f>
        <v>57.173911107708591</v>
      </c>
      <c r="F90" s="206">
        <f t="shared" ca="1" si="5"/>
        <v>60</v>
      </c>
      <c r="G90" s="258" t="str">
        <f ca="1">IF(I90="","",VLOOKUP(I90,RESUMENGEN!$C$21:$M$110,2,FALSE))</f>
        <v>CONSORCIO MT 2022 TOLIMA</v>
      </c>
      <c r="H90" s="261">
        <f ca="1">IF(I90="","",VLOOKUP(I90,RESUMENGEN!$C$21:$M$110,11,FALSE))</f>
        <v>44.288146121693899</v>
      </c>
      <c r="I90" s="207">
        <f t="shared" ca="1" si="6"/>
        <v>29</v>
      </c>
      <c r="J90" s="208" t="str">
        <f ca="1">IFERROR(IF(AND(VLOOKUP(I90,RESUMENGEN!$C$21:$M$110,3,0)="HÁBIL",H90&lt;&gt;0),"ELEGIBLE","NO ELEGIBLE"),"")</f>
        <v>ELEGIBLE</v>
      </c>
    </row>
    <row r="91" spans="2:10">
      <c r="B91" s="204">
        <v>73</v>
      </c>
      <c r="C91" s="209">
        <f>IF(VLOOKUP(B91,PROPONENTES!$B$19:$E$109,2,0)="","",VLOOKUP(B91,PROPONENTES!$B$19:$E$109,2,0))</f>
        <v>73</v>
      </c>
      <c r="D91" s="205">
        <f t="shared" si="7"/>
        <v>8.199999999999999E-9</v>
      </c>
      <c r="E91" s="261">
        <f ca="1">IF(ISNUMBER(VLOOKUP(C91,RESUMENGEN!$C$21:$M$110,2,0)),"",IF(AND(VLOOKUP(C91,RESUMENGEN!$C$21:$M$110,3,FALSE)&lt;&gt;"NO HÁBIL",VLOOKUP(C91,RESUMENGEN!$C$21:$M$110,3,FALSE)&lt;&gt;"RECHAZO"),VLOOKUP(C91,RESUMENGEN!$C$21:$M$110,11,FALSE)-D91,-D91))</f>
        <v>30.999999991799999</v>
      </c>
      <c r="F91" s="206">
        <f t="shared" ca="1" si="5"/>
        <v>81</v>
      </c>
      <c r="G91" s="258" t="str">
        <f ca="1">IF(I91="","",VLOOKUP(I91,RESUMENGEN!$C$21:$M$110,2,FALSE))</f>
        <v>CONSORCIO SF</v>
      </c>
      <c r="H91" s="261">
        <f ca="1">IF(I91="","",VLOOKUP(I91,RESUMENGEN!$C$21:$M$110,11,FALSE))</f>
        <v>41.999087999667836</v>
      </c>
      <c r="I91" s="207">
        <f t="shared" ca="1" si="6"/>
        <v>41</v>
      </c>
      <c r="J91" s="208" t="str">
        <f ca="1">IFERROR(IF(AND(VLOOKUP(I91,RESUMENGEN!$C$21:$M$110,3,0)="HÁBIL",H91&lt;&gt;0),"ELEGIBLE","NO ELEGIBLE"),"")</f>
        <v>ELEGIBLE</v>
      </c>
    </row>
    <row r="92" spans="2:10">
      <c r="B92" s="204">
        <v>74</v>
      </c>
      <c r="C92" s="209">
        <f>IF(VLOOKUP(B92,PROPONENTES!$B$19:$E$109,2,0)="","",VLOOKUP(B92,PROPONENTES!$B$19:$E$109,2,0))</f>
        <v>74</v>
      </c>
      <c r="D92" s="205">
        <f t="shared" si="7"/>
        <v>8.2999999999999982E-9</v>
      </c>
      <c r="E92" s="261">
        <f ca="1">IF(ISNUMBER(VLOOKUP(C92,RESUMENGEN!$C$21:$M$110,2,0)),"",IF(AND(VLOOKUP(C92,RESUMENGEN!$C$21:$M$110,3,FALSE)&lt;&gt;"NO HÁBIL",VLOOKUP(C92,RESUMENGEN!$C$21:$M$110,3,FALSE)&lt;&gt;"RECHAZO"),VLOOKUP(C92,RESUMENGEN!$C$21:$M$110,11,FALSE)-D92,-D92))</f>
        <v>51.113545625699636</v>
      </c>
      <c r="F92" s="206">
        <f t="shared" ca="1" si="5"/>
        <v>69</v>
      </c>
      <c r="G92" s="258" t="str">
        <f ca="1">IF(I92="","",VLOOKUP(I92,RESUMENGEN!$C$21:$M$110,2,FALSE))</f>
        <v>CONSORCIO TOLIMA</v>
      </c>
      <c r="H92" s="261">
        <f ca="1">IF(I92="","",VLOOKUP(I92,RESUMENGEN!$C$21:$M$110,11,FALSE))</f>
        <v>40.015560634586322</v>
      </c>
      <c r="I92" s="207">
        <f t="shared" ca="1" si="6"/>
        <v>28</v>
      </c>
      <c r="J92" s="208" t="str">
        <f ca="1">IFERROR(IF(AND(VLOOKUP(I92,RESUMENGEN!$C$21:$M$110,3,0)="HÁBIL",H92&lt;&gt;0),"ELEGIBLE","NO ELEGIBLE"),"")</f>
        <v>ELEGIBLE</v>
      </c>
    </row>
    <row r="93" spans="2:10">
      <c r="B93" s="204">
        <v>75</v>
      </c>
      <c r="C93" s="209">
        <f>IF(VLOOKUP(B93,PROPONENTES!$B$19:$E$109,2,0)="","",VLOOKUP(B93,PROPONENTES!$B$19:$E$109,2,0))</f>
        <v>75</v>
      </c>
      <c r="D93" s="205">
        <f t="shared" si="7"/>
        <v>8.3999999999999975E-9</v>
      </c>
      <c r="E93" s="261">
        <f ca="1">IF(ISNUMBER(VLOOKUP(C93,RESUMENGEN!$C$21:$M$110,2,0)),"",IF(AND(VLOOKUP(C93,RESUMENGEN!$C$21:$M$110,3,FALSE)&lt;&gt;"NO HÁBIL",VLOOKUP(C93,RESUMENGEN!$C$21:$M$110,3,FALSE)&lt;&gt;"RECHAZO"),VLOOKUP(C93,RESUMENGEN!$C$21:$M$110,11,FALSE)-D93,-D93))</f>
        <v>34.955687609775644</v>
      </c>
      <c r="F93" s="206">
        <f t="shared" ca="1" si="5"/>
        <v>78</v>
      </c>
      <c r="G93" s="258" t="str">
        <f ca="1">IF(I93="","",VLOOKUP(I93,RESUMENGEN!$C$21:$M$110,2,FALSE))</f>
        <v>EJE GROUP S.A.S</v>
      </c>
      <c r="H93" s="261">
        <f ca="1">IF(I93="","",VLOOKUP(I93,RESUMENGEN!$C$21:$M$110,11,FALSE))</f>
        <v>39.513419577619722</v>
      </c>
      <c r="I93" s="207">
        <f t="shared" ca="1" si="6"/>
        <v>36</v>
      </c>
      <c r="J93" s="208" t="str">
        <f ca="1">IFERROR(IF(AND(VLOOKUP(I93,RESUMENGEN!$C$21:$M$110,3,0)="HÁBIL",H93&lt;&gt;0),"ELEGIBLE","NO ELEGIBLE"),"")</f>
        <v>ELEGIBLE</v>
      </c>
    </row>
    <row r="94" spans="2:10">
      <c r="B94" s="204">
        <v>76</v>
      </c>
      <c r="C94" s="209">
        <f>IF(VLOOKUP(B94,PROPONENTES!$B$19:$E$109,2,0)="","",VLOOKUP(B94,PROPONENTES!$B$19:$E$109,2,0))</f>
        <v>76</v>
      </c>
      <c r="D94" s="205">
        <f t="shared" si="7"/>
        <v>8.4999999999999967E-9</v>
      </c>
      <c r="E94" s="261">
        <f ca="1">IF(ISNUMBER(VLOOKUP(C94,RESUMENGEN!$C$21:$M$110,2,0)),"",IF(AND(VLOOKUP(C94,RESUMENGEN!$C$21:$M$110,3,FALSE)&lt;&gt;"NO HÁBIL",VLOOKUP(C94,RESUMENGEN!$C$21:$M$110,3,FALSE)&lt;&gt;"RECHAZO"),VLOOKUP(C94,RESUMENGEN!$C$21:$M$110,11,FALSE)-D94,-D94))</f>
        <v>64.046236492882826</v>
      </c>
      <c r="F94" s="206">
        <f t="shared" ca="1" si="5"/>
        <v>41</v>
      </c>
      <c r="G94" s="258" t="str">
        <f ca="1">IF(I94="","",VLOOKUP(I94,RESUMENGEN!$C$21:$M$110,2,FALSE))</f>
        <v>CONSORCIO INTERFEDCO TOLIMA</v>
      </c>
      <c r="H94" s="261">
        <f ca="1">IF(I94="","",VLOOKUP(I94,RESUMENGEN!$C$21:$M$110,11,FALSE))</f>
        <v>39.358287665702306</v>
      </c>
      <c r="I94" s="207">
        <f t="shared" ca="1" si="6"/>
        <v>43</v>
      </c>
      <c r="J94" s="208" t="str">
        <f ca="1">IFERROR(IF(AND(VLOOKUP(I94,RESUMENGEN!$C$21:$M$110,3,0)="HÁBIL",H94&lt;&gt;0),"ELEGIBLE","NO ELEGIBLE"),"")</f>
        <v>ELEGIBLE</v>
      </c>
    </row>
    <row r="95" spans="2:10">
      <c r="B95" s="204">
        <v>77</v>
      </c>
      <c r="C95" s="209">
        <f>IF(VLOOKUP(B95,PROPONENTES!$B$19:$E$109,2,0)="","",VLOOKUP(B95,PROPONENTES!$B$19:$E$109,2,0))</f>
        <v>77</v>
      </c>
      <c r="D95" s="205">
        <f t="shared" si="7"/>
        <v>8.5999999999999959E-9</v>
      </c>
      <c r="E95" s="261">
        <f ca="1">IF(ISNUMBER(VLOOKUP(C95,RESUMENGEN!$C$21:$M$110,2,0)),"",IF(AND(VLOOKUP(C95,RESUMENGEN!$C$21:$M$110,3,FALSE)&lt;&gt;"NO HÁBIL",VLOOKUP(C95,RESUMENGEN!$C$21:$M$110,3,FALSE)&lt;&gt;"RECHAZO"),VLOOKUP(C95,RESUMENGEN!$C$21:$M$110,11,FALSE)-D95,-D95))</f>
        <v>61.16870957012577</v>
      </c>
      <c r="F95" s="206">
        <f t="shared" ca="1" si="5"/>
        <v>51</v>
      </c>
      <c r="G95" s="258" t="str">
        <f ca="1">IF(I95="","",VLOOKUP(I95,RESUMENGEN!$C$21:$M$110,2,FALSE))</f>
        <v>GRUPO EMPRESARIAL DE INFRAESTRUCTURA COLOMBIANO S.A.S.</v>
      </c>
      <c r="H95" s="261">
        <f ca="1">IF(I95="","",VLOOKUP(I95,RESUMENGEN!$C$21:$M$110,11,FALSE))</f>
        <v>35.278252475209797</v>
      </c>
      <c r="I95" s="207">
        <f t="shared" ca="1" si="6"/>
        <v>84</v>
      </c>
      <c r="J95" s="208" t="str">
        <f ca="1">IFERROR(IF(AND(VLOOKUP(I95,RESUMENGEN!$C$21:$M$110,3,0)="HÁBIL",H95&lt;&gt;0),"ELEGIBLE","NO ELEGIBLE"),"")</f>
        <v>ELEGIBLE</v>
      </c>
    </row>
    <row r="96" spans="2:10">
      <c r="B96" s="204">
        <v>78</v>
      </c>
      <c r="C96" s="209">
        <f>IF(VLOOKUP(B96,PROPONENTES!$B$19:$E$109,2,0)="","",VLOOKUP(B96,PROPONENTES!$B$19:$E$109,2,0))</f>
        <v>78</v>
      </c>
      <c r="D96" s="205">
        <f t="shared" si="7"/>
        <v>8.6999999999999952E-9</v>
      </c>
      <c r="E96" s="261">
        <f ca="1">IF(ISNUMBER(VLOOKUP(C96,RESUMENGEN!$C$21:$M$110,2,0)),"",IF(AND(VLOOKUP(C96,RESUMENGEN!$C$21:$M$110,3,FALSE)&lt;&gt;"NO HÁBIL",VLOOKUP(C96,RESUMENGEN!$C$21:$M$110,3,FALSE)&lt;&gt;"RECHAZO"),VLOOKUP(C96,RESUMENGEN!$C$21:$M$110,11,FALSE)-D96,-D96))</f>
        <v>63.257496670708093</v>
      </c>
      <c r="F96" s="206">
        <f t="shared" ca="1" si="5"/>
        <v>46</v>
      </c>
      <c r="G96" s="258" t="str">
        <f ca="1">IF(I96="","",VLOOKUP(I96,RESUMENGEN!$C$21:$M$110,2,FALSE))</f>
        <v>JAIME MORENO ESPAÑA</v>
      </c>
      <c r="H96" s="261">
        <f ca="1">IF(I96="","",VLOOKUP(I96,RESUMENGEN!$C$21:$M$110,11,FALSE))</f>
        <v>34.955687618175645</v>
      </c>
      <c r="I96" s="207">
        <f t="shared" ca="1" si="6"/>
        <v>75</v>
      </c>
      <c r="J96" s="208" t="str">
        <f ca="1">IFERROR(IF(AND(VLOOKUP(I96,RESUMENGEN!$C$21:$M$110,3,0)="HÁBIL",H96&lt;&gt;0),"ELEGIBLE","NO ELEGIBLE"),"")</f>
        <v>ELEGIBLE</v>
      </c>
    </row>
    <row r="97" spans="2:11">
      <c r="B97" s="204">
        <v>79</v>
      </c>
      <c r="C97" s="209">
        <f>IF(VLOOKUP(B97,PROPONENTES!$B$19:$E$109,2,0)="","",VLOOKUP(B97,PROPONENTES!$B$19:$E$109,2,0))</f>
        <v>79</v>
      </c>
      <c r="D97" s="205">
        <f t="shared" si="7"/>
        <v>8.7999999999999944E-9</v>
      </c>
      <c r="E97" s="261">
        <f ca="1">IF(ISNUMBER(VLOOKUP(C97,RESUMENGEN!$C$21:$M$110,2,0)),"",IF(AND(VLOOKUP(C97,RESUMENGEN!$C$21:$M$110,3,FALSE)&lt;&gt;"NO HÁBIL",VLOOKUP(C97,RESUMENGEN!$C$21:$M$110,3,FALSE)&lt;&gt;"RECHAZO"),VLOOKUP(C97,RESUMENGEN!$C$21:$M$110,11,FALSE)-D97,-D97))</f>
        <v>77.14432858588394</v>
      </c>
      <c r="F97" s="206">
        <f t="shared" ca="1" si="5"/>
        <v>8</v>
      </c>
      <c r="G97" s="258" t="str">
        <f ca="1">IF(I97="","",VLOOKUP(I97,RESUMENGEN!$C$21:$M$110,2,FALSE))</f>
        <v>Unión Temporal Intervías Tolima</v>
      </c>
      <c r="H97" s="261">
        <f ca="1">IF(I97="","",VLOOKUP(I97,RESUMENGEN!$C$21:$M$110,11,FALSE))</f>
        <v>33.454061446362203</v>
      </c>
      <c r="I97" s="207">
        <f t="shared" ca="1" si="6"/>
        <v>69</v>
      </c>
      <c r="J97" s="208" t="str">
        <f ca="1">IFERROR(IF(AND(VLOOKUP(I97,RESUMENGEN!$C$21:$M$110,3,0)="HÁBIL",H97&lt;&gt;0),"ELEGIBLE","NO ELEGIBLE"),"")</f>
        <v>ELEGIBLE</v>
      </c>
    </row>
    <row r="98" spans="2:11">
      <c r="B98" s="204">
        <v>80</v>
      </c>
      <c r="C98" s="209">
        <f>IF(VLOOKUP(B98,PROPONENTES!$B$19:$E$109,2,0)="","",VLOOKUP(B98,PROPONENTES!$B$19:$E$109,2,0))</f>
        <v>80</v>
      </c>
      <c r="D98" s="205">
        <f t="shared" si="7"/>
        <v>8.8999999999999937E-9</v>
      </c>
      <c r="E98" s="261">
        <f ca="1">IF(ISNUMBER(VLOOKUP(C98,RESUMENGEN!$C$21:$M$110,2,0)),"",IF(AND(VLOOKUP(C98,RESUMENGEN!$C$21:$M$110,3,FALSE)&lt;&gt;"NO HÁBIL",VLOOKUP(C98,RESUMENGEN!$C$21:$M$110,3,FALSE)&lt;&gt;"RECHAZO"),VLOOKUP(C98,RESUMENGEN!$C$21:$M$110,11,FALSE)-D98,-D98))</f>
        <v>61.369112269866804</v>
      </c>
      <c r="F98" s="206">
        <f t="shared" ca="1" si="5"/>
        <v>50</v>
      </c>
      <c r="G98" s="258" t="str">
        <f ca="1">IF(I98="","",VLOOKUP(I98,RESUMENGEN!$C$21:$M$110,2,FALSE))</f>
        <v>CONSORCIO INVITOL 2022</v>
      </c>
      <c r="H98" s="261">
        <f ca="1">IF(I98="","",VLOOKUP(I98,RESUMENGEN!$C$21:$M$110,11,FALSE))</f>
        <v>31</v>
      </c>
      <c r="I98" s="207">
        <f t="shared" ca="1" si="6"/>
        <v>61</v>
      </c>
      <c r="J98" s="208" t="str">
        <f ca="1">IFERROR(IF(AND(VLOOKUP(I98,RESUMENGEN!$C$21:$M$110,3,0)="HÁBIL",H98&lt;&gt;0),"ELEGIBLE","NO ELEGIBLE"),"")</f>
        <v>ELEGIBLE</v>
      </c>
    </row>
    <row r="99" spans="2:11">
      <c r="B99" s="204">
        <v>81</v>
      </c>
      <c r="C99" s="209">
        <f>IF(VLOOKUP(B99,PROPONENTES!$B$19:$E$109,2,0)="","",VLOOKUP(B99,PROPONENTES!$B$19:$E$109,2,0))</f>
        <v>81</v>
      </c>
      <c r="D99" s="205">
        <f t="shared" si="7"/>
        <v>8.9999999999999929E-9</v>
      </c>
      <c r="E99" s="261">
        <f ca="1">IF(ISNUMBER(VLOOKUP(C99,RESUMENGEN!$C$21:$M$110,2,0)),"",IF(AND(VLOOKUP(C99,RESUMENGEN!$C$21:$M$110,3,FALSE)&lt;&gt;"NO HÁBIL",VLOOKUP(C99,RESUMENGEN!$C$21:$M$110,3,FALSE)&lt;&gt;"RECHAZO"),VLOOKUP(C99,RESUMENGEN!$C$21:$M$110,11,FALSE)-D99,-D99))</f>
        <v>71.229968916724559</v>
      </c>
      <c r="F99" s="206">
        <f t="shared" ca="1" si="5"/>
        <v>15</v>
      </c>
      <c r="G99" s="258" t="str">
        <f ca="1">IF(I99="","",VLOOKUP(I99,RESUMENGEN!$C$21:$M$110,2,FALSE))</f>
        <v>CONSORCIO TOLIMA JI 001</v>
      </c>
      <c r="H99" s="261">
        <f ca="1">IF(I99="","",VLOOKUP(I99,RESUMENGEN!$C$21:$M$110,11,FALSE))</f>
        <v>31</v>
      </c>
      <c r="I99" s="207">
        <f t="shared" ca="1" si="6"/>
        <v>73</v>
      </c>
      <c r="J99" s="208" t="str">
        <f ca="1">IFERROR(IF(AND(VLOOKUP(I99,RESUMENGEN!$C$21:$M$110,3,0)="HÁBIL",H99&lt;&gt;0),"ELEGIBLE","NO ELEGIBLE"),"")</f>
        <v>ELEGIBLE</v>
      </c>
    </row>
    <row r="100" spans="2:11">
      <c r="B100" s="204">
        <v>82</v>
      </c>
      <c r="C100" s="209">
        <f>IF(VLOOKUP(B100,PROPONENTES!$B$19:$E$109,2,0)="","",VLOOKUP(B100,PROPONENTES!$B$19:$E$109,2,0))</f>
        <v>82</v>
      </c>
      <c r="D100" s="205">
        <f t="shared" si="7"/>
        <v>9.0999999999999922E-9</v>
      </c>
      <c r="E100" s="261">
        <f ca="1">IF(ISNUMBER(VLOOKUP(C100,RESUMENGEN!$C$21:$M$110,2,0)),"",IF(AND(VLOOKUP(C100,RESUMENGEN!$C$21:$M$110,3,FALSE)&lt;&gt;"NO HÁBIL",VLOOKUP(C100,RESUMENGEN!$C$21:$M$110,3,FALSE)&lt;&gt;"RECHAZO"),VLOOKUP(C100,RESUMENGEN!$C$21:$M$110,11,FALSE)-D100,-D100))</f>
        <v>55.747673304642476</v>
      </c>
      <c r="F100" s="206">
        <f t="shared" ca="1" si="5"/>
        <v>63</v>
      </c>
      <c r="G100" s="258" t="str">
        <f ca="1">IF(I100="","",VLOOKUP(I100,RESUMENGEN!$C$21:$M$110,2,FALSE))</f>
        <v>CONSORCIO TOLIMA RURAL</v>
      </c>
      <c r="H100" s="261">
        <f ca="1">IF(I100="","",VLOOKUP(I100,RESUMENGEN!$C$21:$M$110,11,FALSE))</f>
        <v>25.644551894998294</v>
      </c>
      <c r="I100" s="207">
        <f t="shared" ca="1" si="6"/>
        <v>33</v>
      </c>
      <c r="J100" s="208" t="str">
        <f ca="1">IFERROR(IF(AND(VLOOKUP(I100,RESUMENGEN!$C$21:$M$110,3,0)="HÁBIL",H100&lt;&gt;0),"ELEGIBLE","NO ELEGIBLE"),"")</f>
        <v>ELEGIBLE</v>
      </c>
    </row>
    <row r="101" spans="2:11" ht="30">
      <c r="B101" s="204">
        <v>83</v>
      </c>
      <c r="C101" s="209">
        <f>IF(VLOOKUP(B101,PROPONENTES!$B$19:$E$109,2,0)="","",VLOOKUP(B101,PROPONENTES!$B$19:$E$109,2,0))</f>
        <v>83</v>
      </c>
      <c r="D101" s="205">
        <f t="shared" si="7"/>
        <v>9.1999999999999914E-9</v>
      </c>
      <c r="E101" s="261">
        <f ca="1">IF(ISNUMBER(VLOOKUP(C101,RESUMENGEN!$C$21:$M$110,2,0)),"",IF(AND(VLOOKUP(C101,RESUMENGEN!$C$21:$M$110,3,FALSE)&lt;&gt;"NO HÁBIL",VLOOKUP(C101,RESUMENGEN!$C$21:$M$110,3,FALSE)&lt;&gt;"RECHAZO"),VLOOKUP(C101,RESUMENGEN!$C$21:$M$110,11,FALSE)-D101,-D101))</f>
        <v>55.827501285691746</v>
      </c>
      <c r="F101" s="206">
        <f t="shared" ca="1" si="5"/>
        <v>62</v>
      </c>
      <c r="G101" s="258" t="str">
        <f ca="1">IF(I101="","",VLOOKUP(I101,RESUMENGEN!$C$21:$M$110,2,FALSE))</f>
        <v>CONSORCIO FEEC TOLIMA</v>
      </c>
      <c r="H101" s="261">
        <f ca="1">IF(I101="","",VLOOKUP(I101,RESUMENGEN!$C$21:$M$110,11,FALSE))</f>
        <v>0</v>
      </c>
      <c r="I101" s="207">
        <f t="shared" ca="1" si="6"/>
        <v>7</v>
      </c>
      <c r="J101" s="208" t="str">
        <f ca="1">IFERROR(IF(AND(VLOOKUP(I101,RESUMENGEN!$C$21:$M$110,3,0)="HÁBIL",H101&lt;&gt;0),"ELEGIBLE","NO ELEGIBLE"),"")</f>
        <v>NO ELEGIBLE</v>
      </c>
    </row>
    <row r="102" spans="2:11">
      <c r="B102" s="204">
        <v>84</v>
      </c>
      <c r="C102" s="209">
        <f>IF(VLOOKUP(B102,PROPONENTES!$B$19:$E$109,2,0)="","",VLOOKUP(B102,PROPONENTES!$B$19:$E$109,2,0))</f>
        <v>84</v>
      </c>
      <c r="D102" s="205">
        <f t="shared" si="7"/>
        <v>9.2999999999999906E-9</v>
      </c>
      <c r="E102" s="261">
        <f ca="1">IF(ISNUMBER(VLOOKUP(C102,RESUMENGEN!$C$21:$M$110,2,0)),"",IF(AND(VLOOKUP(C102,RESUMENGEN!$C$21:$M$110,3,FALSE)&lt;&gt;"NO HÁBIL",VLOOKUP(C102,RESUMENGEN!$C$21:$M$110,3,FALSE)&lt;&gt;"RECHAZO"),VLOOKUP(C102,RESUMENGEN!$C$21:$M$110,11,FALSE)-D102,-D102))</f>
        <v>35.278252465909794</v>
      </c>
      <c r="F102" s="206">
        <f t="shared" ca="1" si="5"/>
        <v>77</v>
      </c>
      <c r="G102" s="258" t="str">
        <f ca="1">IF(I102="","",VLOOKUP(I102,RESUMENGEN!$C$21:$M$110,2,FALSE))</f>
        <v>CONSTRUCTORES DEL DESARROLLO TERRITORIAL CONSTRUDET Y COMPAÑÍA LTDA</v>
      </c>
      <c r="H102" s="261">
        <f ca="1">IF(I102="","",VLOOKUP(I102,RESUMENGEN!$C$21:$M$110,11,FALSE))</f>
        <v>0</v>
      </c>
      <c r="I102" s="207">
        <f t="shared" ca="1" si="6"/>
        <v>12</v>
      </c>
      <c r="J102" s="208" t="str">
        <f ca="1">IFERROR(IF(AND(VLOOKUP(I102,RESUMENGEN!$C$21:$M$110,3,0)="HÁBIL",H102&lt;&gt;0),"ELEGIBLE","NO ELEGIBLE"),"")</f>
        <v>NO ELEGIBLE</v>
      </c>
    </row>
    <row r="103" spans="2:11">
      <c r="B103" s="204">
        <v>85</v>
      </c>
      <c r="C103" s="209">
        <f>IF(VLOOKUP(B103,PROPONENTES!$B$19:$E$109,2,0)="","",VLOOKUP(B103,PROPONENTES!$B$19:$E$109,2,0))</f>
        <v>85</v>
      </c>
      <c r="D103" s="205">
        <f t="shared" si="7"/>
        <v>9.3999999999999899E-9</v>
      </c>
      <c r="E103" s="261">
        <f ca="1">IF(ISNUMBER(VLOOKUP(C103,RESUMENGEN!$C$21:$M$110,2,0)),"",IF(AND(VLOOKUP(C103,RESUMENGEN!$C$21:$M$110,3,FALSE)&lt;&gt;"NO HÁBIL",VLOOKUP(C103,RESUMENGEN!$C$21:$M$110,3,FALSE)&lt;&gt;"RECHAZO"),VLOOKUP(C103,RESUMENGEN!$C$21:$M$110,11,FALSE)-D103,-D103))</f>
        <v>65.08425341441</v>
      </c>
      <c r="F103" s="206">
        <f t="shared" ca="1" si="5"/>
        <v>36</v>
      </c>
      <c r="G103" s="258" t="str">
        <f ca="1">IF(I103="","",VLOOKUP(I103,RESUMENGEN!$C$21:$M$110,2,FALSE))</f>
        <v>CONSORCIO INTER CB 2022</v>
      </c>
      <c r="H103" s="261">
        <f ca="1">IF(I103="","",VLOOKUP(I103,RESUMENGEN!$C$21:$M$110,11,FALSE))</f>
        <v>0</v>
      </c>
      <c r="I103" s="207">
        <f t="shared" ca="1" si="6"/>
        <v>14</v>
      </c>
      <c r="J103" s="208" t="str">
        <f ca="1">IFERROR(IF(AND(VLOOKUP(I103,RESUMENGEN!$C$21:$M$110,3,0)="HÁBIL",H103&lt;&gt;0),"ELEGIBLE","NO ELEGIBLE"),"")</f>
        <v>NO ELEGIBLE</v>
      </c>
    </row>
    <row r="104" spans="2:11">
      <c r="B104" s="204">
        <v>86</v>
      </c>
      <c r="C104" s="209">
        <f>IF(VLOOKUP(B104,PROPONENTES!$B$19:$E$109,2,0)="","",VLOOKUP(B104,PROPONENTES!$B$19:$E$109,2,0))</f>
        <v>86</v>
      </c>
      <c r="D104" s="205">
        <f t="shared" si="7"/>
        <v>9.4999999999999891E-9</v>
      </c>
      <c r="E104" s="261">
        <f ca="1">IF(ISNUMBER(VLOOKUP(C104,RESUMENGEN!$C$21:$M$110,2,0)),"",IF(AND(VLOOKUP(C104,RESUMENGEN!$C$21:$M$110,3,FALSE)&lt;&gt;"NO HÁBIL",VLOOKUP(C104,RESUMENGEN!$C$21:$M$110,3,FALSE)&lt;&gt;"RECHAZO"),VLOOKUP(C104,RESUMENGEN!$C$21:$M$110,11,FALSE)-D104,-D104))</f>
        <v>45.542526947192172</v>
      </c>
      <c r="F104" s="206">
        <f t="shared" ca="1" si="5"/>
        <v>71</v>
      </c>
      <c r="G104" s="258" t="str">
        <f ca="1">IF(I104="","",VLOOKUP(I104,RESUMENGEN!$C$21:$M$110,2,FALSE))</f>
        <v>DAM SOLUCIONES E INGENIERIA SAS</v>
      </c>
      <c r="H104" s="261">
        <f ca="1">IF(I104="","",VLOOKUP(I104,RESUMENGEN!$C$21:$M$110,11,FALSE))</f>
        <v>0</v>
      </c>
      <c r="I104" s="207">
        <f t="shared" ca="1" si="6"/>
        <v>51</v>
      </c>
      <c r="J104" s="208" t="str">
        <f ca="1">IFERROR(IF(AND(VLOOKUP(I104,RESUMENGEN!$C$21:$M$110,3,0)="HÁBIL",H104&lt;&gt;0),"ELEGIBLE","NO ELEGIBLE"),"")</f>
        <v>NO ELEGIBLE</v>
      </c>
    </row>
    <row r="105" spans="2:11" ht="30">
      <c r="B105" s="204">
        <v>87</v>
      </c>
      <c r="C105" s="209">
        <f>IF(VLOOKUP(B105,PROPONENTES!$B$19:$E$109,2,0)="","",VLOOKUP(B105,PROPONENTES!$B$19:$E$109,2,0))</f>
        <v>87</v>
      </c>
      <c r="D105" s="205">
        <f t="shared" si="7"/>
        <v>9.5999999999999884E-9</v>
      </c>
      <c r="E105" s="261">
        <f ca="1">IF(ISNUMBER(VLOOKUP(C105,RESUMENGEN!$C$21:$M$110,2,0)),"",IF(AND(VLOOKUP(C105,RESUMENGEN!$C$21:$M$110,3,FALSE)&lt;&gt;"NO HÁBIL",VLOOKUP(C105,RESUMENGEN!$C$21:$M$110,3,FALSE)&lt;&gt;"RECHAZO"),VLOOKUP(C105,RESUMENGEN!$C$21:$M$110,11,FALSE)-D105,-D105))</f>
        <v>89.589372882367257</v>
      </c>
      <c r="F105" s="206">
        <f t="shared" ca="1" si="5"/>
        <v>3</v>
      </c>
      <c r="G105" s="258" t="str">
        <f ca="1">IF(I105="","",VLOOKUP(I105,RESUMENGEN!$C$21:$M$110,2,FALSE))</f>
        <v>CONSORCIO HC INTERVENTORES 2022</v>
      </c>
      <c r="H105" s="261">
        <f ca="1">IF(I105="","",VLOOKUP(I105,RESUMENGEN!$C$21:$M$110,11,FALSE))</f>
        <v>0</v>
      </c>
      <c r="I105" s="207">
        <f t="shared" ca="1" si="6"/>
        <v>54</v>
      </c>
      <c r="J105" s="208" t="str">
        <f ca="1">IFERROR(IF(AND(VLOOKUP(I105,RESUMENGEN!$C$21:$M$110,3,0)="HÁBIL",H105&lt;&gt;0),"ELEGIBLE","NO ELEGIBLE"),"")</f>
        <v>NO ELEGIBLE</v>
      </c>
    </row>
    <row r="106" spans="2:11">
      <c r="B106" s="204">
        <v>88</v>
      </c>
      <c r="C106" s="209">
        <f>IF(VLOOKUP(B106,PROPONENTES!$B$19:$E$109,2,0)="","",VLOOKUP(B106,PROPONENTES!$B$19:$E$109,2,0))</f>
        <v>88</v>
      </c>
      <c r="D106" s="205">
        <f t="shared" si="7"/>
        <v>9.6999999999999876E-9</v>
      </c>
      <c r="E106" s="261">
        <f ca="1">IF(ISNUMBER(VLOOKUP(C106,RESUMENGEN!$C$21:$M$110,2,0)),"",IF(AND(VLOOKUP(C106,RESUMENGEN!$C$21:$M$110,3,FALSE)&lt;&gt;"NO HÁBIL",VLOOKUP(C106,RESUMENGEN!$C$21:$M$110,3,FALSE)&lt;&gt;"RECHAZO"),VLOOKUP(C106,RESUMENGEN!$C$21:$M$110,11,FALSE)-D106,-D106))</f>
        <v>57.26346643057181</v>
      </c>
      <c r="F106" s="206">
        <f t="shared" ca="1" si="5"/>
        <v>59</v>
      </c>
      <c r="G106" s="258" t="str">
        <f ca="1">IF(I106="","",VLOOKUP(I106,RESUMENGEN!$C$21:$M$110,2,FALSE))</f>
        <v>VALLEJO H INGENIEROS CONSULTORES CONSTRUCTORES C S.A.S -BIC</v>
      </c>
      <c r="H106" s="261">
        <f ca="1">IF(I106="","",VLOOKUP(I106,RESUMENGEN!$C$21:$M$110,11,FALSE))</f>
        <v>0</v>
      </c>
      <c r="I106" s="207">
        <f t="shared" ca="1" si="6"/>
        <v>58</v>
      </c>
      <c r="J106" s="208" t="str">
        <f ca="1">IFERROR(IF(AND(VLOOKUP(I106,RESUMENGEN!$C$21:$M$110,3,0)="HÁBIL",H106&lt;&gt;0),"ELEGIBLE","NO ELEGIBLE"),"")</f>
        <v>NO ELEGIBLE</v>
      </c>
    </row>
    <row r="107" spans="2:11">
      <c r="B107" s="204">
        <v>89</v>
      </c>
      <c r="C107" s="209">
        <f>IF(VLOOKUP(B107,PROPONENTES!$B$19:$E$109,2,0)="","",VLOOKUP(B107,PROPONENTES!$B$19:$E$109,2,0))</f>
        <v>89</v>
      </c>
      <c r="D107" s="205">
        <f t="shared" si="7"/>
        <v>9.7999999999999868E-9</v>
      </c>
      <c r="E107" s="261">
        <f ca="1">IF(ISNUMBER(VLOOKUP(C107,RESUMENGEN!$C$21:$M$110,2,0)),"",IF(AND(VLOOKUP(C107,RESUMENGEN!$C$21:$M$110,3,FALSE)&lt;&gt;"NO HÁBIL",VLOOKUP(C107,RESUMENGEN!$C$21:$M$110,3,FALSE)&lt;&gt;"RECHAZO"),VLOOKUP(C107,RESUMENGEN!$C$21:$M$110,11,FALSE)-D107,-D107))</f>
        <v>68.299192245087426</v>
      </c>
      <c r="F107" s="206">
        <f t="shared" ca="1" si="5"/>
        <v>25</v>
      </c>
      <c r="G107" s="258" t="str">
        <f ca="1">IF(I107="","",VLOOKUP(I107,RESUMENGEN!$C$21:$M$110,2,FALSE))</f>
        <v>ARA INGENIERIA S.A.S</v>
      </c>
      <c r="H107" s="261">
        <f ca="1">IF(I107="","",VLOOKUP(I107,RESUMENGEN!$C$21:$M$110,11,FALSE))</f>
        <v>0</v>
      </c>
      <c r="I107" s="207">
        <f t="shared" ca="1" si="6"/>
        <v>60</v>
      </c>
      <c r="J107" s="208" t="str">
        <f ca="1">IFERROR(IF(AND(VLOOKUP(I107,RESUMENGEN!$C$21:$M$110,3,0)="HÁBIL",H107&lt;&gt;0),"ELEGIBLE","NO ELEGIBLE"),"")</f>
        <v>NO ELEGIBLE</v>
      </c>
    </row>
    <row r="108" spans="2:11">
      <c r="B108" s="204">
        <v>90</v>
      </c>
      <c r="C108" s="209">
        <f>IF(VLOOKUP(B108,PROPONENTES!$B$19:$E$109,2,0)="","",VLOOKUP(B108,PROPONENTES!$B$19:$E$109,2,0))</f>
        <v>90</v>
      </c>
      <c r="D108" s="205">
        <f t="shared" si="7"/>
        <v>9.8999999999999861E-9</v>
      </c>
      <c r="E108" s="261">
        <f ca="1">IF(ISNUMBER(VLOOKUP(C108,RESUMENGEN!$C$21:$M$110,2,0)),"",IF(AND(VLOOKUP(C108,RESUMENGEN!$C$21:$M$110,3,FALSE)&lt;&gt;"NO HÁBIL",VLOOKUP(C108,RESUMENGEN!$C$21:$M$110,3,FALSE)&lt;&gt;"RECHAZO"),VLOOKUP(C108,RESUMENGEN!$C$21:$M$110,11,FALSE)-D108,-D108))</f>
        <v>58.552381545585028</v>
      </c>
      <c r="F108" s="206">
        <f t="shared" ca="1" si="5"/>
        <v>56</v>
      </c>
      <c r="G108" s="258" t="str">
        <f ca="1">IF(I108="","",VLOOKUP(I108,RESUMENGEN!$C$21:$M$110,2,FALSE))</f>
        <v>PROYECTISTAS DE COLOMBIA &amp; CIA SAS</v>
      </c>
      <c r="H108" s="261">
        <f ca="1">IF(I108="","",VLOOKUP(I108,RESUMENGEN!$C$21:$M$110,11,FALSE))</f>
        <v>0</v>
      </c>
      <c r="I108" s="207">
        <f t="shared" ca="1" si="6"/>
        <v>65</v>
      </c>
      <c r="J108" s="208" t="str">
        <f ca="1">IFERROR(IF(AND(VLOOKUP(I108,RESUMENGEN!$C$21:$M$110,3,0)="HÁBIL",H108&lt;&gt;0),"ELEGIBLE","NO ELEGIBLE"),"")</f>
        <v>NO ELEGIBLE</v>
      </c>
    </row>
    <row r="109" spans="2:11" ht="3.95" customHeight="1" thickBot="1">
      <c r="B109" s="269" t="s">
        <v>134</v>
      </c>
      <c r="C109" s="166"/>
      <c r="D109" s="166"/>
      <c r="E109" s="166"/>
      <c r="F109" s="166"/>
      <c r="G109" s="166"/>
      <c r="H109" s="166"/>
      <c r="I109" s="166"/>
      <c r="J109" s="166"/>
      <c r="K109" s="210"/>
    </row>
    <row r="110" spans="2:11" ht="15.75" thickTop="1"/>
    <row r="111" spans="2:11"/>
    <row r="112" spans="2:11"/>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7">
    <mergeCell ref="B9:J9"/>
    <mergeCell ref="B11:J11"/>
    <mergeCell ref="B13:J13"/>
    <mergeCell ref="B14:J14"/>
    <mergeCell ref="B1:J1"/>
    <mergeCell ref="B2:J2"/>
    <mergeCell ref="B3:J3"/>
    <mergeCell ref="B4:J4"/>
    <mergeCell ref="B6:J6"/>
    <mergeCell ref="B7:J7"/>
    <mergeCell ref="J16:J17"/>
    <mergeCell ref="C16:C17"/>
    <mergeCell ref="B16:B17"/>
    <mergeCell ref="D16:D17"/>
    <mergeCell ref="E16:E17"/>
    <mergeCell ref="F16:F17"/>
    <mergeCell ref="I16:I17"/>
  </mergeCells>
  <conditionalFormatting sqref="C19:J108">
    <cfRule type="expression" dxfId="47" priority="122">
      <formula>MOD(ROW(),2)</formula>
    </cfRule>
  </conditionalFormatting>
  <conditionalFormatting sqref="J19:J108">
    <cfRule type="cellIs" dxfId="46" priority="119" operator="equal">
      <formula>"NO ELEGIBLE"</formula>
    </cfRule>
    <cfRule type="cellIs" dxfId="45" priority="120" operator="equal">
      <formula>"ELEGIBLE"</formula>
    </cfRule>
  </conditionalFormatting>
  <printOptions horizontalCentered="1"/>
  <pageMargins left="0.70866141732283472" right="0.70866141732283472" top="0.74803149606299213" bottom="0.74803149606299213" header="0.31496062992125984" footer="0.31496062992125984"/>
  <pageSetup scale="91" fitToHeight="0" orientation="landscape" r:id="rId1"/>
  <headerFooter alignWithMargins="0">
    <oddFooter>&amp;L&amp;"Arial,Normal"&amp;9&amp;F
&amp;A&amp;C&amp;"Arial,Normal"&amp;10&amp;P de &amp;N&amp;R&amp;"Arial,Normal"&amp;9INSTITUTO NACIONAL DE VIAS
&amp;D</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7">
    <tabColor rgb="FF0070C0"/>
  </sheetPr>
  <dimension ref="B2:L20"/>
  <sheetViews>
    <sheetView workbookViewId="0">
      <selection activeCell="G13" sqref="G13"/>
    </sheetView>
  </sheetViews>
  <sheetFormatPr baseColWidth="10" defaultColWidth="11.42578125" defaultRowHeight="15"/>
  <cols>
    <col min="2" max="2" width="17.42578125" style="66" bestFit="1" customWidth="1"/>
    <col min="3" max="3" width="15.140625" style="66" bestFit="1" customWidth="1"/>
    <col min="5" max="5" width="31.28515625" style="66" bestFit="1" customWidth="1"/>
    <col min="6" max="6" width="17" style="66" customWidth="1"/>
    <col min="8" max="8" width="31.28515625" customWidth="1"/>
    <col min="9" max="9" width="17" customWidth="1"/>
    <col min="11" max="11" width="17.42578125" bestFit="1" customWidth="1"/>
  </cols>
  <sheetData>
    <row r="2" spans="2:12">
      <c r="B2" s="178" t="s">
        <v>1255</v>
      </c>
      <c r="C2" s="221">
        <v>800000000</v>
      </c>
      <c r="E2" s="178" t="s">
        <v>1256</v>
      </c>
      <c r="F2" s="196">
        <f>ROUND(C2/589500,3)</f>
        <v>1357.0820000000001</v>
      </c>
      <c r="H2" s="178" t="s">
        <v>1257</v>
      </c>
      <c r="I2" s="196">
        <f>ROUND((((F4)*(SQRT(C8)+1))/F3),3)</f>
        <v>2.081</v>
      </c>
    </row>
    <row r="3" spans="2:12">
      <c r="B3" s="178" t="s">
        <v>1258</v>
      </c>
      <c r="C3" s="199">
        <v>10.5</v>
      </c>
      <c r="E3" s="178" t="s">
        <v>1259</v>
      </c>
      <c r="F3" s="197">
        <f>ROUND($F$2/$C$3,3)</f>
        <v>129.24600000000001</v>
      </c>
      <c r="H3" s="178" t="s">
        <v>1260</v>
      </c>
      <c r="I3" s="197">
        <f>3*C3</f>
        <v>31.5</v>
      </c>
    </row>
    <row r="4" spans="2:12">
      <c r="B4" s="178" t="s">
        <v>1261</v>
      </c>
      <c r="C4" s="222">
        <v>0.5</v>
      </c>
      <c r="E4" s="178" t="s">
        <v>1262</v>
      </c>
      <c r="F4" s="197">
        <f>ROUND($C$4*$F$3,3)</f>
        <v>64.623000000000005</v>
      </c>
    </row>
    <row r="5" spans="2:12" ht="15.75" thickBot="1"/>
    <row r="6" spans="2:12" ht="45.75" thickBot="1">
      <c r="B6" s="195" t="s">
        <v>1263</v>
      </c>
      <c r="C6" s="199">
        <v>200</v>
      </c>
      <c r="E6" s="982" t="s">
        <v>1264</v>
      </c>
      <c r="F6" s="983"/>
      <c r="H6" s="982" t="s">
        <v>1265</v>
      </c>
      <c r="I6" s="983"/>
    </row>
    <row r="8" spans="2:12">
      <c r="B8" s="178" t="s">
        <v>1266</v>
      </c>
      <c r="C8" s="189">
        <f>IF(AND(0&lt;$C$6,$C$6&lt;=10),2,IF($C$6&gt;=81,10,ROUNDUP($C$6/10,0)+1))</f>
        <v>10</v>
      </c>
      <c r="E8" s="178" t="s">
        <v>1267</v>
      </c>
      <c r="F8" s="199">
        <v>4</v>
      </c>
    </row>
    <row r="10" spans="2:12" ht="45">
      <c r="B10" s="195" t="s">
        <v>1268</v>
      </c>
      <c r="C10" s="199">
        <v>7</v>
      </c>
      <c r="E10" s="195" t="s">
        <v>1269</v>
      </c>
      <c r="F10" s="223">
        <v>10</v>
      </c>
      <c r="H10" s="195" t="s">
        <v>1270</v>
      </c>
      <c r="I10" s="199">
        <v>68.623000000000005</v>
      </c>
    </row>
    <row r="12" spans="2:12" ht="45">
      <c r="B12" s="195" t="s">
        <v>1271</v>
      </c>
      <c r="C12" s="199">
        <v>10.9</v>
      </c>
      <c r="E12" s="195" t="s">
        <v>1272</v>
      </c>
      <c r="F12" s="189" t="str">
        <f>IF(F10&gt;=I3,"SI","NO")</f>
        <v>NO</v>
      </c>
      <c r="H12" s="195" t="s">
        <v>1273</v>
      </c>
      <c r="I12" s="189" t="str">
        <f>IF(ROUND(($I$10/$F$3),3)&gt;=$I$2,"SI","NO")</f>
        <v>NO</v>
      </c>
      <c r="K12" s="195" t="s">
        <v>1274</v>
      </c>
      <c r="L12" s="189">
        <f>ROUND($I$10/$F$3,3)</f>
        <v>0.53100000000000003</v>
      </c>
    </row>
    <row r="14" spans="2:12">
      <c r="B14" s="178" t="s">
        <v>1275</v>
      </c>
      <c r="C14" s="198">
        <f>ROUND((((C12)+(C6*C3))/(C10+C6)),3)</f>
        <v>10.198</v>
      </c>
      <c r="E14" s="178" t="s">
        <v>1276</v>
      </c>
      <c r="F14" s="198" t="str">
        <f>IF(OR(F8&lt;NUMMINCONT,F12="SI"),"NO ES HÁBIL","ES HÁBIL")</f>
        <v>ES HÁBIL</v>
      </c>
      <c r="H14" s="178" t="s">
        <v>1276</v>
      </c>
      <c r="I14" s="198" t="str">
        <f>IF(OR($F$8&lt;NUMMINCONT,$I$12="SI"),"NO ES HÁBIL","ES HÁBIL")</f>
        <v>ES HÁBIL</v>
      </c>
    </row>
    <row r="15" spans="2:12" ht="15.75" thickBot="1"/>
    <row r="16" spans="2:12" ht="45.75" customHeight="1" thickBot="1">
      <c r="E16" s="982" t="s">
        <v>1277</v>
      </c>
      <c r="F16" s="983"/>
      <c r="H16" s="982" t="s">
        <v>1278</v>
      </c>
      <c r="I16" s="983"/>
    </row>
    <row r="18" spans="2:9" ht="45">
      <c r="B18" s="178" t="s">
        <v>1279</v>
      </c>
      <c r="C18" s="224">
        <v>300</v>
      </c>
      <c r="E18" s="195" t="s">
        <v>1280</v>
      </c>
      <c r="F18" s="189" t="str">
        <f>IF(F10&lt;$C$14,"MENOR",IF(F10=$C$14,"IGUAL","MAYOR"))</f>
        <v>MENOR</v>
      </c>
      <c r="H18" s="195" t="s">
        <v>1281</v>
      </c>
      <c r="I18" s="189" t="str">
        <f>IF(I10&lt;$F$4,"MENOR",IF(I10=$F$4,"IGUAL","MAYOR"))</f>
        <v>MAYOR</v>
      </c>
    </row>
    <row r="19" spans="2:9">
      <c r="B19" s="178" t="s">
        <v>1282</v>
      </c>
      <c r="C19" s="223">
        <v>600</v>
      </c>
    </row>
    <row r="20" spans="2:9">
      <c r="E20" s="195" t="s">
        <v>1283</v>
      </c>
      <c r="F20" s="197">
        <f>IF(OR(F8="",F10=""),"",IF(F14="ES HÁBIL",IF(F18="MENOR",ROUND(($C$18*($F$10/$C$14)),3),ROUND($C$18*(((3*C14)-F10)/(2*C14)),3)),0))</f>
        <v>294.17500000000001</v>
      </c>
      <c r="H20" s="195" t="s">
        <v>1284</v>
      </c>
      <c r="I20" s="197">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41"/>
  <dimension ref="A1:W32"/>
  <sheetViews>
    <sheetView workbookViewId="0">
      <selection activeCell="B33" sqref="B33"/>
    </sheetView>
  </sheetViews>
  <sheetFormatPr baseColWidth="10" defaultColWidth="11.42578125" defaultRowHeight="15"/>
  <cols>
    <col min="1" max="1" width="3.7109375" style="128" bestFit="1" customWidth="1"/>
    <col min="2" max="2" width="85.7109375" style="128" customWidth="1"/>
    <col min="3" max="3" width="73.140625" style="128" customWidth="1"/>
    <col min="4" max="4" width="56.28515625" style="128" bestFit="1" customWidth="1"/>
    <col min="5" max="5" width="22.140625" style="128" customWidth="1"/>
    <col min="6" max="6" width="20.28515625" style="128" bestFit="1" customWidth="1"/>
    <col min="7" max="7" width="11.42578125" style="128"/>
    <col min="8" max="8" width="23.7109375" style="128" bestFit="1" customWidth="1"/>
    <col min="9" max="9" width="18.42578125" style="128" bestFit="1" customWidth="1"/>
    <col min="10" max="10" width="15.28515625" style="128" bestFit="1" customWidth="1"/>
    <col min="11" max="11" width="11.42578125" style="128"/>
    <col min="12" max="12" width="15.42578125" style="128" bestFit="1" customWidth="1"/>
    <col min="13" max="13" width="51.5703125" style="128" hidden="1" customWidth="1"/>
    <col min="14" max="14" width="20.28515625" style="128" bestFit="1" customWidth="1"/>
    <col min="15" max="15" width="15.42578125" style="128" bestFit="1" customWidth="1"/>
    <col min="16" max="16" width="18.5703125" style="128" bestFit="1" customWidth="1"/>
    <col min="17" max="19" width="21.28515625" style="128" bestFit="1" customWidth="1"/>
    <col min="20" max="20" width="30.28515625" style="128" customWidth="1"/>
    <col min="21" max="21" width="26.5703125" style="128" customWidth="1"/>
    <col min="22" max="22" width="29.42578125" style="128" customWidth="1"/>
    <col min="23" max="23" width="29.42578125" style="460" customWidth="1"/>
    <col min="24" max="16384" width="11.42578125" style="128"/>
  </cols>
  <sheetData>
    <row r="1" spans="1:23" ht="15.75" thickTop="1">
      <c r="A1" s="137" t="s">
        <v>1131</v>
      </c>
      <c r="B1" s="138" t="s">
        <v>1132</v>
      </c>
      <c r="C1" s="138" t="s">
        <v>1285</v>
      </c>
      <c r="D1" s="139" t="s">
        <v>1286</v>
      </c>
      <c r="E1" s="140" t="s">
        <v>1134</v>
      </c>
      <c r="F1" s="140" t="s">
        <v>1287</v>
      </c>
      <c r="G1" s="140" t="s">
        <v>1253</v>
      </c>
      <c r="H1" s="140" t="s">
        <v>1135</v>
      </c>
      <c r="I1" s="140" t="s">
        <v>1288</v>
      </c>
      <c r="J1" s="140" t="s">
        <v>1134</v>
      </c>
      <c r="K1" s="140" t="s">
        <v>1289</v>
      </c>
      <c r="L1" s="140" t="s">
        <v>1290</v>
      </c>
      <c r="M1" s="140" t="s">
        <v>1291</v>
      </c>
      <c r="N1" s="140" t="s">
        <v>1292</v>
      </c>
      <c r="O1" s="140" t="s">
        <v>1293</v>
      </c>
      <c r="P1" s="140" t="s">
        <v>1294</v>
      </c>
      <c r="Q1" s="140" t="s">
        <v>1295</v>
      </c>
      <c r="R1" s="140" t="s">
        <v>1296</v>
      </c>
      <c r="S1" s="140" t="s">
        <v>1297</v>
      </c>
      <c r="T1" s="140" t="s">
        <v>1295</v>
      </c>
      <c r="U1" s="439" t="s">
        <v>1298</v>
      </c>
      <c r="V1" s="140" t="s">
        <v>1299</v>
      </c>
      <c r="W1" s="439" t="s">
        <v>1300</v>
      </c>
    </row>
    <row r="2" spans="1:23">
      <c r="A2" s="141">
        <v>1</v>
      </c>
      <c r="B2" s="7" t="s">
        <v>1</v>
      </c>
      <c r="C2" s="7" t="s">
        <v>1301</v>
      </c>
      <c r="D2" s="142" t="s">
        <v>1302</v>
      </c>
      <c r="E2" s="143" t="s">
        <v>1105</v>
      </c>
      <c r="F2" s="143" t="s">
        <v>1303</v>
      </c>
      <c r="G2" s="248" t="s">
        <v>1304</v>
      </c>
      <c r="H2" s="248" t="s">
        <v>1138</v>
      </c>
      <c r="I2" s="248" t="s">
        <v>1305</v>
      </c>
      <c r="J2" s="248" t="s">
        <v>1105</v>
      </c>
      <c r="K2" s="248" t="s">
        <v>1139</v>
      </c>
      <c r="L2" s="248" t="s">
        <v>385</v>
      </c>
      <c r="M2" s="248" t="s">
        <v>1306</v>
      </c>
      <c r="N2" s="248" t="s">
        <v>1307</v>
      </c>
      <c r="O2" s="248" t="s">
        <v>385</v>
      </c>
      <c r="P2" s="248" t="s">
        <v>385</v>
      </c>
      <c r="Q2" s="248" t="s">
        <v>449</v>
      </c>
      <c r="R2" s="291" t="s">
        <v>387</v>
      </c>
      <c r="S2" s="293">
        <v>0.35</v>
      </c>
      <c r="T2" s="248" t="s">
        <v>1240</v>
      </c>
      <c r="U2" s="440" t="s">
        <v>1308</v>
      </c>
      <c r="V2" s="248" t="s">
        <v>1309</v>
      </c>
      <c r="W2" s="440" t="s">
        <v>1105</v>
      </c>
    </row>
    <row r="3" spans="1:23">
      <c r="A3" s="144">
        <v>2</v>
      </c>
      <c r="B3" s="8" t="s">
        <v>1310</v>
      </c>
      <c r="C3" s="8" t="s">
        <v>1311</v>
      </c>
      <c r="D3" s="145" t="s">
        <v>1312</v>
      </c>
      <c r="E3" s="146" t="s">
        <v>1141</v>
      </c>
      <c r="F3" s="143" t="s">
        <v>1313</v>
      </c>
      <c r="G3" s="249"/>
      <c r="H3" s="250" t="s">
        <v>1142</v>
      </c>
      <c r="I3" s="248" t="s">
        <v>1314</v>
      </c>
      <c r="J3" s="250" t="s">
        <v>1141</v>
      </c>
      <c r="K3" s="248" t="s">
        <v>1143</v>
      </c>
      <c r="L3" s="248" t="s">
        <v>776</v>
      </c>
      <c r="M3" s="248" t="s">
        <v>1315</v>
      </c>
      <c r="N3" s="248" t="s">
        <v>1316</v>
      </c>
      <c r="O3" s="248" t="s">
        <v>776</v>
      </c>
      <c r="P3" s="248" t="s">
        <v>776</v>
      </c>
      <c r="Q3" s="248" t="s">
        <v>446</v>
      </c>
      <c r="R3" s="291" t="s">
        <v>439</v>
      </c>
      <c r="S3" s="293">
        <v>0.4</v>
      </c>
      <c r="T3" s="248" t="s">
        <v>1241</v>
      </c>
      <c r="U3" s="440" t="s">
        <v>1317</v>
      </c>
      <c r="V3" s="248" t="s">
        <v>1318</v>
      </c>
      <c r="W3" s="440" t="s">
        <v>1106</v>
      </c>
    </row>
    <row r="4" spans="1:23">
      <c r="A4" s="144">
        <v>3</v>
      </c>
      <c r="B4" s="8" t="s">
        <v>1319</v>
      </c>
      <c r="C4" s="8" t="s">
        <v>1320</v>
      </c>
      <c r="D4" s="145" t="s">
        <v>1321</v>
      </c>
      <c r="F4" s="143" t="s">
        <v>1322</v>
      </c>
      <c r="G4" s="249"/>
      <c r="H4" s="250" t="s">
        <v>1145</v>
      </c>
      <c r="I4" s="248" t="s">
        <v>1323</v>
      </c>
      <c r="J4" s="250" t="s">
        <v>1324</v>
      </c>
      <c r="K4" s="248" t="s">
        <v>1172</v>
      </c>
      <c r="L4" s="248" t="s">
        <v>548</v>
      </c>
      <c r="M4" s="248" t="s">
        <v>1325</v>
      </c>
      <c r="N4" s="249"/>
      <c r="O4" s="248" t="s">
        <v>548</v>
      </c>
      <c r="P4" s="249"/>
      <c r="Q4" s="251" t="s">
        <v>423</v>
      </c>
      <c r="R4" s="292" t="s">
        <v>870</v>
      </c>
      <c r="S4" s="294">
        <v>0.45</v>
      </c>
      <c r="T4" s="251" t="s">
        <v>1242</v>
      </c>
      <c r="V4" s="251" t="s">
        <v>1326</v>
      </c>
      <c r="W4" s="457" t="s">
        <v>1327</v>
      </c>
    </row>
    <row r="5" spans="1:23">
      <c r="A5" s="144">
        <v>4</v>
      </c>
      <c r="B5" s="8" t="s">
        <v>1328</v>
      </c>
      <c r="C5" s="8"/>
      <c r="D5" s="145" t="s">
        <v>1329</v>
      </c>
      <c r="G5" s="249"/>
      <c r="H5" s="250" t="s">
        <v>1147</v>
      </c>
      <c r="I5" s="248" t="s">
        <v>1147</v>
      </c>
      <c r="J5" s="249"/>
      <c r="K5" s="249"/>
      <c r="L5" s="249"/>
      <c r="M5" s="249"/>
      <c r="N5" s="249"/>
      <c r="O5" s="249"/>
      <c r="P5" s="249"/>
      <c r="Q5" s="252" t="s">
        <v>386</v>
      </c>
      <c r="R5" s="253" t="s">
        <v>435</v>
      </c>
      <c r="S5" s="295">
        <v>0.5</v>
      </c>
      <c r="T5" s="252" t="s">
        <v>1243</v>
      </c>
      <c r="V5" s="252"/>
      <c r="W5" s="458"/>
    </row>
    <row r="6" spans="1:23">
      <c r="A6" s="144">
        <v>5</v>
      </c>
      <c r="B6" s="8" t="s">
        <v>1154</v>
      </c>
      <c r="C6" s="8"/>
      <c r="D6" s="145" t="s">
        <v>1330</v>
      </c>
      <c r="G6" s="249"/>
      <c r="H6" s="250"/>
      <c r="I6" s="250"/>
      <c r="J6" s="249"/>
      <c r="K6" s="249"/>
      <c r="L6" s="249"/>
      <c r="M6" s="249"/>
      <c r="N6" s="249"/>
      <c r="O6" s="249"/>
      <c r="P6" s="249"/>
      <c r="Q6" s="253" t="s">
        <v>463</v>
      </c>
      <c r="R6" s="253"/>
      <c r="S6" s="295"/>
      <c r="T6" s="253"/>
      <c r="V6" s="253"/>
      <c r="W6" s="459"/>
    </row>
    <row r="7" spans="1:23">
      <c r="A7" s="144">
        <v>6</v>
      </c>
      <c r="B7" s="8" t="s">
        <v>1331</v>
      </c>
      <c r="C7" s="8"/>
      <c r="D7" s="145" t="s">
        <v>1332</v>
      </c>
      <c r="Q7" s="252" t="s">
        <v>516</v>
      </c>
      <c r="R7" s="252"/>
      <c r="S7" s="296"/>
      <c r="T7" s="252" t="s">
        <v>516</v>
      </c>
      <c r="V7" s="252"/>
      <c r="W7" s="458"/>
    </row>
    <row r="8" spans="1:23">
      <c r="A8" s="144">
        <v>7</v>
      </c>
      <c r="B8" s="8" t="s">
        <v>1333</v>
      </c>
      <c r="C8" s="8"/>
      <c r="D8" s="145" t="s">
        <v>1334</v>
      </c>
    </row>
    <row r="9" spans="1:23">
      <c r="A9" s="144">
        <v>8</v>
      </c>
      <c r="B9" s="8" t="s">
        <v>1335</v>
      </c>
      <c r="C9" s="8"/>
      <c r="D9" s="145" t="s">
        <v>1336</v>
      </c>
    </row>
    <row r="10" spans="1:23">
      <c r="A10" s="144">
        <v>9</v>
      </c>
      <c r="B10" s="8" t="s">
        <v>1337</v>
      </c>
      <c r="C10" s="8"/>
      <c r="D10" s="145" t="s">
        <v>1338</v>
      </c>
    </row>
    <row r="11" spans="1:23">
      <c r="A11" s="144">
        <v>10</v>
      </c>
      <c r="B11" s="8" t="s">
        <v>1339</v>
      </c>
      <c r="C11" s="147"/>
      <c r="D11" s="145"/>
      <c r="H11" s="148"/>
    </row>
    <row r="12" spans="1:23">
      <c r="A12" s="144">
        <v>11</v>
      </c>
      <c r="B12" s="8" t="s">
        <v>1179</v>
      </c>
      <c r="C12" s="147"/>
      <c r="D12" s="145"/>
    </row>
    <row r="13" spans="1:23">
      <c r="A13" s="144">
        <v>12</v>
      </c>
      <c r="B13" s="8" t="s">
        <v>1340</v>
      </c>
      <c r="C13" s="147"/>
      <c r="D13" s="145"/>
    </row>
    <row r="14" spans="1:23">
      <c r="A14" s="144">
        <v>13</v>
      </c>
      <c r="B14" s="8" t="s">
        <v>1341</v>
      </c>
      <c r="C14" s="147"/>
      <c r="D14" s="145"/>
    </row>
    <row r="15" spans="1:23">
      <c r="A15" s="144">
        <v>14</v>
      </c>
      <c r="B15" s="8" t="s">
        <v>1342</v>
      </c>
      <c r="C15" s="147"/>
      <c r="D15" s="145"/>
    </row>
    <row r="16" spans="1:23">
      <c r="A16" s="144">
        <v>15</v>
      </c>
      <c r="B16" s="8" t="s">
        <v>1343</v>
      </c>
      <c r="C16" s="147"/>
      <c r="D16" s="145"/>
    </row>
    <row r="17" spans="1:4">
      <c r="A17" s="144">
        <v>16</v>
      </c>
      <c r="B17" s="8" t="s">
        <v>1344</v>
      </c>
      <c r="C17" s="147"/>
      <c r="D17" s="145"/>
    </row>
    <row r="18" spans="1:4">
      <c r="A18" s="144">
        <v>17</v>
      </c>
      <c r="B18" s="147" t="s">
        <v>1345</v>
      </c>
      <c r="C18" s="147"/>
      <c r="D18" s="145"/>
    </row>
    <row r="19" spans="1:4">
      <c r="A19" s="144">
        <v>18</v>
      </c>
      <c r="B19" s="147" t="s">
        <v>1346</v>
      </c>
      <c r="C19" s="147"/>
      <c r="D19" s="145"/>
    </row>
    <row r="20" spans="1:4">
      <c r="A20" s="144">
        <v>19</v>
      </c>
      <c r="B20" s="147" t="s">
        <v>1347</v>
      </c>
      <c r="C20" s="147"/>
      <c r="D20" s="145"/>
    </row>
    <row r="21" spans="1:4">
      <c r="A21" s="144">
        <v>20</v>
      </c>
      <c r="B21" s="147" t="s">
        <v>1348</v>
      </c>
      <c r="C21" s="147"/>
      <c r="D21" s="145"/>
    </row>
    <row r="22" spans="1:4">
      <c r="A22" s="144">
        <v>21</v>
      </c>
      <c r="B22" s="147" t="s">
        <v>2</v>
      </c>
      <c r="C22" s="147"/>
      <c r="D22" s="145"/>
    </row>
    <row r="23" spans="1:4">
      <c r="A23" s="144">
        <v>22</v>
      </c>
      <c r="B23" s="147" t="s">
        <v>1349</v>
      </c>
      <c r="C23" s="147"/>
      <c r="D23" s="145"/>
    </row>
    <row r="24" spans="1:4">
      <c r="A24" s="144">
        <v>23</v>
      </c>
      <c r="B24" s="147" t="s">
        <v>1350</v>
      </c>
      <c r="C24" s="147"/>
      <c r="D24" s="145"/>
    </row>
    <row r="25" spans="1:4">
      <c r="A25" s="144">
        <v>24</v>
      </c>
      <c r="B25" s="147" t="s">
        <v>1351</v>
      </c>
      <c r="C25" s="147"/>
      <c r="D25" s="145"/>
    </row>
    <row r="26" spans="1:4">
      <c r="A26" s="144">
        <v>25</v>
      </c>
      <c r="B26" s="147" t="s">
        <v>1352</v>
      </c>
      <c r="C26" s="147"/>
      <c r="D26" s="145"/>
    </row>
    <row r="27" spans="1:4">
      <c r="A27" s="144">
        <v>26</v>
      </c>
      <c r="B27" s="147" t="s">
        <v>3</v>
      </c>
      <c r="C27" s="147"/>
      <c r="D27" s="145"/>
    </row>
    <row r="28" spans="1:4">
      <c r="A28" s="144">
        <v>27</v>
      </c>
      <c r="B28" s="147"/>
      <c r="C28" s="147"/>
      <c r="D28" s="145"/>
    </row>
    <row r="29" spans="1:4">
      <c r="A29" s="144">
        <v>28</v>
      </c>
      <c r="B29" s="147"/>
      <c r="C29" s="147"/>
      <c r="D29" s="145"/>
    </row>
    <row r="30" spans="1:4">
      <c r="A30" s="144">
        <v>29</v>
      </c>
      <c r="B30" s="147"/>
      <c r="C30" s="147"/>
      <c r="D30" s="145"/>
    </row>
    <row r="31" spans="1:4" ht="15.75" thickBot="1">
      <c r="A31" s="149">
        <v>30</v>
      </c>
      <c r="B31" s="150"/>
      <c r="C31" s="150"/>
      <c r="D31" s="151"/>
    </row>
    <row r="32" spans="1:4" ht="15.75" thickTop="1"/>
  </sheetData>
  <pageMargins left="0.7" right="0.7" top="0.75" bottom="0.75" header="0.3" footer="0.3"/>
  <pageSetup scale="7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8">
    <tabColor rgb="FF7030A0"/>
  </sheetPr>
  <dimension ref="A1:AD95"/>
  <sheetViews>
    <sheetView workbookViewId="0">
      <selection activeCell="T80" sqref="T80"/>
    </sheetView>
  </sheetViews>
  <sheetFormatPr baseColWidth="10" defaultColWidth="0" defaultRowHeight="15"/>
  <cols>
    <col min="1" max="1" width="4.42578125" style="179" customWidth="1"/>
    <col min="2" max="2" width="7.7109375" style="179" customWidth="1"/>
    <col min="3" max="3" width="11.42578125" style="179" customWidth="1"/>
    <col min="4" max="4" width="28.85546875" style="179" customWidth="1"/>
    <col min="5" max="6" width="11.42578125" style="179" customWidth="1"/>
    <col min="7" max="13" width="13.42578125" style="179" customWidth="1"/>
    <col min="14" max="15" width="11.42578125" style="179" customWidth="1"/>
    <col min="16" max="16" width="13.7109375" style="179" customWidth="1"/>
    <col min="17" max="17" width="11.42578125" style="179" customWidth="1"/>
    <col min="18" max="18" width="12.28515625" style="179" customWidth="1"/>
    <col min="19" max="19" width="11.42578125" style="179" customWidth="1"/>
    <col min="20" max="20" width="12.28515625" style="179" customWidth="1"/>
    <col min="21" max="23" width="11.42578125" style="179" customWidth="1"/>
    <col min="24" max="24" width="8.5703125" style="179" customWidth="1"/>
    <col min="25" max="28" width="11.42578125" style="179" customWidth="1"/>
    <col min="29" max="30" width="0" style="179" hidden="1" customWidth="1"/>
    <col min="31" max="16384" width="11.42578125" style="179" hidden="1"/>
  </cols>
  <sheetData>
    <row r="1" spans="2:26" ht="27" customHeight="1"/>
    <row r="2" spans="2:26" ht="15" customHeight="1">
      <c r="B2" s="984" t="s">
        <v>37</v>
      </c>
      <c r="C2" s="984" t="s">
        <v>1162</v>
      </c>
      <c r="D2" s="984" t="s">
        <v>139</v>
      </c>
      <c r="E2" s="984" t="s">
        <v>1163</v>
      </c>
      <c r="F2" s="984" t="s">
        <v>1164</v>
      </c>
      <c r="G2" s="984" t="s">
        <v>1165</v>
      </c>
      <c r="H2" s="984" t="s">
        <v>1353</v>
      </c>
      <c r="I2" s="984" t="s">
        <v>1354</v>
      </c>
      <c r="J2" s="984" t="s">
        <v>1158</v>
      </c>
      <c r="K2" s="984" t="s">
        <v>1159</v>
      </c>
      <c r="L2" s="987" t="s">
        <v>1355</v>
      </c>
      <c r="M2" s="987"/>
      <c r="N2" s="984" t="s">
        <v>1168</v>
      </c>
      <c r="O2" s="987" t="s">
        <v>1214</v>
      </c>
      <c r="P2" s="989" t="s">
        <v>1356</v>
      </c>
      <c r="Q2" s="990"/>
      <c r="R2" s="984" t="s">
        <v>1357</v>
      </c>
      <c r="S2" s="984" t="s">
        <v>31</v>
      </c>
      <c r="T2" s="984" t="s">
        <v>1358</v>
      </c>
      <c r="U2" s="984" t="s">
        <v>1359</v>
      </c>
      <c r="V2" s="984" t="s">
        <v>1360</v>
      </c>
      <c r="W2" s="984" t="s">
        <v>1119</v>
      </c>
      <c r="X2" s="233"/>
      <c r="Y2" s="988" t="s">
        <v>1361</v>
      </c>
      <c r="Z2" s="988" t="s">
        <v>1362</v>
      </c>
    </row>
    <row r="3" spans="2:26" ht="38.25">
      <c r="B3" s="985"/>
      <c r="C3" s="985"/>
      <c r="D3" s="985"/>
      <c r="E3" s="985"/>
      <c r="F3" s="985"/>
      <c r="G3" s="985"/>
      <c r="H3" s="985"/>
      <c r="I3" s="985"/>
      <c r="J3" s="985"/>
      <c r="K3" s="985"/>
      <c r="L3" s="987" t="s">
        <v>1289</v>
      </c>
      <c r="M3" s="987" t="s">
        <v>1363</v>
      </c>
      <c r="N3" s="986"/>
      <c r="O3" s="987"/>
      <c r="P3" s="234" t="s">
        <v>418</v>
      </c>
      <c r="Q3" s="234" t="s">
        <v>1364</v>
      </c>
      <c r="R3" s="985"/>
      <c r="S3" s="985"/>
      <c r="T3" s="985"/>
      <c r="U3" s="985"/>
      <c r="V3" s="985"/>
      <c r="W3" s="985"/>
      <c r="X3" s="233"/>
      <c r="Y3" s="988"/>
      <c r="Z3" s="988"/>
    </row>
    <row r="4" spans="2:26" ht="25.5">
      <c r="B4" s="986"/>
      <c r="C4" s="986"/>
      <c r="D4" s="986"/>
      <c r="E4" s="986"/>
      <c r="F4" s="986"/>
      <c r="G4" s="986"/>
      <c r="H4" s="986"/>
      <c r="I4" s="986"/>
      <c r="J4" s="986"/>
      <c r="K4" s="986"/>
      <c r="L4" s="987"/>
      <c r="M4" s="987"/>
      <c r="N4" s="234" t="s">
        <v>1171</v>
      </c>
      <c r="O4" s="234" t="s">
        <v>1365</v>
      </c>
      <c r="P4" s="234" t="s">
        <v>375</v>
      </c>
      <c r="Q4" s="234" t="s">
        <v>1222</v>
      </c>
      <c r="R4" s="986"/>
      <c r="S4" s="986"/>
      <c r="T4" s="986"/>
      <c r="U4" s="986"/>
      <c r="V4" s="986"/>
      <c r="W4" s="986"/>
      <c r="X4" s="233"/>
      <c r="Y4" s="988"/>
      <c r="Z4" s="988"/>
    </row>
    <row r="5" spans="2:26" ht="25.5">
      <c r="B5" s="234">
        <f>ROW()-4</f>
        <v>1</v>
      </c>
      <c r="C5" s="234">
        <f>IF(VLOOKUP(B5,PROPONENTES!$B$19:$E$109,2,0)="","",VLOOKUP(B5,PROPONENTES!$B$19:$E$109,2,0))</f>
        <v>1</v>
      </c>
      <c r="D5" s="234" t="str">
        <f>VLOOKUP(C5,RESUMENGEN!$C$21:$E$110,2,FALSE)</f>
        <v>PROYECTOS URBANOS &amp; CONSTRUCCIONES DEL CARIBE S.A.S</v>
      </c>
      <c r="E5" s="235" t="str">
        <f>VLOOKUP(C5,'HAB.GEN.'!$C$19:$L$108,3,FALSE)</f>
        <v>HÁBIL</v>
      </c>
      <c r="F5" s="235" t="str">
        <f>VLOOKUP(C5,'HAB.GEN.'!$C$19:$L$108,4,FALSE)</f>
        <v>HÁBIL</v>
      </c>
      <c r="G5" s="235" t="str">
        <f>VLOOKUP(C5,'HAB.GEN.'!$C$19:$L$108,5,FALSE)</f>
        <v>HÁBIL</v>
      </c>
      <c r="H5" s="235" t="str">
        <f>VLOOKUP(C5,'HAB.GEN.'!$C$19:$L$108,6,FALSE)</f>
        <v>HÁBIL</v>
      </c>
      <c r="I5" s="235" t="str">
        <f>VLOOKUP(C5,RNOCI!$C$19:$F$108,3,FALSE)</f>
        <v>NO</v>
      </c>
      <c r="J5" s="235" t="str">
        <f>VLOOKUP(C5,'MULTAS Y SANCIONES'!$C$19:$E$108,3,FALSE)</f>
        <v>NO</v>
      </c>
      <c r="K5" s="235" t="str">
        <f>VLOOKUP(C5,'HAB.GEN.'!$C$19:$L$108,7,FALSE)</f>
        <v>HÁBIL</v>
      </c>
      <c r="L5" s="235" t="str">
        <f ca="1">VLOOKUP(C5,'HAB.GEN.'!$C$19:$L$108,8,FALSE)</f>
        <v>HÁBIL</v>
      </c>
      <c r="M5" s="235" t="str">
        <f>VLOOKUP(C5,'HAB.GEN.'!$C$19:$L$108,9,FALSE)</f>
        <v>HÁBIL</v>
      </c>
      <c r="N5" s="235" t="str">
        <f ca="1">IF(OR(COUNTIF(E5:M5,"")=8,COUNTIF(E5:M5,"")&gt;0),"",IF(COUNTIF(E5:M5,"RECHAZO")&gt;0,"RECHAZO",IF(COUNTIF(E5:M5,"NO HÁBIL")=0,"HÁBIL","NO HÁBIL")))</f>
        <v>HÁBIL</v>
      </c>
      <c r="O5" s="236">
        <f>VLOOKUP(C5,'PONDERACION EXP.'!$C$44:$L$133,5,FALSE)</f>
        <v>1</v>
      </c>
      <c r="P5" s="264">
        <f>VLOOKUP(C5,'PONDERACION EXP.'!$C$44:$L$133,7,FALSE)</f>
        <v>307.91000000000003</v>
      </c>
      <c r="Q5" s="265">
        <f ca="1">VLOOKUP(C5,'PONDERACION EXP.'!$C$44:$K$133,9,FALSE)</f>
        <v>24.165261550670401</v>
      </c>
      <c r="R5" s="237" t="str">
        <f>VLOOKUP(C5,'EQUIPO DE TRABAJO'!$C$19:$F$108,4,FALSE)</f>
        <v>CUMPLE</v>
      </c>
      <c r="S5" s="238">
        <f>VLOOKUP(C5,'APOYO A IND. NAL.'!$C$19:$E$108,3,FALSE)</f>
        <v>20</v>
      </c>
      <c r="T5" s="237">
        <f>VLOOKUP(C5,'VIN.PERS.DISC.'!$C$19:$G$108,5,FALSE)</f>
        <v>1</v>
      </c>
      <c r="U5" s="238">
        <f>VLOOKUP(C5,RNOCI!$C$19:$F$108,4,FALSE)</f>
        <v>0</v>
      </c>
      <c r="V5" s="238">
        <f>VLOOKUP(C5,RESUMENGEN!$C$21:$M$110,10,FALSE)</f>
        <v>0</v>
      </c>
      <c r="W5" s="266">
        <f ca="1">VLOOKUP(C5,RESUMENGEN!$C$21:$M$110,11,FALSE)</f>
        <v>55.165261550670401</v>
      </c>
      <c r="X5" s="233"/>
      <c r="Y5" s="266" t="e">
        <f ca="1">IF($L5&lt;&gt;"HÁBIL",0,Q5+R5+S5+T5+U5+V5)</f>
        <v>#VALUE!</v>
      </c>
      <c r="Z5" s="239" t="e">
        <f ca="1">IF(W5=Y5,"SI","NO")</f>
        <v>#VALUE!</v>
      </c>
    </row>
    <row r="6" spans="2:26">
      <c r="B6" s="234">
        <f t="shared" ref="B6:B69" si="0">ROW()-4</f>
        <v>2</v>
      </c>
      <c r="C6" s="234">
        <f>IF(VLOOKUP(B6,PROPONENTES!$B$19:$E$109,2,0)="","",VLOOKUP(B6,PROPONENTES!$B$19:$E$109,2,0))</f>
        <v>2</v>
      </c>
      <c r="D6" s="234" t="str">
        <f>VLOOKUP(C6,RESUMENGEN!$C$21:$E$110,2,FALSE)</f>
        <v>MIGUEL MORALES INGENIERIA SAS</v>
      </c>
      <c r="E6" s="235" t="str">
        <f>VLOOKUP(C6,'HAB.GEN.'!$C$19:$L$108,3,FALSE)</f>
        <v>HÁBIL</v>
      </c>
      <c r="F6" s="235" t="str">
        <f>VLOOKUP(C6,'HAB.GEN.'!$C$19:$L$108,4,FALSE)</f>
        <v>HÁBIL</v>
      </c>
      <c r="G6" s="235" t="str">
        <f>VLOOKUP(C6,'HAB.GEN.'!$C$19:$L$108,5,FALSE)</f>
        <v>HÁBIL</v>
      </c>
      <c r="H6" s="235" t="str">
        <f>VLOOKUP(C6,'HAB.GEN.'!$C$19:$L$108,6,FALSE)</f>
        <v>HÁBIL</v>
      </c>
      <c r="I6" s="235" t="str">
        <f>VLOOKUP(C6,RNOCI!$C$19:$F$108,3,FALSE)</f>
        <v>NO</v>
      </c>
      <c r="J6" s="235" t="str">
        <f>VLOOKUP(C6,'MULTAS Y SANCIONES'!$C$19:$E$108,3,FALSE)</f>
        <v>NO</v>
      </c>
      <c r="K6" s="235" t="str">
        <f>VLOOKUP(C6,'HAB.GEN.'!$C$19:$L$108,7,FALSE)</f>
        <v>HÁBIL</v>
      </c>
      <c r="L6" s="235" t="str">
        <f ca="1">VLOOKUP(C6,'HAB.GEN.'!$C$19:$L$108,8,FALSE)</f>
        <v>HÁBIL</v>
      </c>
      <c r="M6" s="235" t="str">
        <f>VLOOKUP(C6,'HAB.GEN.'!$C$19:$L$108,9,FALSE)</f>
        <v>HÁBIL</v>
      </c>
      <c r="N6" s="235" t="str">
        <f t="shared" ref="N6:N69" ca="1" si="1">IF(OR(COUNTIF(E6:M6,"")=8,COUNTIF(E6:M6,"")&gt;0),"",IF(COUNTIF(E6:M6,"RECHAZO")&gt;0,"RECHAZO",IF(COUNTIF(E6:M6,"NO HÁBIL")=0,"HÁBIL","NO HÁBIL")))</f>
        <v>HÁBIL</v>
      </c>
      <c r="O6" s="236">
        <f>VLOOKUP(C6,'PONDERACION EXP.'!$C$44:$L$133,5,FALSE)</f>
        <v>1</v>
      </c>
      <c r="P6" s="264">
        <f>VLOOKUP(C6,'PONDERACION EXP.'!$C$44:$L$133,7,FALSE)</f>
        <v>415.72</v>
      </c>
      <c r="Q6" s="265">
        <f ca="1">VLOOKUP(C6,'PONDERACION EXP.'!$C$44:$K$133,9,FALSE)</f>
        <v>32.626360078739552</v>
      </c>
      <c r="R6" s="237" t="str">
        <f>VLOOKUP(C6,'EQUIPO DE TRABAJO'!$C$19:$F$108,4,FALSE)</f>
        <v>CUMPLE</v>
      </c>
      <c r="S6" s="238">
        <f>VLOOKUP(C6,'APOYO A IND. NAL.'!$C$19:$E$108,3,FALSE)</f>
        <v>20</v>
      </c>
      <c r="T6" s="237">
        <f>VLOOKUP(C6,'VIN.PERS.DISC.'!$C$19:$G$108,5,FALSE)</f>
        <v>1</v>
      </c>
      <c r="U6" s="238">
        <f>VLOOKUP(C6,RNOCI!$C$19:$F$108,4,FALSE)</f>
        <v>0</v>
      </c>
      <c r="V6" s="238">
        <f>VLOOKUP(C6,RESUMENGEN!$C$21:$M$110,10,FALSE)</f>
        <v>0</v>
      </c>
      <c r="W6" s="266">
        <f ca="1">VLOOKUP(C6,RESUMENGEN!$C$21:$M$110,11,FALSE)</f>
        <v>63.626360078739552</v>
      </c>
      <c r="X6" s="233"/>
      <c r="Y6" s="266" t="e">
        <f t="shared" ref="Y6:Y69" ca="1" si="2">IF($L6&lt;&gt;"HÁBIL",0,Q6+R6+S6+T6+U6+V6)</f>
        <v>#VALUE!</v>
      </c>
      <c r="Z6" s="239" t="e">
        <f t="shared" ref="Z6:Z37" ca="1" si="3">IF(W6=Y6,"SI","NO")</f>
        <v>#VALUE!</v>
      </c>
    </row>
    <row r="7" spans="2:26">
      <c r="B7" s="234">
        <f t="shared" si="0"/>
        <v>3</v>
      </c>
      <c r="C7" s="234">
        <f>IF(VLOOKUP(B7,PROPONENTES!$B$19:$E$109,2,0)="","",VLOOKUP(B7,PROPONENTES!$B$19:$E$109,2,0))</f>
        <v>3</v>
      </c>
      <c r="D7" s="234" t="str">
        <f>VLOOKUP(C7,RESUMENGEN!$C$21:$E$110,2,FALSE)</f>
        <v>CONSULTORES DONOVAN SAS</v>
      </c>
      <c r="E7" s="235" t="str">
        <f>VLOOKUP(C7,'HAB.GEN.'!$C$19:$L$108,3,FALSE)</f>
        <v>HÁBIL</v>
      </c>
      <c r="F7" s="235" t="str">
        <f>VLOOKUP(C7,'HAB.GEN.'!$C$19:$L$108,4,FALSE)</f>
        <v>HÁBIL</v>
      </c>
      <c r="G7" s="235" t="str">
        <f>VLOOKUP(C7,'HAB.GEN.'!$C$19:$L$108,5,FALSE)</f>
        <v>HÁBIL</v>
      </c>
      <c r="H7" s="235" t="str">
        <f>VLOOKUP(C7,'HAB.GEN.'!$C$19:$L$108,6,FALSE)</f>
        <v>HÁBIL</v>
      </c>
      <c r="I7" s="235" t="str">
        <f>VLOOKUP(C7,RNOCI!$C$19:$F$108,3,FALSE)</f>
        <v>NO</v>
      </c>
      <c r="J7" s="235" t="str">
        <f>VLOOKUP(C7,'MULTAS Y SANCIONES'!$C$19:$E$108,3,FALSE)</f>
        <v>NO</v>
      </c>
      <c r="K7" s="235" t="str">
        <f>VLOOKUP(C7,'HAB.GEN.'!$C$19:$L$108,7,FALSE)</f>
        <v>HÁBIL</v>
      </c>
      <c r="L7" s="235" t="str">
        <f ca="1">VLOOKUP(C7,'HAB.GEN.'!$C$19:$L$108,8,FALSE)</f>
        <v>HÁBIL</v>
      </c>
      <c r="M7" s="235" t="str">
        <f>VLOOKUP(C7,'HAB.GEN.'!$C$19:$L$108,9,FALSE)</f>
        <v>HÁBIL</v>
      </c>
      <c r="N7" s="235" t="str">
        <f t="shared" ca="1" si="1"/>
        <v>HÁBIL</v>
      </c>
      <c r="O7" s="236">
        <f>VLOOKUP(C7,'PONDERACION EXP.'!$C$44:$L$133,5,FALSE)</f>
        <v>4</v>
      </c>
      <c r="P7" s="264">
        <f>VLOOKUP(C7,'PONDERACION EXP.'!$C$44:$L$133,7,FALSE)</f>
        <v>468.41750000000002</v>
      </c>
      <c r="Q7" s="265">
        <f ca="1">VLOOKUP(C7,'PONDERACION EXP.'!$C$44:$K$133,9,FALSE)</f>
        <v>36.762142841775677</v>
      </c>
      <c r="R7" s="237" t="str">
        <f>VLOOKUP(C7,'EQUIPO DE TRABAJO'!$C$19:$F$108,4,FALSE)</f>
        <v>CUMPLE</v>
      </c>
      <c r="S7" s="238">
        <f>VLOOKUP(C7,'APOYO A IND. NAL.'!$C$19:$E$108,3,FALSE)</f>
        <v>20</v>
      </c>
      <c r="T7" s="237">
        <f>VLOOKUP(C7,'VIN.PERS.DISC.'!$C$19:$G$108,5,FALSE)</f>
        <v>1</v>
      </c>
      <c r="U7" s="238">
        <f>VLOOKUP(C7,RNOCI!$C$19:$F$108,4,FALSE)</f>
        <v>0</v>
      </c>
      <c r="V7" s="238">
        <f>VLOOKUP(C7,RESUMENGEN!$C$21:$M$110,10,FALSE)</f>
        <v>0</v>
      </c>
      <c r="W7" s="266">
        <f ca="1">VLOOKUP(C7,RESUMENGEN!$C$21:$M$110,11,FALSE)</f>
        <v>67.76214284177567</v>
      </c>
      <c r="X7" s="233"/>
      <c r="Y7" s="266" t="e">
        <f t="shared" ca="1" si="2"/>
        <v>#VALUE!</v>
      </c>
      <c r="Z7" s="239" t="e">
        <f t="shared" ca="1" si="3"/>
        <v>#VALUE!</v>
      </c>
    </row>
    <row r="8" spans="2:26" ht="25.5">
      <c r="B8" s="234">
        <f t="shared" si="0"/>
        <v>4</v>
      </c>
      <c r="C8" s="234">
        <f>IF(VLOOKUP(B8,PROPONENTES!$B$19:$E$109,2,0)="","",VLOOKUP(B8,PROPONENTES!$B$19:$E$109,2,0))</f>
        <v>4</v>
      </c>
      <c r="D8" s="234" t="str">
        <f>VLOOKUP(C8,RESUMENGEN!$C$21:$E$110,2,FALSE)</f>
        <v>COMPAÑIA DE PROYECTOS TÉCNICOS CPT S.A</v>
      </c>
      <c r="E8" s="235" t="str">
        <f>VLOOKUP(C8,'HAB.GEN.'!$C$19:$L$108,3,FALSE)</f>
        <v>HÁBIL</v>
      </c>
      <c r="F8" s="235" t="str">
        <f>VLOOKUP(C8,'HAB.GEN.'!$C$19:$L$108,4,FALSE)</f>
        <v>HÁBIL</v>
      </c>
      <c r="G8" s="235" t="str">
        <f>VLOOKUP(C8,'HAB.GEN.'!$C$19:$L$108,5,FALSE)</f>
        <v>HÁBIL</v>
      </c>
      <c r="H8" s="235" t="str">
        <f>VLOOKUP(C8,'HAB.GEN.'!$C$19:$L$108,6,FALSE)</f>
        <v>HÁBIL</v>
      </c>
      <c r="I8" s="235" t="str">
        <f>VLOOKUP(C8,RNOCI!$C$19:$F$108,3,FALSE)</f>
        <v>NO</v>
      </c>
      <c r="J8" s="235" t="str">
        <f>VLOOKUP(C8,'MULTAS Y SANCIONES'!$C$19:$E$108,3,FALSE)</f>
        <v>NO</v>
      </c>
      <c r="K8" s="235" t="str">
        <f>VLOOKUP(C8,'HAB.GEN.'!$C$19:$L$108,7,FALSE)</f>
        <v>HÁBIL</v>
      </c>
      <c r="L8" s="235" t="str">
        <f ca="1">VLOOKUP(C8,'HAB.GEN.'!$C$19:$L$108,8,FALSE)</f>
        <v>HÁBIL</v>
      </c>
      <c r="M8" s="235" t="str">
        <f>VLOOKUP(C8,'HAB.GEN.'!$C$19:$L$108,9,FALSE)</f>
        <v>HÁBIL</v>
      </c>
      <c r="N8" s="235" t="str">
        <f t="shared" ca="1" si="1"/>
        <v>HÁBIL</v>
      </c>
      <c r="O8" s="236">
        <f>VLOOKUP(C8,'PONDERACION EXP.'!$C$44:$L$133,5,FALSE)</f>
        <v>4</v>
      </c>
      <c r="P8" s="264">
        <f>VLOOKUP(C8,'PONDERACION EXP.'!$C$44:$L$133,7,FALSE)</f>
        <v>489.29250000000002</v>
      </c>
      <c r="Q8" s="265">
        <f ca="1">VLOOKUP(C8,'PONDERACION EXP.'!$C$44:$K$133,9,FALSE)</f>
        <v>38.40044570582765</v>
      </c>
      <c r="R8" s="237" t="str">
        <f>VLOOKUP(C8,'EQUIPO DE TRABAJO'!$C$19:$F$108,4,FALSE)</f>
        <v>CUMPLE</v>
      </c>
      <c r="S8" s="238">
        <f>VLOOKUP(C8,'APOYO A IND. NAL.'!$C$19:$E$108,3,FALSE)</f>
        <v>20</v>
      </c>
      <c r="T8" s="237">
        <f>VLOOKUP(C8,'VIN.PERS.DISC.'!$C$19:$G$108,5,FALSE)</f>
        <v>1</v>
      </c>
      <c r="U8" s="238">
        <f>VLOOKUP(C8,RNOCI!$C$19:$F$108,4,FALSE)</f>
        <v>0</v>
      </c>
      <c r="V8" s="238">
        <f>VLOOKUP(C8,RESUMENGEN!$C$21:$M$110,10,FALSE)</f>
        <v>0</v>
      </c>
      <c r="W8" s="266">
        <f ca="1">VLOOKUP(C8,RESUMENGEN!$C$21:$M$110,11,FALSE)</f>
        <v>69.40044570582765</v>
      </c>
      <c r="X8" s="233"/>
      <c r="Y8" s="266" t="e">
        <f t="shared" ca="1" si="2"/>
        <v>#VALUE!</v>
      </c>
      <c r="Z8" s="239" t="e">
        <f t="shared" ca="1" si="3"/>
        <v>#VALUE!</v>
      </c>
    </row>
    <row r="9" spans="2:26" ht="25.5">
      <c r="B9" s="234">
        <f t="shared" si="0"/>
        <v>5</v>
      </c>
      <c r="C9" s="234">
        <f>IF(VLOOKUP(B9,PROPONENTES!$B$19:$E$109,2,0)="","",VLOOKUP(B9,PROPONENTES!$B$19:$E$109,2,0))</f>
        <v>5</v>
      </c>
      <c r="D9" s="234" t="str">
        <f>VLOOKUP(C9,RESUMENGEN!$C$21:$E$110,2,FALSE)</f>
        <v>GAVINCO INGENIEROS CONSULTORES SAS</v>
      </c>
      <c r="E9" s="235" t="str">
        <f>VLOOKUP(C9,'HAB.GEN.'!$C$19:$L$108,3,FALSE)</f>
        <v>HÁBIL</v>
      </c>
      <c r="F9" s="235" t="str">
        <f>VLOOKUP(C9,'HAB.GEN.'!$C$19:$L$108,4,FALSE)</f>
        <v>HÁBIL</v>
      </c>
      <c r="G9" s="235" t="str">
        <f>VLOOKUP(C9,'HAB.GEN.'!$C$19:$L$108,5,FALSE)</f>
        <v>HÁBIL</v>
      </c>
      <c r="H9" s="235" t="str">
        <f>VLOOKUP(C9,'HAB.GEN.'!$C$19:$L$108,6,FALSE)</f>
        <v>HÁBIL</v>
      </c>
      <c r="I9" s="235" t="str">
        <f>VLOOKUP(C9,RNOCI!$C$19:$F$108,3,FALSE)</f>
        <v>NO</v>
      </c>
      <c r="J9" s="235" t="str">
        <f>VLOOKUP(C9,'MULTAS Y SANCIONES'!$C$19:$E$108,3,FALSE)</f>
        <v>NO</v>
      </c>
      <c r="K9" s="235" t="str">
        <f>VLOOKUP(C9,'HAB.GEN.'!$C$19:$L$108,7,FALSE)</f>
        <v>HÁBIL</v>
      </c>
      <c r="L9" s="235" t="str">
        <f ca="1">VLOOKUP(C9,'HAB.GEN.'!$C$19:$L$108,8,FALSE)</f>
        <v>HÁBIL</v>
      </c>
      <c r="M9" s="235" t="str">
        <f>VLOOKUP(C9,'HAB.GEN.'!$C$19:$L$108,9,FALSE)</f>
        <v>HÁBIL</v>
      </c>
      <c r="N9" s="235" t="str">
        <f t="shared" ca="1" si="1"/>
        <v>HÁBIL</v>
      </c>
      <c r="O9" s="236">
        <f>VLOOKUP(C9,'PONDERACION EXP.'!$C$44:$L$133,5,FALSE)</f>
        <v>4</v>
      </c>
      <c r="P9" s="264">
        <f>VLOOKUP(C9,'PONDERACION EXP.'!$C$44:$L$133,7,FALSE)</f>
        <v>474.70699999999999</v>
      </c>
      <c r="Q9" s="265">
        <f ca="1">VLOOKUP(C9,'PONDERACION EXP.'!$C$44:$K$133,9,FALSE)</f>
        <v>37.255752703498068</v>
      </c>
      <c r="R9" s="237" t="str">
        <f>VLOOKUP(C9,'EQUIPO DE TRABAJO'!$C$19:$F$108,4,FALSE)</f>
        <v>CUMPLE</v>
      </c>
      <c r="S9" s="238">
        <f>VLOOKUP(C9,'APOYO A IND. NAL.'!$C$19:$E$108,3,FALSE)</f>
        <v>20</v>
      </c>
      <c r="T9" s="237">
        <f>VLOOKUP(C9,'VIN.PERS.DISC.'!$C$19:$G$108,5,FALSE)</f>
        <v>1</v>
      </c>
      <c r="U9" s="238">
        <f>VLOOKUP(C9,RNOCI!$C$19:$F$108,4,FALSE)</f>
        <v>0</v>
      </c>
      <c r="V9" s="238">
        <f>VLOOKUP(C9,RESUMENGEN!$C$21:$M$110,10,FALSE)</f>
        <v>0</v>
      </c>
      <c r="W9" s="266">
        <f ca="1">VLOOKUP(C9,RESUMENGEN!$C$21:$M$110,11,FALSE)</f>
        <v>68.255752703498075</v>
      </c>
      <c r="X9" s="233"/>
      <c r="Y9" s="266" t="e">
        <f t="shared" ca="1" si="2"/>
        <v>#VALUE!</v>
      </c>
      <c r="Z9" s="239" t="e">
        <f t="shared" ca="1" si="3"/>
        <v>#VALUE!</v>
      </c>
    </row>
    <row r="10" spans="2:26">
      <c r="B10" s="234">
        <f t="shared" si="0"/>
        <v>6</v>
      </c>
      <c r="C10" s="234">
        <f>IF(VLOOKUP(B10,PROPONENTES!$B$19:$E$109,2,0)="","",VLOOKUP(B10,PROPONENTES!$B$19:$E$109,2,0))</f>
        <v>6</v>
      </c>
      <c r="D10" s="234" t="str">
        <f>VLOOKUP(C10,RESUMENGEN!$C$21:$E$110,2,FALSE)</f>
        <v>RD INGENIEROS CIVILES SAS</v>
      </c>
      <c r="E10" s="235" t="str">
        <f>VLOOKUP(C10,'HAB.GEN.'!$C$19:$L$108,3,FALSE)</f>
        <v>HÁBIL</v>
      </c>
      <c r="F10" s="235" t="str">
        <f>VLOOKUP(C10,'HAB.GEN.'!$C$19:$L$108,4,FALSE)</f>
        <v>HÁBIL</v>
      </c>
      <c r="G10" s="235" t="str">
        <f>VLOOKUP(C10,'HAB.GEN.'!$C$19:$L$108,5,FALSE)</f>
        <v>HÁBIL</v>
      </c>
      <c r="H10" s="235" t="str">
        <f>VLOOKUP(C10,'HAB.GEN.'!$C$19:$L$108,6,FALSE)</f>
        <v>HÁBIL</v>
      </c>
      <c r="I10" s="235" t="str">
        <f>VLOOKUP(C10,RNOCI!$C$19:$F$108,3,FALSE)</f>
        <v>NO</v>
      </c>
      <c r="J10" s="235" t="str">
        <f>VLOOKUP(C10,'MULTAS Y SANCIONES'!$C$19:$E$108,3,FALSE)</f>
        <v>NO</v>
      </c>
      <c r="K10" s="235" t="str">
        <f>VLOOKUP(C10,'HAB.GEN.'!$C$19:$L$108,7,FALSE)</f>
        <v>HÁBIL</v>
      </c>
      <c r="L10" s="235" t="str">
        <f ca="1">VLOOKUP(C10,'HAB.GEN.'!$C$19:$L$108,8,FALSE)</f>
        <v>HÁBIL</v>
      </c>
      <c r="M10" s="235" t="str">
        <f>VLOOKUP(C10,'HAB.GEN.'!$C$19:$L$108,9,FALSE)</f>
        <v>HÁBIL</v>
      </c>
      <c r="N10" s="235" t="str">
        <f t="shared" ca="1" si="1"/>
        <v>HÁBIL</v>
      </c>
      <c r="O10" s="236">
        <f>VLOOKUP(C10,'PONDERACION EXP.'!$C$44:$L$133,5,FALSE)</f>
        <v>1</v>
      </c>
      <c r="P10" s="264">
        <f>VLOOKUP(C10,'PONDERACION EXP.'!$C$44:$L$133,7,FALSE)</f>
        <v>506.77199999999999</v>
      </c>
      <c r="Q10" s="265">
        <f ca="1">VLOOKUP(C10,'PONDERACION EXP.'!$C$44:$K$133,9,FALSE)</f>
        <v>39.772264384256225</v>
      </c>
      <c r="R10" s="237" t="str">
        <f>VLOOKUP(C10,'EQUIPO DE TRABAJO'!$C$19:$F$108,4,FALSE)</f>
        <v>CUMPLE</v>
      </c>
      <c r="S10" s="238">
        <f>VLOOKUP(C10,'APOYO A IND. NAL.'!$C$19:$E$108,3,FALSE)</f>
        <v>20</v>
      </c>
      <c r="T10" s="237">
        <f>VLOOKUP(C10,'VIN.PERS.DISC.'!$C$19:$G$108,5,FALSE)</f>
        <v>1</v>
      </c>
      <c r="U10" s="238">
        <f>VLOOKUP(C10,RNOCI!$C$19:$F$108,4,FALSE)</f>
        <v>0</v>
      </c>
      <c r="V10" s="238">
        <f>VLOOKUP(C10,RESUMENGEN!$C$21:$M$110,10,FALSE)</f>
        <v>0</v>
      </c>
      <c r="W10" s="266">
        <f ca="1">VLOOKUP(C10,RESUMENGEN!$C$21:$M$110,11,FALSE)</f>
        <v>70.772264384256232</v>
      </c>
      <c r="X10" s="233"/>
      <c r="Y10" s="266" t="e">
        <f t="shared" ca="1" si="2"/>
        <v>#VALUE!</v>
      </c>
      <c r="Z10" s="239" t="e">
        <f t="shared" ca="1" si="3"/>
        <v>#VALUE!</v>
      </c>
    </row>
    <row r="11" spans="2:26">
      <c r="B11" s="234">
        <f t="shared" si="0"/>
        <v>7</v>
      </c>
      <c r="C11" s="234">
        <f>IF(VLOOKUP(B11,PROPONENTES!$B$19:$E$109,2,0)="","",VLOOKUP(B11,PROPONENTES!$B$19:$E$109,2,0))</f>
        <v>7</v>
      </c>
      <c r="D11" s="234" t="str">
        <f>VLOOKUP(C11,RESUMENGEN!$C$21:$E$110,2,FALSE)</f>
        <v>CONSORCIO FEEC TOLIMA</v>
      </c>
      <c r="E11" s="235" t="str">
        <f>VLOOKUP(C11,'HAB.GEN.'!$C$19:$L$108,3,FALSE)</f>
        <v>RECHAZO</v>
      </c>
      <c r="F11" s="235" t="str">
        <f>VLOOKUP(C11,'HAB.GEN.'!$C$19:$L$108,4,FALSE)</f>
        <v>HÁBIL</v>
      </c>
      <c r="G11" s="235" t="str">
        <f>VLOOKUP(C11,'HAB.GEN.'!$C$19:$L$108,5,FALSE)</f>
        <v>HÁBIL</v>
      </c>
      <c r="H11" s="235" t="str">
        <f>VLOOKUP(C11,'HAB.GEN.'!$C$19:$L$108,6,FALSE)</f>
        <v>HÁBIL</v>
      </c>
      <c r="I11" s="235" t="str">
        <f>VLOOKUP(C11,RNOCI!$C$19:$F$108,3,FALSE)</f>
        <v>NO</v>
      </c>
      <c r="J11" s="235" t="str">
        <f>VLOOKUP(C11,'MULTAS Y SANCIONES'!$C$19:$E$108,3,FALSE)</f>
        <v>NO</v>
      </c>
      <c r="K11" s="235" t="str">
        <f>VLOOKUP(C11,'HAB.GEN.'!$C$19:$L$108,7,FALSE)</f>
        <v>HÁBIL</v>
      </c>
      <c r="L11" s="235" t="str">
        <f ca="1">VLOOKUP(C11,'HAB.GEN.'!$C$19:$L$108,8,FALSE)</f>
        <v>HÁBIL</v>
      </c>
      <c r="M11" s="235" t="str">
        <f ca="1">VLOOKUP(C11,'HAB.GEN.'!$C$19:$L$108,9,FALSE)</f>
        <v>HÁBIL</v>
      </c>
      <c r="N11" s="235" t="str">
        <f t="shared" ca="1" si="1"/>
        <v>RECHAZO</v>
      </c>
      <c r="O11" s="236">
        <f>VLOOKUP(C11,'PONDERACION EXP.'!$C$44:$L$133,5,FALSE)</f>
        <v>4</v>
      </c>
      <c r="P11" s="264">
        <f ca="1">VLOOKUP(C11,'PONDERACION EXP.'!$C$44:$L$133,7,FALSE)</f>
        <v>526.45730000000003</v>
      </c>
      <c r="Q11" s="265">
        <f ca="1">VLOOKUP(C11,'PONDERACION EXP.'!$C$44:$K$133,9,FALSE)</f>
        <v>41.317197719332761</v>
      </c>
      <c r="R11" s="237" t="str">
        <f>VLOOKUP(C11,'EQUIPO DE TRABAJO'!$C$19:$F$108,4,FALSE)</f>
        <v>CUMPLE</v>
      </c>
      <c r="S11" s="238">
        <f>VLOOKUP(C11,'APOYO A IND. NAL.'!$C$19:$E$108,3,FALSE)</f>
        <v>20</v>
      </c>
      <c r="T11" s="237">
        <f ca="1">VLOOKUP(C11,'VIN.PERS.DISC.'!$C$19:$G$108,5,FALSE)</f>
        <v>1</v>
      </c>
      <c r="U11" s="238">
        <f>VLOOKUP(C11,RNOCI!$C$19:$F$108,4,FALSE)</f>
        <v>0</v>
      </c>
      <c r="V11" s="238">
        <f>VLOOKUP(C11,RESUMENGEN!$C$21:$M$110,10,FALSE)</f>
        <v>0</v>
      </c>
      <c r="W11" s="266">
        <f ca="1">VLOOKUP(C11,RESUMENGEN!$C$21:$M$110,11,FALSE)</f>
        <v>0</v>
      </c>
      <c r="X11" s="233"/>
      <c r="Y11" s="266" t="e">
        <f t="shared" ca="1" si="2"/>
        <v>#VALUE!</v>
      </c>
      <c r="Z11" s="239" t="e">
        <f t="shared" ca="1" si="3"/>
        <v>#VALUE!</v>
      </c>
    </row>
    <row r="12" spans="2:26">
      <c r="B12" s="234">
        <f t="shared" si="0"/>
        <v>8</v>
      </c>
      <c r="C12" s="234">
        <f>IF(VLOOKUP(B12,PROPONENTES!$B$19:$E$109,2,0)="","",VLOOKUP(B12,PROPONENTES!$B$19:$E$109,2,0))</f>
        <v>8</v>
      </c>
      <c r="D12" s="234" t="str">
        <f>VLOOKUP(C12,RESUMENGEN!$C$21:$E$110,2,FALSE)</f>
        <v>CARLOS ALBERTO PALTA MUÑOZ</v>
      </c>
      <c r="E12" s="235" t="str">
        <f>VLOOKUP(C12,'HAB.GEN.'!$C$19:$L$108,3,FALSE)</f>
        <v>HÁBIL</v>
      </c>
      <c r="F12" s="235" t="str">
        <f>VLOOKUP(C12,'HAB.GEN.'!$C$19:$L$108,4,FALSE)</f>
        <v>HÁBIL</v>
      </c>
      <c r="G12" s="235" t="str">
        <f>VLOOKUP(C12,'HAB.GEN.'!$C$19:$L$108,5,FALSE)</f>
        <v>HÁBIL</v>
      </c>
      <c r="H12" s="235" t="str">
        <f>VLOOKUP(C12,'HAB.GEN.'!$C$19:$L$108,6,FALSE)</f>
        <v>HÁBIL</v>
      </c>
      <c r="I12" s="235" t="str">
        <f>VLOOKUP(C12,RNOCI!$C$19:$F$108,3,FALSE)</f>
        <v>NO</v>
      </c>
      <c r="J12" s="235" t="str">
        <f>VLOOKUP(C12,'MULTAS Y SANCIONES'!$C$19:$E$108,3,FALSE)</f>
        <v>NO</v>
      </c>
      <c r="K12" s="235" t="str">
        <f>VLOOKUP(C12,'HAB.GEN.'!$C$19:$L$108,7,FALSE)</f>
        <v>HÁBIL</v>
      </c>
      <c r="L12" s="235" t="str">
        <f ca="1">VLOOKUP(C12,'HAB.GEN.'!$C$19:$L$108,8,FALSE)</f>
        <v>HÁBIL</v>
      </c>
      <c r="M12" s="235" t="str">
        <f>VLOOKUP(C12,'HAB.GEN.'!$C$19:$L$108,9,FALSE)</f>
        <v>HÁBIL</v>
      </c>
      <c r="N12" s="235" t="str">
        <f t="shared" ca="1" si="1"/>
        <v>HÁBIL</v>
      </c>
      <c r="O12" s="236">
        <f>VLOOKUP(C12,'PONDERACION EXP.'!$C$44:$L$133,5,FALSE)</f>
        <v>2</v>
      </c>
      <c r="P12" s="264">
        <f>VLOOKUP(C12,'PONDERACION EXP.'!$C$44:$L$133,7,FALSE)</f>
        <v>525.36899999999991</v>
      </c>
      <c r="Q12" s="265">
        <f ca="1">VLOOKUP(C12,'PONDERACION EXP.'!$C$44:$K$133,9,FALSE)</f>
        <v>41.231786221993929</v>
      </c>
      <c r="R12" s="237" t="str">
        <f>VLOOKUP(C12,'EQUIPO DE TRABAJO'!$C$19:$F$108,4,FALSE)</f>
        <v>CUMPLE</v>
      </c>
      <c r="S12" s="238">
        <f>VLOOKUP(C12,'APOYO A IND. NAL.'!$C$19:$E$108,3,FALSE)</f>
        <v>20</v>
      </c>
      <c r="T12" s="237">
        <f>VLOOKUP(C12,'VIN.PERS.DISC.'!$C$19:$G$108,5,FALSE)</f>
        <v>1</v>
      </c>
      <c r="U12" s="238">
        <f>VLOOKUP(C12,RNOCI!$C$19:$F$108,4,FALSE)</f>
        <v>0</v>
      </c>
      <c r="V12" s="238">
        <f>VLOOKUP(C12,RESUMENGEN!$C$21:$M$110,10,FALSE)</f>
        <v>0</v>
      </c>
      <c r="W12" s="266">
        <f ca="1">VLOOKUP(C12,RESUMENGEN!$C$21:$M$110,11,FALSE)</f>
        <v>72.231786221993929</v>
      </c>
      <c r="X12" s="233"/>
      <c r="Y12" s="266" t="e">
        <f t="shared" ca="1" si="2"/>
        <v>#VALUE!</v>
      </c>
      <c r="Z12" s="239" t="e">
        <f t="shared" ca="1" si="3"/>
        <v>#VALUE!</v>
      </c>
    </row>
    <row r="13" spans="2:26">
      <c r="B13" s="234">
        <f t="shared" si="0"/>
        <v>9</v>
      </c>
      <c r="C13" s="234">
        <f>IF(VLOOKUP(B13,PROPONENTES!$B$19:$E$109,2,0)="","",VLOOKUP(B13,PROPONENTES!$B$19:$E$109,2,0))</f>
        <v>9</v>
      </c>
      <c r="D13" s="234" t="str">
        <f>VLOOKUP(C13,RESUMENGEN!$C$21:$E$110,2,FALSE)</f>
        <v>CONSORCIO GMC</v>
      </c>
      <c r="E13" s="235" t="str">
        <f>VLOOKUP(C13,'HAB.GEN.'!$C$19:$L$108,3,FALSE)</f>
        <v>HÁBIL</v>
      </c>
      <c r="F13" s="235" t="str">
        <f>VLOOKUP(C13,'HAB.GEN.'!$C$19:$L$108,4,FALSE)</f>
        <v>HÁBIL</v>
      </c>
      <c r="G13" s="235" t="str">
        <f>VLOOKUP(C13,'HAB.GEN.'!$C$19:$L$108,5,FALSE)</f>
        <v>HÁBIL</v>
      </c>
      <c r="H13" s="235" t="str">
        <f>VLOOKUP(C13,'HAB.GEN.'!$C$19:$L$108,6,FALSE)</f>
        <v>HÁBIL</v>
      </c>
      <c r="I13" s="235" t="str">
        <f>VLOOKUP(C13,RNOCI!$C$19:$F$108,3,FALSE)</f>
        <v>NO</v>
      </c>
      <c r="J13" s="235" t="str">
        <f>VLOOKUP(C13,'MULTAS Y SANCIONES'!$C$19:$E$108,3,FALSE)</f>
        <v>NO</v>
      </c>
      <c r="K13" s="235" t="str">
        <f>VLOOKUP(C13,'HAB.GEN.'!$C$19:$L$108,7,FALSE)</f>
        <v>HÁBIL</v>
      </c>
      <c r="L13" s="235" t="str">
        <f ca="1">VLOOKUP(C13,'HAB.GEN.'!$C$19:$L$108,8,FALSE)</f>
        <v>HÁBIL</v>
      </c>
      <c r="M13" s="235" t="str">
        <f ca="1">VLOOKUP(C13,'HAB.GEN.'!$C$19:$L$108,9,FALSE)</f>
        <v>HÁBIL</v>
      </c>
      <c r="N13" s="235" t="str">
        <f t="shared" ca="1" si="1"/>
        <v>HÁBIL</v>
      </c>
      <c r="O13" s="236">
        <f>VLOOKUP(C13,'PONDERACION EXP.'!$C$44:$L$133,5,FALSE)</f>
        <v>5</v>
      </c>
      <c r="P13" s="264">
        <f ca="1">VLOOKUP(C13,'PONDERACION EXP.'!$C$44:$L$133,7,FALSE)</f>
        <v>445.38279999999997</v>
      </c>
      <c r="Q13" s="265">
        <f ca="1">VLOOKUP(C13,'PONDERACION EXP.'!$C$44:$K$133,9,FALSE)</f>
        <v>34.954343321652175</v>
      </c>
      <c r="R13" s="237" t="str">
        <f>VLOOKUP(C13,'EQUIPO DE TRABAJO'!$C$19:$F$108,4,FALSE)</f>
        <v>CUMPLE</v>
      </c>
      <c r="S13" s="238">
        <f>VLOOKUP(C13,'APOYO A IND. NAL.'!$C$19:$E$108,3,FALSE)</f>
        <v>20</v>
      </c>
      <c r="T13" s="237">
        <f ca="1">VLOOKUP(C13,'VIN.PERS.DISC.'!$C$19:$G$108,5,FALSE)</f>
        <v>1</v>
      </c>
      <c r="U13" s="238">
        <f>VLOOKUP(C13,RNOCI!$C$19:$F$108,4,FALSE)</f>
        <v>0</v>
      </c>
      <c r="V13" s="238">
        <f>VLOOKUP(C13,RESUMENGEN!$C$21:$M$110,10,FALSE)</f>
        <v>0</v>
      </c>
      <c r="W13" s="266">
        <f ca="1">VLOOKUP(C13,RESUMENGEN!$C$21:$M$110,11,FALSE)</f>
        <v>65.954343321652175</v>
      </c>
      <c r="X13" s="233"/>
      <c r="Y13" s="266" t="e">
        <f t="shared" ca="1" si="2"/>
        <v>#VALUE!</v>
      </c>
      <c r="Z13" s="239" t="e">
        <f t="shared" ca="1" si="3"/>
        <v>#VALUE!</v>
      </c>
    </row>
    <row r="14" spans="2:26" ht="25.5">
      <c r="B14" s="234">
        <f t="shared" si="0"/>
        <v>10</v>
      </c>
      <c r="C14" s="234">
        <f>IF(VLOOKUP(B14,PROPONENTES!$B$19:$E$109,2,0)="","",VLOOKUP(B14,PROPONENTES!$B$19:$E$109,2,0))</f>
        <v>10</v>
      </c>
      <c r="D14" s="234" t="str">
        <f>VLOOKUP(C14,RESUMENGEN!$C$21:$E$110,2,FALSE)</f>
        <v>R&amp;M CONSTRUCCIONES E INTERVENTORIAS S.A.S</v>
      </c>
      <c r="E14" s="235" t="str">
        <f>VLOOKUP(C14,'HAB.GEN.'!$C$19:$L$108,3,FALSE)</f>
        <v>HÁBIL</v>
      </c>
      <c r="F14" s="235" t="str">
        <f>VLOOKUP(C14,'HAB.GEN.'!$C$19:$L$108,4,FALSE)</f>
        <v>HÁBIL</v>
      </c>
      <c r="G14" s="235" t="str">
        <f>VLOOKUP(C14,'HAB.GEN.'!$C$19:$L$108,5,FALSE)</f>
        <v>HÁBIL</v>
      </c>
      <c r="H14" s="235" t="str">
        <f>VLOOKUP(C14,'HAB.GEN.'!$C$19:$L$108,6,FALSE)</f>
        <v>HÁBIL</v>
      </c>
      <c r="I14" s="235" t="str">
        <f>VLOOKUP(C14,RNOCI!$C$19:$F$108,3,FALSE)</f>
        <v>NO</v>
      </c>
      <c r="J14" s="235" t="str">
        <f>VLOOKUP(C14,'MULTAS Y SANCIONES'!$C$19:$E$108,3,FALSE)</f>
        <v>NO</v>
      </c>
      <c r="K14" s="235" t="str">
        <f>VLOOKUP(C14,'HAB.GEN.'!$C$19:$L$108,7,FALSE)</f>
        <v>HÁBIL</v>
      </c>
      <c r="L14" s="235" t="str">
        <f ca="1">VLOOKUP(C14,'HAB.GEN.'!$C$19:$L$108,8,FALSE)</f>
        <v>HÁBIL</v>
      </c>
      <c r="M14" s="235" t="str">
        <f>VLOOKUP(C14,'HAB.GEN.'!$C$19:$L$108,9,FALSE)</f>
        <v>HÁBIL</v>
      </c>
      <c r="N14" s="235" t="str">
        <f t="shared" ca="1" si="1"/>
        <v>HÁBIL</v>
      </c>
      <c r="O14" s="236">
        <f>VLOOKUP(C14,'PONDERACION EXP.'!$C$44:$L$133,5,FALSE)</f>
        <v>1</v>
      </c>
      <c r="P14" s="264">
        <f>VLOOKUP(C14,'PONDERACION EXP.'!$C$44:$L$133,7,FALSE)</f>
        <v>647.05999999999995</v>
      </c>
      <c r="Q14" s="265">
        <f ca="1">VLOOKUP(C14,'PONDERACION EXP.'!$C$44:$K$133,9,FALSE)</f>
        <v>50.782287483280122</v>
      </c>
      <c r="R14" s="237" t="str">
        <f>VLOOKUP(C14,'EQUIPO DE TRABAJO'!$C$19:$F$108,4,FALSE)</f>
        <v>CUMPLE</v>
      </c>
      <c r="S14" s="238">
        <f>VLOOKUP(C14,'APOYO A IND. NAL.'!$C$19:$E$108,3,FALSE)</f>
        <v>20</v>
      </c>
      <c r="T14" s="237">
        <f>VLOOKUP(C14,'VIN.PERS.DISC.'!$C$19:$G$108,5,FALSE)</f>
        <v>1</v>
      </c>
      <c r="U14" s="238">
        <f>VLOOKUP(C14,RNOCI!$C$19:$F$108,4,FALSE)</f>
        <v>0</v>
      </c>
      <c r="V14" s="238">
        <f>VLOOKUP(C14,RESUMENGEN!$C$21:$M$110,10,FALSE)</f>
        <v>0</v>
      </c>
      <c r="W14" s="266">
        <f ca="1">VLOOKUP(C14,RESUMENGEN!$C$21:$M$110,11,FALSE)</f>
        <v>81.782287483280129</v>
      </c>
      <c r="X14" s="233"/>
      <c r="Y14" s="266" t="e">
        <f t="shared" ca="1" si="2"/>
        <v>#VALUE!</v>
      </c>
      <c r="Z14" s="239" t="e">
        <f t="shared" ca="1" si="3"/>
        <v>#VALUE!</v>
      </c>
    </row>
    <row r="15" spans="2:26">
      <c r="B15" s="234">
        <f t="shared" si="0"/>
        <v>11</v>
      </c>
      <c r="C15" s="234">
        <f>IF(VLOOKUP(B15,PROPONENTES!$B$19:$E$109,2,0)="","",VLOOKUP(B15,PROPONENTES!$B$19:$E$109,2,0))</f>
        <v>11</v>
      </c>
      <c r="D15" s="234" t="str">
        <f>VLOOKUP(C15,RESUMENGEN!$C$21:$E$110,2,FALSE)</f>
        <v>CUBIKO OBRAS Y CONSULTORÍAS SAS</v>
      </c>
      <c r="E15" s="235" t="str">
        <f>VLOOKUP(C15,'HAB.GEN.'!$C$19:$L$108,3,FALSE)</f>
        <v>HÁBIL</v>
      </c>
      <c r="F15" s="235" t="str">
        <f>VLOOKUP(C15,'HAB.GEN.'!$C$19:$L$108,4,FALSE)</f>
        <v>HÁBIL</v>
      </c>
      <c r="G15" s="235" t="str">
        <f>VLOOKUP(C15,'HAB.GEN.'!$C$19:$L$108,5,FALSE)</f>
        <v>HÁBIL</v>
      </c>
      <c r="H15" s="235" t="str">
        <f>VLOOKUP(C15,'HAB.GEN.'!$C$19:$L$108,6,FALSE)</f>
        <v>HÁBIL</v>
      </c>
      <c r="I15" s="235" t="str">
        <f>VLOOKUP(C15,RNOCI!$C$19:$F$108,3,FALSE)</f>
        <v>NO</v>
      </c>
      <c r="J15" s="235" t="str">
        <f>VLOOKUP(C15,'MULTAS Y SANCIONES'!$C$19:$E$108,3,FALSE)</f>
        <v>NO</v>
      </c>
      <c r="K15" s="235" t="str">
        <f>VLOOKUP(C15,'HAB.GEN.'!$C$19:$L$108,7,FALSE)</f>
        <v>HÁBIL</v>
      </c>
      <c r="L15" s="235" t="str">
        <f ca="1">VLOOKUP(C15,'HAB.GEN.'!$C$19:$L$108,8,FALSE)</f>
        <v>HÁBIL</v>
      </c>
      <c r="M15" s="235" t="str">
        <f>VLOOKUP(C15,'HAB.GEN.'!$C$19:$L$108,9,FALSE)</f>
        <v>HÁBIL</v>
      </c>
      <c r="N15" s="235" t="str">
        <f t="shared" ca="1" si="1"/>
        <v>HÁBIL</v>
      </c>
      <c r="O15" s="236">
        <f>VLOOKUP(C15,'PONDERACION EXP.'!$C$44:$L$133,5,FALSE)</f>
        <v>1</v>
      </c>
      <c r="P15" s="264">
        <f>VLOOKUP(C15,'PONDERACION EXP.'!$C$44:$L$133,7,FALSE)</f>
        <v>376.18</v>
      </c>
      <c r="Q15" s="265">
        <f ca="1">VLOOKUP(C15,'PONDERACION EXP.'!$C$44:$K$133,9,FALSE)</f>
        <v>29.52319862989571</v>
      </c>
      <c r="R15" s="237" t="str">
        <f>VLOOKUP(C15,'EQUIPO DE TRABAJO'!$C$19:$F$108,4,FALSE)</f>
        <v>CUMPLE</v>
      </c>
      <c r="S15" s="238">
        <f>VLOOKUP(C15,'APOYO A IND. NAL.'!$C$19:$E$108,3,FALSE)</f>
        <v>20</v>
      </c>
      <c r="T15" s="237">
        <f>VLOOKUP(C15,'VIN.PERS.DISC.'!$C$19:$G$108,5,FALSE)</f>
        <v>1</v>
      </c>
      <c r="U15" s="238">
        <f>VLOOKUP(C15,RNOCI!$C$19:$F$108,4,FALSE)</f>
        <v>0</v>
      </c>
      <c r="V15" s="238">
        <f>VLOOKUP(C15,RESUMENGEN!$C$21:$M$110,10,FALSE)</f>
        <v>0</v>
      </c>
      <c r="W15" s="266">
        <f ca="1">VLOOKUP(C15,RESUMENGEN!$C$21:$M$110,11,FALSE)</f>
        <v>60.52319862989571</v>
      </c>
      <c r="X15" s="233"/>
      <c r="Y15" s="266" t="e">
        <f t="shared" ca="1" si="2"/>
        <v>#VALUE!</v>
      </c>
      <c r="Z15" s="239" t="e">
        <f t="shared" ca="1" si="3"/>
        <v>#VALUE!</v>
      </c>
    </row>
    <row r="16" spans="2:26" ht="38.25">
      <c r="B16" s="234">
        <f t="shared" si="0"/>
        <v>12</v>
      </c>
      <c r="C16" s="234">
        <f>IF(VLOOKUP(B16,PROPONENTES!$B$19:$E$109,2,0)="","",VLOOKUP(B16,PROPONENTES!$B$19:$E$109,2,0))</f>
        <v>12</v>
      </c>
      <c r="D16" s="234" t="str">
        <f>VLOOKUP(C16,RESUMENGEN!$C$21:$E$110,2,FALSE)</f>
        <v>CONSTRUCTORES DEL DESARROLLO TERRITORIAL CONSTRUDET Y COMPAÑÍA LTDA</v>
      </c>
      <c r="E16" s="235" t="str">
        <f>VLOOKUP(C16,'HAB.GEN.'!$C$19:$L$108,3,FALSE)</f>
        <v>RECHAZO</v>
      </c>
      <c r="F16" s="235" t="str">
        <f>VLOOKUP(C16,'HAB.GEN.'!$C$19:$L$108,4,FALSE)</f>
        <v>HÁBIL</v>
      </c>
      <c r="G16" s="235" t="str">
        <f>VLOOKUP(C16,'HAB.GEN.'!$C$19:$L$108,5,FALSE)</f>
        <v>HÁBIL</v>
      </c>
      <c r="H16" s="235" t="str">
        <f>VLOOKUP(C16,'HAB.GEN.'!$C$19:$L$108,6,FALSE)</f>
        <v>HÁBIL</v>
      </c>
      <c r="I16" s="235" t="str">
        <f>VLOOKUP(C16,RNOCI!$C$19:$F$108,3,FALSE)</f>
        <v>NO</v>
      </c>
      <c r="J16" s="235" t="str">
        <f>VLOOKUP(C16,'MULTAS Y SANCIONES'!$C$19:$E$108,3,FALSE)</f>
        <v>NO</v>
      </c>
      <c r="K16" s="235" t="str">
        <f>VLOOKUP(C16,'HAB.GEN.'!$C$19:$L$108,7,FALSE)</f>
        <v>HÁBIL</v>
      </c>
      <c r="L16" s="235" t="str">
        <f ca="1">VLOOKUP(C16,'HAB.GEN.'!$C$19:$L$108,8,FALSE)</f>
        <v>HÁBIL</v>
      </c>
      <c r="M16" s="235" t="str">
        <f>VLOOKUP(C16,'HAB.GEN.'!$C$19:$L$108,9,FALSE)</f>
        <v>HÁBIL</v>
      </c>
      <c r="N16" s="235" t="str">
        <f t="shared" ca="1" si="1"/>
        <v>RECHAZO</v>
      </c>
      <c r="O16" s="236">
        <f>VLOOKUP(C16,'PONDERACION EXP.'!$C$44:$L$133,5,FALSE)</f>
        <v>3</v>
      </c>
      <c r="P16" s="264">
        <f>VLOOKUP(C16,'PONDERACION EXP.'!$C$44:$L$133,7,FALSE)</f>
        <v>449.83566666666661</v>
      </c>
      <c r="Q16" s="265">
        <f ca="1">VLOOKUP(C16,'PONDERACION EXP.'!$C$44:$K$133,9,FALSE)</f>
        <v>35.30381130791524</v>
      </c>
      <c r="R16" s="237" t="str">
        <f>VLOOKUP(C16,'EQUIPO DE TRABAJO'!$C$19:$F$108,4,FALSE)</f>
        <v>CUMPLE</v>
      </c>
      <c r="S16" s="238">
        <f>VLOOKUP(C16,'APOYO A IND. NAL.'!$C$19:$E$108,3,FALSE)</f>
        <v>20</v>
      </c>
      <c r="T16" s="237">
        <f>VLOOKUP(C16,'VIN.PERS.DISC.'!$C$19:$G$108,5,FALSE)</f>
        <v>1</v>
      </c>
      <c r="U16" s="238">
        <f>VLOOKUP(C16,RNOCI!$C$19:$F$108,4,FALSE)</f>
        <v>0</v>
      </c>
      <c r="V16" s="238">
        <f>VLOOKUP(C16,RESUMENGEN!$C$21:$M$110,10,FALSE)</f>
        <v>0</v>
      </c>
      <c r="W16" s="266">
        <f ca="1">VLOOKUP(C16,RESUMENGEN!$C$21:$M$110,11,FALSE)</f>
        <v>0</v>
      </c>
      <c r="X16" s="233"/>
      <c r="Y16" s="266" t="e">
        <f t="shared" ca="1" si="2"/>
        <v>#VALUE!</v>
      </c>
      <c r="Z16" s="239" t="e">
        <f t="shared" ca="1" si="3"/>
        <v>#VALUE!</v>
      </c>
    </row>
    <row r="17" spans="2:26">
      <c r="B17" s="234">
        <f t="shared" si="0"/>
        <v>13</v>
      </c>
      <c r="C17" s="234">
        <f>IF(VLOOKUP(B17,PROPONENTES!$B$19:$E$109,2,0)="","",VLOOKUP(B17,PROPONENTES!$B$19:$E$109,2,0))</f>
        <v>13</v>
      </c>
      <c r="D17" s="234" t="str">
        <f>VLOOKUP(C17,RESUMENGEN!$C$21:$E$110,2,FALSE)</f>
        <v>NICOLAS REDONDO MOLINA</v>
      </c>
      <c r="E17" s="235" t="str">
        <f>VLOOKUP(C17,'HAB.GEN.'!$C$19:$L$108,3,FALSE)</f>
        <v>HÁBIL</v>
      </c>
      <c r="F17" s="235" t="str">
        <f>VLOOKUP(C17,'HAB.GEN.'!$C$19:$L$108,4,FALSE)</f>
        <v>HÁBIL</v>
      </c>
      <c r="G17" s="235" t="str">
        <f>VLOOKUP(C17,'HAB.GEN.'!$C$19:$L$108,5,FALSE)</f>
        <v>HÁBIL</v>
      </c>
      <c r="H17" s="235" t="str">
        <f>VLOOKUP(C17,'HAB.GEN.'!$C$19:$L$108,6,FALSE)</f>
        <v>HÁBIL</v>
      </c>
      <c r="I17" s="235" t="str">
        <f>VLOOKUP(C17,RNOCI!$C$19:$F$108,3,FALSE)</f>
        <v>NO</v>
      </c>
      <c r="J17" s="235" t="str">
        <f>VLOOKUP(C17,'MULTAS Y SANCIONES'!$C$19:$E$108,3,FALSE)</f>
        <v>NO</v>
      </c>
      <c r="K17" s="235" t="str">
        <f>VLOOKUP(C17,'HAB.GEN.'!$C$19:$L$108,7,FALSE)</f>
        <v>HÁBIL</v>
      </c>
      <c r="L17" s="235" t="str">
        <f ca="1">VLOOKUP(C17,'HAB.GEN.'!$C$19:$L$108,8,FALSE)</f>
        <v>HÁBIL</v>
      </c>
      <c r="M17" s="235" t="str">
        <f>VLOOKUP(C17,'HAB.GEN.'!$C$19:$L$108,9,FALSE)</f>
        <v>HÁBIL</v>
      </c>
      <c r="N17" s="235" t="str">
        <f t="shared" ca="1" si="1"/>
        <v>HÁBIL</v>
      </c>
      <c r="O17" s="236">
        <f>VLOOKUP(C17,'PONDERACION EXP.'!$C$44:$L$133,5,FALSE)</f>
        <v>1</v>
      </c>
      <c r="P17" s="264">
        <f>VLOOKUP(C17,'PONDERACION EXP.'!$C$44:$L$133,7,FALSE)</f>
        <v>432.20100000000002</v>
      </c>
      <c r="Q17" s="265">
        <f ca="1">VLOOKUP(C17,'PONDERACION EXP.'!$C$44:$K$133,9,FALSE)</f>
        <v>33.919814905203772</v>
      </c>
      <c r="R17" s="237" t="str">
        <f>VLOOKUP(C17,'EQUIPO DE TRABAJO'!$C$19:$F$108,4,FALSE)</f>
        <v>CUMPLE</v>
      </c>
      <c r="S17" s="238">
        <f>VLOOKUP(C17,'APOYO A IND. NAL.'!$C$19:$E$108,3,FALSE)</f>
        <v>20</v>
      </c>
      <c r="T17" s="237">
        <f>VLOOKUP(C17,'VIN.PERS.DISC.'!$C$19:$G$108,5,FALSE)</f>
        <v>1</v>
      </c>
      <c r="U17" s="238">
        <f>VLOOKUP(C17,RNOCI!$C$19:$F$108,4,FALSE)</f>
        <v>0</v>
      </c>
      <c r="V17" s="238">
        <f>VLOOKUP(C17,RESUMENGEN!$C$21:$M$110,10,FALSE)</f>
        <v>0</v>
      </c>
      <c r="W17" s="266">
        <f ca="1">VLOOKUP(C17,RESUMENGEN!$C$21:$M$110,11,FALSE)</f>
        <v>64.919814905203765</v>
      </c>
      <c r="X17" s="233"/>
      <c r="Y17" s="266" t="e">
        <f t="shared" ca="1" si="2"/>
        <v>#VALUE!</v>
      </c>
      <c r="Z17" s="239" t="e">
        <f t="shared" ca="1" si="3"/>
        <v>#VALUE!</v>
      </c>
    </row>
    <row r="18" spans="2:26">
      <c r="B18" s="234">
        <f t="shared" si="0"/>
        <v>14</v>
      </c>
      <c r="C18" s="234">
        <f>IF(VLOOKUP(B18,PROPONENTES!$B$19:$E$109,2,0)="","",VLOOKUP(B18,PROPONENTES!$B$19:$E$109,2,0))</f>
        <v>14</v>
      </c>
      <c r="D18" s="234" t="str">
        <f>VLOOKUP(C18,RESUMENGEN!$C$21:$E$110,2,FALSE)</f>
        <v>CONSORCIO INTER CB 2022</v>
      </c>
      <c r="E18" s="235" t="str">
        <f>VLOOKUP(C18,'HAB.GEN.'!$C$19:$L$108,3,FALSE)</f>
        <v>RECHAZO</v>
      </c>
      <c r="F18" s="235" t="str">
        <f>VLOOKUP(C18,'HAB.GEN.'!$C$19:$L$108,4,FALSE)</f>
        <v>HÁBIL</v>
      </c>
      <c r="G18" s="235" t="str">
        <f>VLOOKUP(C18,'HAB.GEN.'!$C$19:$L$108,5,FALSE)</f>
        <v>HÁBIL</v>
      </c>
      <c r="H18" s="235" t="str">
        <f>VLOOKUP(C18,'HAB.GEN.'!$C$19:$L$108,6,FALSE)</f>
        <v>HÁBIL</v>
      </c>
      <c r="I18" s="235" t="str">
        <f>VLOOKUP(C18,RNOCI!$C$19:$F$108,3,FALSE)</f>
        <v>NO</v>
      </c>
      <c r="J18" s="235" t="str">
        <f>VLOOKUP(C18,'MULTAS Y SANCIONES'!$C$19:$E$108,3,FALSE)</f>
        <v>NO</v>
      </c>
      <c r="K18" s="235" t="str">
        <f>VLOOKUP(C18,'HAB.GEN.'!$C$19:$L$108,7,FALSE)</f>
        <v>HÁBIL</v>
      </c>
      <c r="L18" s="235" t="str">
        <f ca="1">VLOOKUP(C18,'HAB.GEN.'!$C$19:$L$108,8,FALSE)</f>
        <v>HÁBIL</v>
      </c>
      <c r="M18" s="235" t="str">
        <f ca="1">VLOOKUP(C18,'HAB.GEN.'!$C$19:$L$108,9,FALSE)</f>
        <v>HÁBIL</v>
      </c>
      <c r="N18" s="235" t="str">
        <f t="shared" ca="1" si="1"/>
        <v>RECHAZO</v>
      </c>
      <c r="O18" s="236">
        <f>VLOOKUP(C18,'PONDERACION EXP.'!$C$44:$L$133,5,FALSE)</f>
        <v>3</v>
      </c>
      <c r="P18" s="264">
        <f ca="1">VLOOKUP(C18,'PONDERACION EXP.'!$C$44:$L$133,7,FALSE)</f>
        <v>506.03833333333336</v>
      </c>
      <c r="Q18" s="265">
        <f ca="1">VLOOKUP(C18,'PONDERACION EXP.'!$C$44:$K$133,9,FALSE)</f>
        <v>39.714685069225837</v>
      </c>
      <c r="R18" s="237" t="str">
        <f>VLOOKUP(C18,'EQUIPO DE TRABAJO'!$C$19:$F$108,4,FALSE)</f>
        <v>CUMPLE</v>
      </c>
      <c r="S18" s="238">
        <f>VLOOKUP(C18,'APOYO A IND. NAL.'!$C$19:$E$108,3,FALSE)</f>
        <v>20</v>
      </c>
      <c r="T18" s="237">
        <f ca="1">VLOOKUP(C18,'VIN.PERS.DISC.'!$C$19:$G$108,5,FALSE)</f>
        <v>1</v>
      </c>
      <c r="U18" s="238">
        <f>VLOOKUP(C18,RNOCI!$C$19:$F$108,4,FALSE)</f>
        <v>0</v>
      </c>
      <c r="V18" s="238">
        <f>VLOOKUP(C18,RESUMENGEN!$C$21:$M$110,10,FALSE)</f>
        <v>0</v>
      </c>
      <c r="W18" s="266">
        <f ca="1">VLOOKUP(C18,RESUMENGEN!$C$21:$M$110,11,FALSE)</f>
        <v>0</v>
      </c>
      <c r="X18" s="233"/>
      <c r="Y18" s="266" t="e">
        <f t="shared" ca="1" si="2"/>
        <v>#VALUE!</v>
      </c>
      <c r="Z18" s="239" t="e">
        <f t="shared" ca="1" si="3"/>
        <v>#VALUE!</v>
      </c>
    </row>
    <row r="19" spans="2:26">
      <c r="B19" s="234">
        <f t="shared" si="0"/>
        <v>15</v>
      </c>
      <c r="C19" s="234">
        <f>IF(VLOOKUP(B19,PROPONENTES!$B$19:$E$109,2,0)="","",VLOOKUP(B19,PROPONENTES!$B$19:$E$109,2,0))</f>
        <v>15</v>
      </c>
      <c r="D19" s="234" t="str">
        <f>VLOOKUP(C19,RESUMENGEN!$C$21:$E$110,2,FALSE)</f>
        <v>EMPROCIV SAS</v>
      </c>
      <c r="E19" s="235" t="str">
        <f>VLOOKUP(C19,'HAB.GEN.'!$C$19:$L$108,3,FALSE)</f>
        <v>HÁBIL</v>
      </c>
      <c r="F19" s="235" t="str">
        <f>VLOOKUP(C19,'HAB.GEN.'!$C$19:$L$108,4,FALSE)</f>
        <v>HÁBIL</v>
      </c>
      <c r="G19" s="235" t="str">
        <f>VLOOKUP(C19,'HAB.GEN.'!$C$19:$L$108,5,FALSE)</f>
        <v>HÁBIL</v>
      </c>
      <c r="H19" s="235" t="str">
        <f>VLOOKUP(C19,'HAB.GEN.'!$C$19:$L$108,6,FALSE)</f>
        <v>HÁBIL</v>
      </c>
      <c r="I19" s="235" t="str">
        <f>VLOOKUP(C19,RNOCI!$C$19:$F$108,3,FALSE)</f>
        <v>NO</v>
      </c>
      <c r="J19" s="235" t="str">
        <f>VLOOKUP(C19,'MULTAS Y SANCIONES'!$C$19:$E$108,3,FALSE)</f>
        <v>NO</v>
      </c>
      <c r="K19" s="235" t="str">
        <f>VLOOKUP(C19,'HAB.GEN.'!$C$19:$L$108,7,FALSE)</f>
        <v>HÁBIL</v>
      </c>
      <c r="L19" s="235" t="str">
        <f ca="1">VLOOKUP(C19,'HAB.GEN.'!$C$19:$L$108,8,FALSE)</f>
        <v>HÁBIL</v>
      </c>
      <c r="M19" s="235" t="str">
        <f>VLOOKUP(C19,'HAB.GEN.'!$C$19:$L$108,9,FALSE)</f>
        <v>HÁBIL</v>
      </c>
      <c r="N19" s="235" t="str">
        <f t="shared" ca="1" si="1"/>
        <v>HÁBIL</v>
      </c>
      <c r="O19" s="236">
        <f>VLOOKUP(C19,'PONDERACION EXP.'!$C$44:$L$133,5,FALSE)</f>
        <v>2</v>
      </c>
      <c r="P19" s="264">
        <f>VLOOKUP(C19,'PONDERACION EXP.'!$C$44:$L$133,7,FALSE)</f>
        <v>570.69000000000005</v>
      </c>
      <c r="Q19" s="265">
        <f ca="1">VLOOKUP(C19,'PONDERACION EXP.'!$C$44:$K$133,9,FALSE)</f>
        <v>44.788649652015486</v>
      </c>
      <c r="R19" s="237" t="str">
        <f>VLOOKUP(C19,'EQUIPO DE TRABAJO'!$C$19:$F$108,4,FALSE)</f>
        <v>CUMPLE</v>
      </c>
      <c r="S19" s="238">
        <f>VLOOKUP(C19,'APOYO A IND. NAL.'!$C$19:$E$108,3,FALSE)</f>
        <v>20</v>
      </c>
      <c r="T19" s="237">
        <f>VLOOKUP(C19,'VIN.PERS.DISC.'!$C$19:$G$108,5,FALSE)</f>
        <v>1</v>
      </c>
      <c r="U19" s="238">
        <f>VLOOKUP(C19,RNOCI!$C$19:$F$108,4,FALSE)</f>
        <v>0</v>
      </c>
      <c r="V19" s="238">
        <f>VLOOKUP(C19,RESUMENGEN!$C$21:$M$110,10,FALSE)</f>
        <v>0</v>
      </c>
      <c r="W19" s="266">
        <f ca="1">VLOOKUP(C19,RESUMENGEN!$C$21:$M$110,11,FALSE)</f>
        <v>75.788649652015494</v>
      </c>
      <c r="X19" s="233"/>
      <c r="Y19" s="266" t="e">
        <f t="shared" ca="1" si="2"/>
        <v>#VALUE!</v>
      </c>
      <c r="Z19" s="239" t="e">
        <f t="shared" ca="1" si="3"/>
        <v>#VALUE!</v>
      </c>
    </row>
    <row r="20" spans="2:26">
      <c r="B20" s="234">
        <f t="shared" si="0"/>
        <v>16</v>
      </c>
      <c r="C20" s="234">
        <f>IF(VLOOKUP(B20,PROPONENTES!$B$19:$E$109,2,0)="","",VLOOKUP(B20,PROPONENTES!$B$19:$E$109,2,0))</f>
        <v>16</v>
      </c>
      <c r="D20" s="234" t="str">
        <f>VLOOKUP(C20,RESUMENGEN!$C$21:$E$110,2,FALSE)</f>
        <v>CONSORCIO CAMCO</v>
      </c>
      <c r="E20" s="235" t="str">
        <f>VLOOKUP(C20,'HAB.GEN.'!$C$19:$L$108,3,FALSE)</f>
        <v>HÁBIL</v>
      </c>
      <c r="F20" s="235" t="str">
        <f>VLOOKUP(C20,'HAB.GEN.'!$C$19:$L$108,4,FALSE)</f>
        <v>HÁBIL</v>
      </c>
      <c r="G20" s="235" t="str">
        <f>VLOOKUP(C20,'HAB.GEN.'!$C$19:$L$108,5,FALSE)</f>
        <v>HÁBIL</v>
      </c>
      <c r="H20" s="235" t="str">
        <f>VLOOKUP(C20,'HAB.GEN.'!$C$19:$L$108,6,FALSE)</f>
        <v>HÁBIL</v>
      </c>
      <c r="I20" s="235" t="str">
        <f>VLOOKUP(C20,RNOCI!$C$19:$F$108,3,FALSE)</f>
        <v>NO</v>
      </c>
      <c r="J20" s="235" t="str">
        <f>VLOOKUP(C20,'MULTAS Y SANCIONES'!$C$19:$E$108,3,FALSE)</f>
        <v>NO</v>
      </c>
      <c r="K20" s="235" t="str">
        <f>VLOOKUP(C20,'HAB.GEN.'!$C$19:$L$108,7,FALSE)</f>
        <v>HÁBIL</v>
      </c>
      <c r="L20" s="235" t="str">
        <f ca="1">VLOOKUP(C20,'HAB.GEN.'!$C$19:$L$108,8,FALSE)</f>
        <v>HÁBIL</v>
      </c>
      <c r="M20" s="235" t="str">
        <f ca="1">VLOOKUP(C20,'HAB.GEN.'!$C$19:$L$108,9,FALSE)</f>
        <v>HÁBIL</v>
      </c>
      <c r="N20" s="235" t="str">
        <f t="shared" ca="1" si="1"/>
        <v>HÁBIL</v>
      </c>
      <c r="O20" s="236">
        <f>VLOOKUP(C20,'PONDERACION EXP.'!$C$44:$L$133,5,FALSE)</f>
        <v>4</v>
      </c>
      <c r="P20" s="264">
        <f ca="1">VLOOKUP(C20,'PONDERACION EXP.'!$C$44:$L$133,7,FALSE)</f>
        <v>487.52764999999999</v>
      </c>
      <c r="Q20" s="265">
        <f ca="1">VLOOKUP(C20,'PONDERACION EXP.'!$C$44:$K$133,9,FALSE)</f>
        <v>38.261937499378689</v>
      </c>
      <c r="R20" s="237" t="str">
        <f>VLOOKUP(C20,'EQUIPO DE TRABAJO'!$C$19:$F$108,4,FALSE)</f>
        <v>CUMPLE</v>
      </c>
      <c r="S20" s="238">
        <f>VLOOKUP(C20,'APOYO A IND. NAL.'!$C$19:$E$108,3,FALSE)</f>
        <v>20</v>
      </c>
      <c r="T20" s="237">
        <f ca="1">VLOOKUP(C20,'VIN.PERS.DISC.'!$C$19:$G$108,5,FALSE)</f>
        <v>1</v>
      </c>
      <c r="U20" s="238">
        <f>VLOOKUP(C20,RNOCI!$C$19:$F$108,4,FALSE)</f>
        <v>0</v>
      </c>
      <c r="V20" s="238">
        <f>VLOOKUP(C20,RESUMENGEN!$C$21:$M$110,10,FALSE)</f>
        <v>0</v>
      </c>
      <c r="W20" s="266">
        <f ca="1">VLOOKUP(C20,RESUMENGEN!$C$21:$M$110,11,FALSE)</f>
        <v>69.261937499378689</v>
      </c>
      <c r="X20" s="233"/>
      <c r="Y20" s="266" t="e">
        <f t="shared" ca="1" si="2"/>
        <v>#VALUE!</v>
      </c>
      <c r="Z20" s="239" t="e">
        <f t="shared" ca="1" si="3"/>
        <v>#VALUE!</v>
      </c>
    </row>
    <row r="21" spans="2:26">
      <c r="B21" s="234">
        <f t="shared" si="0"/>
        <v>17</v>
      </c>
      <c r="C21" s="234">
        <f>IF(VLOOKUP(B21,PROPONENTES!$B$19:$E$109,2,0)="","",VLOOKUP(B21,PROPONENTES!$B$19:$E$109,2,0))</f>
        <v>17</v>
      </c>
      <c r="D21" s="234" t="str">
        <f>VLOOKUP(C21,RESUMENGEN!$C$21:$E$110,2,FALSE)</f>
        <v>ARCA AQUITECTURA E INGENIERÍA S.A</v>
      </c>
      <c r="E21" s="235" t="str">
        <f>VLOOKUP(C21,'HAB.GEN.'!$C$19:$L$108,3,FALSE)</f>
        <v>HÁBIL</v>
      </c>
      <c r="F21" s="235" t="str">
        <f>VLOOKUP(C21,'HAB.GEN.'!$C$19:$L$108,4,FALSE)</f>
        <v>HÁBIL</v>
      </c>
      <c r="G21" s="235" t="str">
        <f>VLOOKUP(C21,'HAB.GEN.'!$C$19:$L$108,5,FALSE)</f>
        <v>HÁBIL</v>
      </c>
      <c r="H21" s="235" t="str">
        <f>VLOOKUP(C21,'HAB.GEN.'!$C$19:$L$108,6,FALSE)</f>
        <v>HÁBIL</v>
      </c>
      <c r="I21" s="235" t="str">
        <f>VLOOKUP(C21,RNOCI!$C$19:$F$108,3,FALSE)</f>
        <v>NO</v>
      </c>
      <c r="J21" s="235" t="str">
        <f>VLOOKUP(C21,'MULTAS Y SANCIONES'!$C$19:$E$108,3,FALSE)</f>
        <v>NO</v>
      </c>
      <c r="K21" s="235" t="str">
        <f>VLOOKUP(C21,'HAB.GEN.'!$C$19:$L$108,7,FALSE)</f>
        <v>HÁBIL</v>
      </c>
      <c r="L21" s="235" t="str">
        <f ca="1">VLOOKUP(C21,'HAB.GEN.'!$C$19:$L$108,8,FALSE)</f>
        <v>HÁBIL</v>
      </c>
      <c r="M21" s="235" t="str">
        <f>VLOOKUP(C21,'HAB.GEN.'!$C$19:$L$108,9,FALSE)</f>
        <v>HÁBIL</v>
      </c>
      <c r="N21" s="235" t="str">
        <f t="shared" ca="1" si="1"/>
        <v>HÁBIL</v>
      </c>
      <c r="O21" s="236">
        <f>VLOOKUP(C21,'PONDERACION EXP.'!$C$44:$L$133,5,FALSE)</f>
        <v>2</v>
      </c>
      <c r="P21" s="264">
        <f>VLOOKUP(C21,'PONDERACION EXP.'!$C$44:$L$133,7,FALSE)</f>
        <v>481.59399999999999</v>
      </c>
      <c r="Q21" s="265">
        <f ca="1">VLOOKUP(C21,'PONDERACION EXP.'!$C$44:$K$133,9,FALSE)</f>
        <v>37.796255305880145</v>
      </c>
      <c r="R21" s="237" t="str">
        <f>VLOOKUP(C21,'EQUIPO DE TRABAJO'!$C$19:$F$108,4,FALSE)</f>
        <v>CUMPLE</v>
      </c>
      <c r="S21" s="238">
        <f>VLOOKUP(C21,'APOYO A IND. NAL.'!$C$19:$E$108,3,FALSE)</f>
        <v>20</v>
      </c>
      <c r="T21" s="237">
        <f>VLOOKUP(C21,'VIN.PERS.DISC.'!$C$19:$G$108,5,FALSE)</f>
        <v>1</v>
      </c>
      <c r="U21" s="238">
        <f>VLOOKUP(C21,RNOCI!$C$19:$F$108,4,FALSE)</f>
        <v>0</v>
      </c>
      <c r="V21" s="238">
        <f>VLOOKUP(C21,RESUMENGEN!$C$21:$M$110,10,FALSE)</f>
        <v>0</v>
      </c>
      <c r="W21" s="266">
        <f ca="1">VLOOKUP(C21,RESUMENGEN!$C$21:$M$110,11,FALSE)</f>
        <v>68.796255305880152</v>
      </c>
      <c r="X21" s="233"/>
      <c r="Y21" s="266" t="e">
        <f t="shared" ca="1" si="2"/>
        <v>#VALUE!</v>
      </c>
      <c r="Z21" s="239" t="e">
        <f t="shared" ca="1" si="3"/>
        <v>#VALUE!</v>
      </c>
    </row>
    <row r="22" spans="2:26">
      <c r="B22" s="234">
        <f t="shared" si="0"/>
        <v>18</v>
      </c>
      <c r="C22" s="234">
        <f>IF(VLOOKUP(B22,PROPONENTES!$B$19:$E$109,2,0)="","",VLOOKUP(B22,PROPONENTES!$B$19:$E$109,2,0))</f>
        <v>18</v>
      </c>
      <c r="D22" s="234" t="str">
        <f>VLOOKUP(C22,RESUMENGEN!$C$21:$E$110,2,FALSE)</f>
        <v>ALPHA INGENIERIA INTEGRAL SAS</v>
      </c>
      <c r="E22" s="235" t="str">
        <f>VLOOKUP(C22,'HAB.GEN.'!$C$19:$L$108,3,FALSE)</f>
        <v>HÁBIL</v>
      </c>
      <c r="F22" s="235" t="str">
        <f>VLOOKUP(C22,'HAB.GEN.'!$C$19:$L$108,4,FALSE)</f>
        <v>HÁBIL</v>
      </c>
      <c r="G22" s="235" t="str">
        <f>VLOOKUP(C22,'HAB.GEN.'!$C$19:$L$108,5,FALSE)</f>
        <v>HÁBIL</v>
      </c>
      <c r="H22" s="235" t="str">
        <f>VLOOKUP(C22,'HAB.GEN.'!$C$19:$L$108,6,FALSE)</f>
        <v>HÁBIL</v>
      </c>
      <c r="I22" s="235" t="str">
        <f>VLOOKUP(C22,RNOCI!$C$19:$F$108,3,FALSE)</f>
        <v>NO</v>
      </c>
      <c r="J22" s="235" t="str">
        <f>VLOOKUP(C22,'MULTAS Y SANCIONES'!$C$19:$E$108,3,FALSE)</f>
        <v>NO</v>
      </c>
      <c r="K22" s="235" t="str">
        <f>VLOOKUP(C22,'HAB.GEN.'!$C$19:$L$108,7,FALSE)</f>
        <v>HÁBIL</v>
      </c>
      <c r="L22" s="235" t="str">
        <f ca="1">VLOOKUP(C22,'HAB.GEN.'!$C$19:$L$108,8,FALSE)</f>
        <v>HÁBIL</v>
      </c>
      <c r="M22" s="235" t="str">
        <f>VLOOKUP(C22,'HAB.GEN.'!$C$19:$L$108,9,FALSE)</f>
        <v>HÁBIL</v>
      </c>
      <c r="N22" s="235" t="str">
        <f t="shared" ca="1" si="1"/>
        <v>HÁBIL</v>
      </c>
      <c r="O22" s="236">
        <f>VLOOKUP(C22,'PONDERACION EXP.'!$C$44:$L$133,5,FALSE)</f>
        <v>1</v>
      </c>
      <c r="P22" s="264">
        <f>VLOOKUP(C22,'PONDERACION EXP.'!$C$44:$L$133,7,FALSE)</f>
        <v>482.98</v>
      </c>
      <c r="Q22" s="265">
        <f ca="1">VLOOKUP(C22,'PONDERACION EXP.'!$C$44:$K$133,9,FALSE)</f>
        <v>37.905030767895774</v>
      </c>
      <c r="R22" s="237" t="str">
        <f>VLOOKUP(C22,'EQUIPO DE TRABAJO'!$C$19:$F$108,4,FALSE)</f>
        <v>CUMPLE</v>
      </c>
      <c r="S22" s="238">
        <f>VLOOKUP(C22,'APOYO A IND. NAL.'!$C$19:$E$108,3,FALSE)</f>
        <v>20</v>
      </c>
      <c r="T22" s="237">
        <f>VLOOKUP(C22,'VIN.PERS.DISC.'!$C$19:$G$108,5,FALSE)</f>
        <v>1</v>
      </c>
      <c r="U22" s="238">
        <f>VLOOKUP(C22,RNOCI!$C$19:$F$108,4,FALSE)</f>
        <v>0</v>
      </c>
      <c r="V22" s="238">
        <f>VLOOKUP(C22,RESUMENGEN!$C$21:$M$110,10,FALSE)</f>
        <v>0</v>
      </c>
      <c r="W22" s="266">
        <f ca="1">VLOOKUP(C22,RESUMENGEN!$C$21:$M$110,11,FALSE)</f>
        <v>68.905030767895767</v>
      </c>
      <c r="X22" s="233"/>
      <c r="Y22" s="266" t="e">
        <f t="shared" ca="1" si="2"/>
        <v>#VALUE!</v>
      </c>
      <c r="Z22" s="239" t="e">
        <f t="shared" ca="1" si="3"/>
        <v>#VALUE!</v>
      </c>
    </row>
    <row r="23" spans="2:26" ht="25.5">
      <c r="B23" s="234">
        <f t="shared" si="0"/>
        <v>19</v>
      </c>
      <c r="C23" s="234">
        <f>IF(VLOOKUP(B23,PROPONENTES!$B$19:$E$109,2,0)="","",VLOOKUP(B23,PROPONENTES!$B$19:$E$109,2,0))</f>
        <v>19</v>
      </c>
      <c r="D23" s="234" t="str">
        <f>VLOOKUP(C23,RESUMENGEN!$C$21:$E$110,2,FALSE)</f>
        <v>ELSA MARIA RUEDA LANDINEZ INGENIERIA SAS</v>
      </c>
      <c r="E23" s="235" t="str">
        <f>VLOOKUP(C23,'HAB.GEN.'!$C$19:$L$108,3,FALSE)</f>
        <v>HÁBIL</v>
      </c>
      <c r="F23" s="235" t="str">
        <f>VLOOKUP(C23,'HAB.GEN.'!$C$19:$L$108,4,FALSE)</f>
        <v>HÁBIL</v>
      </c>
      <c r="G23" s="235" t="str">
        <f>VLOOKUP(C23,'HAB.GEN.'!$C$19:$L$108,5,FALSE)</f>
        <v>HÁBIL</v>
      </c>
      <c r="H23" s="235" t="str">
        <f>VLOOKUP(C23,'HAB.GEN.'!$C$19:$L$108,6,FALSE)</f>
        <v>HÁBIL</v>
      </c>
      <c r="I23" s="235" t="str">
        <f>VLOOKUP(C23,RNOCI!$C$19:$F$108,3,FALSE)</f>
        <v>NO</v>
      </c>
      <c r="J23" s="235" t="str">
        <f>VLOOKUP(C23,'MULTAS Y SANCIONES'!$C$19:$E$108,3,FALSE)</f>
        <v>NO</v>
      </c>
      <c r="K23" s="235" t="str">
        <f>VLOOKUP(C23,'HAB.GEN.'!$C$19:$L$108,7,FALSE)</f>
        <v>HÁBIL</v>
      </c>
      <c r="L23" s="235" t="str">
        <f ca="1">VLOOKUP(C23,'HAB.GEN.'!$C$19:$L$108,8,FALSE)</f>
        <v>HÁBIL</v>
      </c>
      <c r="M23" s="235" t="str">
        <f>VLOOKUP(C23,'HAB.GEN.'!$C$19:$L$108,9,FALSE)</f>
        <v>HÁBIL</v>
      </c>
      <c r="N23" s="235" t="str">
        <f t="shared" ca="1" si="1"/>
        <v>HÁBIL</v>
      </c>
      <c r="O23" s="236">
        <f>VLOOKUP(C23,'PONDERACION EXP.'!$C$44:$L$133,5,FALSE)</f>
        <v>3</v>
      </c>
      <c r="P23" s="264">
        <f>VLOOKUP(C23,'PONDERACION EXP.'!$C$44:$L$133,7,FALSE)</f>
        <v>492.70333333333338</v>
      </c>
      <c r="Q23" s="265">
        <f ca="1">VLOOKUP(C23,'PONDERACION EXP.'!$C$44:$K$133,9,FALSE)</f>
        <v>38.668133275590719</v>
      </c>
      <c r="R23" s="237" t="str">
        <f>VLOOKUP(C23,'EQUIPO DE TRABAJO'!$C$19:$F$108,4,FALSE)</f>
        <v>CUMPLE</v>
      </c>
      <c r="S23" s="238">
        <f>VLOOKUP(C23,'APOYO A IND. NAL.'!$C$19:$E$108,3,FALSE)</f>
        <v>20</v>
      </c>
      <c r="T23" s="237">
        <f>VLOOKUP(C23,'VIN.PERS.DISC.'!$C$19:$G$108,5,FALSE)</f>
        <v>1</v>
      </c>
      <c r="U23" s="238">
        <f>VLOOKUP(C23,RNOCI!$C$19:$F$108,4,FALSE)</f>
        <v>0</v>
      </c>
      <c r="V23" s="238">
        <f>VLOOKUP(C23,RESUMENGEN!$C$21:$M$110,10,FALSE)</f>
        <v>0</v>
      </c>
      <c r="W23" s="266">
        <f ca="1">VLOOKUP(C23,RESUMENGEN!$C$21:$M$110,11,FALSE)</f>
        <v>69.668133275590719</v>
      </c>
      <c r="X23" s="233"/>
      <c r="Y23" s="266" t="e">
        <f t="shared" ca="1" si="2"/>
        <v>#VALUE!</v>
      </c>
      <c r="Z23" s="239" t="e">
        <f t="shared" ca="1" si="3"/>
        <v>#VALUE!</v>
      </c>
    </row>
    <row r="24" spans="2:26">
      <c r="B24" s="234">
        <f t="shared" si="0"/>
        <v>20</v>
      </c>
      <c r="C24" s="234">
        <f>IF(VLOOKUP(B24,PROPONENTES!$B$19:$E$109,2,0)="","",VLOOKUP(B24,PROPONENTES!$B$19:$E$109,2,0))</f>
        <v>20</v>
      </c>
      <c r="D24" s="234" t="str">
        <f>VLOOKUP(C24,RESUMENGEN!$C$21:$E$110,2,FALSE)</f>
        <v>PROES INGENIERÍA S.A.S</v>
      </c>
      <c r="E24" s="235" t="str">
        <f>VLOOKUP(C24,'HAB.GEN.'!$C$19:$L$108,3,FALSE)</f>
        <v>HÁBIL</v>
      </c>
      <c r="F24" s="235" t="str">
        <f>VLOOKUP(C24,'HAB.GEN.'!$C$19:$L$108,4,FALSE)</f>
        <v>HÁBIL</v>
      </c>
      <c r="G24" s="235" t="str">
        <f>VLOOKUP(C24,'HAB.GEN.'!$C$19:$L$108,5,FALSE)</f>
        <v>HÁBIL</v>
      </c>
      <c r="H24" s="235" t="str">
        <f>VLOOKUP(C24,'HAB.GEN.'!$C$19:$L$108,6,FALSE)</f>
        <v>HÁBIL</v>
      </c>
      <c r="I24" s="235" t="str">
        <f>VLOOKUP(C24,RNOCI!$C$19:$F$108,3,FALSE)</f>
        <v>NO</v>
      </c>
      <c r="J24" s="235" t="str">
        <f>VLOOKUP(C24,'MULTAS Y SANCIONES'!$C$19:$E$108,3,FALSE)</f>
        <v>NO</v>
      </c>
      <c r="K24" s="235" t="str">
        <f>VLOOKUP(C24,'HAB.GEN.'!$C$19:$L$108,7,FALSE)</f>
        <v>HÁBIL</v>
      </c>
      <c r="L24" s="235" t="str">
        <f ca="1">VLOOKUP(C24,'HAB.GEN.'!$C$19:$L$108,8,FALSE)</f>
        <v>HÁBIL</v>
      </c>
      <c r="M24" s="235" t="str">
        <f>VLOOKUP(C24,'HAB.GEN.'!$C$19:$L$108,9,FALSE)</f>
        <v>HÁBIL</v>
      </c>
      <c r="N24" s="235" t="str">
        <f t="shared" ca="1" si="1"/>
        <v>HÁBIL</v>
      </c>
      <c r="O24" s="236">
        <f>VLOOKUP(C24,'PONDERACION EXP.'!$C$44:$L$133,5,FALSE)</f>
        <v>3</v>
      </c>
      <c r="P24" s="264">
        <f>VLOOKUP(C24,'PONDERACION EXP.'!$C$44:$L$133,7,FALSE)</f>
        <v>679.53470000000004</v>
      </c>
      <c r="Q24" s="265">
        <f ca="1">VLOOKUP(C24,'PONDERACION EXP.'!$C$44:$K$133,9,FALSE)</f>
        <v>53.330953065039594</v>
      </c>
      <c r="R24" s="237" t="str">
        <f>VLOOKUP(C24,'EQUIPO DE TRABAJO'!$C$19:$F$108,4,FALSE)</f>
        <v>CUMPLE</v>
      </c>
      <c r="S24" s="238">
        <f>VLOOKUP(C24,'APOYO A IND. NAL.'!$C$19:$E$108,3,FALSE)</f>
        <v>20</v>
      </c>
      <c r="T24" s="237">
        <f>VLOOKUP(C24,'VIN.PERS.DISC.'!$C$19:$G$108,5,FALSE)</f>
        <v>1</v>
      </c>
      <c r="U24" s="238">
        <f>VLOOKUP(C24,RNOCI!$C$19:$F$108,4,FALSE)</f>
        <v>0</v>
      </c>
      <c r="V24" s="238">
        <f>VLOOKUP(C24,RESUMENGEN!$C$21:$M$110,10,FALSE)</f>
        <v>0</v>
      </c>
      <c r="W24" s="266">
        <f ca="1">VLOOKUP(C24,RESUMENGEN!$C$21:$M$110,11,FALSE)</f>
        <v>84.330953065039594</v>
      </c>
      <c r="X24" s="233"/>
      <c r="Y24" s="266" t="e">
        <f t="shared" ca="1" si="2"/>
        <v>#VALUE!</v>
      </c>
      <c r="Z24" s="239" t="e">
        <f t="shared" ca="1" si="3"/>
        <v>#VALUE!</v>
      </c>
    </row>
    <row r="25" spans="2:26" ht="25.5">
      <c r="B25" s="234">
        <f t="shared" si="0"/>
        <v>21</v>
      </c>
      <c r="C25" s="234">
        <f>IF(VLOOKUP(B25,PROPONENTES!$B$19:$E$109,2,0)="","",VLOOKUP(B25,PROPONENTES!$B$19:$E$109,2,0))</f>
        <v>21</v>
      </c>
      <c r="D25" s="234" t="str">
        <f>VLOOKUP(C25,RESUMENGEN!$C$21:$E$110,2,FALSE)</f>
        <v>INGENIEROS CONSULTORES Y CONSTRUCTORES ARG SAS</v>
      </c>
      <c r="E25" s="235" t="str">
        <f>VLOOKUP(C25,'HAB.GEN.'!$C$19:$L$108,3,FALSE)</f>
        <v>HÁBIL</v>
      </c>
      <c r="F25" s="235" t="str">
        <f>VLOOKUP(C25,'HAB.GEN.'!$C$19:$L$108,4,FALSE)</f>
        <v>HÁBIL</v>
      </c>
      <c r="G25" s="235" t="str">
        <f>VLOOKUP(C25,'HAB.GEN.'!$C$19:$L$108,5,FALSE)</f>
        <v>HÁBIL</v>
      </c>
      <c r="H25" s="235" t="str">
        <f>VLOOKUP(C25,'HAB.GEN.'!$C$19:$L$108,6,FALSE)</f>
        <v>HÁBIL</v>
      </c>
      <c r="I25" s="235" t="str">
        <f>VLOOKUP(C25,RNOCI!$C$19:$F$108,3,FALSE)</f>
        <v>NO</v>
      </c>
      <c r="J25" s="235" t="str">
        <f>VLOOKUP(C25,'MULTAS Y SANCIONES'!$C$19:$E$108,3,FALSE)</f>
        <v>NO</v>
      </c>
      <c r="K25" s="235" t="str">
        <f>VLOOKUP(C25,'HAB.GEN.'!$C$19:$L$108,7,FALSE)</f>
        <v>HÁBIL</v>
      </c>
      <c r="L25" s="235" t="str">
        <f ca="1">VLOOKUP(C25,'HAB.GEN.'!$C$19:$L$108,8,FALSE)</f>
        <v>HÁBIL</v>
      </c>
      <c r="M25" s="235" t="str">
        <f>VLOOKUP(C25,'HAB.GEN.'!$C$19:$L$108,9,FALSE)</f>
        <v>HÁBIL</v>
      </c>
      <c r="N25" s="235" t="str">
        <f t="shared" ca="1" si="1"/>
        <v>HÁBIL</v>
      </c>
      <c r="O25" s="236">
        <f>VLOOKUP(C25,'PONDERACION EXP.'!$C$44:$L$133,5,FALSE)</f>
        <v>3</v>
      </c>
      <c r="P25" s="264">
        <f>VLOOKUP(C25,'PONDERACION EXP.'!$C$44:$L$133,7,FALSE)</f>
        <v>1049.5973000000001</v>
      </c>
      <c r="Q25" s="265">
        <f ca="1">VLOOKUP(C25,'PONDERACION EXP.'!$C$44:$K$133,9,FALSE)</f>
        <v>42.251902975691209</v>
      </c>
      <c r="R25" s="237" t="str">
        <f>VLOOKUP(C25,'EQUIPO DE TRABAJO'!$C$19:$F$108,4,FALSE)</f>
        <v>CUMPLE</v>
      </c>
      <c r="S25" s="238">
        <f>VLOOKUP(C25,'APOYO A IND. NAL.'!$C$19:$E$108,3,FALSE)</f>
        <v>20</v>
      </c>
      <c r="T25" s="237">
        <f>VLOOKUP(C25,'VIN.PERS.DISC.'!$C$19:$G$108,5,FALSE)</f>
        <v>1</v>
      </c>
      <c r="U25" s="238">
        <f>VLOOKUP(C25,RNOCI!$C$19:$F$108,4,FALSE)</f>
        <v>0</v>
      </c>
      <c r="V25" s="238">
        <f>VLOOKUP(C25,RESUMENGEN!$C$21:$M$110,10,FALSE)</f>
        <v>0</v>
      </c>
      <c r="W25" s="266">
        <f ca="1">VLOOKUP(C25,RESUMENGEN!$C$21:$M$110,11,FALSE)</f>
        <v>73.251902975691209</v>
      </c>
      <c r="X25" s="233"/>
      <c r="Y25" s="266" t="e">
        <f t="shared" ca="1" si="2"/>
        <v>#VALUE!</v>
      </c>
      <c r="Z25" s="239" t="e">
        <f t="shared" ca="1" si="3"/>
        <v>#VALUE!</v>
      </c>
    </row>
    <row r="26" spans="2:26">
      <c r="B26" s="234">
        <f t="shared" si="0"/>
        <v>22</v>
      </c>
      <c r="C26" s="234">
        <f>IF(VLOOKUP(B26,PROPONENTES!$B$19:$E$109,2,0)="","",VLOOKUP(B26,PROPONENTES!$B$19:$E$109,2,0))</f>
        <v>22</v>
      </c>
      <c r="D26" s="234" t="str">
        <f>VLOOKUP(C26,RESUMENGEN!$C$21:$E$110,2,FALSE)</f>
        <v>CONSORCIO GABRIELA TOLIMA</v>
      </c>
      <c r="E26" s="235" t="str">
        <f>VLOOKUP(C26,'HAB.GEN.'!$C$19:$L$108,3,FALSE)</f>
        <v>HÁBIL</v>
      </c>
      <c r="F26" s="235" t="str">
        <f>VLOOKUP(C26,'HAB.GEN.'!$C$19:$L$108,4,FALSE)</f>
        <v>HÁBIL</v>
      </c>
      <c r="G26" s="235" t="str">
        <f>VLOOKUP(C26,'HAB.GEN.'!$C$19:$L$108,5,FALSE)</f>
        <v>HÁBIL</v>
      </c>
      <c r="H26" s="235" t="str">
        <f>VLOOKUP(C26,'HAB.GEN.'!$C$19:$L$108,6,FALSE)</f>
        <v>HÁBIL</v>
      </c>
      <c r="I26" s="235" t="str">
        <f>VLOOKUP(C26,RNOCI!$C$19:$F$108,3,FALSE)</f>
        <v>NO</v>
      </c>
      <c r="J26" s="235" t="str">
        <f>VLOOKUP(C26,'MULTAS Y SANCIONES'!$C$19:$E$108,3,FALSE)</f>
        <v>NO</v>
      </c>
      <c r="K26" s="235" t="str">
        <f>VLOOKUP(C26,'HAB.GEN.'!$C$19:$L$108,7,FALSE)</f>
        <v>HÁBIL</v>
      </c>
      <c r="L26" s="235" t="str">
        <f ca="1">VLOOKUP(C26,'HAB.GEN.'!$C$19:$L$108,8,FALSE)</f>
        <v>HÁBIL</v>
      </c>
      <c r="M26" s="235" t="str">
        <f ca="1">VLOOKUP(C26,'HAB.GEN.'!$C$19:$L$108,9,FALSE)</f>
        <v>HÁBIL</v>
      </c>
      <c r="N26" s="235" t="str">
        <f t="shared" ca="1" si="1"/>
        <v>HÁBIL</v>
      </c>
      <c r="O26" s="236">
        <f>VLOOKUP(C26,'PONDERACION EXP.'!$C$44:$L$133,5,FALSE)</f>
        <v>2</v>
      </c>
      <c r="P26" s="264">
        <f ca="1">VLOOKUP(C26,'PONDERACION EXP.'!$C$44:$L$133,7,FALSE)</f>
        <v>489.83125000000001</v>
      </c>
      <c r="Q26" s="265">
        <f ca="1">VLOOKUP(C26,'PONDERACION EXP.'!$C$44:$K$133,9,FALSE)</f>
        <v>38.442727653995703</v>
      </c>
      <c r="R26" s="237" t="str">
        <f>VLOOKUP(C26,'EQUIPO DE TRABAJO'!$C$19:$F$108,4,FALSE)</f>
        <v>CUMPLE</v>
      </c>
      <c r="S26" s="238">
        <f>VLOOKUP(C26,'APOYO A IND. NAL.'!$C$19:$E$108,3,FALSE)</f>
        <v>20</v>
      </c>
      <c r="T26" s="237">
        <f ca="1">VLOOKUP(C26,'VIN.PERS.DISC.'!$C$19:$G$108,5,FALSE)</f>
        <v>1</v>
      </c>
      <c r="U26" s="238">
        <f>VLOOKUP(C26,RNOCI!$C$19:$F$108,4,FALSE)</f>
        <v>0</v>
      </c>
      <c r="V26" s="238">
        <f>VLOOKUP(C26,RESUMENGEN!$C$21:$M$110,10,FALSE)</f>
        <v>0</v>
      </c>
      <c r="W26" s="266">
        <f ca="1">VLOOKUP(C26,RESUMENGEN!$C$21:$M$110,11,FALSE)</f>
        <v>69.442727653995703</v>
      </c>
      <c r="X26" s="233"/>
      <c r="Y26" s="266" t="e">
        <f t="shared" ca="1" si="2"/>
        <v>#VALUE!</v>
      </c>
      <c r="Z26" s="239" t="e">
        <f t="shared" ca="1" si="3"/>
        <v>#VALUE!</v>
      </c>
    </row>
    <row r="27" spans="2:26">
      <c r="B27" s="234">
        <f t="shared" si="0"/>
        <v>23</v>
      </c>
      <c r="C27" s="234">
        <f>IF(VLOOKUP(B27,PROPONENTES!$B$19:$E$109,2,0)="","",VLOOKUP(B27,PROPONENTES!$B$19:$E$109,2,0))</f>
        <v>23</v>
      </c>
      <c r="D27" s="234" t="str">
        <f>VLOOKUP(C27,RESUMENGEN!$C$21:$E$110,2,FALSE)</f>
        <v>VELNEC S.A</v>
      </c>
      <c r="E27" s="235" t="str">
        <f>VLOOKUP(C27,'HAB.GEN.'!$C$19:$L$108,3,FALSE)</f>
        <v>HÁBIL</v>
      </c>
      <c r="F27" s="235" t="str">
        <f>VLOOKUP(C27,'HAB.GEN.'!$C$19:$L$108,4,FALSE)</f>
        <v>HÁBIL</v>
      </c>
      <c r="G27" s="235" t="str">
        <f>VLOOKUP(C27,'HAB.GEN.'!$C$19:$L$108,5,FALSE)</f>
        <v>HÁBIL</v>
      </c>
      <c r="H27" s="235" t="str">
        <f>VLOOKUP(C27,'HAB.GEN.'!$C$19:$L$108,6,FALSE)</f>
        <v>HÁBIL</v>
      </c>
      <c r="I27" s="235" t="str">
        <f>VLOOKUP(C27,RNOCI!$C$19:$F$108,3,FALSE)</f>
        <v>NO</v>
      </c>
      <c r="J27" s="235" t="str">
        <f>VLOOKUP(C27,'MULTAS Y SANCIONES'!$C$19:$E$108,3,FALSE)</f>
        <v>NO</v>
      </c>
      <c r="K27" s="235" t="str">
        <f>VLOOKUP(C27,'HAB.GEN.'!$C$19:$L$108,7,FALSE)</f>
        <v>HÁBIL</v>
      </c>
      <c r="L27" s="235" t="str">
        <f ca="1">VLOOKUP(C27,'HAB.GEN.'!$C$19:$L$108,8,FALSE)</f>
        <v>HÁBIL</v>
      </c>
      <c r="M27" s="235" t="str">
        <f>VLOOKUP(C27,'HAB.GEN.'!$C$19:$L$108,9,FALSE)</f>
        <v>HÁBIL</v>
      </c>
      <c r="N27" s="235" t="str">
        <f t="shared" ca="1" si="1"/>
        <v>HÁBIL</v>
      </c>
      <c r="O27" s="236">
        <f>VLOOKUP(C27,'PONDERACION EXP.'!$C$44:$L$133,5,FALSE)</f>
        <v>3</v>
      </c>
      <c r="P27" s="264">
        <f>VLOOKUP(C27,'PONDERACION EXP.'!$C$44:$L$133,7,FALSE)</f>
        <v>462.75166666666661</v>
      </c>
      <c r="Q27" s="265">
        <f ca="1">VLOOKUP(C27,'PONDERACION EXP.'!$C$44:$K$133,9,FALSE)</f>
        <v>36.317479321907832</v>
      </c>
      <c r="R27" s="237" t="str">
        <f>VLOOKUP(C27,'EQUIPO DE TRABAJO'!$C$19:$F$108,4,FALSE)</f>
        <v>CUMPLE</v>
      </c>
      <c r="S27" s="238">
        <f>VLOOKUP(C27,'APOYO A IND. NAL.'!$C$19:$E$108,3,FALSE)</f>
        <v>20</v>
      </c>
      <c r="T27" s="237">
        <f>VLOOKUP(C27,'VIN.PERS.DISC.'!$C$19:$G$108,5,FALSE)</f>
        <v>1</v>
      </c>
      <c r="U27" s="238">
        <f>VLOOKUP(C27,RNOCI!$C$19:$F$108,4,FALSE)</f>
        <v>0</v>
      </c>
      <c r="V27" s="238">
        <f>VLOOKUP(C27,RESUMENGEN!$C$21:$M$110,10,FALSE)</f>
        <v>0</v>
      </c>
      <c r="W27" s="266">
        <f ca="1">VLOOKUP(C27,RESUMENGEN!$C$21:$M$110,11,FALSE)</f>
        <v>67.317479321907825</v>
      </c>
      <c r="X27" s="233"/>
      <c r="Y27" s="266" t="e">
        <f t="shared" ca="1" si="2"/>
        <v>#VALUE!</v>
      </c>
      <c r="Z27" s="239" t="e">
        <f t="shared" ca="1" si="3"/>
        <v>#VALUE!</v>
      </c>
    </row>
    <row r="28" spans="2:26" ht="25.5">
      <c r="B28" s="234">
        <f t="shared" si="0"/>
        <v>24</v>
      </c>
      <c r="C28" s="234">
        <f>IF(VLOOKUP(B28,PROPONENTES!$B$19:$E$109,2,0)="","",VLOOKUP(B28,PROPONENTES!$B$19:$E$109,2,0))</f>
        <v>24</v>
      </c>
      <c r="D28" s="234" t="str">
        <f>VLOOKUP(C28,RESUMENGEN!$C$21:$E$110,2,FALSE)</f>
        <v>ARQUITECTOS  INGENIEROS CONSTRUCTORES S.A.S</v>
      </c>
      <c r="E28" s="235" t="str">
        <f>VLOOKUP(C28,'HAB.GEN.'!$C$19:$L$108,3,FALSE)</f>
        <v>HÁBIL</v>
      </c>
      <c r="F28" s="235" t="str">
        <f>VLOOKUP(C28,'HAB.GEN.'!$C$19:$L$108,4,FALSE)</f>
        <v>HÁBIL</v>
      </c>
      <c r="G28" s="235" t="str">
        <f>VLOOKUP(C28,'HAB.GEN.'!$C$19:$L$108,5,FALSE)</f>
        <v>HÁBIL</v>
      </c>
      <c r="H28" s="235" t="str">
        <f>VLOOKUP(C28,'HAB.GEN.'!$C$19:$L$108,6,FALSE)</f>
        <v>HÁBIL</v>
      </c>
      <c r="I28" s="235" t="str">
        <f>VLOOKUP(C28,RNOCI!$C$19:$F$108,3,FALSE)</f>
        <v>NO</v>
      </c>
      <c r="J28" s="235" t="str">
        <f>VLOOKUP(C28,'MULTAS Y SANCIONES'!$C$19:$E$108,3,FALSE)</f>
        <v>NO</v>
      </c>
      <c r="K28" s="235" t="str">
        <f>VLOOKUP(C28,'HAB.GEN.'!$C$19:$L$108,7,FALSE)</f>
        <v>HÁBIL</v>
      </c>
      <c r="L28" s="235" t="str">
        <f ca="1">VLOOKUP(C28,'HAB.GEN.'!$C$19:$L$108,8,FALSE)</f>
        <v>HÁBIL</v>
      </c>
      <c r="M28" s="235" t="str">
        <f>VLOOKUP(C28,'HAB.GEN.'!$C$19:$L$108,9,FALSE)</f>
        <v>HÁBIL</v>
      </c>
      <c r="N28" s="235" t="str">
        <f t="shared" ca="1" si="1"/>
        <v>HÁBIL</v>
      </c>
      <c r="O28" s="236">
        <f>VLOOKUP(C28,'PONDERACION EXP.'!$C$44:$L$133,5,FALSE)</f>
        <v>2</v>
      </c>
      <c r="P28" s="264">
        <f>VLOOKUP(C28,'PONDERACION EXP.'!$C$44:$L$133,7,FALSE)</f>
        <v>320.255</v>
      </c>
      <c r="Q28" s="265">
        <f ca="1">VLOOKUP(C28,'PONDERACION EXP.'!$C$44:$K$133,9,FALSE)</f>
        <v>25.134116585722921</v>
      </c>
      <c r="R28" s="237" t="str">
        <f>VLOOKUP(C28,'EQUIPO DE TRABAJO'!$C$19:$F$108,4,FALSE)</f>
        <v>CUMPLE</v>
      </c>
      <c r="S28" s="238">
        <f>VLOOKUP(C28,'APOYO A IND. NAL.'!$C$19:$E$108,3,FALSE)</f>
        <v>20</v>
      </c>
      <c r="T28" s="237">
        <f>VLOOKUP(C28,'VIN.PERS.DISC.'!$C$19:$G$108,5,FALSE)</f>
        <v>1</v>
      </c>
      <c r="U28" s="238">
        <f>VLOOKUP(C28,RNOCI!$C$19:$F$108,4,FALSE)</f>
        <v>0</v>
      </c>
      <c r="V28" s="238">
        <f>VLOOKUP(C28,RESUMENGEN!$C$21:$M$110,10,FALSE)</f>
        <v>0</v>
      </c>
      <c r="W28" s="266">
        <f ca="1">VLOOKUP(C28,RESUMENGEN!$C$21:$M$110,11,FALSE)</f>
        <v>56.134116585722921</v>
      </c>
      <c r="X28" s="233"/>
      <c r="Y28" s="266" t="e">
        <f t="shared" ca="1" si="2"/>
        <v>#VALUE!</v>
      </c>
      <c r="Z28" s="239" t="e">
        <f t="shared" ca="1" si="3"/>
        <v>#VALUE!</v>
      </c>
    </row>
    <row r="29" spans="2:26">
      <c r="B29" s="234">
        <f t="shared" si="0"/>
        <v>25</v>
      </c>
      <c r="C29" s="234">
        <f>IF(VLOOKUP(B29,PROPONENTES!$B$19:$E$109,2,0)="","",VLOOKUP(B29,PROPONENTES!$B$19:$E$109,2,0))</f>
        <v>25</v>
      </c>
      <c r="D29" s="234" t="str">
        <f>VLOOKUP(C29,RESUMENGEN!$C$21:$E$110,2,FALSE)</f>
        <v>CONSORCIO RUTA TOLIMA 1</v>
      </c>
      <c r="E29" s="235" t="str">
        <f>VLOOKUP(C29,'HAB.GEN.'!$C$19:$L$108,3,FALSE)</f>
        <v>HÁBIL</v>
      </c>
      <c r="F29" s="235" t="str">
        <f>VLOOKUP(C29,'HAB.GEN.'!$C$19:$L$108,4,FALSE)</f>
        <v>HÁBIL</v>
      </c>
      <c r="G29" s="235" t="str">
        <f>VLOOKUP(C29,'HAB.GEN.'!$C$19:$L$108,5,FALSE)</f>
        <v>HÁBIL</v>
      </c>
      <c r="H29" s="235" t="str">
        <f>VLOOKUP(C29,'HAB.GEN.'!$C$19:$L$108,6,FALSE)</f>
        <v>HÁBIL</v>
      </c>
      <c r="I29" s="235" t="str">
        <f>VLOOKUP(C29,RNOCI!$C$19:$F$108,3,FALSE)</f>
        <v>NO</v>
      </c>
      <c r="J29" s="235" t="str">
        <f>VLOOKUP(C29,'MULTAS Y SANCIONES'!$C$19:$E$108,3,FALSE)</f>
        <v>NO</v>
      </c>
      <c r="K29" s="235" t="str">
        <f>VLOOKUP(C29,'HAB.GEN.'!$C$19:$L$108,7,FALSE)</f>
        <v>HÁBIL</v>
      </c>
      <c r="L29" s="235" t="str">
        <f ca="1">VLOOKUP(C29,'HAB.GEN.'!$C$19:$L$108,8,FALSE)</f>
        <v>HÁBIL</v>
      </c>
      <c r="M29" s="235" t="str">
        <f ca="1">VLOOKUP(C29,'HAB.GEN.'!$C$19:$L$108,9,FALSE)</f>
        <v>HÁBIL</v>
      </c>
      <c r="N29" s="235" t="str">
        <f t="shared" ca="1" si="1"/>
        <v>HÁBIL</v>
      </c>
      <c r="O29" s="236">
        <f>VLOOKUP(C29,'PONDERACION EXP.'!$C$44:$L$133,5,FALSE)</f>
        <v>6</v>
      </c>
      <c r="P29" s="264">
        <f ca="1">VLOOKUP(C29,'PONDERACION EXP.'!$C$44:$L$133,7,FALSE)</f>
        <v>413.17366666666675</v>
      </c>
      <c r="Q29" s="265">
        <f ca="1">VLOOKUP(C29,'PONDERACION EXP.'!$C$44:$K$133,9,FALSE)</f>
        <v>32.426519829981189</v>
      </c>
      <c r="R29" s="237" t="str">
        <f>VLOOKUP(C29,'EQUIPO DE TRABAJO'!$C$19:$F$108,4,FALSE)</f>
        <v>CUMPLE</v>
      </c>
      <c r="S29" s="238">
        <f>VLOOKUP(C29,'APOYO A IND. NAL.'!$C$19:$E$108,3,FALSE)</f>
        <v>20</v>
      </c>
      <c r="T29" s="237">
        <f ca="1">VLOOKUP(C29,'VIN.PERS.DISC.'!$C$19:$G$108,5,FALSE)</f>
        <v>1</v>
      </c>
      <c r="U29" s="238">
        <f>VLOOKUP(C29,RNOCI!$C$19:$F$108,4,FALSE)</f>
        <v>0</v>
      </c>
      <c r="V29" s="238">
        <f>VLOOKUP(C29,RESUMENGEN!$C$21:$M$110,10,FALSE)</f>
        <v>0</v>
      </c>
      <c r="W29" s="266">
        <f ca="1">VLOOKUP(C29,RESUMENGEN!$C$21:$M$110,11,FALSE)</f>
        <v>63.426519829981189</v>
      </c>
      <c r="X29" s="233"/>
      <c r="Y29" s="266" t="e">
        <f t="shared" ca="1" si="2"/>
        <v>#VALUE!</v>
      </c>
      <c r="Z29" s="239" t="e">
        <f t="shared" ca="1" si="3"/>
        <v>#VALUE!</v>
      </c>
    </row>
    <row r="30" spans="2:26" ht="25.5">
      <c r="B30" s="234">
        <f t="shared" si="0"/>
        <v>26</v>
      </c>
      <c r="C30" s="234">
        <f>IF(VLOOKUP(B30,PROPONENTES!$B$19:$E$109,2,0)="","",VLOOKUP(B30,PROPONENTES!$B$19:$E$109,2,0))</f>
        <v>26</v>
      </c>
      <c r="D30" s="234" t="str">
        <f>VLOOKUP(C30,RESUMENGEN!$C$21:$E$110,2,FALSE)</f>
        <v>INGENIEROS CONSTRUCTORES Y ASESORES SAS</v>
      </c>
      <c r="E30" s="235" t="str">
        <f>VLOOKUP(C30,'HAB.GEN.'!$C$19:$L$108,3,FALSE)</f>
        <v>HÁBIL</v>
      </c>
      <c r="F30" s="235" t="str">
        <f>VLOOKUP(C30,'HAB.GEN.'!$C$19:$L$108,4,FALSE)</f>
        <v>HÁBIL</v>
      </c>
      <c r="G30" s="235" t="str">
        <f>VLOOKUP(C30,'HAB.GEN.'!$C$19:$L$108,5,FALSE)</f>
        <v>HÁBIL</v>
      </c>
      <c r="H30" s="235" t="str">
        <f>VLOOKUP(C30,'HAB.GEN.'!$C$19:$L$108,6,FALSE)</f>
        <v>HÁBIL</v>
      </c>
      <c r="I30" s="235" t="str">
        <f>VLOOKUP(C30,RNOCI!$C$19:$F$108,3,FALSE)</f>
        <v>NO</v>
      </c>
      <c r="J30" s="235" t="str">
        <f>VLOOKUP(C30,'MULTAS Y SANCIONES'!$C$19:$E$108,3,FALSE)</f>
        <v>NO</v>
      </c>
      <c r="K30" s="235" t="str">
        <f>VLOOKUP(C30,'HAB.GEN.'!$C$19:$L$108,7,FALSE)</f>
        <v>HÁBIL</v>
      </c>
      <c r="L30" s="235" t="str">
        <f ca="1">VLOOKUP(C30,'HAB.GEN.'!$C$19:$L$108,8,FALSE)</f>
        <v>HÁBIL</v>
      </c>
      <c r="M30" s="235" t="str">
        <f>VLOOKUP(C30,'HAB.GEN.'!$C$19:$L$108,9,FALSE)</f>
        <v>HÁBIL</v>
      </c>
      <c r="N30" s="235" t="str">
        <f t="shared" ca="1" si="1"/>
        <v>HÁBIL</v>
      </c>
      <c r="O30" s="236">
        <f>VLOOKUP(C30,'PONDERACION EXP.'!$C$44:$L$133,5,FALSE)</f>
        <v>1</v>
      </c>
      <c r="P30" s="264">
        <f>VLOOKUP(C30,'PONDERACION EXP.'!$C$44:$L$133,7,FALSE)</f>
        <v>435.76</v>
      </c>
      <c r="Q30" s="265">
        <f ca="1">VLOOKUP(C30,'PONDERACION EXP.'!$C$44:$K$133,9,FALSE)</f>
        <v>34.199130828229443</v>
      </c>
      <c r="R30" s="237" t="str">
        <f>VLOOKUP(C30,'EQUIPO DE TRABAJO'!$C$19:$F$108,4,FALSE)</f>
        <v>CUMPLE</v>
      </c>
      <c r="S30" s="238">
        <f>VLOOKUP(C30,'APOYO A IND. NAL.'!$C$19:$E$108,3,FALSE)</f>
        <v>20</v>
      </c>
      <c r="T30" s="237">
        <f>VLOOKUP(C30,'VIN.PERS.DISC.'!$C$19:$G$108,5,FALSE)</f>
        <v>1</v>
      </c>
      <c r="U30" s="238">
        <f>VLOOKUP(C30,RNOCI!$C$19:$F$108,4,FALSE)</f>
        <v>0</v>
      </c>
      <c r="V30" s="238">
        <f>VLOOKUP(C30,RESUMENGEN!$C$21:$M$110,10,FALSE)</f>
        <v>0</v>
      </c>
      <c r="W30" s="266">
        <f ca="1">VLOOKUP(C30,RESUMENGEN!$C$21:$M$110,11,FALSE)</f>
        <v>65.199130828229443</v>
      </c>
      <c r="X30" s="233"/>
      <c r="Y30" s="266" t="e">
        <f t="shared" ca="1" si="2"/>
        <v>#VALUE!</v>
      </c>
      <c r="Z30" s="239" t="e">
        <f t="shared" ca="1" si="3"/>
        <v>#VALUE!</v>
      </c>
    </row>
    <row r="31" spans="2:26" ht="25.5">
      <c r="B31" s="234">
        <f t="shared" si="0"/>
        <v>27</v>
      </c>
      <c r="C31" s="234">
        <f>IF(VLOOKUP(B31,PROPONENTES!$B$19:$E$109,2,0)="","",VLOOKUP(B31,PROPONENTES!$B$19:$E$109,2,0))</f>
        <v>27</v>
      </c>
      <c r="D31" s="234" t="str">
        <f>VLOOKUP(C31,RESUMENGEN!$C$21:$E$110,2,FALSE)</f>
        <v>CONSULTORIA Y CONSTRUCCIONES DARLEV SAS</v>
      </c>
      <c r="E31" s="235" t="str">
        <f>VLOOKUP(C31,'HAB.GEN.'!$C$19:$L$108,3,FALSE)</f>
        <v>HÁBIL</v>
      </c>
      <c r="F31" s="235" t="str">
        <f>VLOOKUP(C31,'HAB.GEN.'!$C$19:$L$108,4,FALSE)</f>
        <v>HÁBIL</v>
      </c>
      <c r="G31" s="235" t="str">
        <f>VLOOKUP(C31,'HAB.GEN.'!$C$19:$L$108,5,FALSE)</f>
        <v>HÁBIL</v>
      </c>
      <c r="H31" s="235" t="str">
        <f>VLOOKUP(C31,'HAB.GEN.'!$C$19:$L$108,6,FALSE)</f>
        <v>HÁBIL</v>
      </c>
      <c r="I31" s="235" t="str">
        <f>VLOOKUP(C31,RNOCI!$C$19:$F$108,3,FALSE)</f>
        <v>NO</v>
      </c>
      <c r="J31" s="235" t="str">
        <f>VLOOKUP(C31,'MULTAS Y SANCIONES'!$C$19:$E$108,3,FALSE)</f>
        <v>NO</v>
      </c>
      <c r="K31" s="235" t="str">
        <f>VLOOKUP(C31,'HAB.GEN.'!$C$19:$L$108,7,FALSE)</f>
        <v>HÁBIL</v>
      </c>
      <c r="L31" s="235" t="str">
        <f ca="1">VLOOKUP(C31,'HAB.GEN.'!$C$19:$L$108,8,FALSE)</f>
        <v>HÁBIL</v>
      </c>
      <c r="M31" s="235" t="str">
        <f>VLOOKUP(C31,'HAB.GEN.'!$C$19:$L$108,9,FALSE)</f>
        <v>HÁBIL</v>
      </c>
      <c r="N31" s="235" t="str">
        <f t="shared" ca="1" si="1"/>
        <v>HÁBIL</v>
      </c>
      <c r="O31" s="236">
        <f>VLOOKUP(C31,'PONDERACION EXP.'!$C$44:$L$133,5,FALSE)</f>
        <v>4</v>
      </c>
      <c r="P31" s="264">
        <f>VLOOKUP(C31,'PONDERACION EXP.'!$C$44:$L$133,7,FALSE)</f>
        <v>292.80240000000003</v>
      </c>
      <c r="Q31" s="265">
        <f ca="1">VLOOKUP(C31,'PONDERACION EXP.'!$C$44:$K$133,9,FALSE)</f>
        <v>22.979593318385284</v>
      </c>
      <c r="R31" s="237" t="str">
        <f>VLOOKUP(C31,'EQUIPO DE TRABAJO'!$C$19:$F$108,4,FALSE)</f>
        <v>CUMPLE</v>
      </c>
      <c r="S31" s="238">
        <f>VLOOKUP(C31,'APOYO A IND. NAL.'!$C$19:$E$108,3,FALSE)</f>
        <v>20</v>
      </c>
      <c r="T31" s="237">
        <f>VLOOKUP(C31,'VIN.PERS.DISC.'!$C$19:$G$108,5,FALSE)</f>
        <v>1</v>
      </c>
      <c r="U31" s="238">
        <f>VLOOKUP(C31,RNOCI!$C$19:$F$108,4,FALSE)</f>
        <v>0</v>
      </c>
      <c r="V31" s="238">
        <f>VLOOKUP(C31,RESUMENGEN!$C$21:$M$110,10,FALSE)</f>
        <v>0</v>
      </c>
      <c r="W31" s="266">
        <f ca="1">VLOOKUP(C31,RESUMENGEN!$C$21:$M$110,11,FALSE)</f>
        <v>53.979593318385284</v>
      </c>
      <c r="X31" s="233"/>
      <c r="Y31" s="266" t="e">
        <f t="shared" ca="1" si="2"/>
        <v>#VALUE!</v>
      </c>
      <c r="Z31" s="239" t="e">
        <f t="shared" ca="1" si="3"/>
        <v>#VALUE!</v>
      </c>
    </row>
    <row r="32" spans="2:26">
      <c r="B32" s="234">
        <f t="shared" si="0"/>
        <v>28</v>
      </c>
      <c r="C32" s="234">
        <f>IF(VLOOKUP(B32,PROPONENTES!$B$19:$E$109,2,0)="","",VLOOKUP(B32,PROPONENTES!$B$19:$E$109,2,0))</f>
        <v>28</v>
      </c>
      <c r="D32" s="234" t="str">
        <f>VLOOKUP(C32,RESUMENGEN!$C$21:$E$110,2,FALSE)</f>
        <v>CONSORCIO TOLIMA</v>
      </c>
      <c r="E32" s="235" t="str">
        <f>VLOOKUP(C32,'HAB.GEN.'!$C$19:$L$108,3,FALSE)</f>
        <v>HÁBIL</v>
      </c>
      <c r="F32" s="235" t="str">
        <f>VLOOKUP(C32,'HAB.GEN.'!$C$19:$L$108,4,FALSE)</f>
        <v>HÁBIL</v>
      </c>
      <c r="G32" s="235" t="str">
        <f>VLOOKUP(C32,'HAB.GEN.'!$C$19:$L$108,5,FALSE)</f>
        <v>HÁBIL</v>
      </c>
      <c r="H32" s="235" t="str">
        <f>VLOOKUP(C32,'HAB.GEN.'!$C$19:$L$108,6,FALSE)</f>
        <v>HÁBIL</v>
      </c>
      <c r="I32" s="235" t="str">
        <f>VLOOKUP(C32,RNOCI!$C$19:$F$108,3,FALSE)</f>
        <v>NO</v>
      </c>
      <c r="J32" s="235" t="str">
        <f>VLOOKUP(C32,'MULTAS Y SANCIONES'!$C$19:$E$108,3,FALSE)</f>
        <v>NO</v>
      </c>
      <c r="K32" s="235" t="str">
        <f>VLOOKUP(C32,'HAB.GEN.'!$C$19:$L$108,7,FALSE)</f>
        <v>HÁBIL</v>
      </c>
      <c r="L32" s="235" t="str">
        <f ca="1">VLOOKUP(C32,'HAB.GEN.'!$C$19:$L$108,8,FALSE)</f>
        <v>HÁBIL</v>
      </c>
      <c r="M32" s="235" t="str">
        <f ca="1">VLOOKUP(C32,'HAB.GEN.'!$C$19:$L$108,9,FALSE)</f>
        <v>HÁBIL</v>
      </c>
      <c r="N32" s="235" t="str">
        <f t="shared" ca="1" si="1"/>
        <v>HÁBIL</v>
      </c>
      <c r="O32" s="236">
        <f>VLOOKUP(C32,'PONDERACION EXP.'!$C$44:$L$133,5,FALSE)</f>
        <v>2</v>
      </c>
      <c r="P32" s="264">
        <f ca="1">VLOOKUP(C32,'PONDERACION EXP.'!$C$44:$L$133,7,FALSE)</f>
        <v>382.45360000000005</v>
      </c>
      <c r="Q32" s="265">
        <f ca="1">VLOOKUP(C32,'PONDERACION EXP.'!$C$44:$K$133,9,FALSE)</f>
        <v>30.015560634586326</v>
      </c>
      <c r="R32" s="237" t="str">
        <f>VLOOKUP(C32,'EQUIPO DE TRABAJO'!$C$19:$F$108,4,FALSE)</f>
        <v>CUMPLE</v>
      </c>
      <c r="S32" s="238">
        <f>VLOOKUP(C32,'APOYO A IND. NAL.'!$C$19:$E$108,3,FALSE)</f>
        <v>0</v>
      </c>
      <c r="T32" s="237">
        <f>VLOOKUP(C32,'VIN.PERS.DISC.'!$C$19:$G$108,5,FALSE)</f>
        <v>0</v>
      </c>
      <c r="U32" s="238">
        <f>VLOOKUP(C32,RNOCI!$C$19:$F$108,4,FALSE)</f>
        <v>0</v>
      </c>
      <c r="V32" s="238">
        <f>VLOOKUP(C32,RESUMENGEN!$C$21:$M$110,10,FALSE)</f>
        <v>0</v>
      </c>
      <c r="W32" s="266">
        <f ca="1">VLOOKUP(C32,RESUMENGEN!$C$21:$M$110,11,FALSE)</f>
        <v>40.015560634586322</v>
      </c>
      <c r="X32" s="233"/>
      <c r="Y32" s="266" t="e">
        <f t="shared" ca="1" si="2"/>
        <v>#VALUE!</v>
      </c>
      <c r="Z32" s="239" t="e">
        <f t="shared" ca="1" si="3"/>
        <v>#VALUE!</v>
      </c>
    </row>
    <row r="33" spans="2:26">
      <c r="B33" s="234">
        <f t="shared" si="0"/>
        <v>29</v>
      </c>
      <c r="C33" s="234">
        <f>IF(VLOOKUP(B33,PROPONENTES!$B$19:$E$109,2,0)="","",VLOOKUP(B33,PROPONENTES!$B$19:$E$109,2,0))</f>
        <v>29</v>
      </c>
      <c r="D33" s="234" t="str">
        <f>VLOOKUP(C33,RESUMENGEN!$C$21:$E$110,2,FALSE)</f>
        <v>CONSORCIO MT 2022 TOLIMA</v>
      </c>
      <c r="E33" s="235" t="str">
        <f>VLOOKUP(C33,'HAB.GEN.'!$C$19:$L$108,3,FALSE)</f>
        <v>HÁBIL</v>
      </c>
      <c r="F33" s="235" t="str">
        <f>VLOOKUP(C33,'HAB.GEN.'!$C$19:$L$108,4,FALSE)</f>
        <v>HÁBIL</v>
      </c>
      <c r="G33" s="235" t="str">
        <f>VLOOKUP(C33,'HAB.GEN.'!$C$19:$L$108,5,FALSE)</f>
        <v>HÁBIL</v>
      </c>
      <c r="H33" s="235" t="str">
        <f>VLOOKUP(C33,'HAB.GEN.'!$C$19:$L$108,6,FALSE)</f>
        <v>HÁBIL</v>
      </c>
      <c r="I33" s="235" t="str">
        <f>VLOOKUP(C33,RNOCI!$C$19:$F$108,3,FALSE)</f>
        <v>NO</v>
      </c>
      <c r="J33" s="235" t="str">
        <f>VLOOKUP(C33,'MULTAS Y SANCIONES'!$C$19:$E$108,3,FALSE)</f>
        <v>NO</v>
      </c>
      <c r="K33" s="235" t="str">
        <f>VLOOKUP(C33,'HAB.GEN.'!$C$19:$L$108,7,FALSE)</f>
        <v>HÁBIL</v>
      </c>
      <c r="L33" s="235" t="str">
        <f ca="1">VLOOKUP(C33,'HAB.GEN.'!$C$19:$L$108,8,FALSE)</f>
        <v>HÁBIL</v>
      </c>
      <c r="M33" s="235" t="str">
        <f ca="1">VLOOKUP(C33,'HAB.GEN.'!$C$19:$L$108,9,FALSE)</f>
        <v>HÁBIL</v>
      </c>
      <c r="N33" s="235" t="str">
        <f t="shared" ca="1" si="1"/>
        <v>HÁBIL</v>
      </c>
      <c r="O33" s="236">
        <f>VLOOKUP(C33,'PONDERACION EXP.'!$C$44:$L$133,5,FALSE)</f>
        <v>5</v>
      </c>
      <c r="P33" s="264">
        <f ca="1">VLOOKUP(C33,'PONDERACION EXP.'!$C$44:$L$133,7,FALSE)</f>
        <v>1234.1231400000001</v>
      </c>
      <c r="Q33" s="265">
        <f ca="1">VLOOKUP(C33,'PONDERACION EXP.'!$C$44:$K$133,9,FALSE)</f>
        <v>13.288146121693895</v>
      </c>
      <c r="R33" s="237" t="str">
        <f>VLOOKUP(C33,'EQUIPO DE TRABAJO'!$C$19:$F$108,4,FALSE)</f>
        <v>CUMPLE</v>
      </c>
      <c r="S33" s="238">
        <f>VLOOKUP(C33,'APOYO A IND. NAL.'!$C$19:$E$108,3,FALSE)</f>
        <v>20</v>
      </c>
      <c r="T33" s="237">
        <f ca="1">VLOOKUP(C33,'VIN.PERS.DISC.'!$C$19:$G$108,5,FALSE)</f>
        <v>1</v>
      </c>
      <c r="U33" s="238">
        <f>VLOOKUP(C33,RNOCI!$C$19:$F$108,4,FALSE)</f>
        <v>0</v>
      </c>
      <c r="V33" s="238">
        <f>VLOOKUP(C33,RESUMENGEN!$C$21:$M$110,10,FALSE)</f>
        <v>0</v>
      </c>
      <c r="W33" s="266">
        <f ca="1">VLOOKUP(C33,RESUMENGEN!$C$21:$M$110,11,FALSE)</f>
        <v>44.288146121693899</v>
      </c>
      <c r="X33" s="233"/>
      <c r="Y33" s="266" t="e">
        <f t="shared" ca="1" si="2"/>
        <v>#VALUE!</v>
      </c>
      <c r="Z33" s="239" t="e">
        <f t="shared" ca="1" si="3"/>
        <v>#VALUE!</v>
      </c>
    </row>
    <row r="34" spans="2:26">
      <c r="B34" s="234">
        <f t="shared" si="0"/>
        <v>30</v>
      </c>
      <c r="C34" s="234">
        <f>IF(VLOOKUP(B34,PROPONENTES!$B$19:$E$109,2,0)="","",VLOOKUP(B34,PROPONENTES!$B$19:$E$109,2,0))</f>
        <v>30</v>
      </c>
      <c r="D34" s="234" t="str">
        <f>VLOOKUP(C34,RESUMENGEN!$C$21:$E$110,2,FALSE)</f>
        <v>CONSORCIO INTER TOLIMA</v>
      </c>
      <c r="E34" s="235" t="str">
        <f>VLOOKUP(C34,'HAB.GEN.'!$C$19:$L$108,3,FALSE)</f>
        <v>HÁBIL</v>
      </c>
      <c r="F34" s="235" t="str">
        <f>VLOOKUP(C34,'HAB.GEN.'!$C$19:$L$108,4,FALSE)</f>
        <v>HÁBIL</v>
      </c>
      <c r="G34" s="235" t="str">
        <f>VLOOKUP(C34,'HAB.GEN.'!$C$19:$L$108,5,FALSE)</f>
        <v>HÁBIL</v>
      </c>
      <c r="H34" s="235" t="str">
        <f>VLOOKUP(C34,'HAB.GEN.'!$C$19:$L$108,6,FALSE)</f>
        <v>HÁBIL</v>
      </c>
      <c r="I34" s="235" t="str">
        <f>VLOOKUP(C34,RNOCI!$C$19:$F$108,3,FALSE)</f>
        <v>NO</v>
      </c>
      <c r="J34" s="235" t="str">
        <f>VLOOKUP(C34,'MULTAS Y SANCIONES'!$C$19:$E$108,3,FALSE)</f>
        <v>NO</v>
      </c>
      <c r="K34" s="235" t="str">
        <f>VLOOKUP(C34,'HAB.GEN.'!$C$19:$L$108,7,FALSE)</f>
        <v>HÁBIL</v>
      </c>
      <c r="L34" s="235" t="str">
        <f ca="1">VLOOKUP(C34,'HAB.GEN.'!$C$19:$L$108,8,FALSE)</f>
        <v>HÁBIL</v>
      </c>
      <c r="M34" s="235" t="str">
        <f ca="1">VLOOKUP(C34,'HAB.GEN.'!$C$19:$L$108,9,FALSE)</f>
        <v>HÁBIL</v>
      </c>
      <c r="N34" s="235" t="str">
        <f t="shared" ca="1" si="1"/>
        <v>HÁBIL</v>
      </c>
      <c r="O34" s="236">
        <f>VLOOKUP(C34,'PONDERACION EXP.'!$C$44:$L$133,5,FALSE)</f>
        <v>3</v>
      </c>
      <c r="P34" s="264">
        <f ca="1">VLOOKUP(C34,'PONDERACION EXP.'!$C$44:$L$133,7,FALSE)</f>
        <v>873.85466666666673</v>
      </c>
      <c r="Q34" s="265">
        <f ca="1">VLOOKUP(C34,'PONDERACION EXP.'!$C$44:$K$133,9,FALSE)</f>
        <v>68.581489971984979</v>
      </c>
      <c r="R34" s="237" t="str">
        <f>VLOOKUP(C34,'EQUIPO DE TRABAJO'!$C$19:$F$108,4,FALSE)</f>
        <v>CUMPLE</v>
      </c>
      <c r="S34" s="238">
        <f>VLOOKUP(C34,'APOYO A IND. NAL.'!$C$19:$E$108,3,FALSE)</f>
        <v>20</v>
      </c>
      <c r="T34" s="237">
        <f ca="1">VLOOKUP(C34,'VIN.PERS.DISC.'!$C$19:$G$108,5,FALSE)</f>
        <v>1</v>
      </c>
      <c r="U34" s="238">
        <f>VLOOKUP(C34,RNOCI!$C$19:$F$108,4,FALSE)</f>
        <v>0</v>
      </c>
      <c r="V34" s="238">
        <f>VLOOKUP(C34,RESUMENGEN!$C$21:$M$110,10,FALSE)</f>
        <v>0</v>
      </c>
      <c r="W34" s="266">
        <f ca="1">VLOOKUP(C34,RESUMENGEN!$C$21:$M$110,11,FALSE)</f>
        <v>99.581489971984979</v>
      </c>
      <c r="X34" s="233"/>
      <c r="Y34" s="266" t="e">
        <f t="shared" ca="1" si="2"/>
        <v>#VALUE!</v>
      </c>
      <c r="Z34" s="239" t="e">
        <f t="shared" ca="1" si="3"/>
        <v>#VALUE!</v>
      </c>
    </row>
    <row r="35" spans="2:26">
      <c r="B35" s="234">
        <f t="shared" si="0"/>
        <v>31</v>
      </c>
      <c r="C35" s="234">
        <f>IF(VLOOKUP(B35,PROPONENTES!$B$19:$E$109,2,0)="","",VLOOKUP(B35,PROPONENTES!$B$19:$E$109,2,0))</f>
        <v>31</v>
      </c>
      <c r="D35" s="234" t="str">
        <f>VLOOKUP(C35,RESUMENGEN!$C$21:$E$110,2,FALSE)</f>
        <v>INGENIERIA MASTER S.A.S.</v>
      </c>
      <c r="E35" s="235" t="str">
        <f>VLOOKUP(C35,'HAB.GEN.'!$C$19:$L$108,3,FALSE)</f>
        <v>HÁBIL</v>
      </c>
      <c r="F35" s="235" t="str">
        <f>VLOOKUP(C35,'HAB.GEN.'!$C$19:$L$108,4,FALSE)</f>
        <v>HÁBIL</v>
      </c>
      <c r="G35" s="235" t="str">
        <f>VLOOKUP(C35,'HAB.GEN.'!$C$19:$L$108,5,FALSE)</f>
        <v>HÁBIL</v>
      </c>
      <c r="H35" s="235" t="str">
        <f>VLOOKUP(C35,'HAB.GEN.'!$C$19:$L$108,6,FALSE)</f>
        <v>HÁBIL</v>
      </c>
      <c r="I35" s="235" t="str">
        <f>VLOOKUP(C35,RNOCI!$C$19:$F$108,3,FALSE)</f>
        <v>NO</v>
      </c>
      <c r="J35" s="235" t="str">
        <f>VLOOKUP(C35,'MULTAS Y SANCIONES'!$C$19:$E$108,3,FALSE)</f>
        <v>NO</v>
      </c>
      <c r="K35" s="235" t="str">
        <f>VLOOKUP(C35,'HAB.GEN.'!$C$19:$L$108,7,FALSE)</f>
        <v>HÁBIL</v>
      </c>
      <c r="L35" s="235" t="str">
        <f ca="1">VLOOKUP(C35,'HAB.GEN.'!$C$19:$L$108,8,FALSE)</f>
        <v>HÁBIL</v>
      </c>
      <c r="M35" s="235" t="str">
        <f>VLOOKUP(C35,'HAB.GEN.'!$C$19:$L$108,9,FALSE)</f>
        <v>HÁBIL</v>
      </c>
      <c r="N35" s="235" t="str">
        <f t="shared" ca="1" si="1"/>
        <v>HÁBIL</v>
      </c>
      <c r="O35" s="236">
        <f>VLOOKUP(C35,'PONDERACION EXP.'!$C$44:$L$133,5,FALSE)</f>
        <v>2</v>
      </c>
      <c r="P35" s="264">
        <f>VLOOKUP(C35,'PONDERACION EXP.'!$C$44:$L$133,7,FALSE)</f>
        <v>301.9205</v>
      </c>
      <c r="Q35" s="265">
        <f ca="1">VLOOKUP(C35,'PONDERACION EXP.'!$C$44:$K$133,9,FALSE)</f>
        <v>23.695196161245754</v>
      </c>
      <c r="R35" s="237" t="str">
        <f>VLOOKUP(C35,'EQUIPO DE TRABAJO'!$C$19:$F$108,4,FALSE)</f>
        <v>CUMPLE</v>
      </c>
      <c r="S35" s="238">
        <f>VLOOKUP(C35,'APOYO A IND. NAL.'!$C$19:$E$108,3,FALSE)</f>
        <v>20</v>
      </c>
      <c r="T35" s="237">
        <f>VLOOKUP(C35,'VIN.PERS.DISC.'!$C$19:$G$108,5,FALSE)</f>
        <v>1</v>
      </c>
      <c r="U35" s="238">
        <f>VLOOKUP(C35,RNOCI!$C$19:$F$108,4,FALSE)</f>
        <v>0</v>
      </c>
      <c r="V35" s="238">
        <f>VLOOKUP(C35,RESUMENGEN!$C$21:$M$110,10,FALSE)</f>
        <v>0</v>
      </c>
      <c r="W35" s="266">
        <f ca="1">VLOOKUP(C35,RESUMENGEN!$C$21:$M$110,11,FALSE)</f>
        <v>54.695196161245754</v>
      </c>
      <c r="X35" s="233"/>
      <c r="Y35" s="266" t="e">
        <f t="shared" ca="1" si="2"/>
        <v>#VALUE!</v>
      </c>
      <c r="Z35" s="239" t="e">
        <f t="shared" ca="1" si="3"/>
        <v>#VALUE!</v>
      </c>
    </row>
    <row r="36" spans="2:26">
      <c r="B36" s="234">
        <f t="shared" si="0"/>
        <v>32</v>
      </c>
      <c r="C36" s="234">
        <f>IF(VLOOKUP(B36,PROPONENTES!$B$19:$E$109,2,0)="","",VLOOKUP(B36,PROPONENTES!$B$19:$E$109,2,0))</f>
        <v>32</v>
      </c>
      <c r="D36" s="234" t="str">
        <f>VLOOKUP(C36,RESUMENGEN!$C$21:$E$110,2,FALSE)</f>
        <v xml:space="preserve">GYG CONSTRUCCIONES S.A.S. </v>
      </c>
      <c r="E36" s="235" t="str">
        <f>VLOOKUP(C36,'HAB.GEN.'!$C$19:$L$108,3,FALSE)</f>
        <v>HÁBIL</v>
      </c>
      <c r="F36" s="235" t="str">
        <f>VLOOKUP(C36,'HAB.GEN.'!$C$19:$L$108,4,FALSE)</f>
        <v>HÁBIL</v>
      </c>
      <c r="G36" s="235" t="str">
        <f>VLOOKUP(C36,'HAB.GEN.'!$C$19:$L$108,5,FALSE)</f>
        <v>HÁBIL</v>
      </c>
      <c r="H36" s="235" t="str">
        <f>VLOOKUP(C36,'HAB.GEN.'!$C$19:$L$108,6,FALSE)</f>
        <v>HÁBIL</v>
      </c>
      <c r="I36" s="235" t="str">
        <f>VLOOKUP(C36,RNOCI!$C$19:$F$108,3,FALSE)</f>
        <v>NO</v>
      </c>
      <c r="J36" s="235" t="str">
        <f>VLOOKUP(C36,'MULTAS Y SANCIONES'!$C$19:$E$108,3,FALSE)</f>
        <v>NO</v>
      </c>
      <c r="K36" s="235" t="str">
        <f>VLOOKUP(C36,'HAB.GEN.'!$C$19:$L$108,7,FALSE)</f>
        <v>HÁBIL</v>
      </c>
      <c r="L36" s="235" t="str">
        <f ca="1">VLOOKUP(C36,'HAB.GEN.'!$C$19:$L$108,8,FALSE)</f>
        <v>HÁBIL</v>
      </c>
      <c r="M36" s="235" t="str">
        <f>VLOOKUP(C36,'HAB.GEN.'!$C$19:$L$108,9,FALSE)</f>
        <v>HÁBIL</v>
      </c>
      <c r="N36" s="235" t="str">
        <f t="shared" ca="1" si="1"/>
        <v>HÁBIL</v>
      </c>
      <c r="O36" s="236">
        <f>VLOOKUP(C36,'PONDERACION EXP.'!$C$44:$L$133,5,FALSE)</f>
        <v>2</v>
      </c>
      <c r="P36" s="264">
        <f>VLOOKUP(C36,'PONDERACION EXP.'!$C$44:$L$133,7,FALSE)</f>
        <v>940.625</v>
      </c>
      <c r="Q36" s="265">
        <f ca="1">VLOOKUP(C36,'PONDERACION EXP.'!$C$44:$K$133,9,FALSE)</f>
        <v>59.356538299507406</v>
      </c>
      <c r="R36" s="237" t="str">
        <f>VLOOKUP(C36,'EQUIPO DE TRABAJO'!$C$19:$F$108,4,FALSE)</f>
        <v>CUMPLE</v>
      </c>
      <c r="S36" s="238">
        <f>VLOOKUP(C36,'APOYO A IND. NAL.'!$C$19:$E$108,3,FALSE)</f>
        <v>20</v>
      </c>
      <c r="T36" s="237">
        <f>VLOOKUP(C36,'VIN.PERS.DISC.'!$C$19:$G$108,5,FALSE)</f>
        <v>1</v>
      </c>
      <c r="U36" s="238">
        <f>VLOOKUP(C36,RNOCI!$C$19:$F$108,4,FALSE)</f>
        <v>0</v>
      </c>
      <c r="V36" s="238">
        <f>VLOOKUP(C36,RESUMENGEN!$C$21:$M$110,10,FALSE)</f>
        <v>0</v>
      </c>
      <c r="W36" s="266">
        <f ca="1">VLOOKUP(C36,RESUMENGEN!$C$21:$M$110,11,FALSE)</f>
        <v>90.356538299507406</v>
      </c>
      <c r="X36" s="233"/>
      <c r="Y36" s="266" t="e">
        <f t="shared" ca="1" si="2"/>
        <v>#VALUE!</v>
      </c>
      <c r="Z36" s="239" t="e">
        <f t="shared" ca="1" si="3"/>
        <v>#VALUE!</v>
      </c>
    </row>
    <row r="37" spans="2:26">
      <c r="B37" s="234">
        <f t="shared" si="0"/>
        <v>33</v>
      </c>
      <c r="C37" s="234">
        <f>IF(VLOOKUP(B37,PROPONENTES!$B$19:$E$109,2,0)="","",VLOOKUP(B37,PROPONENTES!$B$19:$E$109,2,0))</f>
        <v>33</v>
      </c>
      <c r="D37" s="234" t="str">
        <f>VLOOKUP(C37,RESUMENGEN!$C$21:$E$110,2,FALSE)</f>
        <v>CONSORCIO TOLIMA RURAL</v>
      </c>
      <c r="E37" s="235" t="str">
        <f>VLOOKUP(C37,'HAB.GEN.'!$C$19:$L$108,3,FALSE)</f>
        <v>HÁBIL</v>
      </c>
      <c r="F37" s="235" t="str">
        <f>VLOOKUP(C37,'HAB.GEN.'!$C$19:$L$108,4,FALSE)</f>
        <v>HÁBIL</v>
      </c>
      <c r="G37" s="235" t="str">
        <f>VLOOKUP(C37,'HAB.GEN.'!$C$19:$L$108,5,FALSE)</f>
        <v>HÁBIL</v>
      </c>
      <c r="H37" s="235" t="str">
        <f>VLOOKUP(C37,'HAB.GEN.'!$C$19:$L$108,6,FALSE)</f>
        <v>HÁBIL</v>
      </c>
      <c r="I37" s="235" t="str">
        <f>VLOOKUP(C37,RNOCI!$C$19:$F$108,3,FALSE)</f>
        <v>NO</v>
      </c>
      <c r="J37" s="235" t="str">
        <f>VLOOKUP(C37,'MULTAS Y SANCIONES'!$C$19:$E$108,3,FALSE)</f>
        <v>NO</v>
      </c>
      <c r="K37" s="235" t="str">
        <f>VLOOKUP(C37,'HAB.GEN.'!$C$19:$L$108,7,FALSE)</f>
        <v>HÁBIL</v>
      </c>
      <c r="L37" s="235" t="str">
        <f ca="1">VLOOKUP(C37,'HAB.GEN.'!$C$19:$L$108,8,FALSE)</f>
        <v>HÁBIL</v>
      </c>
      <c r="M37" s="235" t="str">
        <f ca="1">VLOOKUP(C37,'HAB.GEN.'!$C$19:$L$108,9,FALSE)</f>
        <v>HÁBIL</v>
      </c>
      <c r="N37" s="235" t="str">
        <f t="shared" ca="1" si="1"/>
        <v>HÁBIL</v>
      </c>
      <c r="O37" s="236">
        <f>VLOOKUP(C37,'PONDERACION EXP.'!$C$44:$L$133,5,FALSE)</f>
        <v>3</v>
      </c>
      <c r="P37" s="264">
        <f ca="1">VLOOKUP(C37,'PONDERACION EXP.'!$C$44:$L$133,7,FALSE)</f>
        <v>186.5986</v>
      </c>
      <c r="Q37" s="265">
        <f ca="1">VLOOKUP(C37,'PONDERACION EXP.'!$C$44:$K$133,9,FALSE)</f>
        <v>14.644551894998296</v>
      </c>
      <c r="R37" s="237" t="str">
        <f>VLOOKUP(C37,'EQUIPO DE TRABAJO'!$C$19:$F$108,4,FALSE)</f>
        <v>CUMPLE</v>
      </c>
      <c r="S37" s="238">
        <f>VLOOKUP(C37,'APOYO A IND. NAL.'!$C$19:$E$108,3,FALSE)</f>
        <v>0</v>
      </c>
      <c r="T37" s="237">
        <f ca="1">VLOOKUP(C37,'VIN.PERS.DISC.'!$C$19:$G$108,5,FALSE)</f>
        <v>1</v>
      </c>
      <c r="U37" s="238">
        <f>VLOOKUP(C37,RNOCI!$C$19:$F$108,4,FALSE)</f>
        <v>0</v>
      </c>
      <c r="V37" s="238">
        <f>VLOOKUP(C37,RESUMENGEN!$C$21:$M$110,10,FALSE)</f>
        <v>0</v>
      </c>
      <c r="W37" s="266">
        <f ca="1">VLOOKUP(C37,RESUMENGEN!$C$21:$M$110,11,FALSE)</f>
        <v>25.644551894998294</v>
      </c>
      <c r="X37" s="233"/>
      <c r="Y37" s="266" t="e">
        <f t="shared" ca="1" si="2"/>
        <v>#VALUE!</v>
      </c>
      <c r="Z37" s="239" t="e">
        <f t="shared" ca="1" si="3"/>
        <v>#VALUE!</v>
      </c>
    </row>
    <row r="38" spans="2:26">
      <c r="B38" s="234">
        <f t="shared" si="0"/>
        <v>34</v>
      </c>
      <c r="C38" s="234">
        <f>IF(VLOOKUP(B38,PROPONENTES!$B$19:$E$109,2,0)="","",VLOOKUP(B38,PROPONENTES!$B$19:$E$109,2,0))</f>
        <v>34</v>
      </c>
      <c r="D38" s="234" t="str">
        <f>VLOOKUP(C38,RESUMENGEN!$C$21:$E$110,2,FALSE)</f>
        <v>CONSORCIO OPHAIH 2022</v>
      </c>
      <c r="E38" s="235" t="str">
        <f>VLOOKUP(C38,'HAB.GEN.'!$C$19:$L$108,3,FALSE)</f>
        <v>HÁBIL</v>
      </c>
      <c r="F38" s="235" t="str">
        <f>VLOOKUP(C38,'HAB.GEN.'!$C$19:$L$108,4,FALSE)</f>
        <v>HÁBIL</v>
      </c>
      <c r="G38" s="235" t="str">
        <f>VLOOKUP(C38,'HAB.GEN.'!$C$19:$L$108,5,FALSE)</f>
        <v>HÁBIL</v>
      </c>
      <c r="H38" s="235" t="str">
        <f>VLOOKUP(C38,'HAB.GEN.'!$C$19:$L$108,6,FALSE)</f>
        <v>HÁBIL</v>
      </c>
      <c r="I38" s="235" t="str">
        <f>VLOOKUP(C38,RNOCI!$C$19:$F$108,3,FALSE)</f>
        <v>NO</v>
      </c>
      <c r="J38" s="235" t="str">
        <f>VLOOKUP(C38,'MULTAS Y SANCIONES'!$C$19:$E$108,3,FALSE)</f>
        <v>NO</v>
      </c>
      <c r="K38" s="235" t="str">
        <f>VLOOKUP(C38,'HAB.GEN.'!$C$19:$L$108,7,FALSE)</f>
        <v>HÁBIL</v>
      </c>
      <c r="L38" s="235" t="str">
        <f ca="1">VLOOKUP(C38,'HAB.GEN.'!$C$19:$L$108,8,FALSE)</f>
        <v>HÁBIL</v>
      </c>
      <c r="M38" s="235" t="str">
        <f ca="1">VLOOKUP(C38,'HAB.GEN.'!$C$19:$L$108,9,FALSE)</f>
        <v>HÁBIL</v>
      </c>
      <c r="N38" s="235" t="str">
        <f t="shared" ca="1" si="1"/>
        <v>HÁBIL</v>
      </c>
      <c r="O38" s="236">
        <f>VLOOKUP(C38,'PONDERACION EXP.'!$C$44:$L$133,5,FALSE)</f>
        <v>4</v>
      </c>
      <c r="P38" s="264">
        <f ca="1">VLOOKUP(C38,'PONDERACION EXP.'!$C$44:$L$133,7,FALSE)</f>
        <v>361.77262499999995</v>
      </c>
      <c r="Q38" s="265">
        <f ca="1">VLOOKUP(C38,'PONDERACION EXP.'!$C$44:$K$133,9,FALSE)</f>
        <v>28.392485157992908</v>
      </c>
      <c r="R38" s="237" t="str">
        <f>VLOOKUP(C38,'EQUIPO DE TRABAJO'!$C$19:$F$108,4,FALSE)</f>
        <v>CUMPLE</v>
      </c>
      <c r="S38" s="238">
        <f>VLOOKUP(C38,'APOYO A IND. NAL.'!$C$19:$E$108,3,FALSE)</f>
        <v>20</v>
      </c>
      <c r="T38" s="237">
        <f ca="1">VLOOKUP(C38,'VIN.PERS.DISC.'!$C$19:$G$108,5,FALSE)</f>
        <v>1</v>
      </c>
      <c r="U38" s="238">
        <f>VLOOKUP(C38,RNOCI!$C$19:$F$108,4,FALSE)</f>
        <v>0</v>
      </c>
      <c r="V38" s="238">
        <f>VLOOKUP(C38,RESUMENGEN!$C$21:$M$110,10,FALSE)</f>
        <v>0</v>
      </c>
      <c r="W38" s="266">
        <f ca="1">VLOOKUP(C38,RESUMENGEN!$C$21:$M$110,11,FALSE)</f>
        <v>59.392485157992908</v>
      </c>
      <c r="X38" s="233"/>
      <c r="Y38" s="266" t="e">
        <f t="shared" ca="1" si="2"/>
        <v>#VALUE!</v>
      </c>
      <c r="Z38" s="239" t="e">
        <f t="shared" ref="Z38:Z69" ca="1" si="4">IF(W38=Y38,"SI","NO")</f>
        <v>#VALUE!</v>
      </c>
    </row>
    <row r="39" spans="2:26">
      <c r="B39" s="234">
        <f t="shared" si="0"/>
        <v>35</v>
      </c>
      <c r="C39" s="234">
        <f>IF(VLOOKUP(B39,PROPONENTES!$B$19:$E$109,2,0)="","",VLOOKUP(B39,PROPONENTES!$B$19:$E$109,2,0))</f>
        <v>35</v>
      </c>
      <c r="D39" s="234" t="str">
        <f>VLOOKUP(C39,RESUMENGEN!$C$21:$E$110,2,FALSE)</f>
        <v xml:space="preserve">ING INGENIERIA SAS </v>
      </c>
      <c r="E39" s="235" t="str">
        <f>VLOOKUP(C39,'HAB.GEN.'!$C$19:$L$108,3,FALSE)</f>
        <v>HÁBIL</v>
      </c>
      <c r="F39" s="235" t="str">
        <f>VLOOKUP(C39,'HAB.GEN.'!$C$19:$L$108,4,FALSE)</f>
        <v>HÁBIL</v>
      </c>
      <c r="G39" s="235" t="str">
        <f>VLOOKUP(C39,'HAB.GEN.'!$C$19:$L$108,5,FALSE)</f>
        <v>HÁBIL</v>
      </c>
      <c r="H39" s="235" t="str">
        <f>VLOOKUP(C39,'HAB.GEN.'!$C$19:$L$108,6,FALSE)</f>
        <v>HÁBIL</v>
      </c>
      <c r="I39" s="235" t="str">
        <f>VLOOKUP(C39,RNOCI!$C$19:$F$108,3,FALSE)</f>
        <v>NO</v>
      </c>
      <c r="J39" s="235" t="str">
        <f>VLOOKUP(C39,'MULTAS Y SANCIONES'!$C$19:$E$108,3,FALSE)</f>
        <v>NO</v>
      </c>
      <c r="K39" s="235" t="str">
        <f>VLOOKUP(C39,'HAB.GEN.'!$C$19:$L$108,7,FALSE)</f>
        <v>HÁBIL</v>
      </c>
      <c r="L39" s="235" t="str">
        <f ca="1">VLOOKUP(C39,'HAB.GEN.'!$C$19:$L$108,8,FALSE)</f>
        <v>HÁBIL</v>
      </c>
      <c r="M39" s="235" t="str">
        <f>VLOOKUP(C39,'HAB.GEN.'!$C$19:$L$108,9,FALSE)</f>
        <v>HÁBIL</v>
      </c>
      <c r="N39" s="235" t="str">
        <f t="shared" ca="1" si="1"/>
        <v>HÁBIL</v>
      </c>
      <c r="O39" s="236">
        <f>VLOOKUP(C39,'PONDERACION EXP.'!$C$44:$L$133,5,FALSE)</f>
        <v>2</v>
      </c>
      <c r="P39" s="264">
        <f>VLOOKUP(C39,'PONDERACION EXP.'!$C$44:$L$133,7,FALSE)</f>
        <v>621.38</v>
      </c>
      <c r="Q39" s="265">
        <f ca="1">VLOOKUP(C39,'PONDERACION EXP.'!$C$44:$K$133,9,FALSE)</f>
        <v>48.766880654592477</v>
      </c>
      <c r="R39" s="237" t="str">
        <f>VLOOKUP(C39,'EQUIPO DE TRABAJO'!$C$19:$F$108,4,FALSE)</f>
        <v>CUMPLE</v>
      </c>
      <c r="S39" s="238">
        <f>VLOOKUP(C39,'APOYO A IND. NAL.'!$C$19:$E$108,3,FALSE)</f>
        <v>20</v>
      </c>
      <c r="T39" s="237">
        <f>VLOOKUP(C39,'VIN.PERS.DISC.'!$C$19:$G$108,5,FALSE)</f>
        <v>1</v>
      </c>
      <c r="U39" s="238">
        <f>VLOOKUP(C39,RNOCI!$C$19:$F$108,4,FALSE)</f>
        <v>0</v>
      </c>
      <c r="V39" s="238">
        <f>VLOOKUP(C39,RESUMENGEN!$C$21:$M$110,10,FALSE)</f>
        <v>0</v>
      </c>
      <c r="W39" s="266">
        <f ca="1">VLOOKUP(C39,RESUMENGEN!$C$21:$M$110,11,FALSE)</f>
        <v>79.766880654592484</v>
      </c>
      <c r="X39" s="233"/>
      <c r="Y39" s="266" t="e">
        <f t="shared" ca="1" si="2"/>
        <v>#VALUE!</v>
      </c>
      <c r="Z39" s="239" t="e">
        <f t="shared" ca="1" si="4"/>
        <v>#VALUE!</v>
      </c>
    </row>
    <row r="40" spans="2:26">
      <c r="B40" s="234">
        <f t="shared" si="0"/>
        <v>36</v>
      </c>
      <c r="C40" s="234">
        <f>IF(VLOOKUP(B40,PROPONENTES!$B$19:$E$109,2,0)="","",VLOOKUP(B40,PROPONENTES!$B$19:$E$109,2,0))</f>
        <v>36</v>
      </c>
      <c r="D40" s="234" t="str">
        <f>VLOOKUP(C40,RESUMENGEN!$C$21:$E$110,2,FALSE)</f>
        <v>EJE GROUP S.A.S</v>
      </c>
      <c r="E40" s="235" t="str">
        <f>VLOOKUP(C40,'HAB.GEN.'!$C$19:$L$108,3,FALSE)</f>
        <v>HÁBIL</v>
      </c>
      <c r="F40" s="235" t="str">
        <f>VLOOKUP(C40,'HAB.GEN.'!$C$19:$L$108,4,FALSE)</f>
        <v>HÁBIL</v>
      </c>
      <c r="G40" s="235" t="str">
        <f>VLOOKUP(C40,'HAB.GEN.'!$C$19:$L$108,5,FALSE)</f>
        <v>HÁBIL</v>
      </c>
      <c r="H40" s="235" t="str">
        <f>VLOOKUP(C40,'HAB.GEN.'!$C$19:$L$108,6,FALSE)</f>
        <v>HÁBIL</v>
      </c>
      <c r="I40" s="235" t="str">
        <f>VLOOKUP(C40,RNOCI!$C$19:$F$108,3,FALSE)</f>
        <v>NO</v>
      </c>
      <c r="J40" s="235" t="str">
        <f>VLOOKUP(C40,'MULTAS Y SANCIONES'!$C$19:$E$108,3,FALSE)</f>
        <v>NO</v>
      </c>
      <c r="K40" s="235" t="str">
        <f>VLOOKUP(C40,'HAB.GEN.'!$C$19:$L$108,7,FALSE)</f>
        <v>HÁBIL</v>
      </c>
      <c r="L40" s="235" t="str">
        <f ca="1">VLOOKUP(C40,'HAB.GEN.'!$C$19:$L$108,8,FALSE)</f>
        <v>HÁBIL</v>
      </c>
      <c r="M40" s="235" t="str">
        <f>VLOOKUP(C40,'HAB.GEN.'!$C$19:$L$108,9,FALSE)</f>
        <v>HÁBIL</v>
      </c>
      <c r="N40" s="235" t="str">
        <f t="shared" ca="1" si="1"/>
        <v>HÁBIL</v>
      </c>
      <c r="O40" s="236">
        <f>VLOOKUP(C40,'PONDERACION EXP.'!$C$44:$L$133,5,FALSE)</f>
        <v>3</v>
      </c>
      <c r="P40" s="264">
        <f>VLOOKUP(C40,'PONDERACION EXP.'!$C$44:$L$133,7,FALSE)</f>
        <v>108.47666666666667</v>
      </c>
      <c r="Q40" s="265">
        <f ca="1">VLOOKUP(C40,'PONDERACION EXP.'!$C$44:$K$133,9,FALSE)</f>
        <v>8.5134195776197235</v>
      </c>
      <c r="R40" s="237" t="str">
        <f>VLOOKUP(C40,'EQUIPO DE TRABAJO'!$C$19:$F$108,4,FALSE)</f>
        <v>CUMPLE</v>
      </c>
      <c r="S40" s="238">
        <f>VLOOKUP(C40,'APOYO A IND. NAL.'!$C$19:$E$108,3,FALSE)</f>
        <v>20</v>
      </c>
      <c r="T40" s="237">
        <f>VLOOKUP(C40,'VIN.PERS.DISC.'!$C$19:$G$108,5,FALSE)</f>
        <v>1</v>
      </c>
      <c r="U40" s="238">
        <f>VLOOKUP(C40,RNOCI!$C$19:$F$108,4,FALSE)</f>
        <v>0</v>
      </c>
      <c r="V40" s="238">
        <f>VLOOKUP(C40,RESUMENGEN!$C$21:$M$110,10,FALSE)</f>
        <v>0</v>
      </c>
      <c r="W40" s="266">
        <f ca="1">VLOOKUP(C40,RESUMENGEN!$C$21:$M$110,11,FALSE)</f>
        <v>39.513419577619722</v>
      </c>
      <c r="X40" s="233"/>
      <c r="Y40" s="266" t="e">
        <f t="shared" ca="1" si="2"/>
        <v>#VALUE!</v>
      </c>
      <c r="Z40" s="239" t="e">
        <f t="shared" ca="1" si="4"/>
        <v>#VALUE!</v>
      </c>
    </row>
    <row r="41" spans="2:26">
      <c r="B41" s="234">
        <f t="shared" si="0"/>
        <v>37</v>
      </c>
      <c r="C41" s="234">
        <f>IF(VLOOKUP(B41,PROPONENTES!$B$19:$E$109,2,0)="","",VLOOKUP(B41,PROPONENTES!$B$19:$E$109,2,0))</f>
        <v>37</v>
      </c>
      <c r="D41" s="234" t="str">
        <f>VLOOKUP(C41,RESUMENGEN!$C$21:$E$110,2,FALSE)</f>
        <v>JORES INGENIERIA LTDA. JORES LTDA</v>
      </c>
      <c r="E41" s="235" t="str">
        <f>VLOOKUP(C41,'HAB.GEN.'!$C$19:$L$108,3,FALSE)</f>
        <v>HÁBIL</v>
      </c>
      <c r="F41" s="235" t="str">
        <f>VLOOKUP(C41,'HAB.GEN.'!$C$19:$L$108,4,FALSE)</f>
        <v>HÁBIL</v>
      </c>
      <c r="G41" s="235" t="str">
        <f>VLOOKUP(C41,'HAB.GEN.'!$C$19:$L$108,5,FALSE)</f>
        <v>HÁBIL</v>
      </c>
      <c r="H41" s="235" t="str">
        <f>VLOOKUP(C41,'HAB.GEN.'!$C$19:$L$108,6,FALSE)</f>
        <v>HÁBIL</v>
      </c>
      <c r="I41" s="235" t="str">
        <f>VLOOKUP(C41,RNOCI!$C$19:$F$108,3,FALSE)</f>
        <v>NO</v>
      </c>
      <c r="J41" s="235" t="str">
        <f>VLOOKUP(C41,'MULTAS Y SANCIONES'!$C$19:$E$108,3,FALSE)</f>
        <v>NO</v>
      </c>
      <c r="K41" s="235" t="str">
        <f>VLOOKUP(C41,'HAB.GEN.'!$C$19:$L$108,7,FALSE)</f>
        <v>HÁBIL</v>
      </c>
      <c r="L41" s="235" t="str">
        <f ca="1">VLOOKUP(C41,'HAB.GEN.'!$C$19:$L$108,8,FALSE)</f>
        <v>HÁBIL</v>
      </c>
      <c r="M41" s="235" t="str">
        <f>VLOOKUP(C41,'HAB.GEN.'!$C$19:$L$108,9,FALSE)</f>
        <v>HÁBIL</v>
      </c>
      <c r="N41" s="235" t="str">
        <f t="shared" ca="1" si="1"/>
        <v>HÁBIL</v>
      </c>
      <c r="O41" s="236">
        <f>VLOOKUP(C41,'PONDERACION EXP.'!$C$44:$L$133,5,FALSE)</f>
        <v>1</v>
      </c>
      <c r="P41" s="264">
        <f>VLOOKUP(C41,'PONDERACION EXP.'!$C$44:$L$133,7,FALSE)</f>
        <v>432.54</v>
      </c>
      <c r="Q41" s="265">
        <f ca="1">VLOOKUP(C41,'PONDERACION EXP.'!$C$44:$K$133,9,FALSE)</f>
        <v>33.946420158900231</v>
      </c>
      <c r="R41" s="237" t="str">
        <f>VLOOKUP(C41,'EQUIPO DE TRABAJO'!$C$19:$F$108,4,FALSE)</f>
        <v>CUMPLE</v>
      </c>
      <c r="S41" s="238">
        <f>VLOOKUP(C41,'APOYO A IND. NAL.'!$C$19:$E$108,3,FALSE)</f>
        <v>20</v>
      </c>
      <c r="T41" s="237">
        <f>VLOOKUP(C41,'VIN.PERS.DISC.'!$C$19:$G$108,5,FALSE)</f>
        <v>1</v>
      </c>
      <c r="U41" s="238">
        <f>VLOOKUP(C41,RNOCI!$C$19:$F$108,4,FALSE)</f>
        <v>0</v>
      </c>
      <c r="V41" s="238">
        <f>VLOOKUP(C41,RESUMENGEN!$C$21:$M$110,10,FALSE)</f>
        <v>0</v>
      </c>
      <c r="W41" s="266">
        <f ca="1">VLOOKUP(C41,RESUMENGEN!$C$21:$M$110,11,FALSE)</f>
        <v>64.946420158900224</v>
      </c>
      <c r="X41" s="233"/>
      <c r="Y41" s="266" t="e">
        <f t="shared" ca="1" si="2"/>
        <v>#VALUE!</v>
      </c>
      <c r="Z41" s="239" t="e">
        <f t="shared" ca="1" si="4"/>
        <v>#VALUE!</v>
      </c>
    </row>
    <row r="42" spans="2:26">
      <c r="B42" s="234">
        <f t="shared" si="0"/>
        <v>38</v>
      </c>
      <c r="C42" s="234">
        <f>IF(VLOOKUP(B42,PROPONENTES!$B$19:$E$109,2,0)="","",VLOOKUP(B42,PROPONENTES!$B$19:$E$109,2,0))</f>
        <v>38</v>
      </c>
      <c r="D42" s="234" t="str">
        <f>VLOOKUP(C42,RESUMENGEN!$C$21:$E$110,2,FALSE)</f>
        <v>CONSORCIO INTERTOLIMA CR</v>
      </c>
      <c r="E42" s="235" t="str">
        <f>VLOOKUP(C42,'HAB.GEN.'!$C$19:$L$108,3,FALSE)</f>
        <v>HÁBIL</v>
      </c>
      <c r="F42" s="235" t="str">
        <f>VLOOKUP(C42,'HAB.GEN.'!$C$19:$L$108,4,FALSE)</f>
        <v>HÁBIL</v>
      </c>
      <c r="G42" s="235" t="str">
        <f>VLOOKUP(C42,'HAB.GEN.'!$C$19:$L$108,5,FALSE)</f>
        <v>HÁBIL</v>
      </c>
      <c r="H42" s="235" t="str">
        <f>VLOOKUP(C42,'HAB.GEN.'!$C$19:$L$108,6,FALSE)</f>
        <v>HÁBIL</v>
      </c>
      <c r="I42" s="235" t="str">
        <f>VLOOKUP(C42,RNOCI!$C$19:$F$108,3,FALSE)</f>
        <v>NO</v>
      </c>
      <c r="J42" s="235" t="str">
        <f>VLOOKUP(C42,'MULTAS Y SANCIONES'!$C$19:$E$108,3,FALSE)</f>
        <v>NO</v>
      </c>
      <c r="K42" s="235" t="str">
        <f>VLOOKUP(C42,'HAB.GEN.'!$C$19:$L$108,7,FALSE)</f>
        <v>HÁBIL</v>
      </c>
      <c r="L42" s="235" t="str">
        <f ca="1">VLOOKUP(C42,'HAB.GEN.'!$C$19:$L$108,8,FALSE)</f>
        <v>HÁBIL</v>
      </c>
      <c r="M42" s="235" t="str">
        <f ca="1">VLOOKUP(C42,'HAB.GEN.'!$C$19:$L$108,9,FALSE)</f>
        <v>HÁBIL</v>
      </c>
      <c r="N42" s="235" t="str">
        <f t="shared" ca="1" si="1"/>
        <v>HÁBIL</v>
      </c>
      <c r="O42" s="236">
        <f>VLOOKUP(C42,'PONDERACION EXP.'!$C$44:$L$133,5,FALSE)</f>
        <v>1</v>
      </c>
      <c r="P42" s="264">
        <f ca="1">VLOOKUP(C42,'PONDERACION EXP.'!$C$44:$L$133,7,FALSE)</f>
        <v>1041.816</v>
      </c>
      <c r="Q42" s="265">
        <f ca="1">VLOOKUP(C42,'PONDERACION EXP.'!$C$44:$K$133,9,FALSE)</f>
        <v>43.473280324294592</v>
      </c>
      <c r="R42" s="237" t="str">
        <f>VLOOKUP(C42,'EQUIPO DE TRABAJO'!$C$19:$F$108,4,FALSE)</f>
        <v>CUMPLE</v>
      </c>
      <c r="S42" s="238">
        <f>VLOOKUP(C42,'APOYO A IND. NAL.'!$C$19:$E$108,3,FALSE)</f>
        <v>20</v>
      </c>
      <c r="T42" s="237">
        <f ca="1">VLOOKUP(C42,'VIN.PERS.DISC.'!$C$19:$G$108,5,FALSE)</f>
        <v>1</v>
      </c>
      <c r="U42" s="238">
        <f>VLOOKUP(C42,RNOCI!$C$19:$F$108,4,FALSE)</f>
        <v>0</v>
      </c>
      <c r="V42" s="238">
        <f>VLOOKUP(C42,RESUMENGEN!$C$21:$M$110,10,FALSE)</f>
        <v>0</v>
      </c>
      <c r="W42" s="266">
        <f ca="1">VLOOKUP(C42,RESUMENGEN!$C$21:$M$110,11,FALSE)</f>
        <v>74.473280324294592</v>
      </c>
      <c r="X42" s="233"/>
      <c r="Y42" s="266" t="e">
        <f t="shared" ca="1" si="2"/>
        <v>#VALUE!</v>
      </c>
      <c r="Z42" s="239" t="e">
        <f t="shared" ca="1" si="4"/>
        <v>#VALUE!</v>
      </c>
    </row>
    <row r="43" spans="2:26">
      <c r="B43" s="234">
        <f t="shared" si="0"/>
        <v>39</v>
      </c>
      <c r="C43" s="234">
        <f>IF(VLOOKUP(B43,PROPONENTES!$B$19:$E$109,2,0)="","",VLOOKUP(B43,PROPONENTES!$B$19:$E$109,2,0))</f>
        <v>39</v>
      </c>
      <c r="D43" s="234" t="str">
        <f>VLOOKUP(C43,RESUMENGEN!$C$21:$E$110,2,FALSE)</f>
        <v>CONSORCIO TOLIMA G2</v>
      </c>
      <c r="E43" s="235" t="str">
        <f>VLOOKUP(C43,'HAB.GEN.'!$C$19:$L$108,3,FALSE)</f>
        <v>HÁBIL</v>
      </c>
      <c r="F43" s="235" t="str">
        <f>VLOOKUP(C43,'HAB.GEN.'!$C$19:$L$108,4,FALSE)</f>
        <v>HÁBIL</v>
      </c>
      <c r="G43" s="235" t="str">
        <f>VLOOKUP(C43,'HAB.GEN.'!$C$19:$L$108,5,FALSE)</f>
        <v>HÁBIL</v>
      </c>
      <c r="H43" s="235" t="str">
        <f>VLOOKUP(C43,'HAB.GEN.'!$C$19:$L$108,6,FALSE)</f>
        <v>HÁBIL</v>
      </c>
      <c r="I43" s="235" t="str">
        <f>VLOOKUP(C43,RNOCI!$C$19:$F$108,3,FALSE)</f>
        <v>NO</v>
      </c>
      <c r="J43" s="235" t="str">
        <f>VLOOKUP(C43,'MULTAS Y SANCIONES'!$C$19:$E$108,3,FALSE)</f>
        <v>NO</v>
      </c>
      <c r="K43" s="235" t="str">
        <f>VLOOKUP(C43,'HAB.GEN.'!$C$19:$L$108,7,FALSE)</f>
        <v>HÁBIL</v>
      </c>
      <c r="L43" s="235" t="str">
        <f ca="1">VLOOKUP(C43,'HAB.GEN.'!$C$19:$L$108,8,FALSE)</f>
        <v>HÁBIL</v>
      </c>
      <c r="M43" s="235" t="str">
        <f ca="1">VLOOKUP(C43,'HAB.GEN.'!$C$19:$L$108,9,FALSE)</f>
        <v>HÁBIL</v>
      </c>
      <c r="N43" s="235" t="str">
        <f t="shared" ca="1" si="1"/>
        <v>HÁBIL</v>
      </c>
      <c r="O43" s="236">
        <f>VLOOKUP(C43,'PONDERACION EXP.'!$C$44:$L$133,5,FALSE)</f>
        <v>4</v>
      </c>
      <c r="P43" s="264">
        <f ca="1">VLOOKUP(C43,'PONDERACION EXP.'!$C$44:$L$133,7,FALSE)</f>
        <v>406.2115</v>
      </c>
      <c r="Q43" s="265">
        <f ca="1">VLOOKUP(C43,'PONDERACION EXP.'!$C$44:$K$133,9,FALSE)</f>
        <v>31.88011802926227</v>
      </c>
      <c r="R43" s="237" t="str">
        <f>VLOOKUP(C43,'EQUIPO DE TRABAJO'!$C$19:$F$108,4,FALSE)</f>
        <v>CUMPLE</v>
      </c>
      <c r="S43" s="238">
        <f>VLOOKUP(C43,'APOYO A IND. NAL.'!$C$19:$E$108,3,FALSE)</f>
        <v>20</v>
      </c>
      <c r="T43" s="237">
        <f ca="1">VLOOKUP(C43,'VIN.PERS.DISC.'!$C$19:$G$108,5,FALSE)</f>
        <v>1</v>
      </c>
      <c r="U43" s="238">
        <f>VLOOKUP(C43,RNOCI!$C$19:$F$108,4,FALSE)</f>
        <v>0</v>
      </c>
      <c r="V43" s="238">
        <f>VLOOKUP(C43,RESUMENGEN!$C$21:$M$110,10,FALSE)</f>
        <v>0</v>
      </c>
      <c r="W43" s="266">
        <f ca="1">VLOOKUP(C43,RESUMENGEN!$C$21:$M$110,11,FALSE)</f>
        <v>62.88011802926227</v>
      </c>
      <c r="X43" s="233"/>
      <c r="Y43" s="266" t="e">
        <f t="shared" ca="1" si="2"/>
        <v>#VALUE!</v>
      </c>
      <c r="Z43" s="239" t="e">
        <f t="shared" ca="1" si="4"/>
        <v>#VALUE!</v>
      </c>
    </row>
    <row r="44" spans="2:26">
      <c r="B44" s="234">
        <f t="shared" si="0"/>
        <v>40</v>
      </c>
      <c r="C44" s="234">
        <f>IF(VLOOKUP(B44,PROPONENTES!$B$19:$E$109,2,0)="","",VLOOKUP(B44,PROPONENTES!$B$19:$E$109,2,0))</f>
        <v>40</v>
      </c>
      <c r="D44" s="234" t="str">
        <f>VLOOKUP(C44,RESUMENGEN!$C$21:$E$110,2,FALSE)</f>
        <v>CONSORCIO INVIAS 001</v>
      </c>
      <c r="E44" s="235" t="str">
        <f>VLOOKUP(C44,'HAB.GEN.'!$C$19:$L$108,3,FALSE)</f>
        <v>HÁBIL</v>
      </c>
      <c r="F44" s="235" t="str">
        <f>VLOOKUP(C44,'HAB.GEN.'!$C$19:$L$108,4,FALSE)</f>
        <v>HÁBIL</v>
      </c>
      <c r="G44" s="235" t="str">
        <f>VLOOKUP(C44,'HAB.GEN.'!$C$19:$L$108,5,FALSE)</f>
        <v>HÁBIL</v>
      </c>
      <c r="H44" s="235" t="str">
        <f>VLOOKUP(C44,'HAB.GEN.'!$C$19:$L$108,6,FALSE)</f>
        <v>HÁBIL</v>
      </c>
      <c r="I44" s="235" t="str">
        <f>VLOOKUP(C44,RNOCI!$C$19:$F$108,3,FALSE)</f>
        <v>NO</v>
      </c>
      <c r="J44" s="235" t="str">
        <f>VLOOKUP(C44,'MULTAS Y SANCIONES'!$C$19:$E$108,3,FALSE)</f>
        <v>NO</v>
      </c>
      <c r="K44" s="235" t="str">
        <f>VLOOKUP(C44,'HAB.GEN.'!$C$19:$L$108,7,FALSE)</f>
        <v>HÁBIL</v>
      </c>
      <c r="L44" s="235" t="str">
        <f ca="1">VLOOKUP(C44,'HAB.GEN.'!$C$19:$L$108,8,FALSE)</f>
        <v>HÁBIL</v>
      </c>
      <c r="M44" s="235" t="str">
        <f ca="1">VLOOKUP(C44,'HAB.GEN.'!$C$19:$L$108,9,FALSE)</f>
        <v>HÁBIL</v>
      </c>
      <c r="N44" s="235" t="str">
        <f t="shared" ca="1" si="1"/>
        <v>HÁBIL</v>
      </c>
      <c r="O44" s="236">
        <f>VLOOKUP(C44,'PONDERACION EXP.'!$C$44:$L$133,5,FALSE)</f>
        <v>2</v>
      </c>
      <c r="P44" s="264">
        <f ca="1">VLOOKUP(C44,'PONDERACION EXP.'!$C$44:$L$133,7,FALSE)</f>
        <v>469.09749999999997</v>
      </c>
      <c r="Q44" s="265">
        <f ca="1">VLOOKUP(C44,'PONDERACION EXP.'!$C$44:$K$133,9,FALSE)</f>
        <v>36.815510312317251</v>
      </c>
      <c r="R44" s="237" t="str">
        <f>VLOOKUP(C44,'EQUIPO DE TRABAJO'!$C$19:$F$108,4,FALSE)</f>
        <v>CUMPLE</v>
      </c>
      <c r="S44" s="238">
        <f>VLOOKUP(C44,'APOYO A IND. NAL.'!$C$19:$E$108,3,FALSE)</f>
        <v>20</v>
      </c>
      <c r="T44" s="237">
        <f ca="1">VLOOKUP(C44,'VIN.PERS.DISC.'!$C$19:$G$108,5,FALSE)</f>
        <v>1</v>
      </c>
      <c r="U44" s="238">
        <f>VLOOKUP(C44,RNOCI!$C$19:$F$108,4,FALSE)</f>
        <v>0</v>
      </c>
      <c r="V44" s="238">
        <f>VLOOKUP(C44,RESUMENGEN!$C$21:$M$110,10,FALSE)</f>
        <v>0</v>
      </c>
      <c r="W44" s="266">
        <f ca="1">VLOOKUP(C44,RESUMENGEN!$C$21:$M$110,11,FALSE)</f>
        <v>67.815510312317258</v>
      </c>
      <c r="X44" s="233"/>
      <c r="Y44" s="266" t="e">
        <f t="shared" ca="1" si="2"/>
        <v>#VALUE!</v>
      </c>
      <c r="Z44" s="239" t="e">
        <f t="shared" ca="1" si="4"/>
        <v>#VALUE!</v>
      </c>
    </row>
    <row r="45" spans="2:26">
      <c r="B45" s="234">
        <f t="shared" si="0"/>
        <v>41</v>
      </c>
      <c r="C45" s="234">
        <f>IF(VLOOKUP(B45,PROPONENTES!$B$19:$E$109,2,0)="","",VLOOKUP(B45,PROPONENTES!$B$19:$E$109,2,0))</f>
        <v>41</v>
      </c>
      <c r="D45" s="234" t="str">
        <f>VLOOKUP(C45,RESUMENGEN!$C$21:$E$110,2,FALSE)</f>
        <v>CONSORCIO SF</v>
      </c>
      <c r="E45" s="235" t="str">
        <f>VLOOKUP(C45,'HAB.GEN.'!$C$19:$L$108,3,FALSE)</f>
        <v>HÁBIL</v>
      </c>
      <c r="F45" s="235" t="str">
        <f>VLOOKUP(C45,'HAB.GEN.'!$C$19:$L$108,4,FALSE)</f>
        <v>HÁBIL</v>
      </c>
      <c r="G45" s="235" t="str">
        <f>VLOOKUP(C45,'HAB.GEN.'!$C$19:$L$108,5,FALSE)</f>
        <v>HÁBIL</v>
      </c>
      <c r="H45" s="235" t="str">
        <f>VLOOKUP(C45,'HAB.GEN.'!$C$19:$L$108,6,FALSE)</f>
        <v>HÁBIL</v>
      </c>
      <c r="I45" s="235" t="str">
        <f>VLOOKUP(C45,RNOCI!$C$19:$F$108,3,FALSE)</f>
        <v>NO</v>
      </c>
      <c r="J45" s="235" t="str">
        <f>VLOOKUP(C45,'MULTAS Y SANCIONES'!$C$19:$E$108,3,FALSE)</f>
        <v>NO</v>
      </c>
      <c r="K45" s="235" t="str">
        <f>VLOOKUP(C45,'HAB.GEN.'!$C$19:$L$108,7,FALSE)</f>
        <v>HÁBIL</v>
      </c>
      <c r="L45" s="235" t="str">
        <f ca="1">VLOOKUP(C45,'HAB.GEN.'!$C$19:$L$108,8,FALSE)</f>
        <v>HÁBIL</v>
      </c>
      <c r="M45" s="235" t="str">
        <f ca="1">VLOOKUP(C45,'HAB.GEN.'!$C$19:$L$108,9,FALSE)</f>
        <v>HÁBIL</v>
      </c>
      <c r="N45" s="235" t="str">
        <f t="shared" ca="1" si="1"/>
        <v>HÁBIL</v>
      </c>
      <c r="O45" s="236">
        <f>VLOOKUP(C45,'PONDERACION EXP.'!$C$44:$L$133,5,FALSE)</f>
        <v>3</v>
      </c>
      <c r="P45" s="264">
        <f ca="1">VLOOKUP(C45,'PONDERACION EXP.'!$C$44:$L$133,7,FALSE)</f>
        <v>140.14866666666666</v>
      </c>
      <c r="Q45" s="265">
        <f ca="1">VLOOKUP(C45,'PONDERACION EXP.'!$C$44:$K$133,9,FALSE)</f>
        <v>10.999087999667836</v>
      </c>
      <c r="R45" s="237" t="str">
        <f>VLOOKUP(C45,'EQUIPO DE TRABAJO'!$C$19:$F$108,4,FALSE)</f>
        <v>CUMPLE</v>
      </c>
      <c r="S45" s="238">
        <f>VLOOKUP(C45,'APOYO A IND. NAL.'!$C$19:$E$108,3,FALSE)</f>
        <v>20</v>
      </c>
      <c r="T45" s="237">
        <f ca="1">VLOOKUP(C45,'VIN.PERS.DISC.'!$C$19:$G$108,5,FALSE)</f>
        <v>1</v>
      </c>
      <c r="U45" s="238">
        <f>VLOOKUP(C45,RNOCI!$C$19:$F$108,4,FALSE)</f>
        <v>0</v>
      </c>
      <c r="V45" s="238">
        <f>VLOOKUP(C45,RESUMENGEN!$C$21:$M$110,10,FALSE)</f>
        <v>0</v>
      </c>
      <c r="W45" s="266">
        <f ca="1">VLOOKUP(C45,RESUMENGEN!$C$21:$M$110,11,FALSE)</f>
        <v>41.999087999667836</v>
      </c>
      <c r="X45" s="233"/>
      <c r="Y45" s="266" t="e">
        <f t="shared" ca="1" si="2"/>
        <v>#VALUE!</v>
      </c>
      <c r="Z45" s="239" t="e">
        <f t="shared" ca="1" si="4"/>
        <v>#VALUE!</v>
      </c>
    </row>
    <row r="46" spans="2:26">
      <c r="B46" s="234">
        <f t="shared" si="0"/>
        <v>42</v>
      </c>
      <c r="C46" s="234">
        <f>IF(VLOOKUP(B46,PROPONENTES!$B$19:$E$109,2,0)="","",VLOOKUP(B46,PROPONENTES!$B$19:$E$109,2,0))</f>
        <v>42</v>
      </c>
      <c r="D46" s="234" t="str">
        <f>VLOOKUP(C46,RESUMENGEN!$C$21:$E$110,2,FALSE)</f>
        <v>CONSORCIO VIAL ORIEMH”</v>
      </c>
      <c r="E46" s="235" t="str">
        <f>VLOOKUP(C46,'HAB.GEN.'!$C$19:$L$108,3,FALSE)</f>
        <v>HÁBIL</v>
      </c>
      <c r="F46" s="235" t="str">
        <f>VLOOKUP(C46,'HAB.GEN.'!$C$19:$L$108,4,FALSE)</f>
        <v>HÁBIL</v>
      </c>
      <c r="G46" s="235" t="str">
        <f>VLOOKUP(C46,'HAB.GEN.'!$C$19:$L$108,5,FALSE)</f>
        <v>HÁBIL</v>
      </c>
      <c r="H46" s="235" t="str">
        <f>VLOOKUP(C46,'HAB.GEN.'!$C$19:$L$108,6,FALSE)</f>
        <v>HÁBIL</v>
      </c>
      <c r="I46" s="235" t="str">
        <f>VLOOKUP(C46,RNOCI!$C$19:$F$108,3,FALSE)</f>
        <v>NO</v>
      </c>
      <c r="J46" s="235" t="str">
        <f>VLOOKUP(C46,'MULTAS Y SANCIONES'!$C$19:$E$108,3,FALSE)</f>
        <v>NO</v>
      </c>
      <c r="K46" s="235" t="str">
        <f>VLOOKUP(C46,'HAB.GEN.'!$C$19:$L$108,7,FALSE)</f>
        <v>HÁBIL</v>
      </c>
      <c r="L46" s="235" t="str">
        <f ca="1">VLOOKUP(C46,'HAB.GEN.'!$C$19:$L$108,8,FALSE)</f>
        <v>HÁBIL</v>
      </c>
      <c r="M46" s="235" t="str">
        <f ca="1">VLOOKUP(C46,'HAB.GEN.'!$C$19:$L$108,9,FALSE)</f>
        <v>HÁBIL</v>
      </c>
      <c r="N46" s="235" t="str">
        <f t="shared" ca="1" si="1"/>
        <v>HÁBIL</v>
      </c>
      <c r="O46" s="236">
        <f>VLOOKUP(C46,'PONDERACION EXP.'!$C$44:$L$133,5,FALSE)</f>
        <v>3</v>
      </c>
      <c r="P46" s="264">
        <f ca="1">VLOOKUP(C46,'PONDERACION EXP.'!$C$44:$L$133,7,FALSE)</f>
        <v>433.06776666666661</v>
      </c>
      <c r="Q46" s="265">
        <f ca="1">VLOOKUP(C46,'PONDERACION EXP.'!$C$44:$K$133,9,FALSE)</f>
        <v>33.987840117776933</v>
      </c>
      <c r="R46" s="237" t="str">
        <f>VLOOKUP(C46,'EQUIPO DE TRABAJO'!$C$19:$F$108,4,FALSE)</f>
        <v>CUMPLE</v>
      </c>
      <c r="S46" s="238">
        <f>VLOOKUP(C46,'APOYO A IND. NAL.'!$C$19:$E$108,3,FALSE)</f>
        <v>20</v>
      </c>
      <c r="T46" s="237">
        <f ca="1">VLOOKUP(C46,'VIN.PERS.DISC.'!$C$19:$G$108,5,FALSE)</f>
        <v>1</v>
      </c>
      <c r="U46" s="238">
        <f>VLOOKUP(C46,RNOCI!$C$19:$F$108,4,FALSE)</f>
        <v>0</v>
      </c>
      <c r="V46" s="238">
        <f>VLOOKUP(C46,RESUMENGEN!$C$21:$M$110,10,FALSE)</f>
        <v>0</v>
      </c>
      <c r="W46" s="266">
        <f ca="1">VLOOKUP(C46,RESUMENGEN!$C$21:$M$110,11,FALSE)</f>
        <v>64.987840117776926</v>
      </c>
      <c r="X46" s="233"/>
      <c r="Y46" s="266" t="e">
        <f t="shared" ca="1" si="2"/>
        <v>#VALUE!</v>
      </c>
      <c r="Z46" s="239" t="e">
        <f t="shared" ca="1" si="4"/>
        <v>#VALUE!</v>
      </c>
    </row>
    <row r="47" spans="2:26">
      <c r="B47" s="234">
        <f t="shared" si="0"/>
        <v>43</v>
      </c>
      <c r="C47" s="234">
        <f>IF(VLOOKUP(B47,PROPONENTES!$B$19:$E$109,2,0)="","",VLOOKUP(B47,PROPONENTES!$B$19:$E$109,2,0))</f>
        <v>43</v>
      </c>
      <c r="D47" s="234" t="str">
        <f>VLOOKUP(C47,RESUMENGEN!$C$21:$E$110,2,FALSE)</f>
        <v>CONSORCIO INTERFEDCO TOLIMA</v>
      </c>
      <c r="E47" s="235" t="str">
        <f>VLOOKUP(C47,'HAB.GEN.'!$C$19:$L$108,3,FALSE)</f>
        <v>HÁBIL</v>
      </c>
      <c r="F47" s="235" t="str">
        <f>VLOOKUP(C47,'HAB.GEN.'!$C$19:$L$108,4,FALSE)</f>
        <v>HÁBIL</v>
      </c>
      <c r="G47" s="235" t="str">
        <f>VLOOKUP(C47,'HAB.GEN.'!$C$19:$L$108,5,FALSE)</f>
        <v>HÁBIL</v>
      </c>
      <c r="H47" s="235" t="str">
        <f>VLOOKUP(C47,'HAB.GEN.'!$C$19:$L$108,6,FALSE)</f>
        <v>HÁBIL</v>
      </c>
      <c r="I47" s="235" t="str">
        <f>VLOOKUP(C47,RNOCI!$C$19:$F$108,3,FALSE)</f>
        <v>NO</v>
      </c>
      <c r="J47" s="235" t="str">
        <f>VLOOKUP(C47,'MULTAS Y SANCIONES'!$C$19:$E$108,3,FALSE)</f>
        <v>NO</v>
      </c>
      <c r="K47" s="235" t="str">
        <f>VLOOKUP(C47,'HAB.GEN.'!$C$19:$L$108,7,FALSE)</f>
        <v>HÁBIL</v>
      </c>
      <c r="L47" s="235" t="str">
        <f ca="1">VLOOKUP(C47,'HAB.GEN.'!$C$19:$L$108,8,FALSE)</f>
        <v>HÁBIL</v>
      </c>
      <c r="M47" s="235" t="str">
        <f ca="1">VLOOKUP(C47,'HAB.GEN.'!$C$19:$L$108,9,FALSE)</f>
        <v>HÁBIL</v>
      </c>
      <c r="N47" s="235" t="str">
        <f t="shared" ca="1" si="1"/>
        <v>HÁBIL</v>
      </c>
      <c r="O47" s="236">
        <f>VLOOKUP(C47,'PONDERACION EXP.'!$C$44:$L$133,5,FALSE)</f>
        <v>5</v>
      </c>
      <c r="P47" s="264">
        <f ca="1">VLOOKUP(C47,'PONDERACION EXP.'!$C$44:$L$133,7,FALSE)</f>
        <v>106.5</v>
      </c>
      <c r="Q47" s="265">
        <f ca="1">VLOOKUP(C47,'PONDERACION EXP.'!$C$44:$K$133,9,FALSE)</f>
        <v>8.3582876657023046</v>
      </c>
      <c r="R47" s="237" t="str">
        <f>VLOOKUP(C47,'EQUIPO DE TRABAJO'!$C$19:$F$108,4,FALSE)</f>
        <v>CUMPLE</v>
      </c>
      <c r="S47" s="238">
        <f>VLOOKUP(C47,'APOYO A IND. NAL.'!$C$19:$E$108,3,FALSE)</f>
        <v>20</v>
      </c>
      <c r="T47" s="237">
        <f ca="1">VLOOKUP(C47,'VIN.PERS.DISC.'!$C$19:$G$108,5,FALSE)</f>
        <v>1</v>
      </c>
      <c r="U47" s="238">
        <f>VLOOKUP(C47,RNOCI!$C$19:$F$108,4,FALSE)</f>
        <v>0</v>
      </c>
      <c r="V47" s="238">
        <f>VLOOKUP(C47,RESUMENGEN!$C$21:$M$110,10,FALSE)</f>
        <v>0</v>
      </c>
      <c r="W47" s="266">
        <f ca="1">VLOOKUP(C47,RESUMENGEN!$C$21:$M$110,11,FALSE)</f>
        <v>39.358287665702306</v>
      </c>
      <c r="X47" s="233"/>
      <c r="Y47" s="266" t="e">
        <f t="shared" ca="1" si="2"/>
        <v>#VALUE!</v>
      </c>
      <c r="Z47" s="239" t="e">
        <f t="shared" ca="1" si="4"/>
        <v>#VALUE!</v>
      </c>
    </row>
    <row r="48" spans="2:26">
      <c r="B48" s="234">
        <f t="shared" si="0"/>
        <v>44</v>
      </c>
      <c r="C48" s="234">
        <f>IF(VLOOKUP(B48,PROPONENTES!$B$19:$E$109,2,0)="","",VLOOKUP(B48,PROPONENTES!$B$19:$E$109,2,0))</f>
        <v>44</v>
      </c>
      <c r="D48" s="234" t="str">
        <f>VLOOKUP(C48,RESUMENGEN!$C$21:$E$110,2,FALSE)</f>
        <v>CONSORCIO VIAS RURALES TOL</v>
      </c>
      <c r="E48" s="235" t="str">
        <f>VLOOKUP(C48,'HAB.GEN.'!$C$19:$L$108,3,FALSE)</f>
        <v>HÁBIL</v>
      </c>
      <c r="F48" s="235" t="str">
        <f>VLOOKUP(C48,'HAB.GEN.'!$C$19:$L$108,4,FALSE)</f>
        <v>HÁBIL</v>
      </c>
      <c r="G48" s="235" t="str">
        <f>VLOOKUP(C48,'HAB.GEN.'!$C$19:$L$108,5,FALSE)</f>
        <v>HÁBIL</v>
      </c>
      <c r="H48" s="235" t="str">
        <f>VLOOKUP(C48,'HAB.GEN.'!$C$19:$L$108,6,FALSE)</f>
        <v>HÁBIL</v>
      </c>
      <c r="I48" s="235" t="str">
        <f>VLOOKUP(C48,RNOCI!$C$19:$F$108,3,FALSE)</f>
        <v>NO</v>
      </c>
      <c r="J48" s="235" t="str">
        <f>VLOOKUP(C48,'MULTAS Y SANCIONES'!$C$19:$E$108,3,FALSE)</f>
        <v>NO</v>
      </c>
      <c r="K48" s="235" t="str">
        <f>VLOOKUP(C48,'HAB.GEN.'!$C$19:$L$108,7,FALSE)</f>
        <v>HÁBIL</v>
      </c>
      <c r="L48" s="235" t="str">
        <f ca="1">VLOOKUP(C48,'HAB.GEN.'!$C$19:$L$108,8,FALSE)</f>
        <v>HÁBIL</v>
      </c>
      <c r="M48" s="235" t="str">
        <f ca="1">VLOOKUP(C48,'HAB.GEN.'!$C$19:$L$108,9,FALSE)</f>
        <v>HÁBIL</v>
      </c>
      <c r="N48" s="235" t="str">
        <f t="shared" ca="1" si="1"/>
        <v>HÁBIL</v>
      </c>
      <c r="O48" s="236">
        <f>VLOOKUP(C48,'PONDERACION EXP.'!$C$44:$L$133,5,FALSE)</f>
        <v>3</v>
      </c>
      <c r="P48" s="264">
        <f ca="1">VLOOKUP(C48,'PONDERACION EXP.'!$C$44:$L$133,7,FALSE)</f>
        <v>334.91900000000004</v>
      </c>
      <c r="Q48" s="265">
        <f ca="1">VLOOKUP(C48,'PONDERACION EXP.'!$C$44:$K$133,9,FALSE)</f>
        <v>26.284970391637096</v>
      </c>
      <c r="R48" s="237" t="str">
        <f>VLOOKUP(C48,'EQUIPO DE TRABAJO'!$C$19:$F$108,4,FALSE)</f>
        <v>CUMPLE</v>
      </c>
      <c r="S48" s="238">
        <f>VLOOKUP(C48,'APOYO A IND. NAL.'!$C$19:$E$108,3,FALSE)</f>
        <v>20</v>
      </c>
      <c r="T48" s="237">
        <f ca="1">VLOOKUP(C48,'VIN.PERS.DISC.'!$C$19:$G$108,5,FALSE)</f>
        <v>1</v>
      </c>
      <c r="U48" s="238">
        <f>VLOOKUP(C48,RNOCI!$C$19:$F$108,4,FALSE)</f>
        <v>0</v>
      </c>
      <c r="V48" s="238">
        <f>VLOOKUP(C48,RESUMENGEN!$C$21:$M$110,10,FALSE)</f>
        <v>0</v>
      </c>
      <c r="W48" s="266">
        <f ca="1">VLOOKUP(C48,RESUMENGEN!$C$21:$M$110,11,FALSE)</f>
        <v>57.284970391637096</v>
      </c>
      <c r="X48" s="233"/>
      <c r="Y48" s="266" t="e">
        <f t="shared" ca="1" si="2"/>
        <v>#VALUE!</v>
      </c>
      <c r="Z48" s="239" t="e">
        <f t="shared" ca="1" si="4"/>
        <v>#VALUE!</v>
      </c>
    </row>
    <row r="49" spans="2:26" ht="25.5">
      <c r="B49" s="234">
        <f t="shared" si="0"/>
        <v>45</v>
      </c>
      <c r="C49" s="234">
        <f>IF(VLOOKUP(B49,PROPONENTES!$B$19:$E$109,2,0)="","",VLOOKUP(B49,PROPONENTES!$B$19:$E$109,2,0))</f>
        <v>45</v>
      </c>
      <c r="D49" s="234" t="str">
        <f>VLOOKUP(C49,RESUMENGEN!$C$21:$E$110,2,FALSE)</f>
        <v>TECNOLOGÍA DE NUEVAS MEDICIONES COLOMBIA S.A.S. – TECNUMEC S.A.S.</v>
      </c>
      <c r="E49" s="235" t="str">
        <f>VLOOKUP(C49,'HAB.GEN.'!$C$19:$L$108,3,FALSE)</f>
        <v>HÁBIL</v>
      </c>
      <c r="F49" s="235" t="str">
        <f>VLOOKUP(C49,'HAB.GEN.'!$C$19:$L$108,4,FALSE)</f>
        <v>HÁBIL</v>
      </c>
      <c r="G49" s="235" t="str">
        <f>VLOOKUP(C49,'HAB.GEN.'!$C$19:$L$108,5,FALSE)</f>
        <v>HÁBIL</v>
      </c>
      <c r="H49" s="235" t="str">
        <f>VLOOKUP(C49,'HAB.GEN.'!$C$19:$L$108,6,FALSE)</f>
        <v>HÁBIL</v>
      </c>
      <c r="I49" s="235" t="str">
        <f>VLOOKUP(C49,RNOCI!$C$19:$F$108,3,FALSE)</f>
        <v>NO</v>
      </c>
      <c r="J49" s="235" t="str">
        <f>VLOOKUP(C49,'MULTAS Y SANCIONES'!$C$19:$E$108,3,FALSE)</f>
        <v>NO</v>
      </c>
      <c r="K49" s="235" t="str">
        <f>VLOOKUP(C49,'HAB.GEN.'!$C$19:$L$108,7,FALSE)</f>
        <v>HÁBIL</v>
      </c>
      <c r="L49" s="235" t="str">
        <f ca="1">VLOOKUP(C49,'HAB.GEN.'!$C$19:$L$108,8,FALSE)</f>
        <v>HÁBIL</v>
      </c>
      <c r="M49" s="235" t="str">
        <f>VLOOKUP(C49,'HAB.GEN.'!$C$19:$L$108,9,FALSE)</f>
        <v>HÁBIL</v>
      </c>
      <c r="N49" s="235" t="str">
        <f t="shared" ca="1" si="1"/>
        <v>HÁBIL</v>
      </c>
      <c r="O49" s="236">
        <f>VLOOKUP(C49,'PONDERACION EXP.'!$C$44:$L$133,5,FALSE)</f>
        <v>3</v>
      </c>
      <c r="P49" s="264">
        <f>VLOOKUP(C49,'PONDERACION EXP.'!$C$44:$L$133,7,FALSE)</f>
        <v>469.20133333333337</v>
      </c>
      <c r="Q49" s="265">
        <f ca="1">VLOOKUP(C49,'PONDERACION EXP.'!$C$44:$K$133,9,FALSE)</f>
        <v>36.823659315784752</v>
      </c>
      <c r="R49" s="237" t="str">
        <f>VLOOKUP(C49,'EQUIPO DE TRABAJO'!$C$19:$F$108,4,FALSE)</f>
        <v>CUMPLE</v>
      </c>
      <c r="S49" s="238">
        <f>VLOOKUP(C49,'APOYO A IND. NAL.'!$C$19:$E$108,3,FALSE)</f>
        <v>20</v>
      </c>
      <c r="T49" s="237">
        <f>VLOOKUP(C49,'VIN.PERS.DISC.'!$C$19:$G$108,5,FALSE)</f>
        <v>1</v>
      </c>
      <c r="U49" s="238">
        <f>VLOOKUP(C49,RNOCI!$C$19:$F$108,4,FALSE)</f>
        <v>0</v>
      </c>
      <c r="V49" s="238">
        <f>VLOOKUP(C49,RESUMENGEN!$C$21:$M$110,10,FALSE)</f>
        <v>0</v>
      </c>
      <c r="W49" s="266">
        <f ca="1">VLOOKUP(C49,RESUMENGEN!$C$21:$M$110,11,FALSE)</f>
        <v>67.823659315784752</v>
      </c>
      <c r="X49" s="233"/>
      <c r="Y49" s="266" t="e">
        <f t="shared" ca="1" si="2"/>
        <v>#VALUE!</v>
      </c>
      <c r="Z49" s="239" t="e">
        <f t="shared" ca="1" si="4"/>
        <v>#VALUE!</v>
      </c>
    </row>
    <row r="50" spans="2:26">
      <c r="B50" s="234">
        <f t="shared" si="0"/>
        <v>46</v>
      </c>
      <c r="C50" s="234">
        <f>IF(VLOOKUP(B50,PROPONENTES!$B$19:$E$109,2,0)="","",VLOOKUP(B50,PROPONENTES!$B$19:$E$109,2,0))</f>
        <v>46</v>
      </c>
      <c r="D50" s="234" t="str">
        <f>VLOOKUP(C50,RESUMENGEN!$C$21:$E$110,2,FALSE)</f>
        <v>CONSULTORES SOLANO NAVAS LTDA</v>
      </c>
      <c r="E50" s="235" t="str">
        <f>VLOOKUP(C50,'HAB.GEN.'!$C$19:$L$108,3,FALSE)</f>
        <v>HÁBIL</v>
      </c>
      <c r="F50" s="235" t="str">
        <f>VLOOKUP(C50,'HAB.GEN.'!$C$19:$L$108,4,FALSE)</f>
        <v>HÁBIL</v>
      </c>
      <c r="G50" s="235" t="str">
        <f>VLOOKUP(C50,'HAB.GEN.'!$C$19:$L$108,5,FALSE)</f>
        <v>HÁBIL</v>
      </c>
      <c r="H50" s="235" t="str">
        <f>VLOOKUP(C50,'HAB.GEN.'!$C$19:$L$108,6,FALSE)</f>
        <v>HÁBIL</v>
      </c>
      <c r="I50" s="235" t="str">
        <f>VLOOKUP(C50,RNOCI!$C$19:$F$108,3,FALSE)</f>
        <v>NO</v>
      </c>
      <c r="J50" s="235" t="str">
        <f>VLOOKUP(C50,'MULTAS Y SANCIONES'!$C$19:$E$108,3,FALSE)</f>
        <v>NO</v>
      </c>
      <c r="K50" s="235" t="str">
        <f>VLOOKUP(C50,'HAB.GEN.'!$C$19:$L$108,7,FALSE)</f>
        <v>HÁBIL</v>
      </c>
      <c r="L50" s="235" t="str">
        <f ca="1">VLOOKUP(C50,'HAB.GEN.'!$C$19:$L$108,8,FALSE)</f>
        <v>HÁBIL</v>
      </c>
      <c r="M50" s="235" t="str">
        <f>VLOOKUP(C50,'HAB.GEN.'!$C$19:$L$108,9,FALSE)</f>
        <v>HÁBIL</v>
      </c>
      <c r="N50" s="235" t="str">
        <f t="shared" ca="1" si="1"/>
        <v>HÁBIL</v>
      </c>
      <c r="O50" s="236">
        <f>VLOOKUP(C50,'PONDERACION EXP.'!$C$44:$L$133,5,FALSE)</f>
        <v>3</v>
      </c>
      <c r="P50" s="264">
        <f>VLOOKUP(C50,'PONDERACION EXP.'!$C$44:$L$133,7,FALSE)</f>
        <v>446.18779999999998</v>
      </c>
      <c r="Q50" s="265">
        <f ca="1">VLOOKUP(C50,'PONDERACION EXP.'!$C$44:$K$133,9,FALSE)</f>
        <v>35.017520988984479</v>
      </c>
      <c r="R50" s="237" t="str">
        <f>VLOOKUP(C50,'EQUIPO DE TRABAJO'!$C$19:$F$108,4,FALSE)</f>
        <v>CUMPLE</v>
      </c>
      <c r="S50" s="238">
        <f>VLOOKUP(C50,'APOYO A IND. NAL.'!$C$19:$E$108,3,FALSE)</f>
        <v>20</v>
      </c>
      <c r="T50" s="237">
        <f>VLOOKUP(C50,'VIN.PERS.DISC.'!$C$19:$G$108,5,FALSE)</f>
        <v>1</v>
      </c>
      <c r="U50" s="238">
        <f>VLOOKUP(C50,RNOCI!$C$19:$F$108,4,FALSE)</f>
        <v>0</v>
      </c>
      <c r="V50" s="238">
        <f>VLOOKUP(C50,RESUMENGEN!$C$21:$M$110,10,FALSE)</f>
        <v>0</v>
      </c>
      <c r="W50" s="266">
        <f ca="1">VLOOKUP(C50,RESUMENGEN!$C$21:$M$110,11,FALSE)</f>
        <v>66.017520988984472</v>
      </c>
      <c r="X50" s="233"/>
      <c r="Y50" s="266" t="e">
        <f t="shared" ca="1" si="2"/>
        <v>#VALUE!</v>
      </c>
      <c r="Z50" s="239" t="e">
        <f t="shared" ca="1" si="4"/>
        <v>#VALUE!</v>
      </c>
    </row>
    <row r="51" spans="2:26">
      <c r="B51" s="234">
        <f t="shared" si="0"/>
        <v>47</v>
      </c>
      <c r="C51" s="234">
        <f>IF(VLOOKUP(B51,PROPONENTES!$B$19:$E$109,2,0)="","",VLOOKUP(B51,PROPONENTES!$B$19:$E$109,2,0))</f>
        <v>47</v>
      </c>
      <c r="D51" s="234" t="str">
        <f>VLOOKUP(C51,RESUMENGEN!$C$21:$E$110,2,FALSE)</f>
        <v>CONSORCIO VIAS TOLIMA 22</v>
      </c>
      <c r="E51" s="235" t="str">
        <f>VLOOKUP(C51,'HAB.GEN.'!$C$19:$L$108,3,FALSE)</f>
        <v>HÁBIL</v>
      </c>
      <c r="F51" s="235" t="str">
        <f>VLOOKUP(C51,'HAB.GEN.'!$C$19:$L$108,4,FALSE)</f>
        <v>HÁBIL</v>
      </c>
      <c r="G51" s="235" t="str">
        <f>VLOOKUP(C51,'HAB.GEN.'!$C$19:$L$108,5,FALSE)</f>
        <v>HÁBIL</v>
      </c>
      <c r="H51" s="235" t="str">
        <f>VLOOKUP(C51,'HAB.GEN.'!$C$19:$L$108,6,FALSE)</f>
        <v>HÁBIL</v>
      </c>
      <c r="I51" s="235" t="str">
        <f>VLOOKUP(C51,RNOCI!$C$19:$F$108,3,FALSE)</f>
        <v>NO</v>
      </c>
      <c r="J51" s="235" t="str">
        <f>VLOOKUP(C51,'MULTAS Y SANCIONES'!$C$19:$E$108,3,FALSE)</f>
        <v>NO</v>
      </c>
      <c r="K51" s="235" t="str">
        <f>VLOOKUP(C51,'HAB.GEN.'!$C$19:$L$108,7,FALSE)</f>
        <v>HÁBIL</v>
      </c>
      <c r="L51" s="235" t="str">
        <f ca="1">VLOOKUP(C51,'HAB.GEN.'!$C$19:$L$108,8,FALSE)</f>
        <v>HÁBIL</v>
      </c>
      <c r="M51" s="235" t="str">
        <f ca="1">VLOOKUP(C51,'HAB.GEN.'!$C$19:$L$108,9,FALSE)</f>
        <v>HÁBIL</v>
      </c>
      <c r="N51" s="235" t="str">
        <f t="shared" ca="1" si="1"/>
        <v>HÁBIL</v>
      </c>
      <c r="O51" s="236">
        <f>VLOOKUP(C51,'PONDERACION EXP.'!$C$44:$L$133,5,FALSE)</f>
        <v>3</v>
      </c>
      <c r="P51" s="264">
        <f ca="1">VLOOKUP(C51,'PONDERACION EXP.'!$C$44:$L$133,7,FALSE)</f>
        <v>416.46033333333338</v>
      </c>
      <c r="Q51" s="265">
        <f ca="1">VLOOKUP(C51,'PONDERACION EXP.'!$C$44:$K$133,9,FALSE)</f>
        <v>32.684462604265455</v>
      </c>
      <c r="R51" s="237" t="str">
        <f>VLOOKUP(C51,'EQUIPO DE TRABAJO'!$C$19:$F$108,4,FALSE)</f>
        <v>CUMPLE</v>
      </c>
      <c r="S51" s="238">
        <f>VLOOKUP(C51,'APOYO A IND. NAL.'!$C$19:$E$108,3,FALSE)</f>
        <v>20</v>
      </c>
      <c r="T51" s="237">
        <f ca="1">VLOOKUP(C51,'VIN.PERS.DISC.'!$C$19:$G$108,5,FALSE)</f>
        <v>1</v>
      </c>
      <c r="U51" s="238">
        <f>VLOOKUP(C51,RNOCI!$C$19:$F$108,4,FALSE)</f>
        <v>0</v>
      </c>
      <c r="V51" s="238">
        <f>VLOOKUP(C51,RESUMENGEN!$C$21:$M$110,10,FALSE)</f>
        <v>0</v>
      </c>
      <c r="W51" s="266">
        <f ca="1">VLOOKUP(C51,RESUMENGEN!$C$21:$M$110,11,FALSE)</f>
        <v>63.684462604265455</v>
      </c>
      <c r="X51" s="233"/>
      <c r="Y51" s="266" t="e">
        <f t="shared" ca="1" si="2"/>
        <v>#VALUE!</v>
      </c>
      <c r="Z51" s="239" t="e">
        <f t="shared" ca="1" si="4"/>
        <v>#VALUE!</v>
      </c>
    </row>
    <row r="52" spans="2:26">
      <c r="B52" s="234">
        <f t="shared" si="0"/>
        <v>48</v>
      </c>
      <c r="C52" s="234">
        <f>IF(VLOOKUP(B52,PROPONENTES!$B$19:$E$109,2,0)="","",VLOOKUP(B52,PROPONENTES!$B$19:$E$109,2,0))</f>
        <v>48</v>
      </c>
      <c r="D52" s="234" t="str">
        <f>VLOOKUP(C52,RESUMENGEN!$C$21:$E$110,2,FALSE)</f>
        <v>BRAIN INGENIERIA VIAL SAS</v>
      </c>
      <c r="E52" s="235" t="str">
        <f>VLOOKUP(C52,'HAB.GEN.'!$C$19:$L$108,3,FALSE)</f>
        <v>HÁBIL</v>
      </c>
      <c r="F52" s="235" t="str">
        <f>VLOOKUP(C52,'HAB.GEN.'!$C$19:$L$108,4,FALSE)</f>
        <v>HÁBIL</v>
      </c>
      <c r="G52" s="235" t="str">
        <f>VLOOKUP(C52,'HAB.GEN.'!$C$19:$L$108,5,FALSE)</f>
        <v>HÁBIL</v>
      </c>
      <c r="H52" s="235" t="str">
        <f>VLOOKUP(C52,'HAB.GEN.'!$C$19:$L$108,6,FALSE)</f>
        <v>HÁBIL</v>
      </c>
      <c r="I52" s="235" t="str">
        <f>VLOOKUP(C52,RNOCI!$C$19:$F$108,3,FALSE)</f>
        <v>NO</v>
      </c>
      <c r="J52" s="235" t="str">
        <f>VLOOKUP(C52,'MULTAS Y SANCIONES'!$C$19:$E$108,3,FALSE)</f>
        <v>NO</v>
      </c>
      <c r="K52" s="235" t="str">
        <f>VLOOKUP(C52,'HAB.GEN.'!$C$19:$L$108,7,FALSE)</f>
        <v>HÁBIL</v>
      </c>
      <c r="L52" s="235" t="str">
        <f ca="1">VLOOKUP(C52,'HAB.GEN.'!$C$19:$L$108,8,FALSE)</f>
        <v>HÁBIL</v>
      </c>
      <c r="M52" s="235" t="str">
        <f>VLOOKUP(C52,'HAB.GEN.'!$C$19:$L$108,9,FALSE)</f>
        <v>HÁBIL</v>
      </c>
      <c r="N52" s="235" t="str">
        <f t="shared" ca="1" si="1"/>
        <v>HÁBIL</v>
      </c>
      <c r="O52" s="236">
        <f>VLOOKUP(C52,'PONDERACION EXP.'!$C$44:$L$133,5,FALSE)</f>
        <v>1</v>
      </c>
      <c r="P52" s="264">
        <f>VLOOKUP(C52,'PONDERACION EXP.'!$C$44:$L$133,7,FALSE)</f>
        <v>357.54</v>
      </c>
      <c r="Q52" s="265">
        <f ca="1">VLOOKUP(C52,'PONDERACION EXP.'!$C$44:$K$133,9,FALSE)</f>
        <v>28.060302084461991</v>
      </c>
      <c r="R52" s="237" t="str">
        <f>VLOOKUP(C52,'EQUIPO DE TRABAJO'!$C$19:$F$108,4,FALSE)</f>
        <v>CUMPLE</v>
      </c>
      <c r="S52" s="238">
        <f>VLOOKUP(C52,'APOYO A IND. NAL.'!$C$19:$E$108,3,FALSE)</f>
        <v>20</v>
      </c>
      <c r="T52" s="237">
        <f>VLOOKUP(C52,'VIN.PERS.DISC.'!$C$19:$G$108,5,FALSE)</f>
        <v>1</v>
      </c>
      <c r="U52" s="238">
        <f>VLOOKUP(C52,RNOCI!$C$19:$F$108,4,FALSE)</f>
        <v>0</v>
      </c>
      <c r="V52" s="238">
        <f>VLOOKUP(C52,RESUMENGEN!$C$21:$M$110,10,FALSE)</f>
        <v>0</v>
      </c>
      <c r="W52" s="266">
        <f ca="1">VLOOKUP(C52,RESUMENGEN!$C$21:$M$110,11,FALSE)</f>
        <v>59.060302084461995</v>
      </c>
      <c r="X52" s="233"/>
      <c r="Y52" s="266" t="e">
        <f t="shared" ca="1" si="2"/>
        <v>#VALUE!</v>
      </c>
      <c r="Z52" s="239" t="e">
        <f t="shared" ca="1" si="4"/>
        <v>#VALUE!</v>
      </c>
    </row>
    <row r="53" spans="2:26">
      <c r="B53" s="234">
        <f t="shared" si="0"/>
        <v>49</v>
      </c>
      <c r="C53" s="234">
        <f>IF(VLOOKUP(B53,PROPONENTES!$B$19:$E$109,2,0)="","",VLOOKUP(B53,PROPONENTES!$B$19:$E$109,2,0))</f>
        <v>49</v>
      </c>
      <c r="D53" s="234" t="str">
        <f>VLOOKUP(C53,RESUMENGEN!$C$21:$E$110,2,FALSE)</f>
        <v>CONSORCIO LAPP</v>
      </c>
      <c r="E53" s="235" t="str">
        <f>VLOOKUP(C53,'HAB.GEN.'!$C$19:$L$108,3,FALSE)</f>
        <v>HÁBIL</v>
      </c>
      <c r="F53" s="235" t="str">
        <f>VLOOKUP(C53,'HAB.GEN.'!$C$19:$L$108,4,FALSE)</f>
        <v>HÁBIL</v>
      </c>
      <c r="G53" s="235" t="str">
        <f>VLOOKUP(C53,'HAB.GEN.'!$C$19:$L$108,5,FALSE)</f>
        <v>HÁBIL</v>
      </c>
      <c r="H53" s="235" t="str">
        <f>VLOOKUP(C53,'HAB.GEN.'!$C$19:$L$108,6,FALSE)</f>
        <v>HÁBIL</v>
      </c>
      <c r="I53" s="235" t="str">
        <f>VLOOKUP(C53,RNOCI!$C$19:$F$108,3,FALSE)</f>
        <v>NO</v>
      </c>
      <c r="J53" s="235" t="str">
        <f>VLOOKUP(C53,'MULTAS Y SANCIONES'!$C$19:$E$108,3,FALSE)</f>
        <v>NO</v>
      </c>
      <c r="K53" s="235" t="str">
        <f>VLOOKUP(C53,'HAB.GEN.'!$C$19:$L$108,7,FALSE)</f>
        <v>HÁBIL</v>
      </c>
      <c r="L53" s="235" t="str">
        <f ca="1">VLOOKUP(C53,'HAB.GEN.'!$C$19:$L$108,8,FALSE)</f>
        <v>HÁBIL</v>
      </c>
      <c r="M53" s="235" t="str">
        <f ca="1">VLOOKUP(C53,'HAB.GEN.'!$C$19:$L$108,9,FALSE)</f>
        <v>HÁBIL</v>
      </c>
      <c r="N53" s="235" t="str">
        <f t="shared" ca="1" si="1"/>
        <v>HÁBIL</v>
      </c>
      <c r="O53" s="236">
        <f>VLOOKUP(C53,'PONDERACION EXP.'!$C$44:$L$133,5,FALSE)</f>
        <v>3</v>
      </c>
      <c r="P53" s="264">
        <f ca="1">VLOOKUP(C53,'PONDERACION EXP.'!$C$44:$L$133,7,FALSE)</f>
        <v>540.62666666666667</v>
      </c>
      <c r="Q53" s="265">
        <f ca="1">VLOOKUP(C53,'PONDERACION EXP.'!$C$44:$K$133,9,FALSE)</f>
        <v>42.429231922532878</v>
      </c>
      <c r="R53" s="237" t="str">
        <f>VLOOKUP(C53,'EQUIPO DE TRABAJO'!$C$19:$F$108,4,FALSE)</f>
        <v>CUMPLE</v>
      </c>
      <c r="S53" s="238">
        <f>VLOOKUP(C53,'APOYO A IND. NAL.'!$C$19:$E$108,3,FALSE)</f>
        <v>20</v>
      </c>
      <c r="T53" s="237">
        <f ca="1">VLOOKUP(C53,'VIN.PERS.DISC.'!$C$19:$G$108,5,FALSE)</f>
        <v>1</v>
      </c>
      <c r="U53" s="238">
        <f>VLOOKUP(C53,RNOCI!$C$19:$F$108,4,FALSE)</f>
        <v>0</v>
      </c>
      <c r="V53" s="238">
        <f>VLOOKUP(C53,RESUMENGEN!$C$21:$M$110,10,FALSE)</f>
        <v>0</v>
      </c>
      <c r="W53" s="266">
        <f ca="1">VLOOKUP(C53,RESUMENGEN!$C$21:$M$110,11,FALSE)</f>
        <v>73.429231922532878</v>
      </c>
      <c r="X53" s="233"/>
      <c r="Y53" s="266" t="e">
        <f t="shared" ca="1" si="2"/>
        <v>#VALUE!</v>
      </c>
      <c r="Z53" s="239" t="e">
        <f t="shared" ca="1" si="4"/>
        <v>#VALUE!</v>
      </c>
    </row>
    <row r="54" spans="2:26">
      <c r="B54" s="234">
        <f t="shared" si="0"/>
        <v>50</v>
      </c>
      <c r="C54" s="234">
        <f>IF(VLOOKUP(B54,PROPONENTES!$B$19:$E$109,2,0)="","",VLOOKUP(B54,PROPONENTES!$B$19:$E$109,2,0))</f>
        <v>50</v>
      </c>
      <c r="D54" s="234" t="str">
        <f>VLOOKUP(C54,RESUMENGEN!$C$21:$E$110,2,FALSE)</f>
        <v>PROYECTISTAS ASOCIADOS SAS</v>
      </c>
      <c r="E54" s="235" t="str">
        <f>VLOOKUP(C54,'HAB.GEN.'!$C$19:$L$108,3,FALSE)</f>
        <v>HÁBIL</v>
      </c>
      <c r="F54" s="235" t="str">
        <f>VLOOKUP(C54,'HAB.GEN.'!$C$19:$L$108,4,FALSE)</f>
        <v>HÁBIL</v>
      </c>
      <c r="G54" s="235" t="str">
        <f>VLOOKUP(C54,'HAB.GEN.'!$C$19:$L$108,5,FALSE)</f>
        <v>HÁBIL</v>
      </c>
      <c r="H54" s="235" t="str">
        <f>VLOOKUP(C54,'HAB.GEN.'!$C$19:$L$108,6,FALSE)</f>
        <v>HÁBIL</v>
      </c>
      <c r="I54" s="235" t="str">
        <f>VLOOKUP(C54,RNOCI!$C$19:$F$108,3,FALSE)</f>
        <v>NO</v>
      </c>
      <c r="J54" s="235" t="str">
        <f>VLOOKUP(C54,'MULTAS Y SANCIONES'!$C$19:$E$108,3,FALSE)</f>
        <v>NO</v>
      </c>
      <c r="K54" s="235" t="str">
        <f>VLOOKUP(C54,'HAB.GEN.'!$C$19:$L$108,7,FALSE)</f>
        <v>HÁBIL</v>
      </c>
      <c r="L54" s="235" t="str">
        <f ca="1">VLOOKUP(C54,'HAB.GEN.'!$C$19:$L$108,8,FALSE)</f>
        <v>HÁBIL</v>
      </c>
      <c r="M54" s="235" t="str">
        <f>VLOOKUP(C54,'HAB.GEN.'!$C$19:$L$108,9,FALSE)</f>
        <v>HÁBIL</v>
      </c>
      <c r="N54" s="235" t="str">
        <f t="shared" ca="1" si="1"/>
        <v>HÁBIL</v>
      </c>
      <c r="O54" s="236">
        <f>VLOOKUP(C54,'PONDERACION EXP.'!$C$44:$L$133,5,FALSE)</f>
        <v>2</v>
      </c>
      <c r="P54" s="264">
        <f>VLOOKUP(C54,'PONDERACION EXP.'!$C$44:$L$133,7,FALSE)</f>
        <v>456.55099999999999</v>
      </c>
      <c r="Q54" s="265">
        <f ca="1">VLOOKUP(C54,'PONDERACION EXP.'!$C$44:$K$133,9,FALSE)</f>
        <v>35.830841240038055</v>
      </c>
      <c r="R54" s="237" t="str">
        <f>VLOOKUP(C54,'EQUIPO DE TRABAJO'!$C$19:$F$108,4,FALSE)</f>
        <v>CUMPLE</v>
      </c>
      <c r="S54" s="238">
        <f>VLOOKUP(C54,'APOYO A IND. NAL.'!$C$19:$E$108,3,FALSE)</f>
        <v>20</v>
      </c>
      <c r="T54" s="237">
        <f>VLOOKUP(C54,'VIN.PERS.DISC.'!$C$19:$G$108,5,FALSE)</f>
        <v>1</v>
      </c>
      <c r="U54" s="238">
        <f>VLOOKUP(C54,RNOCI!$C$19:$F$108,4,FALSE)</f>
        <v>0</v>
      </c>
      <c r="V54" s="238">
        <f>VLOOKUP(C54,RESUMENGEN!$C$21:$M$110,10,FALSE)</f>
        <v>0</v>
      </c>
      <c r="W54" s="266">
        <f ca="1">VLOOKUP(C54,RESUMENGEN!$C$21:$M$110,11,FALSE)</f>
        <v>66.830841240038055</v>
      </c>
      <c r="X54" s="233"/>
      <c r="Y54" s="266" t="e">
        <f t="shared" ca="1" si="2"/>
        <v>#VALUE!</v>
      </c>
      <c r="Z54" s="239" t="e">
        <f t="shared" ca="1" si="4"/>
        <v>#VALUE!</v>
      </c>
    </row>
    <row r="55" spans="2:26">
      <c r="B55" s="234">
        <f t="shared" si="0"/>
        <v>51</v>
      </c>
      <c r="C55" s="234">
        <f>IF(VLOOKUP(B55,PROPONENTES!$B$19:$E$109,2,0)="","",VLOOKUP(B55,PROPONENTES!$B$19:$E$109,2,0))</f>
        <v>51</v>
      </c>
      <c r="D55" s="234" t="str">
        <f>VLOOKUP(C55,RESUMENGEN!$C$21:$E$110,2,FALSE)</f>
        <v>DAM SOLUCIONES E INGENIERIA SAS</v>
      </c>
      <c r="E55" s="235" t="str">
        <f>VLOOKUP(C55,'HAB.GEN.'!$C$19:$L$108,3,FALSE)</f>
        <v>HÁBIL</v>
      </c>
      <c r="F55" s="235" t="str">
        <f>VLOOKUP(C55,'HAB.GEN.'!$C$19:$L$108,4,FALSE)</f>
        <v>HÁBIL</v>
      </c>
      <c r="G55" s="235" t="str">
        <f>VLOOKUP(C55,'HAB.GEN.'!$C$19:$L$108,5,FALSE)</f>
        <v>HÁBIL</v>
      </c>
      <c r="H55" s="235" t="str">
        <f>VLOOKUP(C55,'HAB.GEN.'!$C$19:$L$108,6,FALSE)</f>
        <v>HÁBIL</v>
      </c>
      <c r="I55" s="235" t="str">
        <f>VLOOKUP(C55,RNOCI!$C$19:$F$108,3,FALSE)</f>
        <v>NO</v>
      </c>
      <c r="J55" s="235" t="str">
        <f>VLOOKUP(C55,'MULTAS Y SANCIONES'!$C$19:$E$108,3,FALSE)</f>
        <v>NO</v>
      </c>
      <c r="K55" s="235" t="str">
        <f>VLOOKUP(C55,'HAB.GEN.'!$C$19:$L$108,7,FALSE)</f>
        <v>RECHAZO</v>
      </c>
      <c r="L55" s="235" t="str">
        <f ca="1">VLOOKUP(C55,'HAB.GEN.'!$C$19:$L$108,8,FALSE)</f>
        <v>HÁBIL</v>
      </c>
      <c r="M55" s="235" t="str">
        <f>VLOOKUP(C55,'HAB.GEN.'!$C$19:$L$108,9,FALSE)</f>
        <v>HÁBIL</v>
      </c>
      <c r="N55" s="235" t="str">
        <f t="shared" ca="1" si="1"/>
        <v>RECHAZO</v>
      </c>
      <c r="O55" s="236">
        <f>VLOOKUP(C55,'PONDERACION EXP.'!$C$44:$L$133,5,FALSE)</f>
        <v>1</v>
      </c>
      <c r="P55" s="264" t="str">
        <f>VLOOKUP(C55,'PONDERACION EXP.'!$C$44:$L$133,7,FALSE)</f>
        <v/>
      </c>
      <c r="Q55" s="265">
        <f>VLOOKUP(C55,'PONDERACION EXP.'!$C$44:$K$133,9,FALSE)</f>
        <v>0</v>
      </c>
      <c r="R55" s="237" t="str">
        <f>VLOOKUP(C55,'EQUIPO DE TRABAJO'!$C$19:$F$108,4,FALSE)</f>
        <v>CUMPLE</v>
      </c>
      <c r="S55" s="238">
        <f>VLOOKUP(C55,'APOYO A IND. NAL.'!$C$19:$E$108,3,FALSE)</f>
        <v>20</v>
      </c>
      <c r="T55" s="237">
        <f>VLOOKUP(C55,'VIN.PERS.DISC.'!$C$19:$G$108,5,FALSE)</f>
        <v>1</v>
      </c>
      <c r="U55" s="238">
        <f>VLOOKUP(C55,RNOCI!$C$19:$F$108,4,FALSE)</f>
        <v>0</v>
      </c>
      <c r="V55" s="238">
        <f>VLOOKUP(C55,RESUMENGEN!$C$21:$M$110,10,FALSE)</f>
        <v>0</v>
      </c>
      <c r="W55" s="266">
        <f ca="1">VLOOKUP(C55,RESUMENGEN!$C$21:$M$110,11,FALSE)</f>
        <v>0</v>
      </c>
      <c r="X55" s="233"/>
      <c r="Y55" s="266" t="e">
        <f t="shared" ca="1" si="2"/>
        <v>#VALUE!</v>
      </c>
      <c r="Z55" s="239" t="e">
        <f t="shared" ca="1" si="4"/>
        <v>#VALUE!</v>
      </c>
    </row>
    <row r="56" spans="2:26">
      <c r="B56" s="234">
        <f t="shared" si="0"/>
        <v>52</v>
      </c>
      <c r="C56" s="234">
        <f>IF(VLOOKUP(B56,PROPONENTES!$B$19:$E$109,2,0)="","",VLOOKUP(B56,PROPONENTES!$B$19:$E$109,2,0))</f>
        <v>52</v>
      </c>
      <c r="D56" s="234" t="str">
        <f>VLOOKUP(C56,RESUMENGEN!$C$21:$E$110,2,FALSE)</f>
        <v>COINZA ING SAS</v>
      </c>
      <c r="E56" s="235" t="str">
        <f>VLOOKUP(C56,'HAB.GEN.'!$C$19:$L$108,3,FALSE)</f>
        <v>HÁBIL</v>
      </c>
      <c r="F56" s="235" t="str">
        <f>VLOOKUP(C56,'HAB.GEN.'!$C$19:$L$108,4,FALSE)</f>
        <v>HÁBIL</v>
      </c>
      <c r="G56" s="235" t="str">
        <f>VLOOKUP(C56,'HAB.GEN.'!$C$19:$L$108,5,FALSE)</f>
        <v>HÁBIL</v>
      </c>
      <c r="H56" s="235" t="str">
        <f>VLOOKUP(C56,'HAB.GEN.'!$C$19:$L$108,6,FALSE)</f>
        <v>HÁBIL</v>
      </c>
      <c r="I56" s="235" t="str">
        <f>VLOOKUP(C56,RNOCI!$C$19:$F$108,3,FALSE)</f>
        <v>NO</v>
      </c>
      <c r="J56" s="235" t="str">
        <f>VLOOKUP(C56,'MULTAS Y SANCIONES'!$C$19:$E$108,3,FALSE)</f>
        <v>NO</v>
      </c>
      <c r="K56" s="235" t="str">
        <f>VLOOKUP(C56,'HAB.GEN.'!$C$19:$L$108,7,FALSE)</f>
        <v>HÁBIL</v>
      </c>
      <c r="L56" s="235" t="str">
        <f ca="1">VLOOKUP(C56,'HAB.GEN.'!$C$19:$L$108,8,FALSE)</f>
        <v>HÁBIL</v>
      </c>
      <c r="M56" s="235" t="str">
        <f>VLOOKUP(C56,'HAB.GEN.'!$C$19:$L$108,9,FALSE)</f>
        <v>HÁBIL</v>
      </c>
      <c r="N56" s="235" t="str">
        <f t="shared" ca="1" si="1"/>
        <v>HÁBIL</v>
      </c>
      <c r="O56" s="236">
        <f>VLOOKUP(C56,'PONDERACION EXP.'!$C$44:$L$133,5,FALSE)</f>
        <v>4</v>
      </c>
      <c r="P56" s="264">
        <f>VLOOKUP(C56,'PONDERACION EXP.'!$C$44:$L$133,7,FALSE)</f>
        <v>337.63</v>
      </c>
      <c r="Q56" s="265">
        <f ca="1">VLOOKUP(C56,'PONDERACION EXP.'!$C$44:$K$133,9,FALSE)</f>
        <v>26.497733939634454</v>
      </c>
      <c r="R56" s="237" t="str">
        <f>VLOOKUP(C56,'EQUIPO DE TRABAJO'!$C$19:$F$108,4,FALSE)</f>
        <v>CUMPLE</v>
      </c>
      <c r="S56" s="238">
        <f>VLOOKUP(C56,'APOYO A IND. NAL.'!$C$19:$E$108,3,FALSE)</f>
        <v>20</v>
      </c>
      <c r="T56" s="237">
        <f>VLOOKUP(C56,'VIN.PERS.DISC.'!$C$19:$G$108,5,FALSE)</f>
        <v>1</v>
      </c>
      <c r="U56" s="238">
        <f>VLOOKUP(C56,RNOCI!$C$19:$F$108,4,FALSE)</f>
        <v>0</v>
      </c>
      <c r="V56" s="238">
        <f>VLOOKUP(C56,RESUMENGEN!$C$21:$M$110,10,FALSE)</f>
        <v>0</v>
      </c>
      <c r="W56" s="266">
        <f ca="1">VLOOKUP(C56,RESUMENGEN!$C$21:$M$110,11,FALSE)</f>
        <v>57.497733939634458</v>
      </c>
      <c r="X56" s="233"/>
      <c r="Y56" s="266" t="e">
        <f t="shared" ca="1" si="2"/>
        <v>#VALUE!</v>
      </c>
      <c r="Z56" s="239" t="e">
        <f t="shared" ca="1" si="4"/>
        <v>#VALUE!</v>
      </c>
    </row>
    <row r="57" spans="2:26">
      <c r="B57" s="234">
        <f t="shared" si="0"/>
        <v>53</v>
      </c>
      <c r="C57" s="234">
        <f>IF(VLOOKUP(B57,PROPONENTES!$B$19:$E$109,2,0)="","",VLOOKUP(B57,PROPONENTES!$B$19:$E$109,2,0))</f>
        <v>53</v>
      </c>
      <c r="D57" s="234" t="str">
        <f>VLOOKUP(C57,RESUMENGEN!$C$21:$E$110,2,FALSE)</f>
        <v>NORBERTO BAYONA ESPITIA</v>
      </c>
      <c r="E57" s="235" t="str">
        <f>VLOOKUP(C57,'HAB.GEN.'!$C$19:$L$108,3,FALSE)</f>
        <v>HÁBIL</v>
      </c>
      <c r="F57" s="235" t="str">
        <f>VLOOKUP(C57,'HAB.GEN.'!$C$19:$L$108,4,FALSE)</f>
        <v>HÁBIL</v>
      </c>
      <c r="G57" s="235" t="str">
        <f>VLOOKUP(C57,'HAB.GEN.'!$C$19:$L$108,5,FALSE)</f>
        <v>HÁBIL</v>
      </c>
      <c r="H57" s="235" t="str">
        <f>VLOOKUP(C57,'HAB.GEN.'!$C$19:$L$108,6,FALSE)</f>
        <v>HÁBIL</v>
      </c>
      <c r="I57" s="235" t="str">
        <f>VLOOKUP(C57,RNOCI!$C$19:$F$108,3,FALSE)</f>
        <v>NO</v>
      </c>
      <c r="J57" s="235" t="str">
        <f>VLOOKUP(C57,'MULTAS Y SANCIONES'!$C$19:$E$108,3,FALSE)</f>
        <v>NO</v>
      </c>
      <c r="K57" s="235" t="str">
        <f>VLOOKUP(C57,'HAB.GEN.'!$C$19:$L$108,7,FALSE)</f>
        <v>HÁBIL</v>
      </c>
      <c r="L57" s="235" t="str">
        <f ca="1">VLOOKUP(C57,'HAB.GEN.'!$C$19:$L$108,8,FALSE)</f>
        <v>HÁBIL</v>
      </c>
      <c r="M57" s="235" t="str">
        <f>VLOOKUP(C57,'HAB.GEN.'!$C$19:$L$108,9,FALSE)</f>
        <v>HÁBIL</v>
      </c>
      <c r="N57" s="235" t="str">
        <f t="shared" ca="1" si="1"/>
        <v>HÁBIL</v>
      </c>
      <c r="O57" s="236">
        <f>VLOOKUP(C57,'PONDERACION EXP.'!$C$44:$L$133,5,FALSE)</f>
        <v>4</v>
      </c>
      <c r="P57" s="264">
        <f>VLOOKUP(C57,'PONDERACION EXP.'!$C$44:$L$133,7,FALSE)</f>
        <v>494.95202499999999</v>
      </c>
      <c r="Q57" s="265">
        <f ca="1">VLOOKUP(C57,'PONDERACION EXP.'!$C$44:$K$133,9,FALSE)</f>
        <v>38.844614137764118</v>
      </c>
      <c r="R57" s="237" t="str">
        <f>VLOOKUP(C57,'EQUIPO DE TRABAJO'!$C$19:$F$108,4,FALSE)</f>
        <v>CUMPLE</v>
      </c>
      <c r="S57" s="238">
        <f>VLOOKUP(C57,'APOYO A IND. NAL.'!$C$19:$E$108,3,FALSE)</f>
        <v>20</v>
      </c>
      <c r="T57" s="237">
        <f>VLOOKUP(C57,'VIN.PERS.DISC.'!$C$19:$G$108,5,FALSE)</f>
        <v>1</v>
      </c>
      <c r="U57" s="238">
        <f>VLOOKUP(C57,RNOCI!$C$19:$F$108,4,FALSE)</f>
        <v>0</v>
      </c>
      <c r="V57" s="238">
        <f>VLOOKUP(C57,RESUMENGEN!$C$21:$M$110,10,FALSE)</f>
        <v>0</v>
      </c>
      <c r="W57" s="266">
        <f ca="1">VLOOKUP(C57,RESUMENGEN!$C$21:$M$110,11,FALSE)</f>
        <v>69.844614137764125</v>
      </c>
      <c r="X57" s="233"/>
      <c r="Y57" s="266" t="e">
        <f t="shared" ca="1" si="2"/>
        <v>#VALUE!</v>
      </c>
      <c r="Z57" s="239" t="e">
        <f t="shared" ca="1" si="4"/>
        <v>#VALUE!</v>
      </c>
    </row>
    <row r="58" spans="2:26">
      <c r="B58" s="234">
        <f t="shared" si="0"/>
        <v>54</v>
      </c>
      <c r="C58" s="234">
        <f>IF(VLOOKUP(B58,PROPONENTES!$B$19:$E$109,2,0)="","",VLOOKUP(B58,PROPONENTES!$B$19:$E$109,2,0))</f>
        <v>54</v>
      </c>
      <c r="D58" s="234" t="str">
        <f>VLOOKUP(C58,RESUMENGEN!$C$21:$E$110,2,FALSE)</f>
        <v>CONSORCIO HC INTERVENTORES 2022</v>
      </c>
      <c r="E58" s="235" t="str">
        <f>VLOOKUP(C58,'HAB.GEN.'!$C$19:$L$108,3,FALSE)</f>
        <v>RECHAZO</v>
      </c>
      <c r="F58" s="235" t="str">
        <f>VLOOKUP(C58,'HAB.GEN.'!$C$19:$L$108,4,FALSE)</f>
        <v>HÁBIL</v>
      </c>
      <c r="G58" s="235" t="str">
        <f>VLOOKUP(C58,'HAB.GEN.'!$C$19:$L$108,5,FALSE)</f>
        <v>HÁBIL</v>
      </c>
      <c r="H58" s="235" t="str">
        <f>VLOOKUP(C58,'HAB.GEN.'!$C$19:$L$108,6,FALSE)</f>
        <v>HÁBIL</v>
      </c>
      <c r="I58" s="235" t="str">
        <f>VLOOKUP(C58,RNOCI!$C$19:$F$108,3,FALSE)</f>
        <v>NO</v>
      </c>
      <c r="J58" s="235" t="str">
        <f>VLOOKUP(C58,'MULTAS Y SANCIONES'!$C$19:$E$108,3,FALSE)</f>
        <v>NO</v>
      </c>
      <c r="K58" s="235" t="str">
        <f>VLOOKUP(C58,'HAB.GEN.'!$C$19:$L$108,7,FALSE)</f>
        <v>HÁBIL</v>
      </c>
      <c r="L58" s="235" t="str">
        <f ca="1">VLOOKUP(C58,'HAB.GEN.'!$C$19:$L$108,8,FALSE)</f>
        <v>HÁBIL</v>
      </c>
      <c r="M58" s="235" t="str">
        <f ca="1">VLOOKUP(C58,'HAB.GEN.'!$C$19:$L$108,9,FALSE)</f>
        <v>HÁBIL</v>
      </c>
      <c r="N58" s="235" t="str">
        <f t="shared" ca="1" si="1"/>
        <v>RECHAZO</v>
      </c>
      <c r="O58" s="236">
        <f>VLOOKUP(C58,'PONDERACION EXP.'!$C$44:$L$133,5,FALSE)</f>
        <v>3</v>
      </c>
      <c r="P58" s="264">
        <f ca="1">VLOOKUP(C58,'PONDERACION EXP.'!$C$44:$L$133,7,FALSE)</f>
        <v>360.38400000000001</v>
      </c>
      <c r="Q58" s="265">
        <f ca="1">VLOOKUP(C58,'PONDERACION EXP.'!$C$44:$K$133,9,FALSE)</f>
        <v>28.283503681844692</v>
      </c>
      <c r="R58" s="237" t="str">
        <f>VLOOKUP(C58,'EQUIPO DE TRABAJO'!$C$19:$F$108,4,FALSE)</f>
        <v>CUMPLE</v>
      </c>
      <c r="S58" s="238">
        <f>VLOOKUP(C58,'APOYO A IND. NAL.'!$C$19:$E$108,3,FALSE)</f>
        <v>20</v>
      </c>
      <c r="T58" s="237">
        <f ca="1">VLOOKUP(C58,'VIN.PERS.DISC.'!$C$19:$G$108,5,FALSE)</f>
        <v>1</v>
      </c>
      <c r="U58" s="238">
        <f>VLOOKUP(C58,RNOCI!$C$19:$F$108,4,FALSE)</f>
        <v>0</v>
      </c>
      <c r="V58" s="238">
        <f>VLOOKUP(C58,RESUMENGEN!$C$21:$M$110,10,FALSE)</f>
        <v>0</v>
      </c>
      <c r="W58" s="266">
        <f ca="1">VLOOKUP(C58,RESUMENGEN!$C$21:$M$110,11,FALSE)</f>
        <v>0</v>
      </c>
      <c r="X58" s="233"/>
      <c r="Y58" s="266" t="e">
        <f t="shared" ca="1" si="2"/>
        <v>#VALUE!</v>
      </c>
      <c r="Z58" s="239" t="e">
        <f t="shared" ca="1" si="4"/>
        <v>#VALUE!</v>
      </c>
    </row>
    <row r="59" spans="2:26">
      <c r="B59" s="234">
        <f t="shared" si="0"/>
        <v>55</v>
      </c>
      <c r="C59" s="234">
        <f>IF(VLOOKUP(B59,PROPONENTES!$B$19:$E$109,2,0)="","",VLOOKUP(B59,PROPONENTES!$B$19:$E$109,2,0))</f>
        <v>55</v>
      </c>
      <c r="D59" s="234" t="str">
        <f>VLOOKUP(C59,RESUMENGEN!$C$21:$E$110,2,FALSE)</f>
        <v>MARIO DE JESUS GIL CARDONA</v>
      </c>
      <c r="E59" s="235" t="str">
        <f>VLOOKUP(C59,'HAB.GEN.'!$C$19:$L$108,3,FALSE)</f>
        <v>HÁBIL</v>
      </c>
      <c r="F59" s="235" t="str">
        <f>VLOOKUP(C59,'HAB.GEN.'!$C$19:$L$108,4,FALSE)</f>
        <v>HÁBIL</v>
      </c>
      <c r="G59" s="235" t="str">
        <f>VLOOKUP(C59,'HAB.GEN.'!$C$19:$L$108,5,FALSE)</f>
        <v>HÁBIL</v>
      </c>
      <c r="H59" s="235" t="str">
        <f>VLOOKUP(C59,'HAB.GEN.'!$C$19:$L$108,6,FALSE)</f>
        <v>HÁBIL</v>
      </c>
      <c r="I59" s="235" t="str">
        <f>VLOOKUP(C59,RNOCI!$C$19:$F$108,3,FALSE)</f>
        <v>NO</v>
      </c>
      <c r="J59" s="235" t="str">
        <f>VLOOKUP(C59,'MULTAS Y SANCIONES'!$C$19:$E$108,3,FALSE)</f>
        <v>NO</v>
      </c>
      <c r="K59" s="235" t="str">
        <f>VLOOKUP(C59,'HAB.GEN.'!$C$19:$L$108,7,FALSE)</f>
        <v>HÁBIL</v>
      </c>
      <c r="L59" s="235" t="str">
        <f ca="1">VLOOKUP(C59,'HAB.GEN.'!$C$19:$L$108,8,FALSE)</f>
        <v>HÁBIL</v>
      </c>
      <c r="M59" s="235" t="str">
        <f>VLOOKUP(C59,'HAB.GEN.'!$C$19:$L$108,9,FALSE)</f>
        <v>HÁBIL</v>
      </c>
      <c r="N59" s="235" t="str">
        <f t="shared" ca="1" si="1"/>
        <v>HÁBIL</v>
      </c>
      <c r="O59" s="236">
        <f>VLOOKUP(C59,'PONDERACION EXP.'!$C$44:$L$133,5,FALSE)</f>
        <v>2</v>
      </c>
      <c r="P59" s="264">
        <f>VLOOKUP(C59,'PONDERACION EXP.'!$C$44:$L$133,7,FALSE)</f>
        <v>692.98199999999997</v>
      </c>
      <c r="Q59" s="265">
        <f ca="1">VLOOKUP(C59,'PONDERACION EXP.'!$C$44:$K$133,9,FALSE)</f>
        <v>54.386318339471501</v>
      </c>
      <c r="R59" s="237" t="str">
        <f>VLOOKUP(C59,'EQUIPO DE TRABAJO'!$C$19:$F$108,4,FALSE)</f>
        <v>CUMPLE</v>
      </c>
      <c r="S59" s="238">
        <f>VLOOKUP(C59,'APOYO A IND. NAL.'!$C$19:$E$108,3,FALSE)</f>
        <v>20</v>
      </c>
      <c r="T59" s="237">
        <f>VLOOKUP(C59,'VIN.PERS.DISC.'!$C$19:$G$108,5,FALSE)</f>
        <v>1</v>
      </c>
      <c r="U59" s="238">
        <f>VLOOKUP(C59,RNOCI!$C$19:$F$108,4,FALSE)</f>
        <v>0</v>
      </c>
      <c r="V59" s="238">
        <f>VLOOKUP(C59,RESUMENGEN!$C$21:$M$110,10,FALSE)</f>
        <v>0</v>
      </c>
      <c r="W59" s="266">
        <f ca="1">VLOOKUP(C59,RESUMENGEN!$C$21:$M$110,11,FALSE)</f>
        <v>85.386318339471501</v>
      </c>
      <c r="X59" s="233"/>
      <c r="Y59" s="266" t="e">
        <f t="shared" ca="1" si="2"/>
        <v>#VALUE!</v>
      </c>
      <c r="Z59" s="239" t="e">
        <f t="shared" ca="1" si="4"/>
        <v>#VALUE!</v>
      </c>
    </row>
    <row r="60" spans="2:26">
      <c r="B60" s="234">
        <f t="shared" si="0"/>
        <v>56</v>
      </c>
      <c r="C60" s="234">
        <f>IF(VLOOKUP(B60,PROPONENTES!$B$19:$E$109,2,0)="","",VLOOKUP(B60,PROPONENTES!$B$19:$E$109,2,0))</f>
        <v>56</v>
      </c>
      <c r="D60" s="234" t="str">
        <f>VLOOKUP(C60,RESUMENGEN!$C$21:$E$110,2,FALSE)</f>
        <v>CONSORCIO COLOMBIA RURAL ET</v>
      </c>
      <c r="E60" s="235" t="str">
        <f>VLOOKUP(C60,'HAB.GEN.'!$C$19:$L$108,3,FALSE)</f>
        <v>HÁBIL</v>
      </c>
      <c r="F60" s="235" t="str">
        <f>VLOOKUP(C60,'HAB.GEN.'!$C$19:$L$108,4,FALSE)</f>
        <v>HÁBIL</v>
      </c>
      <c r="G60" s="235" t="str">
        <f>VLOOKUP(C60,'HAB.GEN.'!$C$19:$L$108,5,FALSE)</f>
        <v>HÁBIL</v>
      </c>
      <c r="H60" s="235" t="str">
        <f>VLOOKUP(C60,'HAB.GEN.'!$C$19:$L$108,6,FALSE)</f>
        <v>HÁBIL</v>
      </c>
      <c r="I60" s="235" t="str">
        <f>VLOOKUP(C60,RNOCI!$C$19:$F$108,3,FALSE)</f>
        <v>NO</v>
      </c>
      <c r="J60" s="235" t="str">
        <f>VLOOKUP(C60,'MULTAS Y SANCIONES'!$C$19:$E$108,3,FALSE)</f>
        <v>NO</v>
      </c>
      <c r="K60" s="235" t="str">
        <f>VLOOKUP(C60,'HAB.GEN.'!$C$19:$L$108,7,FALSE)</f>
        <v>HÁBIL</v>
      </c>
      <c r="L60" s="235" t="str">
        <f ca="1">VLOOKUP(C60,'HAB.GEN.'!$C$19:$L$108,8,FALSE)</f>
        <v>HÁBIL</v>
      </c>
      <c r="M60" s="235" t="str">
        <f ca="1">VLOOKUP(C60,'HAB.GEN.'!$C$19:$L$108,9,FALSE)</f>
        <v>HÁBIL</v>
      </c>
      <c r="N60" s="235" t="str">
        <f t="shared" ca="1" si="1"/>
        <v>HÁBIL</v>
      </c>
      <c r="O60" s="236">
        <f>VLOOKUP(C60,'PONDERACION EXP.'!$C$44:$L$133,5,FALSE)</f>
        <v>3</v>
      </c>
      <c r="P60" s="264">
        <f ca="1">VLOOKUP(C60,'PONDERACION EXP.'!$C$44:$L$133,7,FALSE)</f>
        <v>533.49</v>
      </c>
      <c r="Q60" s="265">
        <f ca="1">VLOOKUP(C60,'PONDERACION EXP.'!$C$44:$K$133,9,FALSE)</f>
        <v>41.869135087094108</v>
      </c>
      <c r="R60" s="237" t="str">
        <f>VLOOKUP(C60,'EQUIPO DE TRABAJO'!$C$19:$F$108,4,FALSE)</f>
        <v>CUMPLE</v>
      </c>
      <c r="S60" s="238">
        <f>VLOOKUP(C60,'APOYO A IND. NAL.'!$C$19:$E$108,3,FALSE)</f>
        <v>0</v>
      </c>
      <c r="T60" s="237">
        <f ca="1">VLOOKUP(C60,'VIN.PERS.DISC.'!$C$19:$G$108,5,FALSE)</f>
        <v>1</v>
      </c>
      <c r="U60" s="238">
        <f>VLOOKUP(C60,RNOCI!$C$19:$F$108,4,FALSE)</f>
        <v>0</v>
      </c>
      <c r="V60" s="238">
        <f>VLOOKUP(C60,RESUMENGEN!$C$21:$M$110,10,FALSE)</f>
        <v>0</v>
      </c>
      <c r="W60" s="266">
        <f ca="1">VLOOKUP(C60,RESUMENGEN!$C$21:$M$110,11,FALSE)</f>
        <v>52.869135087094108</v>
      </c>
      <c r="X60" s="233"/>
      <c r="Y60" s="266" t="e">
        <f t="shared" ca="1" si="2"/>
        <v>#VALUE!</v>
      </c>
      <c r="Z60" s="239" t="e">
        <f t="shared" ca="1" si="4"/>
        <v>#VALUE!</v>
      </c>
    </row>
    <row r="61" spans="2:26">
      <c r="B61" s="234">
        <f t="shared" si="0"/>
        <v>57</v>
      </c>
      <c r="C61" s="234">
        <f>IF(VLOOKUP(B61,PROPONENTES!$B$19:$E$109,2,0)="","",VLOOKUP(B61,PROPONENTES!$B$19:$E$109,2,0))</f>
        <v>57</v>
      </c>
      <c r="D61" s="234" t="str">
        <f>VLOOKUP(C61,RESUMENGEN!$C$21:$E$110,2,FALSE)</f>
        <v>CONSORCIO ROGER 20</v>
      </c>
      <c r="E61" s="235" t="str">
        <f>VLOOKUP(C61,'HAB.GEN.'!$C$19:$L$108,3,FALSE)</f>
        <v>HÁBIL</v>
      </c>
      <c r="F61" s="235" t="str">
        <f>VLOOKUP(C61,'HAB.GEN.'!$C$19:$L$108,4,FALSE)</f>
        <v>HÁBIL</v>
      </c>
      <c r="G61" s="235" t="str">
        <f>VLOOKUP(C61,'HAB.GEN.'!$C$19:$L$108,5,FALSE)</f>
        <v>HÁBIL</v>
      </c>
      <c r="H61" s="235" t="str">
        <f>VLOOKUP(C61,'HAB.GEN.'!$C$19:$L$108,6,FALSE)</f>
        <v>HÁBIL</v>
      </c>
      <c r="I61" s="235" t="str">
        <f>VLOOKUP(C61,RNOCI!$C$19:$F$108,3,FALSE)</f>
        <v>NO</v>
      </c>
      <c r="J61" s="235" t="str">
        <f>VLOOKUP(C61,'MULTAS Y SANCIONES'!$C$19:$E$108,3,FALSE)</f>
        <v>NO</v>
      </c>
      <c r="K61" s="235" t="str">
        <f>VLOOKUP(C61,'HAB.GEN.'!$C$19:$L$108,7,FALSE)</f>
        <v>HÁBIL</v>
      </c>
      <c r="L61" s="235" t="str">
        <f ca="1">VLOOKUP(C61,'HAB.GEN.'!$C$19:$L$108,8,FALSE)</f>
        <v>HÁBIL</v>
      </c>
      <c r="M61" s="235" t="str">
        <f ca="1">VLOOKUP(C61,'HAB.GEN.'!$C$19:$L$108,9,FALSE)</f>
        <v>HÁBIL</v>
      </c>
      <c r="N61" s="235" t="str">
        <f t="shared" ca="1" si="1"/>
        <v>HÁBIL</v>
      </c>
      <c r="O61" s="236">
        <f>VLOOKUP(C61,'PONDERACION EXP.'!$C$44:$L$133,5,FALSE)</f>
        <v>1</v>
      </c>
      <c r="P61" s="264">
        <f ca="1">VLOOKUP(C61,'PONDERACION EXP.'!$C$44:$L$133,7,FALSE)</f>
        <v>367.64249999999998</v>
      </c>
      <c r="Q61" s="265">
        <f ca="1">VLOOKUP(C61,'PONDERACION EXP.'!$C$44:$K$133,9,FALSE)</f>
        <v>28.853162189088824</v>
      </c>
      <c r="R61" s="237" t="str">
        <f>VLOOKUP(C61,'EQUIPO DE TRABAJO'!$C$19:$F$108,4,FALSE)</f>
        <v>CUMPLE</v>
      </c>
      <c r="S61" s="238">
        <f>VLOOKUP(C61,'APOYO A IND. NAL.'!$C$19:$E$108,3,FALSE)</f>
        <v>20</v>
      </c>
      <c r="T61" s="237">
        <f ca="1">VLOOKUP(C61,'VIN.PERS.DISC.'!$C$19:$G$108,5,FALSE)</f>
        <v>1</v>
      </c>
      <c r="U61" s="238">
        <f>VLOOKUP(C61,RNOCI!$C$19:$F$108,4,FALSE)</f>
        <v>0</v>
      </c>
      <c r="V61" s="238">
        <f>VLOOKUP(C61,RESUMENGEN!$C$21:$M$110,10,FALSE)</f>
        <v>0</v>
      </c>
      <c r="W61" s="266">
        <f ca="1">VLOOKUP(C61,RESUMENGEN!$C$21:$M$110,11,FALSE)</f>
        <v>59.85316218908882</v>
      </c>
      <c r="X61" s="233"/>
      <c r="Y61" s="266" t="e">
        <f t="shared" ca="1" si="2"/>
        <v>#VALUE!</v>
      </c>
      <c r="Z61" s="239" t="e">
        <f t="shared" ca="1" si="4"/>
        <v>#VALUE!</v>
      </c>
    </row>
    <row r="62" spans="2:26" ht="25.5">
      <c r="B62" s="234">
        <f t="shared" si="0"/>
        <v>58</v>
      </c>
      <c r="C62" s="234">
        <f>IF(VLOOKUP(B62,PROPONENTES!$B$19:$E$109,2,0)="","",VLOOKUP(B62,PROPONENTES!$B$19:$E$109,2,0))</f>
        <v>58</v>
      </c>
      <c r="D62" s="234" t="str">
        <f>VLOOKUP(C62,RESUMENGEN!$C$21:$E$110,2,FALSE)</f>
        <v>VALLEJO H INGENIEROS CONSULTORES CONSTRUCTORES C S.A.S -BIC</v>
      </c>
      <c r="E62" s="235" t="str">
        <f>VLOOKUP(C62,'HAB.GEN.'!$C$19:$L$108,3,FALSE)</f>
        <v>HÁBIL</v>
      </c>
      <c r="F62" s="235" t="str">
        <f>VLOOKUP(C62,'HAB.GEN.'!$C$19:$L$108,4,FALSE)</f>
        <v>HÁBIL</v>
      </c>
      <c r="G62" s="235" t="str">
        <f>VLOOKUP(C62,'HAB.GEN.'!$C$19:$L$108,5,FALSE)</f>
        <v>HÁBIL</v>
      </c>
      <c r="H62" s="235" t="str">
        <f>VLOOKUP(C62,'HAB.GEN.'!$C$19:$L$108,6,FALSE)</f>
        <v>HÁBIL</v>
      </c>
      <c r="I62" s="235" t="str">
        <f>VLOOKUP(C62,RNOCI!$C$19:$F$108,3,FALSE)</f>
        <v>NO</v>
      </c>
      <c r="J62" s="235" t="str">
        <f>VLOOKUP(C62,'MULTAS Y SANCIONES'!$C$19:$E$108,3,FALSE)</f>
        <v>NO</v>
      </c>
      <c r="K62" s="235" t="str">
        <f>VLOOKUP(C62,'HAB.GEN.'!$C$19:$L$108,7,FALSE)</f>
        <v>HÁBIL</v>
      </c>
      <c r="L62" s="235" t="str">
        <f ca="1">VLOOKUP(C62,'HAB.GEN.'!$C$19:$L$108,8,FALSE)</f>
        <v>NO HÁBIL</v>
      </c>
      <c r="M62" s="235" t="str">
        <f>VLOOKUP(C62,'HAB.GEN.'!$C$19:$L$108,9,FALSE)</f>
        <v>HÁBIL</v>
      </c>
      <c r="N62" s="235" t="str">
        <f t="shared" ca="1" si="1"/>
        <v>NO HÁBIL</v>
      </c>
      <c r="O62" s="236">
        <f>VLOOKUP(C62,'PONDERACION EXP.'!$C$44:$L$133,5,FALSE)</f>
        <v>1</v>
      </c>
      <c r="P62" s="264">
        <f>VLOOKUP(C62,'PONDERACION EXP.'!$C$44:$L$133,7,FALSE)</f>
        <v>294.642</v>
      </c>
      <c r="Q62" s="265">
        <f ca="1">VLOOKUP(C62,'PONDERACION EXP.'!$C$44:$K$133,9,FALSE)</f>
        <v>23.123968022515111</v>
      </c>
      <c r="R62" s="237" t="str">
        <f>VLOOKUP(C62,'EQUIPO DE TRABAJO'!$C$19:$F$108,4,FALSE)</f>
        <v>CUMPLE</v>
      </c>
      <c r="S62" s="238">
        <f>VLOOKUP(C62,'APOYO A IND. NAL.'!$C$19:$E$108,3,FALSE)</f>
        <v>20</v>
      </c>
      <c r="T62" s="237">
        <f>VLOOKUP(C62,'VIN.PERS.DISC.'!$C$19:$G$108,5,FALSE)</f>
        <v>1</v>
      </c>
      <c r="U62" s="238">
        <f>VLOOKUP(C62,RNOCI!$C$19:$F$108,4,FALSE)</f>
        <v>0</v>
      </c>
      <c r="V62" s="238">
        <f>VLOOKUP(C62,RESUMENGEN!$C$21:$M$110,10,FALSE)</f>
        <v>0</v>
      </c>
      <c r="W62" s="266">
        <f ca="1">VLOOKUP(C62,RESUMENGEN!$C$21:$M$110,11,FALSE)</f>
        <v>0</v>
      </c>
      <c r="X62" s="233"/>
      <c r="Y62" s="266">
        <f t="shared" ca="1" si="2"/>
        <v>0</v>
      </c>
      <c r="Z62" s="239" t="str">
        <f t="shared" ca="1" si="4"/>
        <v>SI</v>
      </c>
    </row>
    <row r="63" spans="2:26">
      <c r="B63" s="234">
        <f t="shared" si="0"/>
        <v>59</v>
      </c>
      <c r="C63" s="234">
        <f>IF(VLOOKUP(B63,PROPONENTES!$B$19:$E$109,2,0)="","",VLOOKUP(B63,PROPONENTES!$B$19:$E$109,2,0))</f>
        <v>59</v>
      </c>
      <c r="D63" s="234" t="str">
        <f>VLOOKUP(C63,RESUMENGEN!$C$21:$E$110,2,FALSE)</f>
        <v>Consorcio JR</v>
      </c>
      <c r="E63" s="235" t="str">
        <f>VLOOKUP(C63,'HAB.GEN.'!$C$19:$L$108,3,FALSE)</f>
        <v>HÁBIL</v>
      </c>
      <c r="F63" s="235" t="str">
        <f>VLOOKUP(C63,'HAB.GEN.'!$C$19:$L$108,4,FALSE)</f>
        <v>HÁBIL</v>
      </c>
      <c r="G63" s="235" t="str">
        <f>VLOOKUP(C63,'HAB.GEN.'!$C$19:$L$108,5,FALSE)</f>
        <v>HÁBIL</v>
      </c>
      <c r="H63" s="235" t="str">
        <f>VLOOKUP(C63,'HAB.GEN.'!$C$19:$L$108,6,FALSE)</f>
        <v>HÁBIL</v>
      </c>
      <c r="I63" s="235" t="str">
        <f>VLOOKUP(C63,RNOCI!$C$19:$F$108,3,FALSE)</f>
        <v>NO</v>
      </c>
      <c r="J63" s="235" t="str">
        <f>VLOOKUP(C63,'MULTAS Y SANCIONES'!$C$19:$E$108,3,FALSE)</f>
        <v>NO</v>
      </c>
      <c r="K63" s="235" t="str">
        <f>VLOOKUP(C63,'HAB.GEN.'!$C$19:$L$108,7,FALSE)</f>
        <v>HÁBIL</v>
      </c>
      <c r="L63" s="235" t="str">
        <f ca="1">VLOOKUP(C63,'HAB.GEN.'!$C$19:$L$108,8,FALSE)</f>
        <v>HÁBIL</v>
      </c>
      <c r="M63" s="235" t="str">
        <f ca="1">VLOOKUP(C63,'HAB.GEN.'!$C$19:$L$108,9,FALSE)</f>
        <v>HÁBIL</v>
      </c>
      <c r="N63" s="235" t="str">
        <f t="shared" ca="1" si="1"/>
        <v>HÁBIL</v>
      </c>
      <c r="O63" s="236">
        <f>VLOOKUP(C63,'PONDERACION EXP.'!$C$44:$L$133,5,FALSE)</f>
        <v>4</v>
      </c>
      <c r="P63" s="264">
        <f ca="1">VLOOKUP(C63,'PONDERACION EXP.'!$C$44:$L$133,7,FALSE)</f>
        <v>217.10749999999999</v>
      </c>
      <c r="Q63" s="265">
        <f ca="1">VLOOKUP(C63,'PONDERACION EXP.'!$C$44:$K$133,9,FALSE)</f>
        <v>17.038938397948012</v>
      </c>
      <c r="R63" s="237" t="str">
        <f>VLOOKUP(C63,'EQUIPO DE TRABAJO'!$C$19:$F$108,4,FALSE)</f>
        <v>CUMPLE</v>
      </c>
      <c r="S63" s="238">
        <f>VLOOKUP(C63,'APOYO A IND. NAL.'!$C$19:$E$108,3,FALSE)</f>
        <v>20</v>
      </c>
      <c r="T63" s="237">
        <f ca="1">VLOOKUP(C63,'VIN.PERS.DISC.'!$C$19:$G$108,5,FALSE)</f>
        <v>1</v>
      </c>
      <c r="U63" s="238">
        <f>VLOOKUP(C63,RNOCI!$C$19:$F$108,4,FALSE)</f>
        <v>0</v>
      </c>
      <c r="V63" s="238">
        <f>VLOOKUP(C63,RESUMENGEN!$C$21:$M$110,10,FALSE)</f>
        <v>0</v>
      </c>
      <c r="W63" s="266">
        <f ca="1">VLOOKUP(C63,RESUMENGEN!$C$21:$M$110,11,FALSE)</f>
        <v>48.038938397948016</v>
      </c>
      <c r="X63" s="233"/>
      <c r="Y63" s="266" t="e">
        <f t="shared" ca="1" si="2"/>
        <v>#VALUE!</v>
      </c>
      <c r="Z63" s="239" t="e">
        <f t="shared" ca="1" si="4"/>
        <v>#VALUE!</v>
      </c>
    </row>
    <row r="64" spans="2:26">
      <c r="B64" s="234">
        <f t="shared" si="0"/>
        <v>60</v>
      </c>
      <c r="C64" s="234">
        <f>IF(VLOOKUP(B64,PROPONENTES!$B$19:$E$109,2,0)="","",VLOOKUP(B64,PROPONENTES!$B$19:$E$109,2,0))</f>
        <v>60</v>
      </c>
      <c r="D64" s="234" t="str">
        <f>VLOOKUP(C64,RESUMENGEN!$C$21:$E$110,2,FALSE)</f>
        <v>ARA INGENIERIA S.A.S</v>
      </c>
      <c r="E64" s="235" t="str">
        <f>VLOOKUP(C64,'HAB.GEN.'!$C$19:$L$108,3,FALSE)</f>
        <v>HÁBIL</v>
      </c>
      <c r="F64" s="235" t="str">
        <f>VLOOKUP(C64,'HAB.GEN.'!$C$19:$L$108,4,FALSE)</f>
        <v>HÁBIL</v>
      </c>
      <c r="G64" s="235" t="str">
        <f>VLOOKUP(C64,'HAB.GEN.'!$C$19:$L$108,5,FALSE)</f>
        <v>HÁBIL</v>
      </c>
      <c r="H64" s="235" t="str">
        <f>VLOOKUP(C64,'HAB.GEN.'!$C$19:$L$108,6,FALSE)</f>
        <v>HÁBIL</v>
      </c>
      <c r="I64" s="235" t="str">
        <f>VLOOKUP(C64,RNOCI!$C$19:$F$108,3,FALSE)</f>
        <v>NO</v>
      </c>
      <c r="J64" s="235" t="str">
        <f>VLOOKUP(C64,'MULTAS Y SANCIONES'!$C$19:$E$108,3,FALSE)</f>
        <v>NO</v>
      </c>
      <c r="K64" s="235" t="str">
        <f>VLOOKUP(C64,'HAB.GEN.'!$C$19:$L$108,7,FALSE)</f>
        <v>RECHAZO</v>
      </c>
      <c r="L64" s="235" t="str">
        <f ca="1">VLOOKUP(C64,'HAB.GEN.'!$C$19:$L$108,8,FALSE)</f>
        <v>HÁBIL</v>
      </c>
      <c r="M64" s="235" t="str">
        <f>VLOOKUP(C64,'HAB.GEN.'!$C$19:$L$108,9,FALSE)</f>
        <v>HÁBIL</v>
      </c>
      <c r="N64" s="235" t="str">
        <f t="shared" ca="1" si="1"/>
        <v>RECHAZO</v>
      </c>
      <c r="O64" s="236">
        <f>VLOOKUP(C64,'PONDERACION EXP.'!$C$44:$L$133,5,FALSE)</f>
        <v>3</v>
      </c>
      <c r="P64" s="264" t="str">
        <f>VLOOKUP(C64,'PONDERACION EXP.'!$C$44:$L$133,7,FALSE)</f>
        <v/>
      </c>
      <c r="Q64" s="265">
        <f>VLOOKUP(C64,'PONDERACION EXP.'!$C$44:$K$133,9,FALSE)</f>
        <v>0</v>
      </c>
      <c r="R64" s="237" t="str">
        <f>VLOOKUP(C64,'EQUIPO DE TRABAJO'!$C$19:$F$108,4,FALSE)</f>
        <v>CUMPLE</v>
      </c>
      <c r="S64" s="238">
        <f>VLOOKUP(C64,'APOYO A IND. NAL.'!$C$19:$E$108,3,FALSE)</f>
        <v>20</v>
      </c>
      <c r="T64" s="237">
        <f>VLOOKUP(C64,'VIN.PERS.DISC.'!$C$19:$G$108,5,FALSE)</f>
        <v>1</v>
      </c>
      <c r="U64" s="238">
        <f>VLOOKUP(C64,RNOCI!$C$19:$F$108,4,FALSE)</f>
        <v>0</v>
      </c>
      <c r="V64" s="238">
        <f>VLOOKUP(C64,RESUMENGEN!$C$21:$M$110,10,FALSE)</f>
        <v>0</v>
      </c>
      <c r="W64" s="266">
        <f ca="1">VLOOKUP(C64,RESUMENGEN!$C$21:$M$110,11,FALSE)</f>
        <v>0</v>
      </c>
      <c r="X64" s="233"/>
      <c r="Y64" s="266" t="e">
        <f t="shared" ca="1" si="2"/>
        <v>#VALUE!</v>
      </c>
      <c r="Z64" s="239" t="e">
        <f t="shared" ca="1" si="4"/>
        <v>#VALUE!</v>
      </c>
    </row>
    <row r="65" spans="2:26">
      <c r="B65" s="234">
        <f t="shared" si="0"/>
        <v>61</v>
      </c>
      <c r="C65" s="234">
        <f>IF(VLOOKUP(B65,PROPONENTES!$B$19:$E$109,2,0)="","",VLOOKUP(B65,PROPONENTES!$B$19:$E$109,2,0))</f>
        <v>61</v>
      </c>
      <c r="D65" s="234" t="str">
        <f>VLOOKUP(C65,RESUMENGEN!$C$21:$E$110,2,FALSE)</f>
        <v>CONSORCIO INVITOL 2022</v>
      </c>
      <c r="E65" s="235" t="str">
        <f>VLOOKUP(C65,'HAB.GEN.'!$C$19:$L$108,3,FALSE)</f>
        <v>HÁBIL</v>
      </c>
      <c r="F65" s="235" t="str">
        <f>VLOOKUP(C65,'HAB.GEN.'!$C$19:$L$108,4,FALSE)</f>
        <v>HÁBIL</v>
      </c>
      <c r="G65" s="235" t="str">
        <f>VLOOKUP(C65,'HAB.GEN.'!$C$19:$L$108,5,FALSE)</f>
        <v>HÁBIL</v>
      </c>
      <c r="H65" s="235" t="str">
        <f>VLOOKUP(C65,'HAB.GEN.'!$C$19:$L$108,6,FALSE)</f>
        <v>HÁBIL</v>
      </c>
      <c r="I65" s="235" t="str">
        <f>VLOOKUP(C65,RNOCI!$C$19:$F$108,3,FALSE)</f>
        <v>NO</v>
      </c>
      <c r="J65" s="235" t="str">
        <f>VLOOKUP(C65,'MULTAS Y SANCIONES'!$C$19:$E$108,3,FALSE)</f>
        <v>NO</v>
      </c>
      <c r="K65" s="235" t="str">
        <f>VLOOKUP(C65,'HAB.GEN.'!$C$19:$L$108,7,FALSE)</f>
        <v>HÁBIL</v>
      </c>
      <c r="L65" s="235" t="str">
        <f ca="1">VLOOKUP(C65,'HAB.GEN.'!$C$19:$L$108,8,FALSE)</f>
        <v>HÁBIL</v>
      </c>
      <c r="M65" s="235" t="str">
        <f ca="1">VLOOKUP(C65,'HAB.GEN.'!$C$19:$L$108,9,FALSE)</f>
        <v>HÁBIL</v>
      </c>
      <c r="N65" s="235" t="str">
        <f t="shared" ca="1" si="1"/>
        <v>HÁBIL</v>
      </c>
      <c r="O65" s="236">
        <f>VLOOKUP(C65,'PONDERACION EXP.'!$C$44:$L$133,5,FALSE)</f>
        <v>5</v>
      </c>
      <c r="P65" s="264">
        <f ca="1">VLOOKUP(C65,'PONDERACION EXP.'!$C$44:$L$133,7,FALSE)</f>
        <v>394.637</v>
      </c>
      <c r="Q65" s="265">
        <f ca="1">VLOOKUP(C65,'PONDERACION EXP.'!$C$44:$K$133,9,FALSE)</f>
        <v>30.971733047227797</v>
      </c>
      <c r="R65" s="237" t="str">
        <f>VLOOKUP(C65,'EQUIPO DE TRABAJO'!$C$19:$F$108,4,FALSE)</f>
        <v>CUMPLE</v>
      </c>
      <c r="S65" s="238">
        <f>VLOOKUP(C65,'APOYO A IND. NAL.'!$C$19:$E$108,3,FALSE)</f>
        <v>20</v>
      </c>
      <c r="T65" s="237">
        <f ca="1">VLOOKUP(C65,'VIN.PERS.DISC.'!$C$19:$G$108,5,FALSE)</f>
        <v>1</v>
      </c>
      <c r="U65" s="238">
        <f>VLOOKUP(C65,RNOCI!$C$19:$F$108,4,FALSE)</f>
        <v>0</v>
      </c>
      <c r="V65" s="238">
        <f>VLOOKUP(C65,RESUMENGEN!$C$21:$M$110,10,FALSE)</f>
        <v>0</v>
      </c>
      <c r="W65" s="266">
        <f ca="1">VLOOKUP(C65,RESUMENGEN!$C$21:$M$110,11,FALSE)</f>
        <v>31</v>
      </c>
      <c r="X65" s="233"/>
      <c r="Y65" s="266" t="e">
        <f t="shared" ca="1" si="2"/>
        <v>#VALUE!</v>
      </c>
      <c r="Z65" s="239" t="e">
        <f t="shared" ca="1" si="4"/>
        <v>#VALUE!</v>
      </c>
    </row>
    <row r="66" spans="2:26">
      <c r="B66" s="234">
        <f t="shared" si="0"/>
        <v>62</v>
      </c>
      <c r="C66" s="234">
        <f>IF(VLOOKUP(B66,PROPONENTES!$B$19:$E$109,2,0)="","",VLOOKUP(B66,PROPONENTES!$B$19:$E$109,2,0))</f>
        <v>62</v>
      </c>
      <c r="D66" s="234" t="str">
        <f>VLOOKUP(C66,RESUMENGEN!$C$21:$E$110,2,FALSE)</f>
        <v>CONSORCIO INTERVIAL TOL 001</v>
      </c>
      <c r="E66" s="235" t="str">
        <f>VLOOKUP(C66,'HAB.GEN.'!$C$19:$L$108,3,FALSE)</f>
        <v>HÁBIL</v>
      </c>
      <c r="F66" s="235" t="str">
        <f>VLOOKUP(C66,'HAB.GEN.'!$C$19:$L$108,4,FALSE)</f>
        <v>HÁBIL</v>
      </c>
      <c r="G66" s="235" t="str">
        <f>VLOOKUP(C66,'HAB.GEN.'!$C$19:$L$108,5,FALSE)</f>
        <v>HÁBIL</v>
      </c>
      <c r="H66" s="235" t="str">
        <f>VLOOKUP(C66,'HAB.GEN.'!$C$19:$L$108,6,FALSE)</f>
        <v>HÁBIL</v>
      </c>
      <c r="I66" s="235" t="str">
        <f>VLOOKUP(C66,RNOCI!$C$19:$F$108,3,FALSE)</f>
        <v>NO</v>
      </c>
      <c r="J66" s="235" t="str">
        <f>VLOOKUP(C66,'MULTAS Y SANCIONES'!$C$19:$E$108,3,FALSE)</f>
        <v>NO</v>
      </c>
      <c r="K66" s="235" t="str">
        <f>VLOOKUP(C66,'HAB.GEN.'!$C$19:$L$108,7,FALSE)</f>
        <v>HÁBIL</v>
      </c>
      <c r="L66" s="235" t="str">
        <f ca="1">VLOOKUP(C66,'HAB.GEN.'!$C$19:$L$108,8,FALSE)</f>
        <v>HÁBIL</v>
      </c>
      <c r="M66" s="235" t="str">
        <f ca="1">VLOOKUP(C66,'HAB.GEN.'!$C$19:$L$108,9,FALSE)</f>
        <v>HÁBIL</v>
      </c>
      <c r="N66" s="235" t="str">
        <f t="shared" ca="1" si="1"/>
        <v>HÁBIL</v>
      </c>
      <c r="O66" s="236">
        <f>VLOOKUP(C66,'PONDERACION EXP.'!$C$44:$L$133,5,FALSE)</f>
        <v>2</v>
      </c>
      <c r="P66" s="264">
        <f ca="1">VLOOKUP(C66,'PONDERACION EXP.'!$C$44:$L$133,7,FALSE)</f>
        <v>492.97924999999998</v>
      </c>
      <c r="Q66" s="265">
        <f ca="1">VLOOKUP(C66,'PONDERACION EXP.'!$C$44:$K$133,9,FALSE)</f>
        <v>38.689787649973454</v>
      </c>
      <c r="R66" s="237" t="str">
        <f>VLOOKUP(C66,'EQUIPO DE TRABAJO'!$C$19:$F$108,4,FALSE)</f>
        <v>CUMPLE</v>
      </c>
      <c r="S66" s="238">
        <f>VLOOKUP(C66,'APOYO A IND. NAL.'!$C$19:$E$108,3,FALSE)</f>
        <v>20</v>
      </c>
      <c r="T66" s="237">
        <f ca="1">VLOOKUP(C66,'VIN.PERS.DISC.'!$C$19:$G$108,5,FALSE)</f>
        <v>1</v>
      </c>
      <c r="U66" s="238">
        <f>VLOOKUP(C66,RNOCI!$C$19:$F$108,4,FALSE)</f>
        <v>0</v>
      </c>
      <c r="V66" s="238">
        <f>VLOOKUP(C66,RESUMENGEN!$C$21:$M$110,10,FALSE)</f>
        <v>0</v>
      </c>
      <c r="W66" s="266">
        <f ca="1">VLOOKUP(C66,RESUMENGEN!$C$21:$M$110,11,FALSE)</f>
        <v>69.689787649973454</v>
      </c>
      <c r="X66" s="233"/>
      <c r="Y66" s="266" t="e">
        <f t="shared" ca="1" si="2"/>
        <v>#VALUE!</v>
      </c>
      <c r="Z66" s="239" t="e">
        <f t="shared" ca="1" si="4"/>
        <v>#VALUE!</v>
      </c>
    </row>
    <row r="67" spans="2:26" ht="25.5">
      <c r="B67" s="234">
        <f t="shared" si="0"/>
        <v>63</v>
      </c>
      <c r="C67" s="234">
        <f>IF(VLOOKUP(B67,PROPONENTES!$B$19:$E$109,2,0)="","",VLOOKUP(B67,PROPONENTES!$B$19:$E$109,2,0))</f>
        <v>63</v>
      </c>
      <c r="D67" s="234" t="str">
        <f>VLOOKUP(C67,RESUMENGEN!$C$21:$E$110,2,FALSE)</f>
        <v>COMPAÑIA CONSULTORA COLOMBIANA TRIPLE C BIC SAS</v>
      </c>
      <c r="E67" s="235" t="str">
        <f>VLOOKUP(C67,'HAB.GEN.'!$C$19:$L$108,3,FALSE)</f>
        <v>HÁBIL</v>
      </c>
      <c r="F67" s="235" t="str">
        <f>VLOOKUP(C67,'HAB.GEN.'!$C$19:$L$108,4,FALSE)</f>
        <v>HÁBIL</v>
      </c>
      <c r="G67" s="235" t="str">
        <f>VLOOKUP(C67,'HAB.GEN.'!$C$19:$L$108,5,FALSE)</f>
        <v>HÁBIL</v>
      </c>
      <c r="H67" s="235" t="str">
        <f>VLOOKUP(C67,'HAB.GEN.'!$C$19:$L$108,6,FALSE)</f>
        <v>HÁBIL</v>
      </c>
      <c r="I67" s="235" t="str">
        <f>VLOOKUP(C67,RNOCI!$C$19:$F$108,3,FALSE)</f>
        <v>NO</v>
      </c>
      <c r="J67" s="235" t="str">
        <f>VLOOKUP(C67,'MULTAS Y SANCIONES'!$C$19:$E$108,3,FALSE)</f>
        <v>NO</v>
      </c>
      <c r="K67" s="235" t="str">
        <f>VLOOKUP(C67,'HAB.GEN.'!$C$19:$L$108,7,FALSE)</f>
        <v>HÁBIL</v>
      </c>
      <c r="L67" s="235" t="str">
        <f ca="1">VLOOKUP(C67,'HAB.GEN.'!$C$19:$L$108,8,FALSE)</f>
        <v>HÁBIL</v>
      </c>
      <c r="M67" s="235" t="str">
        <f>VLOOKUP(C67,'HAB.GEN.'!$C$19:$L$108,9,FALSE)</f>
        <v>HÁBIL</v>
      </c>
      <c r="N67" s="235" t="str">
        <f t="shared" ca="1" si="1"/>
        <v>HÁBIL</v>
      </c>
      <c r="O67" s="236">
        <f>VLOOKUP(C67,'PONDERACION EXP.'!$C$44:$L$133,5,FALSE)</f>
        <v>2</v>
      </c>
      <c r="P67" s="264">
        <f>VLOOKUP(C67,'PONDERACION EXP.'!$C$44:$L$133,7,FALSE)</f>
        <v>396.13799999999998</v>
      </c>
      <c r="Q67" s="265">
        <f ca="1">VLOOKUP(C67,'PONDERACION EXP.'!$C$44:$K$133,9,FALSE)</f>
        <v>31.089533890290888</v>
      </c>
      <c r="R67" s="237" t="str">
        <f>VLOOKUP(C67,'EQUIPO DE TRABAJO'!$C$19:$F$108,4,FALSE)</f>
        <v>CUMPLE</v>
      </c>
      <c r="S67" s="238">
        <f>VLOOKUP(C67,'APOYO A IND. NAL.'!$C$19:$E$108,3,FALSE)</f>
        <v>20</v>
      </c>
      <c r="T67" s="237">
        <f>VLOOKUP(C67,'VIN.PERS.DISC.'!$C$19:$G$108,5,FALSE)</f>
        <v>1</v>
      </c>
      <c r="U67" s="238">
        <f>VLOOKUP(C67,RNOCI!$C$19:$F$108,4,FALSE)</f>
        <v>0</v>
      </c>
      <c r="V67" s="238">
        <f>VLOOKUP(C67,RESUMENGEN!$C$21:$M$110,10,FALSE)</f>
        <v>0</v>
      </c>
      <c r="W67" s="266">
        <f ca="1">VLOOKUP(C67,RESUMENGEN!$C$21:$M$110,11,FALSE)</f>
        <v>62.089533890290888</v>
      </c>
      <c r="X67" s="233"/>
      <c r="Y67" s="266" t="e">
        <f t="shared" ca="1" si="2"/>
        <v>#VALUE!</v>
      </c>
      <c r="Z67" s="239" t="e">
        <f t="shared" ca="1" si="4"/>
        <v>#VALUE!</v>
      </c>
    </row>
    <row r="68" spans="2:26">
      <c r="B68" s="234">
        <f t="shared" si="0"/>
        <v>64</v>
      </c>
      <c r="C68" s="234">
        <f>IF(VLOOKUP(B68,PROPONENTES!$B$19:$E$109,2,0)="","",VLOOKUP(B68,PROPONENTES!$B$19:$E$109,2,0))</f>
        <v>64</v>
      </c>
      <c r="D68" s="234" t="str">
        <f>VLOOKUP(C68,RESUMENGEN!$C$21:$E$110,2,FALSE)</f>
        <v>UNION TEMPORAL INTERTOL 001 2022</v>
      </c>
      <c r="E68" s="235" t="str">
        <f>VLOOKUP(C68,'HAB.GEN.'!$C$19:$L$108,3,FALSE)</f>
        <v>HÁBIL</v>
      </c>
      <c r="F68" s="235" t="str">
        <f>VLOOKUP(C68,'HAB.GEN.'!$C$19:$L$108,4,FALSE)</f>
        <v>HÁBIL</v>
      </c>
      <c r="G68" s="235" t="str">
        <f>VLOOKUP(C68,'HAB.GEN.'!$C$19:$L$108,5,FALSE)</f>
        <v>HÁBIL</v>
      </c>
      <c r="H68" s="235" t="str">
        <f>VLOOKUP(C68,'HAB.GEN.'!$C$19:$L$108,6,FALSE)</f>
        <v>HÁBIL</v>
      </c>
      <c r="I68" s="235" t="str">
        <f>VLOOKUP(C68,RNOCI!$C$19:$F$108,3,FALSE)</f>
        <v>NO</v>
      </c>
      <c r="J68" s="235" t="str">
        <f>VLOOKUP(C68,'MULTAS Y SANCIONES'!$C$19:$E$108,3,FALSE)</f>
        <v>NO</v>
      </c>
      <c r="K68" s="235" t="str">
        <f>VLOOKUP(C68,'HAB.GEN.'!$C$19:$L$108,7,FALSE)</f>
        <v>HÁBIL</v>
      </c>
      <c r="L68" s="235" t="str">
        <f ca="1">VLOOKUP(C68,'HAB.GEN.'!$C$19:$L$108,8,FALSE)</f>
        <v>HÁBIL</v>
      </c>
      <c r="M68" s="235" t="str">
        <f ca="1">VLOOKUP(C68,'HAB.GEN.'!$C$19:$L$108,9,FALSE)</f>
        <v>HÁBIL</v>
      </c>
      <c r="N68" s="235" t="str">
        <f t="shared" ca="1" si="1"/>
        <v>HÁBIL</v>
      </c>
      <c r="O68" s="236">
        <f>VLOOKUP(C68,'PONDERACION EXP.'!$C$44:$L$133,5,FALSE)</f>
        <v>5</v>
      </c>
      <c r="P68" s="264">
        <f ca="1">VLOOKUP(C68,'PONDERACION EXP.'!$C$44:$L$133,7,FALSE)</f>
        <v>311.31020000000001</v>
      </c>
      <c r="Q68" s="265">
        <f ca="1">VLOOKUP(C68,'PONDERACION EXP.'!$C$44:$K$133,9,FALSE)</f>
        <v>24.432114599693129</v>
      </c>
      <c r="R68" s="237" t="str">
        <f>VLOOKUP(C68,'EQUIPO DE TRABAJO'!$C$19:$F$108,4,FALSE)</f>
        <v>CUMPLE</v>
      </c>
      <c r="S68" s="238">
        <f>VLOOKUP(C68,'APOYO A IND. NAL.'!$C$19:$E$108,3,FALSE)</f>
        <v>20</v>
      </c>
      <c r="T68" s="237">
        <f ca="1">VLOOKUP(C68,'VIN.PERS.DISC.'!$C$19:$G$108,5,FALSE)</f>
        <v>1</v>
      </c>
      <c r="U68" s="238">
        <f>VLOOKUP(C68,RNOCI!$C$19:$F$108,4,FALSE)</f>
        <v>0</v>
      </c>
      <c r="V68" s="238">
        <f>VLOOKUP(C68,RESUMENGEN!$C$21:$M$110,10,FALSE)</f>
        <v>0</v>
      </c>
      <c r="W68" s="266">
        <f ca="1">VLOOKUP(C68,RESUMENGEN!$C$21:$M$110,11,FALSE)</f>
        <v>55.432114599693129</v>
      </c>
      <c r="X68" s="233"/>
      <c r="Y68" s="266" t="e">
        <f t="shared" ca="1" si="2"/>
        <v>#VALUE!</v>
      </c>
      <c r="Z68" s="239" t="e">
        <f t="shared" ca="1" si="4"/>
        <v>#VALUE!</v>
      </c>
    </row>
    <row r="69" spans="2:26" ht="25.5">
      <c r="B69" s="234">
        <f t="shared" si="0"/>
        <v>65</v>
      </c>
      <c r="C69" s="234">
        <f>IF(VLOOKUP(B69,PROPONENTES!$B$19:$E$109,2,0)="","",VLOOKUP(B69,PROPONENTES!$B$19:$E$109,2,0))</f>
        <v>65</v>
      </c>
      <c r="D69" s="234" t="str">
        <f>VLOOKUP(C69,RESUMENGEN!$C$21:$E$110,2,FALSE)</f>
        <v>PROYECTISTAS DE COLOMBIA &amp; CIA SAS</v>
      </c>
      <c r="E69" s="235" t="str">
        <f>VLOOKUP(C69,'HAB.GEN.'!$C$19:$L$108,3,FALSE)</f>
        <v>RECHAZO</v>
      </c>
      <c r="F69" s="235" t="str">
        <f>VLOOKUP(C69,'HAB.GEN.'!$C$19:$L$108,4,FALSE)</f>
        <v>HÁBIL</v>
      </c>
      <c r="G69" s="235" t="str">
        <f>VLOOKUP(C69,'HAB.GEN.'!$C$19:$L$108,5,FALSE)</f>
        <v>HÁBIL</v>
      </c>
      <c r="H69" s="235" t="str">
        <f>VLOOKUP(C69,'HAB.GEN.'!$C$19:$L$108,6,FALSE)</f>
        <v>HÁBIL</v>
      </c>
      <c r="I69" s="235" t="str">
        <f>VLOOKUP(C69,RNOCI!$C$19:$F$108,3,FALSE)</f>
        <v>NO</v>
      </c>
      <c r="J69" s="235" t="str">
        <f>VLOOKUP(C69,'MULTAS Y SANCIONES'!$C$19:$E$108,3,FALSE)</f>
        <v>NO</v>
      </c>
      <c r="K69" s="235" t="str">
        <f>VLOOKUP(C69,'HAB.GEN.'!$C$19:$L$108,7,FALSE)</f>
        <v>HÁBIL</v>
      </c>
      <c r="L69" s="235" t="str">
        <f ca="1">VLOOKUP(C69,'HAB.GEN.'!$C$19:$L$108,8,FALSE)</f>
        <v>HÁBIL</v>
      </c>
      <c r="M69" s="235" t="str">
        <f>VLOOKUP(C69,'HAB.GEN.'!$C$19:$L$108,9,FALSE)</f>
        <v>HÁBIL</v>
      </c>
      <c r="N69" s="235" t="str">
        <f t="shared" ca="1" si="1"/>
        <v>RECHAZO</v>
      </c>
      <c r="O69" s="236">
        <f>VLOOKUP(C69,'PONDERACION EXP.'!$C$44:$L$133,5,FALSE)</f>
        <v>2</v>
      </c>
      <c r="P69" s="264">
        <f>VLOOKUP(C69,'PONDERACION EXP.'!$C$44:$L$133,7,FALSE)</f>
        <v>460.52249999999998</v>
      </c>
      <c r="Q69" s="265">
        <f ca="1">VLOOKUP(C69,'PONDERACION EXP.'!$C$44:$K$133,9,FALSE)</f>
        <v>36.142530812473147</v>
      </c>
      <c r="R69" s="237" t="str">
        <f>VLOOKUP(C69,'EQUIPO DE TRABAJO'!$C$19:$F$108,4,FALSE)</f>
        <v>CUMPLE</v>
      </c>
      <c r="S69" s="238">
        <f>VLOOKUP(C69,'APOYO A IND. NAL.'!$C$19:$E$108,3,FALSE)</f>
        <v>20</v>
      </c>
      <c r="T69" s="237">
        <f>VLOOKUP(C69,'VIN.PERS.DISC.'!$C$19:$G$108,5,FALSE)</f>
        <v>1</v>
      </c>
      <c r="U69" s="238">
        <f>VLOOKUP(C69,RNOCI!$C$19:$F$108,4,FALSE)</f>
        <v>0</v>
      </c>
      <c r="V69" s="238">
        <f>VLOOKUP(C69,RESUMENGEN!$C$21:$M$110,10,FALSE)</f>
        <v>0</v>
      </c>
      <c r="W69" s="266">
        <f ca="1">VLOOKUP(C69,RESUMENGEN!$C$21:$M$110,11,FALSE)</f>
        <v>0</v>
      </c>
      <c r="X69" s="233"/>
      <c r="Y69" s="266" t="e">
        <f t="shared" ca="1" si="2"/>
        <v>#VALUE!</v>
      </c>
      <c r="Z69" s="239" t="e">
        <f t="shared" ca="1" si="4"/>
        <v>#VALUE!</v>
      </c>
    </row>
    <row r="70" spans="2:26">
      <c r="B70" s="234">
        <f t="shared" ref="B70:B94" si="5">ROW()-4</f>
        <v>66</v>
      </c>
      <c r="C70" s="234">
        <f>IF(VLOOKUP(B70,PROPONENTES!$B$19:$E$109,2,0)="","",VLOOKUP(B70,PROPONENTES!$B$19:$E$109,2,0))</f>
        <v>66</v>
      </c>
      <c r="D70" s="234" t="str">
        <f>VLOOKUP(C70,RESUMENGEN!$C$21:$E$110,2,FALSE)</f>
        <v>CONSORCIO VIAL INGENIERIA 2022</v>
      </c>
      <c r="E70" s="235" t="str">
        <f>VLOOKUP(C70,'HAB.GEN.'!$C$19:$L$108,3,FALSE)</f>
        <v>HÁBIL</v>
      </c>
      <c r="F70" s="235" t="str">
        <f>VLOOKUP(C70,'HAB.GEN.'!$C$19:$L$108,4,FALSE)</f>
        <v>HÁBIL</v>
      </c>
      <c r="G70" s="235" t="str">
        <f>VLOOKUP(C70,'HAB.GEN.'!$C$19:$L$108,5,FALSE)</f>
        <v>HÁBIL</v>
      </c>
      <c r="H70" s="235" t="str">
        <f>VLOOKUP(C70,'HAB.GEN.'!$C$19:$L$108,6,FALSE)</f>
        <v>HÁBIL</v>
      </c>
      <c r="I70" s="235" t="str">
        <f>VLOOKUP(C70,RNOCI!$C$19:$F$108,3,FALSE)</f>
        <v>NO</v>
      </c>
      <c r="J70" s="235" t="str">
        <f>VLOOKUP(C70,'MULTAS Y SANCIONES'!$C$19:$E$108,3,FALSE)</f>
        <v>NO</v>
      </c>
      <c r="K70" s="235" t="str">
        <f>VLOOKUP(C70,'HAB.GEN.'!$C$19:$L$108,7,FALSE)</f>
        <v>HÁBIL</v>
      </c>
      <c r="L70" s="235" t="str">
        <f ca="1">VLOOKUP(C70,'HAB.GEN.'!$C$19:$L$108,8,FALSE)</f>
        <v>HÁBIL</v>
      </c>
      <c r="M70" s="235" t="str">
        <f ca="1">VLOOKUP(C70,'HAB.GEN.'!$C$19:$L$108,9,FALSE)</f>
        <v>HÁBIL</v>
      </c>
      <c r="N70" s="235" t="str">
        <f t="shared" ref="N70:N94" ca="1" si="6">IF(OR(COUNTIF(E70:M70,"")=8,COUNTIF(E70:M70,"")&gt;0),"",IF(COUNTIF(E70:M70,"RECHAZO")&gt;0,"RECHAZO",IF(COUNTIF(E70:M70,"NO HÁBIL")=0,"HÁBIL","NO HÁBIL")))</f>
        <v>HÁBIL</v>
      </c>
      <c r="O70" s="236">
        <f>VLOOKUP(C70,'PONDERACION EXP.'!$C$44:$L$133,5,FALSE)</f>
        <v>4</v>
      </c>
      <c r="P70" s="264">
        <f ca="1">VLOOKUP(C70,'PONDERACION EXP.'!$C$44:$L$133,7,FALSE)</f>
        <v>396.83374999999995</v>
      </c>
      <c r="Q70" s="265">
        <f ca="1">VLOOKUP(C70,'PONDERACION EXP.'!$C$44:$K$133,9,FALSE)</f>
        <v>31.14413744562809</v>
      </c>
      <c r="R70" s="237" t="str">
        <f>VLOOKUP(C70,'EQUIPO DE TRABAJO'!$C$19:$F$108,4,FALSE)</f>
        <v>CUMPLE</v>
      </c>
      <c r="S70" s="238">
        <f>VLOOKUP(C70,'APOYO A IND. NAL.'!$C$19:$E$108,3,FALSE)</f>
        <v>20</v>
      </c>
      <c r="T70" s="237">
        <f ca="1">VLOOKUP(C70,'VIN.PERS.DISC.'!$C$19:$G$108,5,FALSE)</f>
        <v>1</v>
      </c>
      <c r="U70" s="238">
        <f>VLOOKUP(C70,RNOCI!$C$19:$F$108,4,FALSE)</f>
        <v>0</v>
      </c>
      <c r="V70" s="238">
        <f>VLOOKUP(C70,RESUMENGEN!$C$21:$M$110,10,FALSE)</f>
        <v>0</v>
      </c>
      <c r="W70" s="266">
        <f ca="1">VLOOKUP(C70,RESUMENGEN!$C$21:$M$110,11,FALSE)</f>
        <v>62.14413744562809</v>
      </c>
      <c r="X70" s="233"/>
      <c r="Y70" s="266" t="e">
        <f t="shared" ref="Y70:Y94" ca="1" si="7">IF($L70&lt;&gt;"HÁBIL",0,Q70+R70+S70+T70+U70+V70)</f>
        <v>#VALUE!</v>
      </c>
      <c r="Z70" s="239" t="e">
        <f t="shared" ref="Z70:Z94" ca="1" si="8">IF(W70=Y70,"SI","NO")</f>
        <v>#VALUE!</v>
      </c>
    </row>
    <row r="71" spans="2:26">
      <c r="B71" s="234">
        <f t="shared" si="5"/>
        <v>67</v>
      </c>
      <c r="C71" s="234">
        <f>IF(VLOOKUP(B71,PROPONENTES!$B$19:$E$109,2,0)="","",VLOOKUP(B71,PROPONENTES!$B$19:$E$109,2,0))</f>
        <v>67</v>
      </c>
      <c r="D71" s="234" t="str">
        <f>VLOOKUP(C71,RESUMENGEN!$C$21:$E$110,2,FALSE)</f>
        <v>CONSORCIO AV</v>
      </c>
      <c r="E71" s="235" t="str">
        <f>VLOOKUP(C71,'HAB.GEN.'!$C$19:$L$108,3,FALSE)</f>
        <v>HÁBIL</v>
      </c>
      <c r="F71" s="235" t="str">
        <f>VLOOKUP(C71,'HAB.GEN.'!$C$19:$L$108,4,FALSE)</f>
        <v>HÁBIL</v>
      </c>
      <c r="G71" s="235" t="str">
        <f>VLOOKUP(C71,'HAB.GEN.'!$C$19:$L$108,5,FALSE)</f>
        <v>HÁBIL</v>
      </c>
      <c r="H71" s="235" t="str">
        <f>VLOOKUP(C71,'HAB.GEN.'!$C$19:$L$108,6,FALSE)</f>
        <v>HÁBIL</v>
      </c>
      <c r="I71" s="235" t="str">
        <f>VLOOKUP(C71,RNOCI!$C$19:$F$108,3,FALSE)</f>
        <v>NO</v>
      </c>
      <c r="J71" s="235" t="str">
        <f>VLOOKUP(C71,'MULTAS Y SANCIONES'!$C$19:$E$108,3,FALSE)</f>
        <v>NO</v>
      </c>
      <c r="K71" s="235" t="str">
        <f>VLOOKUP(C71,'HAB.GEN.'!$C$19:$L$108,7,FALSE)</f>
        <v>HÁBIL</v>
      </c>
      <c r="L71" s="235" t="str">
        <f ca="1">VLOOKUP(C71,'HAB.GEN.'!$C$19:$L$108,8,FALSE)</f>
        <v>HÁBIL</v>
      </c>
      <c r="M71" s="235" t="str">
        <f ca="1">VLOOKUP(C71,'HAB.GEN.'!$C$19:$L$108,9,FALSE)</f>
        <v>HÁBIL</v>
      </c>
      <c r="N71" s="235" t="str">
        <f t="shared" ca="1" si="6"/>
        <v>HÁBIL</v>
      </c>
      <c r="O71" s="236">
        <f>VLOOKUP(C71,'PONDERACION EXP.'!$C$44:$L$133,5,FALSE)</f>
        <v>2</v>
      </c>
      <c r="P71" s="264">
        <f ca="1">VLOOKUP(C71,'PONDERACION EXP.'!$C$44:$L$133,7,FALSE)</f>
        <v>421.97749999999996</v>
      </c>
      <c r="Q71" s="265">
        <f ca="1">VLOOKUP(C71,'PONDERACION EXP.'!$C$44:$K$133,9,FALSE)</f>
        <v>33.117458530083518</v>
      </c>
      <c r="R71" s="237" t="str">
        <f>VLOOKUP(C71,'EQUIPO DE TRABAJO'!$C$19:$F$108,4,FALSE)</f>
        <v>CUMPLE</v>
      </c>
      <c r="S71" s="238">
        <f>VLOOKUP(C71,'APOYO A IND. NAL.'!$C$19:$E$108,3,FALSE)</f>
        <v>20</v>
      </c>
      <c r="T71" s="237">
        <f ca="1">VLOOKUP(C71,'VIN.PERS.DISC.'!$C$19:$G$108,5,FALSE)</f>
        <v>1</v>
      </c>
      <c r="U71" s="238">
        <f>VLOOKUP(C71,RNOCI!$C$19:$F$108,4,FALSE)</f>
        <v>0</v>
      </c>
      <c r="V71" s="238">
        <f>VLOOKUP(C71,RESUMENGEN!$C$21:$M$110,10,FALSE)</f>
        <v>0</v>
      </c>
      <c r="W71" s="266">
        <f ca="1">VLOOKUP(C71,RESUMENGEN!$C$21:$M$110,11,FALSE)</f>
        <v>64.117458530083525</v>
      </c>
      <c r="X71" s="233"/>
      <c r="Y71" s="266" t="e">
        <f t="shared" ca="1" si="7"/>
        <v>#VALUE!</v>
      </c>
      <c r="Z71" s="239" t="e">
        <f t="shared" ca="1" si="8"/>
        <v>#VALUE!</v>
      </c>
    </row>
    <row r="72" spans="2:26" ht="25.5">
      <c r="B72" s="234">
        <f t="shared" si="5"/>
        <v>68</v>
      </c>
      <c r="C72" s="234">
        <f>IF(VLOOKUP(B72,PROPONENTES!$B$19:$E$109,2,0)="","",VLOOKUP(B72,PROPONENTES!$B$19:$E$109,2,0))</f>
        <v>68</v>
      </c>
      <c r="D72" s="234" t="str">
        <f>VLOOKUP(C72,RESUMENGEN!$C$21:$E$110,2,FALSE)</f>
        <v>SOLUCIONES PARA LA INGENIERÍA S.A.S.</v>
      </c>
      <c r="E72" s="235" t="str">
        <f>VLOOKUP(C72,'HAB.GEN.'!$C$19:$L$108,3,FALSE)</f>
        <v>HÁBIL</v>
      </c>
      <c r="F72" s="235" t="str">
        <f>VLOOKUP(C72,'HAB.GEN.'!$C$19:$L$108,4,FALSE)</f>
        <v>HÁBIL</v>
      </c>
      <c r="G72" s="235" t="str">
        <f>VLOOKUP(C72,'HAB.GEN.'!$C$19:$L$108,5,FALSE)</f>
        <v>HÁBIL</v>
      </c>
      <c r="H72" s="235" t="str">
        <f>VLOOKUP(C72,'HAB.GEN.'!$C$19:$L$108,6,FALSE)</f>
        <v>HÁBIL</v>
      </c>
      <c r="I72" s="235" t="str">
        <f>VLOOKUP(C72,RNOCI!$C$19:$F$108,3,FALSE)</f>
        <v>NO</v>
      </c>
      <c r="J72" s="235" t="str">
        <f>VLOOKUP(C72,'MULTAS Y SANCIONES'!$C$19:$E$108,3,FALSE)</f>
        <v>NO</v>
      </c>
      <c r="K72" s="235" t="str">
        <f>VLOOKUP(C72,'HAB.GEN.'!$C$19:$L$108,7,FALSE)</f>
        <v>HÁBIL</v>
      </c>
      <c r="L72" s="235" t="str">
        <f ca="1">VLOOKUP(C72,'HAB.GEN.'!$C$19:$L$108,8,FALSE)</f>
        <v>HÁBIL</v>
      </c>
      <c r="M72" s="235" t="str">
        <f>VLOOKUP(C72,'HAB.GEN.'!$C$19:$L$108,9,FALSE)</f>
        <v>HÁBIL</v>
      </c>
      <c r="N72" s="235" t="str">
        <f t="shared" ca="1" si="6"/>
        <v>HÁBIL</v>
      </c>
      <c r="O72" s="236">
        <f>VLOOKUP(C72,'PONDERACION EXP.'!$C$44:$L$133,5,FALSE)</f>
        <v>5</v>
      </c>
      <c r="P72" s="264">
        <f>VLOOKUP(C72,'PONDERACION EXP.'!$C$44:$L$133,7,FALSE)</f>
        <v>464.58774000000005</v>
      </c>
      <c r="Q72" s="265">
        <f ca="1">VLOOKUP(C72,'PONDERACION EXP.'!$C$44:$K$133,9,FALSE)</f>
        <v>36.461577247685533</v>
      </c>
      <c r="R72" s="237" t="str">
        <f>VLOOKUP(C72,'EQUIPO DE TRABAJO'!$C$19:$F$108,4,FALSE)</f>
        <v>CUMPLE</v>
      </c>
      <c r="S72" s="238">
        <f>VLOOKUP(C72,'APOYO A IND. NAL.'!$C$19:$E$108,3,FALSE)</f>
        <v>20</v>
      </c>
      <c r="T72" s="237">
        <f>VLOOKUP(C72,'VIN.PERS.DISC.'!$C$19:$G$108,5,FALSE)</f>
        <v>1</v>
      </c>
      <c r="U72" s="238">
        <f>VLOOKUP(C72,RNOCI!$C$19:$F$108,4,FALSE)</f>
        <v>0</v>
      </c>
      <c r="V72" s="238">
        <f>VLOOKUP(C72,RESUMENGEN!$C$21:$M$110,10,FALSE)</f>
        <v>0</v>
      </c>
      <c r="W72" s="266">
        <f ca="1">VLOOKUP(C72,RESUMENGEN!$C$21:$M$110,11,FALSE)</f>
        <v>67.46157724768554</v>
      </c>
      <c r="X72" s="233"/>
      <c r="Y72" s="266" t="e">
        <f t="shared" ca="1" si="7"/>
        <v>#VALUE!</v>
      </c>
      <c r="Z72" s="239" t="e">
        <f t="shared" ca="1" si="8"/>
        <v>#VALUE!</v>
      </c>
    </row>
    <row r="73" spans="2:26">
      <c r="B73" s="234">
        <f t="shared" si="5"/>
        <v>69</v>
      </c>
      <c r="C73" s="234">
        <f>IF(VLOOKUP(B73,PROPONENTES!$B$19:$E$109,2,0)="","",VLOOKUP(B73,PROPONENTES!$B$19:$E$109,2,0))</f>
        <v>69</v>
      </c>
      <c r="D73" s="234" t="str">
        <f>VLOOKUP(C73,RESUMENGEN!$C$21:$E$110,2,FALSE)</f>
        <v>Unión Temporal Intervías Tolima</v>
      </c>
      <c r="E73" s="235" t="str">
        <f>VLOOKUP(C73,'HAB.GEN.'!$C$19:$L$108,3,FALSE)</f>
        <v>HÁBIL</v>
      </c>
      <c r="F73" s="235" t="str">
        <f>VLOOKUP(C73,'HAB.GEN.'!$C$19:$L$108,4,FALSE)</f>
        <v>HÁBIL</v>
      </c>
      <c r="G73" s="235" t="str">
        <f>VLOOKUP(C73,'HAB.GEN.'!$C$19:$L$108,5,FALSE)</f>
        <v>HÁBIL</v>
      </c>
      <c r="H73" s="235" t="str">
        <f>VLOOKUP(C73,'HAB.GEN.'!$C$19:$L$108,6,FALSE)</f>
        <v>HÁBIL</v>
      </c>
      <c r="I73" s="235" t="str">
        <f>VLOOKUP(C73,RNOCI!$C$19:$F$108,3,FALSE)</f>
        <v>NO</v>
      </c>
      <c r="J73" s="235" t="str">
        <f>VLOOKUP(C73,'MULTAS Y SANCIONES'!$C$19:$E$108,3,FALSE)</f>
        <v>NO</v>
      </c>
      <c r="K73" s="235" t="str">
        <f>VLOOKUP(C73,'HAB.GEN.'!$C$19:$L$108,7,FALSE)</f>
        <v>HÁBIL</v>
      </c>
      <c r="L73" s="235" t="str">
        <f ca="1">VLOOKUP(C73,'HAB.GEN.'!$C$19:$L$108,8,FALSE)</f>
        <v>HÁBIL</v>
      </c>
      <c r="M73" s="235" t="str">
        <f ca="1">VLOOKUP(C73,'HAB.GEN.'!$C$19:$L$108,9,FALSE)</f>
        <v>HÁBIL</v>
      </c>
      <c r="N73" s="235" t="str">
        <f t="shared" ca="1" si="6"/>
        <v>HÁBIL</v>
      </c>
      <c r="O73" s="236">
        <f>VLOOKUP(C73,'PONDERACION EXP.'!$C$44:$L$133,5,FALSE)</f>
        <v>4</v>
      </c>
      <c r="P73" s="264">
        <f ca="1">VLOOKUP(C73,'PONDERACION EXP.'!$C$44:$L$133,7,FALSE)</f>
        <v>1303.14625</v>
      </c>
      <c r="Q73" s="265">
        <f ca="1">VLOOKUP(C73,'PONDERACION EXP.'!$C$44:$K$133,9,FALSE)</f>
        <v>2.4540614463622061</v>
      </c>
      <c r="R73" s="237" t="str">
        <f>VLOOKUP(C73,'EQUIPO DE TRABAJO'!$C$19:$F$108,4,FALSE)</f>
        <v>CUMPLE</v>
      </c>
      <c r="S73" s="238">
        <f>VLOOKUP(C73,'APOYO A IND. NAL.'!$C$19:$E$108,3,FALSE)</f>
        <v>20</v>
      </c>
      <c r="T73" s="237">
        <f ca="1">VLOOKUP(C73,'VIN.PERS.DISC.'!$C$19:$G$108,5,FALSE)</f>
        <v>1</v>
      </c>
      <c r="U73" s="238">
        <f>VLOOKUP(C73,RNOCI!$C$19:$F$108,4,FALSE)</f>
        <v>0</v>
      </c>
      <c r="V73" s="238">
        <f>VLOOKUP(C73,RESUMENGEN!$C$21:$M$110,10,FALSE)</f>
        <v>0</v>
      </c>
      <c r="W73" s="266">
        <f ca="1">VLOOKUP(C73,RESUMENGEN!$C$21:$M$110,11,FALSE)</f>
        <v>33.454061446362203</v>
      </c>
      <c r="X73" s="233"/>
      <c r="Y73" s="266" t="e">
        <f t="shared" ca="1" si="7"/>
        <v>#VALUE!</v>
      </c>
      <c r="Z73" s="239" t="e">
        <f t="shared" ca="1" si="8"/>
        <v>#VALUE!</v>
      </c>
    </row>
    <row r="74" spans="2:26">
      <c r="B74" s="234">
        <f t="shared" si="5"/>
        <v>70</v>
      </c>
      <c r="C74" s="234">
        <f>IF(VLOOKUP(B74,PROPONENTES!$B$19:$E$109,2,0)="","",VLOOKUP(B74,PROPONENTES!$B$19:$E$109,2,0))</f>
        <v>70</v>
      </c>
      <c r="D74" s="234" t="str">
        <f>VLOOKUP(C74,RESUMENGEN!$C$21:$E$110,2,FALSE)</f>
        <v>CONSORCIO DT TOLIMA ZP</v>
      </c>
      <c r="E74" s="235" t="str">
        <f>VLOOKUP(C74,'HAB.GEN.'!$C$19:$L$108,3,FALSE)</f>
        <v>HÁBIL</v>
      </c>
      <c r="F74" s="235" t="str">
        <f>VLOOKUP(C74,'HAB.GEN.'!$C$19:$L$108,4,FALSE)</f>
        <v>HÁBIL</v>
      </c>
      <c r="G74" s="235" t="str">
        <f>VLOOKUP(C74,'HAB.GEN.'!$C$19:$L$108,5,FALSE)</f>
        <v>HÁBIL</v>
      </c>
      <c r="H74" s="235" t="str">
        <f>VLOOKUP(C74,'HAB.GEN.'!$C$19:$L$108,6,FALSE)</f>
        <v>HÁBIL</v>
      </c>
      <c r="I74" s="235" t="str">
        <f>VLOOKUP(C74,RNOCI!$C$19:$F$108,3,FALSE)</f>
        <v>NO</v>
      </c>
      <c r="J74" s="235" t="str">
        <f>VLOOKUP(C74,'MULTAS Y SANCIONES'!$C$19:$E$108,3,FALSE)</f>
        <v>NO</v>
      </c>
      <c r="K74" s="235" t="str">
        <f>VLOOKUP(C74,'HAB.GEN.'!$C$19:$L$108,7,FALSE)</f>
        <v>HÁBIL</v>
      </c>
      <c r="L74" s="235" t="str">
        <f ca="1">VLOOKUP(C74,'HAB.GEN.'!$C$19:$L$108,8,FALSE)</f>
        <v>HÁBIL</v>
      </c>
      <c r="M74" s="235" t="str">
        <f ca="1">VLOOKUP(C74,'HAB.GEN.'!$C$19:$L$108,9,FALSE)</f>
        <v>HÁBIL</v>
      </c>
      <c r="N74" s="235" t="str">
        <f t="shared" ca="1" si="6"/>
        <v>HÁBIL</v>
      </c>
      <c r="O74" s="236">
        <f>VLOOKUP(C74,'PONDERACION EXP.'!$C$44:$L$133,5,FALSE)</f>
        <v>4</v>
      </c>
      <c r="P74" s="264">
        <f ca="1">VLOOKUP(C74,'PONDERACION EXP.'!$C$44:$L$133,7,FALSE)</f>
        <v>418.79075</v>
      </c>
      <c r="Q74" s="265">
        <f ca="1">VLOOKUP(C74,'PONDERACION EXP.'!$C$44:$K$133,9,FALSE)</f>
        <v>32.867357373100631</v>
      </c>
      <c r="R74" s="237" t="str">
        <f>VLOOKUP(C74,'EQUIPO DE TRABAJO'!$C$19:$F$108,4,FALSE)</f>
        <v>CUMPLE</v>
      </c>
      <c r="S74" s="238">
        <f>VLOOKUP(C74,'APOYO A IND. NAL.'!$C$19:$E$108,3,FALSE)</f>
        <v>20</v>
      </c>
      <c r="T74" s="237">
        <f ca="1">VLOOKUP(C74,'VIN.PERS.DISC.'!$C$19:$G$108,5,FALSE)</f>
        <v>1</v>
      </c>
      <c r="U74" s="238">
        <f>VLOOKUP(C74,RNOCI!$C$19:$F$108,4,FALSE)</f>
        <v>0</v>
      </c>
      <c r="V74" s="238">
        <f>VLOOKUP(C74,RESUMENGEN!$C$21:$M$110,10,FALSE)</f>
        <v>0</v>
      </c>
      <c r="W74" s="266">
        <f ca="1">VLOOKUP(C74,RESUMENGEN!$C$21:$M$110,11,FALSE)</f>
        <v>63.867357373100631</v>
      </c>
      <c r="X74" s="233"/>
      <c r="Y74" s="266" t="e">
        <f t="shared" ca="1" si="7"/>
        <v>#VALUE!</v>
      </c>
      <c r="Z74" s="239" t="e">
        <f t="shared" ca="1" si="8"/>
        <v>#VALUE!</v>
      </c>
    </row>
    <row r="75" spans="2:26" ht="25.5">
      <c r="B75" s="234">
        <f t="shared" si="5"/>
        <v>71</v>
      </c>
      <c r="C75" s="234">
        <f>IF(VLOOKUP(B75,PROPONENTES!$B$19:$E$109,2,0)="","",VLOOKUP(B75,PROPONENTES!$B$19:$E$109,2,0))</f>
        <v>71</v>
      </c>
      <c r="D75" s="234" t="str">
        <f>VLOOKUP(C75,RESUMENGEN!$C$21:$E$110,2,FALSE)</f>
        <v>INGENIEROS CIVILES ESPECIALISTAS S.A.S.</v>
      </c>
      <c r="E75" s="235" t="str">
        <f>VLOOKUP(C75,'HAB.GEN.'!$C$19:$L$108,3,FALSE)</f>
        <v>HÁBIL</v>
      </c>
      <c r="F75" s="235" t="str">
        <f>VLOOKUP(C75,'HAB.GEN.'!$C$19:$L$108,4,FALSE)</f>
        <v>HÁBIL</v>
      </c>
      <c r="G75" s="235" t="str">
        <f>VLOOKUP(C75,'HAB.GEN.'!$C$19:$L$108,5,FALSE)</f>
        <v>HÁBIL</v>
      </c>
      <c r="H75" s="235" t="str">
        <f>VLOOKUP(C75,'HAB.GEN.'!$C$19:$L$108,6,FALSE)</f>
        <v>HÁBIL</v>
      </c>
      <c r="I75" s="235" t="str">
        <f>VLOOKUP(C75,RNOCI!$C$19:$F$108,3,FALSE)</f>
        <v>NO</v>
      </c>
      <c r="J75" s="235" t="str">
        <f>VLOOKUP(C75,'MULTAS Y SANCIONES'!$C$19:$E$108,3,FALSE)</f>
        <v>NO</v>
      </c>
      <c r="K75" s="235" t="str">
        <f>VLOOKUP(C75,'HAB.GEN.'!$C$19:$L$108,7,FALSE)</f>
        <v>HÁBIL</v>
      </c>
      <c r="L75" s="235" t="str">
        <f ca="1">VLOOKUP(C75,'HAB.GEN.'!$C$19:$L$108,8,FALSE)</f>
        <v>HÁBIL</v>
      </c>
      <c r="M75" s="235" t="str">
        <f>VLOOKUP(C75,'HAB.GEN.'!$C$19:$L$108,9,FALSE)</f>
        <v>HÁBIL</v>
      </c>
      <c r="N75" s="235" t="str">
        <f t="shared" ca="1" si="6"/>
        <v>HÁBIL</v>
      </c>
      <c r="O75" s="236">
        <f>VLOOKUP(C75,'PONDERACION EXP.'!$C$44:$L$133,5,FALSE)</f>
        <v>5</v>
      </c>
      <c r="P75" s="264">
        <f>VLOOKUP(C75,'PONDERACION EXP.'!$C$44:$L$133,7,FALSE)</f>
        <v>554.83899999999994</v>
      </c>
      <c r="Q75" s="265">
        <f ca="1">VLOOKUP(C75,'PONDERACION EXP.'!$C$44:$K$133,9,FALSE)</f>
        <v>43.54463821737653</v>
      </c>
      <c r="R75" s="237" t="str">
        <f>VLOOKUP(C75,'EQUIPO DE TRABAJO'!$C$19:$F$108,4,FALSE)</f>
        <v>CUMPLE</v>
      </c>
      <c r="S75" s="238">
        <f>VLOOKUP(C75,'APOYO A IND. NAL.'!$C$19:$E$108,3,FALSE)</f>
        <v>20</v>
      </c>
      <c r="T75" s="237">
        <f>VLOOKUP(C75,'VIN.PERS.DISC.'!$C$19:$G$108,5,FALSE)</f>
        <v>1</v>
      </c>
      <c r="U75" s="238">
        <f>VLOOKUP(C75,RNOCI!$C$19:$F$108,4,FALSE)</f>
        <v>0</v>
      </c>
      <c r="V75" s="238">
        <f>VLOOKUP(C75,RESUMENGEN!$C$21:$M$110,10,FALSE)</f>
        <v>0</v>
      </c>
      <c r="W75" s="266">
        <f ca="1">VLOOKUP(C75,RESUMENGEN!$C$21:$M$110,11,FALSE)</f>
        <v>74.54463821737653</v>
      </c>
      <c r="X75" s="233"/>
      <c r="Y75" s="266" t="e">
        <f t="shared" ca="1" si="7"/>
        <v>#VALUE!</v>
      </c>
      <c r="Z75" s="239" t="e">
        <f t="shared" ca="1" si="8"/>
        <v>#VALUE!</v>
      </c>
    </row>
    <row r="76" spans="2:26">
      <c r="B76" s="234">
        <f t="shared" si="5"/>
        <v>72</v>
      </c>
      <c r="C76" s="234">
        <f>IF(VLOOKUP(B76,PROPONENTES!$B$19:$E$109,2,0)="","",VLOOKUP(B76,PROPONENTES!$B$19:$E$109,2,0))</f>
        <v>72</v>
      </c>
      <c r="D76" s="234" t="str">
        <f>VLOOKUP(C76,RESUMENGEN!$C$21:$E$110,2,FALSE)</f>
        <v>GRUPO QUIMBAYA S.A.S.</v>
      </c>
      <c r="E76" s="235" t="str">
        <f>VLOOKUP(C76,'HAB.GEN.'!$C$19:$L$108,3,FALSE)</f>
        <v>HÁBIL</v>
      </c>
      <c r="F76" s="235" t="str">
        <f>VLOOKUP(C76,'HAB.GEN.'!$C$19:$L$108,4,FALSE)</f>
        <v>HÁBIL</v>
      </c>
      <c r="G76" s="235" t="str">
        <f>VLOOKUP(C76,'HAB.GEN.'!$C$19:$L$108,5,FALSE)</f>
        <v>HÁBIL</v>
      </c>
      <c r="H76" s="235" t="str">
        <f>VLOOKUP(C76,'HAB.GEN.'!$C$19:$L$108,6,FALSE)</f>
        <v>HÁBIL</v>
      </c>
      <c r="I76" s="235" t="str">
        <f>VLOOKUP(C76,RNOCI!$C$19:$F$108,3,FALSE)</f>
        <v>NO</v>
      </c>
      <c r="J76" s="235" t="str">
        <f>VLOOKUP(C76,'MULTAS Y SANCIONES'!$C$19:$E$108,3,FALSE)</f>
        <v>NO</v>
      </c>
      <c r="K76" s="235" t="str">
        <f>VLOOKUP(C76,'HAB.GEN.'!$C$19:$L$108,7,FALSE)</f>
        <v>HÁBIL</v>
      </c>
      <c r="L76" s="235" t="str">
        <f ca="1">VLOOKUP(C76,'HAB.GEN.'!$C$19:$L$108,8,FALSE)</f>
        <v>HÁBIL</v>
      </c>
      <c r="M76" s="235" t="str">
        <f>VLOOKUP(C76,'HAB.GEN.'!$C$19:$L$108,9,FALSE)</f>
        <v>HÁBIL</v>
      </c>
      <c r="N76" s="235" t="str">
        <f t="shared" ca="1" si="6"/>
        <v>HÁBIL</v>
      </c>
      <c r="O76" s="236">
        <f>VLOOKUP(C76,'PONDERACION EXP.'!$C$44:$L$133,5,FALSE)</f>
        <v>2</v>
      </c>
      <c r="P76" s="264">
        <f>VLOOKUP(C76,'PONDERACION EXP.'!$C$44:$L$133,7,FALSE)</f>
        <v>333.50390000000004</v>
      </c>
      <c r="Q76" s="265">
        <f ca="1">VLOOKUP(C76,'PONDERACION EXP.'!$C$44:$K$133,9,FALSE)</f>
        <v>26.173911115808597</v>
      </c>
      <c r="R76" s="237" t="str">
        <f>VLOOKUP(C76,'EQUIPO DE TRABAJO'!$C$19:$F$108,4,FALSE)</f>
        <v>CUMPLE</v>
      </c>
      <c r="S76" s="238">
        <f>VLOOKUP(C76,'APOYO A IND. NAL.'!$C$19:$E$108,3,FALSE)</f>
        <v>20</v>
      </c>
      <c r="T76" s="237">
        <f>VLOOKUP(C76,'VIN.PERS.DISC.'!$C$19:$G$108,5,FALSE)</f>
        <v>1</v>
      </c>
      <c r="U76" s="238">
        <f>VLOOKUP(C76,RNOCI!$C$19:$F$108,4,FALSE)</f>
        <v>0</v>
      </c>
      <c r="V76" s="238">
        <f>VLOOKUP(C76,RESUMENGEN!$C$21:$M$110,10,FALSE)</f>
        <v>0</v>
      </c>
      <c r="W76" s="266">
        <f ca="1">VLOOKUP(C76,RESUMENGEN!$C$21:$M$110,11,FALSE)</f>
        <v>57.173911115808593</v>
      </c>
      <c r="X76" s="233"/>
      <c r="Y76" s="266" t="e">
        <f t="shared" ca="1" si="7"/>
        <v>#VALUE!</v>
      </c>
      <c r="Z76" s="239" t="e">
        <f t="shared" ca="1" si="8"/>
        <v>#VALUE!</v>
      </c>
    </row>
    <row r="77" spans="2:26">
      <c r="B77" s="234">
        <f t="shared" si="5"/>
        <v>73</v>
      </c>
      <c r="C77" s="234">
        <f>IF(VLOOKUP(B77,PROPONENTES!$B$19:$E$109,2,0)="","",VLOOKUP(B77,PROPONENTES!$B$19:$E$109,2,0))</f>
        <v>73</v>
      </c>
      <c r="D77" s="234" t="str">
        <f>VLOOKUP(C77,RESUMENGEN!$C$21:$E$110,2,FALSE)</f>
        <v>CONSORCIO TOLIMA JI 001</v>
      </c>
      <c r="E77" s="235" t="str">
        <f>VLOOKUP(C77,'HAB.GEN.'!$C$19:$L$108,3,FALSE)</f>
        <v>HÁBIL</v>
      </c>
      <c r="F77" s="235" t="str">
        <f>VLOOKUP(C77,'HAB.GEN.'!$C$19:$L$108,4,FALSE)</f>
        <v>HÁBIL</v>
      </c>
      <c r="G77" s="235" t="str">
        <f>VLOOKUP(C77,'HAB.GEN.'!$C$19:$L$108,5,FALSE)</f>
        <v>HÁBIL</v>
      </c>
      <c r="H77" s="235" t="str">
        <f>VLOOKUP(C77,'HAB.GEN.'!$C$19:$L$108,6,FALSE)</f>
        <v>HÁBIL</v>
      </c>
      <c r="I77" s="235" t="str">
        <f>VLOOKUP(C77,RNOCI!$C$19:$F$108,3,FALSE)</f>
        <v>NO</v>
      </c>
      <c r="J77" s="235" t="str">
        <f>VLOOKUP(C77,'MULTAS Y SANCIONES'!$C$19:$E$108,3,FALSE)</f>
        <v>NO</v>
      </c>
      <c r="K77" s="235" t="str">
        <f>VLOOKUP(C77,'HAB.GEN.'!$C$19:$L$108,7,FALSE)</f>
        <v>HÁBIL</v>
      </c>
      <c r="L77" s="235" t="str">
        <f ca="1">VLOOKUP(C77,'HAB.GEN.'!$C$19:$L$108,8,FALSE)</f>
        <v>HÁBIL</v>
      </c>
      <c r="M77" s="235" t="str">
        <f ca="1">VLOOKUP(C77,'HAB.GEN.'!$C$19:$L$108,9,FALSE)</f>
        <v>NO HÁBIL</v>
      </c>
      <c r="N77" s="235" t="str">
        <f t="shared" ca="1" si="6"/>
        <v>NO HÁBIL</v>
      </c>
      <c r="O77" s="236">
        <f>VLOOKUP(C77,'PONDERACION EXP.'!$C$44:$L$133,5,FALSE)</f>
        <v>4</v>
      </c>
      <c r="P77" s="264" t="str">
        <f ca="1">VLOOKUP(C77,'PONDERACION EXP.'!$C$44:$L$133,7,FALSE)</f>
        <v/>
      </c>
      <c r="Q77" s="265">
        <f ca="1">VLOOKUP(C77,'PONDERACION EXP.'!$C$44:$K$133,9,FALSE)</f>
        <v>0</v>
      </c>
      <c r="R77" s="237" t="str">
        <f>VLOOKUP(C77,'EQUIPO DE TRABAJO'!$C$19:$F$108,4,FALSE)</f>
        <v>CUMPLE</v>
      </c>
      <c r="S77" s="238">
        <f>VLOOKUP(C77,'APOYO A IND. NAL.'!$C$19:$E$108,3,FALSE)</f>
        <v>20</v>
      </c>
      <c r="T77" s="237">
        <f ca="1">VLOOKUP(C77,'VIN.PERS.DISC.'!$C$19:$G$108,5,FALSE)</f>
        <v>1</v>
      </c>
      <c r="U77" s="238">
        <f>VLOOKUP(C77,RNOCI!$C$19:$F$108,4,FALSE)</f>
        <v>0</v>
      </c>
      <c r="V77" s="238">
        <f>VLOOKUP(C77,RESUMENGEN!$C$21:$M$110,10,FALSE)</f>
        <v>0</v>
      </c>
      <c r="W77" s="266">
        <f ca="1">VLOOKUP(C77,RESUMENGEN!$C$21:$M$110,11,FALSE)</f>
        <v>31</v>
      </c>
      <c r="X77" s="233"/>
      <c r="Y77" s="266" t="e">
        <f t="shared" ca="1" si="7"/>
        <v>#VALUE!</v>
      </c>
      <c r="Z77" s="239" t="e">
        <f t="shared" ca="1" si="8"/>
        <v>#VALUE!</v>
      </c>
    </row>
    <row r="78" spans="2:26" ht="25.5">
      <c r="B78" s="234">
        <f t="shared" si="5"/>
        <v>74</v>
      </c>
      <c r="C78" s="234">
        <f>IF(VLOOKUP(B78,PROPONENTES!$B$19:$E$109,2,0)="","",VLOOKUP(B78,PROPONENTES!$B$19:$E$109,2,0))</f>
        <v>74</v>
      </c>
      <c r="D78" s="234" t="str">
        <f>VLOOKUP(C78,RESUMENGEN!$C$21:$E$110,2,FALSE)</f>
        <v>INGENIERIA CONUSLTORIA Y PLANEACION S.A – INCOPLAN S.A</v>
      </c>
      <c r="E78" s="235" t="str">
        <f>VLOOKUP(C78,'HAB.GEN.'!$C$19:$L$108,3,FALSE)</f>
        <v>HÁBIL</v>
      </c>
      <c r="F78" s="235" t="str">
        <f>VLOOKUP(C78,'HAB.GEN.'!$C$19:$L$108,4,FALSE)</f>
        <v>HÁBIL</v>
      </c>
      <c r="G78" s="235" t="str">
        <f>VLOOKUP(C78,'HAB.GEN.'!$C$19:$L$108,5,FALSE)</f>
        <v>HÁBIL</v>
      </c>
      <c r="H78" s="235" t="str">
        <f>VLOOKUP(C78,'HAB.GEN.'!$C$19:$L$108,6,FALSE)</f>
        <v>HÁBIL</v>
      </c>
      <c r="I78" s="235" t="str">
        <f>VLOOKUP(C78,RNOCI!$C$19:$F$108,3,FALSE)</f>
        <v>NO</v>
      </c>
      <c r="J78" s="235" t="str">
        <f>VLOOKUP(C78,'MULTAS Y SANCIONES'!$C$19:$E$108,3,FALSE)</f>
        <v>NO</v>
      </c>
      <c r="K78" s="235" t="str">
        <f>VLOOKUP(C78,'HAB.GEN.'!$C$19:$L$108,7,FALSE)</f>
        <v>HÁBIL</v>
      </c>
      <c r="L78" s="235" t="str">
        <f ca="1">VLOOKUP(C78,'HAB.GEN.'!$C$19:$L$108,8,FALSE)</f>
        <v>HÁBIL</v>
      </c>
      <c r="M78" s="235" t="str">
        <f>VLOOKUP(C78,'HAB.GEN.'!$C$19:$L$108,9,FALSE)</f>
        <v>HÁBIL</v>
      </c>
      <c r="N78" s="235" t="str">
        <f t="shared" ca="1" si="6"/>
        <v>HÁBIL</v>
      </c>
      <c r="O78" s="236">
        <f>VLOOKUP(C78,'PONDERACION EXP.'!$C$44:$L$133,5,FALSE)</f>
        <v>3</v>
      </c>
      <c r="P78" s="264">
        <f>VLOOKUP(C78,'PONDERACION EXP.'!$C$44:$L$133,7,FALSE)</f>
        <v>256.28366666666665</v>
      </c>
      <c r="Q78" s="265">
        <f ca="1">VLOOKUP(C78,'PONDERACION EXP.'!$C$44:$K$133,9,FALSE)</f>
        <v>20.113545633999635</v>
      </c>
      <c r="R78" s="237" t="str">
        <f>VLOOKUP(C78,'EQUIPO DE TRABAJO'!$C$19:$F$108,4,FALSE)</f>
        <v>CUMPLE</v>
      </c>
      <c r="S78" s="238">
        <f>VLOOKUP(C78,'APOYO A IND. NAL.'!$C$19:$E$108,3,FALSE)</f>
        <v>20</v>
      </c>
      <c r="T78" s="237">
        <f>VLOOKUP(C78,'VIN.PERS.DISC.'!$C$19:$G$108,5,FALSE)</f>
        <v>1</v>
      </c>
      <c r="U78" s="238">
        <f>VLOOKUP(C78,RNOCI!$C$19:$F$108,4,FALSE)</f>
        <v>0</v>
      </c>
      <c r="V78" s="238">
        <f>VLOOKUP(C78,RESUMENGEN!$C$21:$M$110,10,FALSE)</f>
        <v>0</v>
      </c>
      <c r="W78" s="266">
        <f ca="1">VLOOKUP(C78,RESUMENGEN!$C$21:$M$110,11,FALSE)</f>
        <v>51.113545633999635</v>
      </c>
      <c r="X78" s="233"/>
      <c r="Y78" s="266" t="e">
        <f t="shared" ca="1" si="7"/>
        <v>#VALUE!</v>
      </c>
      <c r="Z78" s="239" t="e">
        <f t="shared" ca="1" si="8"/>
        <v>#VALUE!</v>
      </c>
    </row>
    <row r="79" spans="2:26">
      <c r="B79" s="234">
        <f t="shared" si="5"/>
        <v>75</v>
      </c>
      <c r="C79" s="234">
        <f>IF(VLOOKUP(B79,PROPONENTES!$B$19:$E$109,2,0)="","",VLOOKUP(B79,PROPONENTES!$B$19:$E$109,2,0))</f>
        <v>75</v>
      </c>
      <c r="D79" s="234" t="str">
        <f>VLOOKUP(C79,RESUMENGEN!$C$21:$E$110,2,FALSE)</f>
        <v>JAIME MORENO ESPAÑA</v>
      </c>
      <c r="E79" s="235" t="str">
        <f>VLOOKUP(C79,'HAB.GEN.'!$C$19:$L$108,3,FALSE)</f>
        <v>HÁBIL</v>
      </c>
      <c r="F79" s="235" t="str">
        <f>VLOOKUP(C79,'HAB.GEN.'!$C$19:$L$108,4,FALSE)</f>
        <v>HÁBIL</v>
      </c>
      <c r="G79" s="235" t="str">
        <f>VLOOKUP(C79,'HAB.GEN.'!$C$19:$L$108,5,FALSE)</f>
        <v>HÁBIL</v>
      </c>
      <c r="H79" s="235" t="str">
        <f>VLOOKUP(C79,'HAB.GEN.'!$C$19:$L$108,6,FALSE)</f>
        <v>HÁBIL</v>
      </c>
      <c r="I79" s="235" t="str">
        <f>VLOOKUP(C79,RNOCI!$C$19:$F$108,3,FALSE)</f>
        <v>NO</v>
      </c>
      <c r="J79" s="235" t="str">
        <f>VLOOKUP(C79,'MULTAS Y SANCIONES'!$C$19:$E$108,3,FALSE)</f>
        <v>NO</v>
      </c>
      <c r="K79" s="235" t="str">
        <f>VLOOKUP(C79,'HAB.GEN.'!$C$19:$L$108,7,FALSE)</f>
        <v>HÁBIL</v>
      </c>
      <c r="L79" s="235" t="str">
        <f ca="1">VLOOKUP(C79,'HAB.GEN.'!$C$19:$L$108,8,FALSE)</f>
        <v>HÁBIL</v>
      </c>
      <c r="M79" s="235" t="str">
        <f>VLOOKUP(C79,'HAB.GEN.'!$C$19:$L$108,9,FALSE)</f>
        <v>HÁBIL</v>
      </c>
      <c r="N79" s="235" t="str">
        <f t="shared" ca="1" si="6"/>
        <v>HÁBIL</v>
      </c>
      <c r="O79" s="236">
        <f>VLOOKUP(C79,'PONDERACION EXP.'!$C$44:$L$133,5,FALSE)</f>
        <v>5</v>
      </c>
      <c r="P79" s="264">
        <f>VLOOKUP(C79,'PONDERACION EXP.'!$C$44:$L$133,7,FALSE)</f>
        <v>63.144600000000004</v>
      </c>
      <c r="Q79" s="265">
        <f ca="1">VLOOKUP(C79,'PONDERACION EXP.'!$C$44:$K$133,9,FALSE)</f>
        <v>4.9556876181756424</v>
      </c>
      <c r="R79" s="237" t="str">
        <f>VLOOKUP(C79,'EQUIPO DE TRABAJO'!$C$19:$F$108,4,FALSE)</f>
        <v>CUMPLE</v>
      </c>
      <c r="S79" s="238">
        <f>VLOOKUP(C79,'APOYO A IND. NAL.'!$C$19:$E$108,3,FALSE)</f>
        <v>20</v>
      </c>
      <c r="T79" s="237">
        <f>VLOOKUP(C79,'VIN.PERS.DISC.'!$C$19:$G$108,5,FALSE)</f>
        <v>0</v>
      </c>
      <c r="U79" s="238">
        <f>VLOOKUP(C79,RNOCI!$C$19:$F$108,4,FALSE)</f>
        <v>0</v>
      </c>
      <c r="V79" s="238">
        <f>VLOOKUP(C79,RESUMENGEN!$C$21:$M$110,10,FALSE)</f>
        <v>0</v>
      </c>
      <c r="W79" s="266">
        <f ca="1">VLOOKUP(C79,RESUMENGEN!$C$21:$M$110,11,FALSE)</f>
        <v>34.955687618175645</v>
      </c>
      <c r="X79" s="233"/>
      <c r="Y79" s="266" t="e">
        <f t="shared" ca="1" si="7"/>
        <v>#VALUE!</v>
      </c>
      <c r="Z79" s="239" t="e">
        <f t="shared" ca="1" si="8"/>
        <v>#VALUE!</v>
      </c>
    </row>
    <row r="80" spans="2:26">
      <c r="B80" s="234">
        <f t="shared" si="5"/>
        <v>76</v>
      </c>
      <c r="C80" s="234">
        <f>IF(VLOOKUP(B80,PROPONENTES!$B$19:$E$109,2,0)="","",VLOOKUP(B80,PROPONENTES!$B$19:$E$109,2,0))</f>
        <v>76</v>
      </c>
      <c r="D80" s="234" t="str">
        <f>VLOOKUP(C80,RESUMENGEN!$C$21:$E$110,2,FALSE)</f>
        <v>CONSORCIO DIN ISUTECH</v>
      </c>
      <c r="E80" s="235" t="str">
        <f>VLOOKUP(C80,'HAB.GEN.'!$C$19:$L$108,3,FALSE)</f>
        <v>HÁBIL</v>
      </c>
      <c r="F80" s="235" t="str">
        <f>VLOOKUP(C80,'HAB.GEN.'!$C$19:$L$108,4,FALSE)</f>
        <v>HÁBIL</v>
      </c>
      <c r="G80" s="235" t="str">
        <f>VLOOKUP(C80,'HAB.GEN.'!$C$19:$L$108,5,FALSE)</f>
        <v>HÁBIL</v>
      </c>
      <c r="H80" s="235" t="str">
        <f>VLOOKUP(C80,'HAB.GEN.'!$C$19:$L$108,6,FALSE)</f>
        <v>HÁBIL</v>
      </c>
      <c r="I80" s="235" t="str">
        <f>VLOOKUP(C80,RNOCI!$C$19:$F$108,3,FALSE)</f>
        <v>NO</v>
      </c>
      <c r="J80" s="235" t="str">
        <f>VLOOKUP(C80,'MULTAS Y SANCIONES'!$C$19:$E$108,3,FALSE)</f>
        <v>NO</v>
      </c>
      <c r="K80" s="235" t="str">
        <f>VLOOKUP(C80,'HAB.GEN.'!$C$19:$L$108,7,FALSE)</f>
        <v>HÁBIL</v>
      </c>
      <c r="L80" s="235" t="str">
        <f ca="1">VLOOKUP(C80,'HAB.GEN.'!$C$19:$L$108,8,FALSE)</f>
        <v>HÁBIL</v>
      </c>
      <c r="M80" s="235" t="str">
        <f ca="1">VLOOKUP(C80,'HAB.GEN.'!$C$19:$L$108,9,FALSE)</f>
        <v>HÁBIL</v>
      </c>
      <c r="N80" s="235" t="str">
        <f t="shared" ca="1" si="6"/>
        <v>HÁBIL</v>
      </c>
      <c r="O80" s="236">
        <f>VLOOKUP(C80,'PONDERACION EXP.'!$C$44:$L$133,5,FALSE)</f>
        <v>3</v>
      </c>
      <c r="P80" s="264">
        <f ca="1">VLOOKUP(C80,'PONDERACION EXP.'!$C$44:$L$133,7,FALSE)</f>
        <v>421.07</v>
      </c>
      <c r="Q80" s="265">
        <f ca="1">VLOOKUP(C80,'PONDERACION EXP.'!$C$44:$K$133,9,FALSE)</f>
        <v>33.046236501382815</v>
      </c>
      <c r="R80" s="237" t="str">
        <f>VLOOKUP(C80,'EQUIPO DE TRABAJO'!$C$19:$F$108,4,FALSE)</f>
        <v>CUMPLE</v>
      </c>
      <c r="S80" s="238">
        <f>VLOOKUP(C80,'APOYO A IND. NAL.'!$C$19:$E$108,3,FALSE)</f>
        <v>20</v>
      </c>
      <c r="T80" s="237">
        <f ca="1">VLOOKUP(C80,'VIN.PERS.DISC.'!$C$19:$G$108,5,FALSE)</f>
        <v>1</v>
      </c>
      <c r="U80" s="238">
        <f>VLOOKUP(C80,RNOCI!$C$19:$F$108,4,FALSE)</f>
        <v>0</v>
      </c>
      <c r="V80" s="238">
        <f>VLOOKUP(C80,RESUMENGEN!$C$21:$M$110,10,FALSE)</f>
        <v>0</v>
      </c>
      <c r="W80" s="266">
        <f ca="1">VLOOKUP(C80,RESUMENGEN!$C$21:$M$110,11,FALSE)</f>
        <v>64.046236501382822</v>
      </c>
      <c r="X80" s="233"/>
      <c r="Y80" s="266" t="e">
        <f t="shared" ca="1" si="7"/>
        <v>#VALUE!</v>
      </c>
      <c r="Z80" s="239" t="e">
        <f t="shared" ca="1" si="8"/>
        <v>#VALUE!</v>
      </c>
    </row>
    <row r="81" spans="2:26" ht="25.5">
      <c r="B81" s="234">
        <f t="shared" si="5"/>
        <v>77</v>
      </c>
      <c r="C81" s="234">
        <f>IF(VLOOKUP(B81,PROPONENTES!$B$19:$E$109,2,0)="","",VLOOKUP(B81,PROPONENTES!$B$19:$E$109,2,0))</f>
        <v>77</v>
      </c>
      <c r="D81" s="234" t="str">
        <f>VLOOKUP(C81,RESUMENGEN!$C$21:$E$110,2,FALSE)</f>
        <v>CONSORCIO CASTORES – INGES INVIAS 2022</v>
      </c>
      <c r="E81" s="235" t="str">
        <f>VLOOKUP(C81,'HAB.GEN.'!$C$19:$L$108,3,FALSE)</f>
        <v>HÁBIL</v>
      </c>
      <c r="F81" s="235" t="str">
        <f>VLOOKUP(C81,'HAB.GEN.'!$C$19:$L$108,4,FALSE)</f>
        <v>HÁBIL</v>
      </c>
      <c r="G81" s="235" t="str">
        <f>VLOOKUP(C81,'HAB.GEN.'!$C$19:$L$108,5,FALSE)</f>
        <v>HÁBIL</v>
      </c>
      <c r="H81" s="235" t="str">
        <f>VLOOKUP(C81,'HAB.GEN.'!$C$19:$L$108,6,FALSE)</f>
        <v>HÁBIL</v>
      </c>
      <c r="I81" s="235" t="str">
        <f>VLOOKUP(C81,RNOCI!$C$19:$F$108,3,FALSE)</f>
        <v>NO</v>
      </c>
      <c r="J81" s="235" t="str">
        <f>VLOOKUP(C81,'MULTAS Y SANCIONES'!$C$19:$E$108,3,FALSE)</f>
        <v>NO</v>
      </c>
      <c r="K81" s="235" t="str">
        <f>VLOOKUP(C81,'HAB.GEN.'!$C$19:$L$108,7,FALSE)</f>
        <v>HÁBIL</v>
      </c>
      <c r="L81" s="235" t="str">
        <f ca="1">VLOOKUP(C81,'HAB.GEN.'!$C$19:$L$108,8,FALSE)</f>
        <v>HÁBIL</v>
      </c>
      <c r="M81" s="235" t="str">
        <f ca="1">VLOOKUP(C81,'HAB.GEN.'!$C$19:$L$108,9,FALSE)</f>
        <v>HÁBIL</v>
      </c>
      <c r="N81" s="235" t="str">
        <f t="shared" ca="1" si="6"/>
        <v>HÁBIL</v>
      </c>
      <c r="O81" s="236">
        <f>VLOOKUP(C81,'PONDERACION EXP.'!$C$44:$L$133,5,FALSE)</f>
        <v>2</v>
      </c>
      <c r="P81" s="264">
        <f ca="1">VLOOKUP(C81,'PONDERACION EXP.'!$C$44:$L$133,7,FALSE)</f>
        <v>384.40499999999997</v>
      </c>
      <c r="Q81" s="265">
        <f ca="1">VLOOKUP(C81,'PONDERACION EXP.'!$C$44:$K$133,9,FALSE)</f>
        <v>30.168709578725768</v>
      </c>
      <c r="R81" s="237" t="str">
        <f>VLOOKUP(C81,'EQUIPO DE TRABAJO'!$C$19:$F$108,4,FALSE)</f>
        <v>CUMPLE</v>
      </c>
      <c r="S81" s="238">
        <f>VLOOKUP(C81,'APOYO A IND. NAL.'!$C$19:$E$108,3,FALSE)</f>
        <v>20</v>
      </c>
      <c r="T81" s="237">
        <f ca="1">VLOOKUP(C81,'VIN.PERS.DISC.'!$C$19:$G$108,5,FALSE)</f>
        <v>1</v>
      </c>
      <c r="U81" s="238">
        <f>VLOOKUP(C81,RNOCI!$C$19:$F$108,4,FALSE)</f>
        <v>0</v>
      </c>
      <c r="V81" s="238">
        <f>VLOOKUP(C81,RESUMENGEN!$C$21:$M$110,10,FALSE)</f>
        <v>0</v>
      </c>
      <c r="W81" s="266">
        <f ca="1">VLOOKUP(C81,RESUMENGEN!$C$21:$M$110,11,FALSE)</f>
        <v>61.168709578725768</v>
      </c>
      <c r="X81" s="233"/>
      <c r="Y81" s="266" t="e">
        <f t="shared" ca="1" si="7"/>
        <v>#VALUE!</v>
      </c>
      <c r="Z81" s="239" t="e">
        <f t="shared" ca="1" si="8"/>
        <v>#VALUE!</v>
      </c>
    </row>
    <row r="82" spans="2:26">
      <c r="B82" s="234">
        <f t="shared" si="5"/>
        <v>78</v>
      </c>
      <c r="C82" s="234">
        <f>IF(VLOOKUP(B82,PROPONENTES!$B$19:$E$109,2,0)="","",VLOOKUP(B82,PROPONENTES!$B$19:$E$109,2,0))</f>
        <v>78</v>
      </c>
      <c r="D82" s="234" t="str">
        <f>VLOOKUP(C82,RESUMENGEN!$C$21:$E$110,2,FALSE)</f>
        <v>NUBIA ISABEL QUEVEDO ÁNGEL</v>
      </c>
      <c r="E82" s="235" t="str">
        <f>VLOOKUP(C82,'HAB.GEN.'!$C$19:$L$108,3,FALSE)</f>
        <v>HÁBIL</v>
      </c>
      <c r="F82" s="235" t="str">
        <f>VLOOKUP(C82,'HAB.GEN.'!$C$19:$L$108,4,FALSE)</f>
        <v>HÁBIL</v>
      </c>
      <c r="G82" s="235" t="str">
        <f>VLOOKUP(C82,'HAB.GEN.'!$C$19:$L$108,5,FALSE)</f>
        <v>HÁBIL</v>
      </c>
      <c r="H82" s="235" t="str">
        <f>VLOOKUP(C82,'HAB.GEN.'!$C$19:$L$108,6,FALSE)</f>
        <v>HÁBIL</v>
      </c>
      <c r="I82" s="235" t="str">
        <f>VLOOKUP(C82,RNOCI!$C$19:$F$108,3,FALSE)</f>
        <v>NO</v>
      </c>
      <c r="J82" s="235" t="str">
        <f>VLOOKUP(C82,'MULTAS Y SANCIONES'!$C$19:$E$108,3,FALSE)</f>
        <v>NO</v>
      </c>
      <c r="K82" s="235" t="str">
        <f>VLOOKUP(C82,'HAB.GEN.'!$C$19:$L$108,7,FALSE)</f>
        <v>HÁBIL</v>
      </c>
      <c r="L82" s="235" t="str">
        <f ca="1">VLOOKUP(C82,'HAB.GEN.'!$C$19:$L$108,8,FALSE)</f>
        <v>HÁBIL</v>
      </c>
      <c r="M82" s="235" t="str">
        <f>VLOOKUP(C82,'HAB.GEN.'!$C$19:$L$108,9,FALSE)</f>
        <v>HÁBIL</v>
      </c>
      <c r="N82" s="235" t="str">
        <f t="shared" ca="1" si="6"/>
        <v>HÁBIL</v>
      </c>
      <c r="O82" s="236">
        <f>VLOOKUP(C82,'PONDERACION EXP.'!$C$44:$L$133,5,FALSE)</f>
        <v>1</v>
      </c>
      <c r="P82" s="264">
        <f>VLOOKUP(C82,'PONDERACION EXP.'!$C$44:$L$133,7,FALSE)</f>
        <v>411.02</v>
      </c>
      <c r="Q82" s="265">
        <f ca="1">VLOOKUP(C82,'PONDERACION EXP.'!$C$44:$K$133,9,FALSE)</f>
        <v>32.257496679408092</v>
      </c>
      <c r="R82" s="237" t="str">
        <f>VLOOKUP(C82,'EQUIPO DE TRABAJO'!$C$19:$F$108,4,FALSE)</f>
        <v>CUMPLE</v>
      </c>
      <c r="S82" s="238">
        <f>VLOOKUP(C82,'APOYO A IND. NAL.'!$C$19:$E$108,3,FALSE)</f>
        <v>20</v>
      </c>
      <c r="T82" s="237">
        <f>VLOOKUP(C82,'VIN.PERS.DISC.'!$C$19:$G$108,5,FALSE)</f>
        <v>1</v>
      </c>
      <c r="U82" s="238">
        <f>VLOOKUP(C82,RNOCI!$C$19:$F$108,4,FALSE)</f>
        <v>0</v>
      </c>
      <c r="V82" s="238">
        <f>VLOOKUP(C82,RESUMENGEN!$C$21:$M$110,10,FALSE)</f>
        <v>0</v>
      </c>
      <c r="W82" s="266">
        <f ca="1">VLOOKUP(C82,RESUMENGEN!$C$21:$M$110,11,FALSE)</f>
        <v>63.257496679408092</v>
      </c>
      <c r="X82" s="233"/>
      <c r="Y82" s="266" t="e">
        <f t="shared" ca="1" si="7"/>
        <v>#VALUE!</v>
      </c>
      <c r="Z82" s="239" t="e">
        <f t="shared" ca="1" si="8"/>
        <v>#VALUE!</v>
      </c>
    </row>
    <row r="83" spans="2:26">
      <c r="B83" s="234">
        <f t="shared" si="5"/>
        <v>79</v>
      </c>
      <c r="C83" s="234">
        <f>IF(VLOOKUP(B83,PROPONENTES!$B$19:$E$109,2,0)="","",VLOOKUP(B83,PROPONENTES!$B$19:$E$109,2,0))</f>
        <v>79</v>
      </c>
      <c r="D83" s="234" t="str">
        <f>VLOOKUP(C83,RESUMENGEN!$C$21:$E$110,2,FALSE)</f>
        <v>CONSORCIO TOLIMA BD</v>
      </c>
      <c r="E83" s="235" t="str">
        <f>VLOOKUP(C83,'HAB.GEN.'!$C$19:$L$108,3,FALSE)</f>
        <v>HÁBIL</v>
      </c>
      <c r="F83" s="235" t="str">
        <f>VLOOKUP(C83,'HAB.GEN.'!$C$19:$L$108,4,FALSE)</f>
        <v>HÁBIL</v>
      </c>
      <c r="G83" s="235" t="str">
        <f>VLOOKUP(C83,'HAB.GEN.'!$C$19:$L$108,5,FALSE)</f>
        <v>HÁBIL</v>
      </c>
      <c r="H83" s="235" t="str">
        <f>VLOOKUP(C83,'HAB.GEN.'!$C$19:$L$108,6,FALSE)</f>
        <v>HÁBIL</v>
      </c>
      <c r="I83" s="235" t="str">
        <f>VLOOKUP(C83,RNOCI!$C$19:$F$108,3,FALSE)</f>
        <v>NO</v>
      </c>
      <c r="J83" s="235" t="str">
        <f>VLOOKUP(C83,'MULTAS Y SANCIONES'!$C$19:$E$108,3,FALSE)</f>
        <v>NO</v>
      </c>
      <c r="K83" s="235" t="str">
        <f>VLOOKUP(C83,'HAB.GEN.'!$C$19:$L$108,7,FALSE)</f>
        <v>HÁBIL</v>
      </c>
      <c r="L83" s="235" t="str">
        <f ca="1">VLOOKUP(C83,'HAB.GEN.'!$C$19:$L$108,8,FALSE)</f>
        <v>HÁBIL</v>
      </c>
      <c r="M83" s="235" t="str">
        <f ca="1">VLOOKUP(C83,'HAB.GEN.'!$C$19:$L$108,9,FALSE)</f>
        <v>HÁBIL</v>
      </c>
      <c r="N83" s="235" t="str">
        <f t="shared" ca="1" si="6"/>
        <v>HÁBIL</v>
      </c>
      <c r="O83" s="236">
        <f>VLOOKUP(C83,'PONDERACION EXP.'!$C$44:$L$133,5,FALSE)</f>
        <v>2</v>
      </c>
      <c r="P83" s="264">
        <f ca="1">VLOOKUP(C83,'PONDERACION EXP.'!$C$44:$L$133,7,FALSE)</f>
        <v>587.96384999999998</v>
      </c>
      <c r="Q83" s="265">
        <f ca="1">VLOOKUP(C83,'PONDERACION EXP.'!$C$44:$K$133,9,FALSE)</f>
        <v>46.144328594683948</v>
      </c>
      <c r="R83" s="237" t="str">
        <f>VLOOKUP(C83,'EQUIPO DE TRABAJO'!$C$19:$F$108,4,FALSE)</f>
        <v>CUMPLE</v>
      </c>
      <c r="S83" s="238">
        <f>VLOOKUP(C83,'APOYO A IND. NAL.'!$C$19:$E$108,3,FALSE)</f>
        <v>20</v>
      </c>
      <c r="T83" s="237">
        <f ca="1">VLOOKUP(C83,'VIN.PERS.DISC.'!$C$19:$G$108,5,FALSE)</f>
        <v>1</v>
      </c>
      <c r="U83" s="238">
        <f>VLOOKUP(C83,RNOCI!$C$19:$F$108,4,FALSE)</f>
        <v>0</v>
      </c>
      <c r="V83" s="238">
        <f>VLOOKUP(C83,RESUMENGEN!$C$21:$M$110,10,FALSE)</f>
        <v>0</v>
      </c>
      <c r="W83" s="266">
        <f ca="1">VLOOKUP(C83,RESUMENGEN!$C$21:$M$110,11,FALSE)</f>
        <v>77.144328594683941</v>
      </c>
      <c r="X83" s="233"/>
      <c r="Y83" s="266" t="e">
        <f t="shared" ca="1" si="7"/>
        <v>#VALUE!</v>
      </c>
      <c r="Z83" s="239" t="e">
        <f t="shared" ca="1" si="8"/>
        <v>#VALUE!</v>
      </c>
    </row>
    <row r="84" spans="2:26">
      <c r="B84" s="234">
        <f t="shared" si="5"/>
        <v>80</v>
      </c>
      <c r="C84" s="234">
        <f>IF(VLOOKUP(B84,PROPONENTES!$B$19:$E$109,2,0)="","",VLOOKUP(B84,PROPONENTES!$B$19:$E$109,2,0))</f>
        <v>80</v>
      </c>
      <c r="D84" s="234" t="str">
        <f>VLOOKUP(C84,RESUMENGEN!$C$21:$E$110,2,FALSE)</f>
        <v>CB INGENIEROS S.A.S</v>
      </c>
      <c r="E84" s="235" t="str">
        <f>VLOOKUP(C84,'HAB.GEN.'!$C$19:$L$108,3,FALSE)</f>
        <v>HÁBIL</v>
      </c>
      <c r="F84" s="235" t="str">
        <f>VLOOKUP(C84,'HAB.GEN.'!$C$19:$L$108,4,FALSE)</f>
        <v>HÁBIL</v>
      </c>
      <c r="G84" s="235" t="str">
        <f>VLOOKUP(C84,'HAB.GEN.'!$C$19:$L$108,5,FALSE)</f>
        <v>HÁBIL</v>
      </c>
      <c r="H84" s="235" t="str">
        <f>VLOOKUP(C84,'HAB.GEN.'!$C$19:$L$108,6,FALSE)</f>
        <v>HÁBIL</v>
      </c>
      <c r="I84" s="235" t="str">
        <f>VLOOKUP(C84,RNOCI!$C$19:$F$108,3,FALSE)</f>
        <v>NO</v>
      </c>
      <c r="J84" s="235" t="str">
        <f>VLOOKUP(C84,'MULTAS Y SANCIONES'!$C$19:$E$108,3,FALSE)</f>
        <v>NO</v>
      </c>
      <c r="K84" s="235" t="str">
        <f>VLOOKUP(C84,'HAB.GEN.'!$C$19:$L$108,7,FALSE)</f>
        <v>HÁBIL</v>
      </c>
      <c r="L84" s="235" t="str">
        <f ca="1">VLOOKUP(C84,'HAB.GEN.'!$C$19:$L$108,8,FALSE)</f>
        <v>HÁBIL</v>
      </c>
      <c r="M84" s="235" t="str">
        <f>VLOOKUP(C84,'HAB.GEN.'!$C$19:$L$108,9,FALSE)</f>
        <v>HÁBIL</v>
      </c>
      <c r="N84" s="235" t="str">
        <f t="shared" ca="1" si="6"/>
        <v>HÁBIL</v>
      </c>
      <c r="O84" s="236">
        <f>VLOOKUP(C84,'PONDERACION EXP.'!$C$44:$L$133,5,FALSE)</f>
        <v>2</v>
      </c>
      <c r="P84" s="264">
        <f>VLOOKUP(C84,'PONDERACION EXP.'!$C$44:$L$133,7,FALSE)</f>
        <v>386.95850000000002</v>
      </c>
      <c r="Q84" s="265">
        <f ca="1">VLOOKUP(C84,'PONDERACION EXP.'!$C$44:$K$133,9,FALSE)</f>
        <v>30.36911227876681</v>
      </c>
      <c r="R84" s="237" t="str">
        <f>VLOOKUP(C84,'EQUIPO DE TRABAJO'!$C$19:$F$108,4,FALSE)</f>
        <v>CUMPLE</v>
      </c>
      <c r="S84" s="238">
        <f>VLOOKUP(C84,'APOYO A IND. NAL.'!$C$19:$E$108,3,FALSE)</f>
        <v>20</v>
      </c>
      <c r="T84" s="237">
        <f>VLOOKUP(C84,'VIN.PERS.DISC.'!$C$19:$G$108,5,FALSE)</f>
        <v>1</v>
      </c>
      <c r="U84" s="238">
        <f>VLOOKUP(C84,RNOCI!$C$19:$F$108,4,FALSE)</f>
        <v>0</v>
      </c>
      <c r="V84" s="238">
        <f>VLOOKUP(C84,RESUMENGEN!$C$21:$M$110,10,FALSE)</f>
        <v>0</v>
      </c>
      <c r="W84" s="266">
        <f ca="1">VLOOKUP(C84,RESUMENGEN!$C$21:$M$110,11,FALSE)</f>
        <v>61.369112278766806</v>
      </c>
      <c r="X84" s="233"/>
      <c r="Y84" s="266" t="e">
        <f t="shared" ca="1" si="7"/>
        <v>#VALUE!</v>
      </c>
      <c r="Z84" s="239" t="e">
        <f t="shared" ca="1" si="8"/>
        <v>#VALUE!</v>
      </c>
    </row>
    <row r="85" spans="2:26">
      <c r="B85" s="234">
        <f t="shared" si="5"/>
        <v>81</v>
      </c>
      <c r="C85" s="234">
        <f>IF(VLOOKUP(B85,PROPONENTES!$B$19:$E$109,2,0)="","",VLOOKUP(B85,PROPONENTES!$B$19:$E$109,2,0))</f>
        <v>81</v>
      </c>
      <c r="D85" s="234" t="str">
        <f>VLOOKUP(C85,RESUMENGEN!$C$21:$E$110,2,FALSE)</f>
        <v>CONSORCIO INVIAS JP 2022</v>
      </c>
      <c r="E85" s="235" t="str">
        <f>VLOOKUP(C85,'HAB.GEN.'!$C$19:$L$108,3,FALSE)</f>
        <v>HÁBIL</v>
      </c>
      <c r="F85" s="235" t="str">
        <f>VLOOKUP(C85,'HAB.GEN.'!$C$19:$L$108,4,FALSE)</f>
        <v>HÁBIL</v>
      </c>
      <c r="G85" s="235" t="str">
        <f>VLOOKUP(C85,'HAB.GEN.'!$C$19:$L$108,5,FALSE)</f>
        <v>HÁBIL</v>
      </c>
      <c r="H85" s="235" t="str">
        <f>VLOOKUP(C85,'HAB.GEN.'!$C$19:$L$108,6,FALSE)</f>
        <v>HÁBIL</v>
      </c>
      <c r="I85" s="235" t="str">
        <f>VLOOKUP(C85,RNOCI!$C$19:$F$108,3,FALSE)</f>
        <v>NO</v>
      </c>
      <c r="J85" s="235" t="str">
        <f>VLOOKUP(C85,'MULTAS Y SANCIONES'!$C$19:$E$108,3,FALSE)</f>
        <v>NO</v>
      </c>
      <c r="K85" s="235" t="str">
        <f>VLOOKUP(C85,'HAB.GEN.'!$C$19:$L$108,7,FALSE)</f>
        <v>HÁBIL</v>
      </c>
      <c r="L85" s="235" t="str">
        <f ca="1">VLOOKUP(C85,'HAB.GEN.'!$C$19:$L$108,8,FALSE)</f>
        <v>HÁBIL</v>
      </c>
      <c r="M85" s="235" t="str">
        <f ca="1">VLOOKUP(C85,'HAB.GEN.'!$C$19:$L$108,9,FALSE)</f>
        <v>HÁBIL</v>
      </c>
      <c r="N85" s="235" t="str">
        <f t="shared" ca="1" si="6"/>
        <v>HÁBIL</v>
      </c>
      <c r="O85" s="236">
        <f>VLOOKUP(C85,'PONDERACION EXP.'!$C$44:$L$133,5,FALSE)</f>
        <v>2</v>
      </c>
      <c r="P85" s="264">
        <f ca="1">VLOOKUP(C85,'PONDERACION EXP.'!$C$44:$L$133,7,FALSE)</f>
        <v>512.60400000000004</v>
      </c>
      <c r="Q85" s="265">
        <f ca="1">VLOOKUP(C85,'PONDERACION EXP.'!$C$44:$K$133,9,FALSE)</f>
        <v>40.229968925724556</v>
      </c>
      <c r="R85" s="237" t="str">
        <f>VLOOKUP(C85,'EQUIPO DE TRABAJO'!$C$19:$F$108,4,FALSE)</f>
        <v>CUMPLE</v>
      </c>
      <c r="S85" s="238">
        <f>VLOOKUP(C85,'APOYO A IND. NAL.'!$C$19:$E$108,3,FALSE)</f>
        <v>20</v>
      </c>
      <c r="T85" s="237">
        <f ca="1">VLOOKUP(C85,'VIN.PERS.DISC.'!$C$19:$G$108,5,FALSE)</f>
        <v>1</v>
      </c>
      <c r="U85" s="238">
        <f>VLOOKUP(C85,RNOCI!$C$19:$F$108,4,FALSE)</f>
        <v>0</v>
      </c>
      <c r="V85" s="238">
        <f>VLOOKUP(C85,RESUMENGEN!$C$21:$M$110,10,FALSE)</f>
        <v>0</v>
      </c>
      <c r="W85" s="266">
        <f ca="1">VLOOKUP(C85,RESUMENGEN!$C$21:$M$110,11,FALSE)</f>
        <v>71.229968925724563</v>
      </c>
      <c r="X85" s="233"/>
      <c r="Y85" s="266" t="e">
        <f t="shared" ca="1" si="7"/>
        <v>#VALUE!</v>
      </c>
      <c r="Z85" s="239" t="e">
        <f t="shared" ca="1" si="8"/>
        <v>#VALUE!</v>
      </c>
    </row>
    <row r="86" spans="2:26">
      <c r="B86" s="234">
        <f t="shared" si="5"/>
        <v>82</v>
      </c>
      <c r="C86" s="234">
        <f>IF(VLOOKUP(B86,PROPONENTES!$B$19:$E$109,2,0)="","",VLOOKUP(B86,PROPONENTES!$B$19:$E$109,2,0))</f>
        <v>82</v>
      </c>
      <c r="D86" s="234" t="str">
        <f>VLOOKUP(C86,RESUMENGEN!$C$21:$E$110,2,FALSE)</f>
        <v>SOCIEDAD TECNICA SOTA LTDA</v>
      </c>
      <c r="E86" s="235" t="str">
        <f>VLOOKUP(C86,'HAB.GEN.'!$C$19:$L$108,3,FALSE)</f>
        <v>HÁBIL</v>
      </c>
      <c r="F86" s="235" t="str">
        <f>VLOOKUP(C86,'HAB.GEN.'!$C$19:$L$108,4,FALSE)</f>
        <v>HÁBIL</v>
      </c>
      <c r="G86" s="235" t="str">
        <f>VLOOKUP(C86,'HAB.GEN.'!$C$19:$L$108,5,FALSE)</f>
        <v>HÁBIL</v>
      </c>
      <c r="H86" s="235" t="str">
        <f>VLOOKUP(C86,'HAB.GEN.'!$C$19:$L$108,6,FALSE)</f>
        <v>HÁBIL</v>
      </c>
      <c r="I86" s="235" t="str">
        <f>VLOOKUP(C86,RNOCI!$C$19:$F$108,3,FALSE)</f>
        <v>NO</v>
      </c>
      <c r="J86" s="235" t="str">
        <f>VLOOKUP(C86,'MULTAS Y SANCIONES'!$C$19:$E$108,3,FALSE)</f>
        <v>NO</v>
      </c>
      <c r="K86" s="235" t="str">
        <f>VLOOKUP(C86,'HAB.GEN.'!$C$19:$L$108,7,FALSE)</f>
        <v>HÁBIL</v>
      </c>
      <c r="L86" s="235" t="str">
        <f ca="1">VLOOKUP(C86,'HAB.GEN.'!$C$19:$L$108,8,FALSE)</f>
        <v>HÁBIL</v>
      </c>
      <c r="M86" s="235" t="str">
        <f>VLOOKUP(C86,'HAB.GEN.'!$C$19:$L$108,9,FALSE)</f>
        <v>HÁBIL</v>
      </c>
      <c r="N86" s="235" t="str">
        <f t="shared" ca="1" si="6"/>
        <v>HÁBIL</v>
      </c>
      <c r="O86" s="236">
        <f>VLOOKUP(C86,'PONDERACION EXP.'!$C$44:$L$133,5,FALSE)</f>
        <v>2</v>
      </c>
      <c r="P86" s="264">
        <f>VLOOKUP(C86,'PONDERACION EXP.'!$C$44:$L$133,7,FALSE)</f>
        <v>315.33100000000002</v>
      </c>
      <c r="Q86" s="265">
        <f ca="1">VLOOKUP(C86,'PONDERACION EXP.'!$C$44:$K$133,9,FALSE)</f>
        <v>24.747673313742474</v>
      </c>
      <c r="R86" s="237" t="str">
        <f>VLOOKUP(C86,'EQUIPO DE TRABAJO'!$C$19:$F$108,4,FALSE)</f>
        <v>CUMPLE</v>
      </c>
      <c r="S86" s="238">
        <f>VLOOKUP(C86,'APOYO A IND. NAL.'!$C$19:$E$108,3,FALSE)</f>
        <v>20</v>
      </c>
      <c r="T86" s="237">
        <f>VLOOKUP(C86,'VIN.PERS.DISC.'!$C$19:$G$108,5,FALSE)</f>
        <v>1</v>
      </c>
      <c r="U86" s="238">
        <f>VLOOKUP(C86,RNOCI!$C$19:$F$108,4,FALSE)</f>
        <v>0</v>
      </c>
      <c r="V86" s="238">
        <f>VLOOKUP(C86,RESUMENGEN!$C$21:$M$110,10,FALSE)</f>
        <v>0</v>
      </c>
      <c r="W86" s="266">
        <f ca="1">VLOOKUP(C86,RESUMENGEN!$C$21:$M$110,11,FALSE)</f>
        <v>55.747673313742474</v>
      </c>
      <c r="X86" s="233"/>
      <c r="Y86" s="266" t="e">
        <f t="shared" ca="1" si="7"/>
        <v>#VALUE!</v>
      </c>
      <c r="Z86" s="239" t="e">
        <f t="shared" ca="1" si="8"/>
        <v>#VALUE!</v>
      </c>
    </row>
    <row r="87" spans="2:26" ht="25.5">
      <c r="B87" s="234">
        <f t="shared" si="5"/>
        <v>83</v>
      </c>
      <c r="C87" s="234">
        <f>IF(VLOOKUP(B87,PROPONENTES!$B$19:$E$109,2,0)="","",VLOOKUP(B87,PROPONENTES!$B$19:$E$109,2,0))</f>
        <v>83</v>
      </c>
      <c r="D87" s="234" t="str">
        <f>VLOOKUP(C87,RESUMENGEN!$C$21:$E$110,2,FALSE)</f>
        <v>CONSORCIO INTERVENTORES ASOCIADOS DEL TOLIMA</v>
      </c>
      <c r="E87" s="235" t="str">
        <f>VLOOKUP(C87,'HAB.GEN.'!$C$19:$L$108,3,FALSE)</f>
        <v>HÁBIL</v>
      </c>
      <c r="F87" s="235" t="str">
        <f>VLOOKUP(C87,'HAB.GEN.'!$C$19:$L$108,4,FALSE)</f>
        <v>HÁBIL</v>
      </c>
      <c r="G87" s="235" t="str">
        <f>VLOOKUP(C87,'HAB.GEN.'!$C$19:$L$108,5,FALSE)</f>
        <v>HÁBIL</v>
      </c>
      <c r="H87" s="235" t="str">
        <f>VLOOKUP(C87,'HAB.GEN.'!$C$19:$L$108,6,FALSE)</f>
        <v>HÁBIL</v>
      </c>
      <c r="I87" s="235" t="str">
        <f>VLOOKUP(C87,RNOCI!$C$19:$F$108,3,FALSE)</f>
        <v>NO</v>
      </c>
      <c r="J87" s="235" t="str">
        <f>VLOOKUP(C87,'MULTAS Y SANCIONES'!$C$19:$E$108,3,FALSE)</f>
        <v>NO</v>
      </c>
      <c r="K87" s="235" t="str">
        <f>VLOOKUP(C87,'HAB.GEN.'!$C$19:$L$108,7,FALSE)</f>
        <v>HÁBIL</v>
      </c>
      <c r="L87" s="235" t="str">
        <f ca="1">VLOOKUP(C87,'HAB.GEN.'!$C$19:$L$108,8,FALSE)</f>
        <v>HÁBIL</v>
      </c>
      <c r="M87" s="235" t="str">
        <f ca="1">VLOOKUP(C87,'HAB.GEN.'!$C$19:$L$108,9,FALSE)</f>
        <v>HÁBIL</v>
      </c>
      <c r="N87" s="235" t="str">
        <f t="shared" ca="1" si="6"/>
        <v>HÁBIL</v>
      </c>
      <c r="O87" s="236">
        <f>VLOOKUP(C87,'PONDERACION EXP.'!$C$44:$L$133,5,FALSE)</f>
        <v>1</v>
      </c>
      <c r="P87" s="264">
        <f ca="1">VLOOKUP(C87,'PONDERACION EXP.'!$C$44:$L$133,7,FALSE)</f>
        <v>329.09</v>
      </c>
      <c r="Q87" s="265">
        <f ca="1">VLOOKUP(C87,'PONDERACION EXP.'!$C$44:$K$133,9,FALSE)</f>
        <v>25.827501294891746</v>
      </c>
      <c r="R87" s="237" t="str">
        <f>VLOOKUP(C87,'EQUIPO DE TRABAJO'!$C$19:$F$108,4,FALSE)</f>
        <v>CUMPLE</v>
      </c>
      <c r="S87" s="238">
        <f>VLOOKUP(C87,'APOYO A IND. NAL.'!$C$19:$E$108,3,FALSE)</f>
        <v>20</v>
      </c>
      <c r="T87" s="237">
        <f>VLOOKUP(C87,'VIN.PERS.DISC.'!$C$19:$G$108,5,FALSE)</f>
        <v>0</v>
      </c>
      <c r="U87" s="238">
        <f>VLOOKUP(C87,RNOCI!$C$19:$F$108,4,FALSE)</f>
        <v>0</v>
      </c>
      <c r="V87" s="238">
        <f>VLOOKUP(C87,RESUMENGEN!$C$21:$M$110,10,FALSE)</f>
        <v>0</v>
      </c>
      <c r="W87" s="266">
        <f ca="1">VLOOKUP(C87,RESUMENGEN!$C$21:$M$110,11,FALSE)</f>
        <v>55.827501294891746</v>
      </c>
      <c r="X87" s="233"/>
      <c r="Y87" s="266" t="e">
        <f t="shared" ca="1" si="7"/>
        <v>#VALUE!</v>
      </c>
      <c r="Z87" s="239" t="e">
        <f t="shared" ca="1" si="8"/>
        <v>#VALUE!</v>
      </c>
    </row>
    <row r="88" spans="2:26" ht="38.25">
      <c r="B88" s="234">
        <f t="shared" si="5"/>
        <v>84</v>
      </c>
      <c r="C88" s="234">
        <f>IF(VLOOKUP(B88,PROPONENTES!$B$19:$E$109,2,0)="","",VLOOKUP(B88,PROPONENTES!$B$19:$E$109,2,0))</f>
        <v>84</v>
      </c>
      <c r="D88" s="234" t="str">
        <f>VLOOKUP(C88,RESUMENGEN!$C$21:$E$110,2,FALSE)</f>
        <v>GRUPO EMPRESARIAL DE INFRAESTRUCTURA COLOMBIANO S.A.S.</v>
      </c>
      <c r="E88" s="235" t="str">
        <f>VLOOKUP(C88,'HAB.GEN.'!$C$19:$L$108,3,FALSE)</f>
        <v>HÁBIL</v>
      </c>
      <c r="F88" s="235" t="str">
        <f>VLOOKUP(C88,'HAB.GEN.'!$C$19:$L$108,4,FALSE)</f>
        <v>HÁBIL</v>
      </c>
      <c r="G88" s="235" t="str">
        <f>VLOOKUP(C88,'HAB.GEN.'!$C$19:$L$108,5,FALSE)</f>
        <v>HÁBIL</v>
      </c>
      <c r="H88" s="235" t="str">
        <f>VLOOKUP(C88,'HAB.GEN.'!$C$19:$L$108,6,FALSE)</f>
        <v>HÁBIL</v>
      </c>
      <c r="I88" s="235" t="str">
        <f>VLOOKUP(C88,RNOCI!$C$19:$F$108,3,FALSE)</f>
        <v>NO</v>
      </c>
      <c r="J88" s="235" t="str">
        <f>VLOOKUP(C88,'MULTAS Y SANCIONES'!$C$19:$E$108,3,FALSE)</f>
        <v>NO</v>
      </c>
      <c r="K88" s="235" t="str">
        <f>VLOOKUP(C88,'HAB.GEN.'!$C$19:$L$108,7,FALSE)</f>
        <v>HÁBIL</v>
      </c>
      <c r="L88" s="235" t="str">
        <f ca="1">VLOOKUP(C88,'HAB.GEN.'!$C$19:$L$108,8,FALSE)</f>
        <v>HÁBIL</v>
      </c>
      <c r="M88" s="235" t="str">
        <f>VLOOKUP(C88,'HAB.GEN.'!$C$19:$L$108,9,FALSE)</f>
        <v>HÁBIL</v>
      </c>
      <c r="N88" s="235" t="str">
        <f t="shared" ca="1" si="6"/>
        <v>HÁBIL</v>
      </c>
      <c r="O88" s="236">
        <f>VLOOKUP(C88,'PONDERACION EXP.'!$C$44:$L$133,5,FALSE)</f>
        <v>1</v>
      </c>
      <c r="P88" s="264">
        <f>VLOOKUP(C88,'PONDERACION EXP.'!$C$44:$L$133,7,FALSE)</f>
        <v>449.51</v>
      </c>
      <c r="Q88" s="265">
        <f ca="1">VLOOKUP(C88,'PONDERACION EXP.'!$C$44:$K$133,9,FALSE)</f>
        <v>35.278252475209797</v>
      </c>
      <c r="R88" s="237" t="str">
        <f>VLOOKUP(C88,'EQUIPO DE TRABAJO'!$C$19:$F$108,4,FALSE)</f>
        <v>NO CUMPLE-1</v>
      </c>
      <c r="S88" s="238">
        <f>VLOOKUP(C88,'APOYO A IND. NAL.'!$C$19:$E$108,3,FALSE)</f>
        <v>0</v>
      </c>
      <c r="T88" s="237">
        <f>VLOOKUP(C88,'VIN.PERS.DISC.'!$C$19:$G$108,5,FALSE)</f>
        <v>0</v>
      </c>
      <c r="U88" s="238">
        <f>VLOOKUP(C88,RNOCI!$C$19:$F$108,4,FALSE)</f>
        <v>0</v>
      </c>
      <c r="V88" s="238">
        <f>VLOOKUP(C88,RESUMENGEN!$C$21:$M$110,10,FALSE)</f>
        <v>0</v>
      </c>
      <c r="W88" s="266">
        <f ca="1">VLOOKUP(C88,RESUMENGEN!$C$21:$M$110,11,FALSE)</f>
        <v>35.278252475209797</v>
      </c>
      <c r="X88" s="233"/>
      <c r="Y88" s="266" t="e">
        <f t="shared" ca="1" si="7"/>
        <v>#VALUE!</v>
      </c>
      <c r="Z88" s="239" t="e">
        <f t="shared" ca="1" si="8"/>
        <v>#VALUE!</v>
      </c>
    </row>
    <row r="89" spans="2:26">
      <c r="B89" s="234">
        <f t="shared" si="5"/>
        <v>85</v>
      </c>
      <c r="C89" s="234">
        <f>IF(VLOOKUP(B89,PROPONENTES!$B$19:$E$109,2,0)="","",VLOOKUP(B89,PROPONENTES!$B$19:$E$109,2,0))</f>
        <v>85</v>
      </c>
      <c r="D89" s="234" t="str">
        <f>VLOOKUP(C89,RESUMENGEN!$C$21:$E$110,2,FALSE)</f>
        <v>DBB INGENIERÍA S.A.S.</v>
      </c>
      <c r="E89" s="235" t="str">
        <f>VLOOKUP(C89,'HAB.GEN.'!$C$19:$L$108,3,FALSE)</f>
        <v>HÁBIL</v>
      </c>
      <c r="F89" s="235" t="str">
        <f>VLOOKUP(C89,'HAB.GEN.'!$C$19:$L$108,4,FALSE)</f>
        <v>HÁBIL</v>
      </c>
      <c r="G89" s="235" t="str">
        <f>VLOOKUP(C89,'HAB.GEN.'!$C$19:$L$108,5,FALSE)</f>
        <v>HÁBIL</v>
      </c>
      <c r="H89" s="235" t="str">
        <f>VLOOKUP(C89,'HAB.GEN.'!$C$19:$L$108,6,FALSE)</f>
        <v>HÁBIL</v>
      </c>
      <c r="I89" s="235" t="str">
        <f>VLOOKUP(C89,RNOCI!$C$19:$F$108,3,FALSE)</f>
        <v>NO</v>
      </c>
      <c r="J89" s="235" t="str">
        <f>VLOOKUP(C89,'MULTAS Y SANCIONES'!$C$19:$E$108,3,FALSE)</f>
        <v>NO</v>
      </c>
      <c r="K89" s="235" t="str">
        <f>VLOOKUP(C89,'HAB.GEN.'!$C$19:$L$108,7,FALSE)</f>
        <v>HÁBIL</v>
      </c>
      <c r="L89" s="235" t="str">
        <f ca="1">VLOOKUP(C89,'HAB.GEN.'!$C$19:$L$108,8,FALSE)</f>
        <v>HÁBIL</v>
      </c>
      <c r="M89" s="235" t="str">
        <f>VLOOKUP(C89,'HAB.GEN.'!$C$19:$L$108,9,FALSE)</f>
        <v>HÁBIL</v>
      </c>
      <c r="N89" s="235" t="str">
        <f t="shared" ca="1" si="6"/>
        <v>HÁBIL</v>
      </c>
      <c r="O89" s="236">
        <f>VLOOKUP(C89,'PONDERACION EXP.'!$C$44:$L$133,5,FALSE)</f>
        <v>2</v>
      </c>
      <c r="P89" s="264">
        <f>VLOOKUP(C89,'PONDERACION EXP.'!$C$44:$L$133,7,FALSE)</f>
        <v>434.29624999999999</v>
      </c>
      <c r="Q89" s="265">
        <f ca="1">VLOOKUP(C89,'PONDERACION EXP.'!$C$44:$K$133,9,FALSE)</f>
        <v>34.08425342380999</v>
      </c>
      <c r="R89" s="237" t="str">
        <f>VLOOKUP(C89,'EQUIPO DE TRABAJO'!$C$19:$F$108,4,FALSE)</f>
        <v>CUMPLE</v>
      </c>
      <c r="S89" s="238">
        <f>VLOOKUP(C89,'APOYO A IND. NAL.'!$C$19:$E$108,3,FALSE)</f>
        <v>20</v>
      </c>
      <c r="T89" s="237">
        <f>VLOOKUP(C89,'VIN.PERS.DISC.'!$C$19:$G$108,5,FALSE)</f>
        <v>1</v>
      </c>
      <c r="U89" s="238">
        <f>VLOOKUP(C89,RNOCI!$C$19:$F$108,4,FALSE)</f>
        <v>0</v>
      </c>
      <c r="V89" s="238">
        <f>VLOOKUP(C89,RESUMENGEN!$C$21:$M$110,10,FALSE)</f>
        <v>0</v>
      </c>
      <c r="W89" s="266">
        <f ca="1">VLOOKUP(C89,RESUMENGEN!$C$21:$M$110,11,FALSE)</f>
        <v>65.084253423809997</v>
      </c>
      <c r="X89" s="233"/>
      <c r="Y89" s="266" t="e">
        <f t="shared" ca="1" si="7"/>
        <v>#VALUE!</v>
      </c>
      <c r="Z89" s="239" t="e">
        <f t="shared" ca="1" si="8"/>
        <v>#VALUE!</v>
      </c>
    </row>
    <row r="90" spans="2:26">
      <c r="B90" s="234">
        <f t="shared" si="5"/>
        <v>86</v>
      </c>
      <c r="C90" s="234">
        <f>IF(VLOOKUP(B90,PROPONENTES!$B$19:$E$109,2,0)="","",VLOOKUP(B90,PROPONENTES!$B$19:$E$109,2,0))</f>
        <v>86</v>
      </c>
      <c r="D90" s="234" t="str">
        <f>VLOOKUP(C90,RESUMENGEN!$C$21:$E$110,2,FALSE)</f>
        <v>CARLOS ANDRES CHAVARRO CASTRO</v>
      </c>
      <c r="E90" s="235" t="str">
        <f>VLOOKUP(C90,'HAB.GEN.'!$C$19:$L$108,3,FALSE)</f>
        <v>HÁBIL</v>
      </c>
      <c r="F90" s="235" t="str">
        <f>VLOOKUP(C90,'HAB.GEN.'!$C$19:$L$108,4,FALSE)</f>
        <v>HÁBIL</v>
      </c>
      <c r="G90" s="235" t="str">
        <f>VLOOKUP(C90,'HAB.GEN.'!$C$19:$L$108,5,FALSE)</f>
        <v>HÁBIL</v>
      </c>
      <c r="H90" s="235" t="str">
        <f>VLOOKUP(C90,'HAB.GEN.'!$C$19:$L$108,6,FALSE)</f>
        <v>HÁBIL</v>
      </c>
      <c r="I90" s="235" t="str">
        <f>VLOOKUP(C90,RNOCI!$C$19:$F$108,3,FALSE)</f>
        <v>NO</v>
      </c>
      <c r="J90" s="235" t="str">
        <f>VLOOKUP(C90,'MULTAS Y SANCIONES'!$C$19:$E$108,3,FALSE)</f>
        <v>NO</v>
      </c>
      <c r="K90" s="235" t="str">
        <f>VLOOKUP(C90,'HAB.GEN.'!$C$19:$L$108,7,FALSE)</f>
        <v>HÁBIL</v>
      </c>
      <c r="L90" s="235" t="str">
        <f ca="1">VLOOKUP(C90,'HAB.GEN.'!$C$19:$L$108,8,FALSE)</f>
        <v>HÁBIL</v>
      </c>
      <c r="M90" s="235" t="str">
        <f>VLOOKUP(C90,'HAB.GEN.'!$C$19:$L$108,9,FALSE)</f>
        <v>HÁBIL</v>
      </c>
      <c r="N90" s="235" t="str">
        <f t="shared" ca="1" si="6"/>
        <v>HÁBIL</v>
      </c>
      <c r="O90" s="236">
        <f>VLOOKUP(C90,'PONDERACION EXP.'!$C$44:$L$133,5,FALSE)</f>
        <v>2</v>
      </c>
      <c r="P90" s="264">
        <f>VLOOKUP(C90,'PONDERACION EXP.'!$C$44:$L$133,7,FALSE)</f>
        <v>440.13549999999998</v>
      </c>
      <c r="Q90" s="265">
        <f ca="1">VLOOKUP(C90,'PONDERACION EXP.'!$C$44:$K$133,9,FALSE)</f>
        <v>34.542526956692171</v>
      </c>
      <c r="R90" s="237" t="str">
        <f>VLOOKUP(C90,'EQUIPO DE TRABAJO'!$C$19:$F$108,4,FALSE)</f>
        <v>CUMPLE</v>
      </c>
      <c r="S90" s="238">
        <f>VLOOKUP(C90,'APOYO A IND. NAL.'!$C$19:$E$108,3,FALSE)</f>
        <v>0</v>
      </c>
      <c r="T90" s="237">
        <f>VLOOKUP(C90,'VIN.PERS.DISC.'!$C$19:$G$108,5,FALSE)</f>
        <v>1</v>
      </c>
      <c r="U90" s="238">
        <f>VLOOKUP(C90,RNOCI!$C$19:$F$108,4,FALSE)</f>
        <v>0</v>
      </c>
      <c r="V90" s="238">
        <f>VLOOKUP(C90,RESUMENGEN!$C$21:$M$110,10,FALSE)</f>
        <v>0</v>
      </c>
      <c r="W90" s="266">
        <f ca="1">VLOOKUP(C90,RESUMENGEN!$C$21:$M$110,11,FALSE)</f>
        <v>45.542526956692171</v>
      </c>
      <c r="X90" s="233"/>
      <c r="Y90" s="266" t="e">
        <f t="shared" ca="1" si="7"/>
        <v>#VALUE!</v>
      </c>
      <c r="Z90" s="239" t="e">
        <f t="shared" ca="1" si="8"/>
        <v>#VALUE!</v>
      </c>
    </row>
    <row r="91" spans="2:26">
      <c r="B91" s="234">
        <f t="shared" si="5"/>
        <v>87</v>
      </c>
      <c r="C91" s="234">
        <f>IF(VLOOKUP(B91,PROPONENTES!$B$19:$E$109,2,0)="","",VLOOKUP(B91,PROPONENTES!$B$19:$E$109,2,0))</f>
        <v>87</v>
      </c>
      <c r="D91" s="234" t="str">
        <f>VLOOKUP(C91,RESUMENGEN!$C$21:$E$110,2,FALSE)</f>
        <v>CONSORCIO INTERVÍAS TOLIMA 22</v>
      </c>
      <c r="E91" s="235" t="str">
        <f>VLOOKUP(C91,'HAB.GEN.'!$C$19:$L$108,3,FALSE)</f>
        <v>HÁBIL</v>
      </c>
      <c r="F91" s="235" t="str">
        <f>VLOOKUP(C91,'HAB.GEN.'!$C$19:$L$108,4,FALSE)</f>
        <v>HÁBIL</v>
      </c>
      <c r="G91" s="235" t="str">
        <f>VLOOKUP(C91,'HAB.GEN.'!$C$19:$L$108,5,FALSE)</f>
        <v>HÁBIL</v>
      </c>
      <c r="H91" s="235" t="str">
        <f>VLOOKUP(C91,'HAB.GEN.'!$C$19:$L$108,6,FALSE)</f>
        <v>HÁBIL</v>
      </c>
      <c r="I91" s="235" t="str">
        <f>VLOOKUP(C91,RNOCI!$C$19:$F$108,3,FALSE)</f>
        <v>NO</v>
      </c>
      <c r="J91" s="235" t="str">
        <f>VLOOKUP(C91,'MULTAS Y SANCIONES'!$C$19:$E$108,3,FALSE)</f>
        <v>NO</v>
      </c>
      <c r="K91" s="235" t="str">
        <f>VLOOKUP(C91,'HAB.GEN.'!$C$19:$L$108,7,FALSE)</f>
        <v>HÁBIL</v>
      </c>
      <c r="L91" s="235" t="str">
        <f ca="1">VLOOKUP(C91,'HAB.GEN.'!$C$19:$L$108,8,FALSE)</f>
        <v>HÁBIL</v>
      </c>
      <c r="M91" s="235" t="str">
        <f ca="1">VLOOKUP(C91,'HAB.GEN.'!$C$19:$L$108,9,FALSE)</f>
        <v>HÁBIL</v>
      </c>
      <c r="N91" s="235" t="str">
        <f t="shared" ca="1" si="6"/>
        <v>HÁBIL</v>
      </c>
      <c r="O91" s="236">
        <f>VLOOKUP(C91,'PONDERACION EXP.'!$C$44:$L$133,5,FALSE)</f>
        <v>3</v>
      </c>
      <c r="P91" s="264">
        <f ca="1">VLOOKUP(C91,'PONDERACION EXP.'!$C$44:$L$133,7,FALSE)</f>
        <v>746.53666666666675</v>
      </c>
      <c r="Q91" s="265">
        <f ca="1">VLOOKUP(C91,'PONDERACION EXP.'!$C$44:$K$133,9,FALSE)</f>
        <v>58.589372891967265</v>
      </c>
      <c r="R91" s="237" t="str">
        <f>VLOOKUP(C91,'EQUIPO DE TRABAJO'!$C$19:$F$108,4,FALSE)</f>
        <v>CUMPLE</v>
      </c>
      <c r="S91" s="238">
        <f>VLOOKUP(C91,'APOYO A IND. NAL.'!$C$19:$E$108,3,FALSE)</f>
        <v>20</v>
      </c>
      <c r="T91" s="237">
        <f ca="1">VLOOKUP(C91,'VIN.PERS.DISC.'!$C$19:$G$108,5,FALSE)</f>
        <v>1</v>
      </c>
      <c r="U91" s="238">
        <f>VLOOKUP(C91,RNOCI!$C$19:$F$108,4,FALSE)</f>
        <v>0</v>
      </c>
      <c r="V91" s="238">
        <f>VLOOKUP(C91,RESUMENGEN!$C$21:$M$110,10,FALSE)</f>
        <v>0</v>
      </c>
      <c r="W91" s="266">
        <f ca="1">VLOOKUP(C91,RESUMENGEN!$C$21:$M$110,11,FALSE)</f>
        <v>89.589372891967258</v>
      </c>
      <c r="X91" s="233"/>
      <c r="Y91" s="266" t="e">
        <f t="shared" ca="1" si="7"/>
        <v>#VALUE!</v>
      </c>
      <c r="Z91" s="239" t="e">
        <f t="shared" ca="1" si="8"/>
        <v>#VALUE!</v>
      </c>
    </row>
    <row r="92" spans="2:26" ht="25.5">
      <c r="B92" s="234">
        <f t="shared" si="5"/>
        <v>88</v>
      </c>
      <c r="C92" s="234">
        <f>IF(VLOOKUP(B92,PROPONENTES!$B$19:$E$109,2,0)="","",VLOOKUP(B92,PROPONENTES!$B$19:$E$109,2,0))</f>
        <v>88</v>
      </c>
      <c r="D92" s="234" t="str">
        <f>VLOOKUP(C92,RESUMENGEN!$C$21:$E$110,2,FALSE)</f>
        <v>INGENIERÍA Y CONSULTORÍA INGECON SAS</v>
      </c>
      <c r="E92" s="235" t="str">
        <f>VLOOKUP(C92,'HAB.GEN.'!$C$19:$L$108,3,FALSE)</f>
        <v>HÁBIL</v>
      </c>
      <c r="F92" s="235" t="str">
        <f>VLOOKUP(C92,'HAB.GEN.'!$C$19:$L$108,4,FALSE)</f>
        <v>HÁBIL</v>
      </c>
      <c r="G92" s="235" t="str">
        <f>VLOOKUP(C92,'HAB.GEN.'!$C$19:$L$108,5,FALSE)</f>
        <v>HÁBIL</v>
      </c>
      <c r="H92" s="235" t="str">
        <f>VLOOKUP(C92,'HAB.GEN.'!$C$19:$L$108,6,FALSE)</f>
        <v>HÁBIL</v>
      </c>
      <c r="I92" s="235" t="str">
        <f>VLOOKUP(C92,RNOCI!$C$19:$F$108,3,FALSE)</f>
        <v>NO</v>
      </c>
      <c r="J92" s="235" t="str">
        <f>VLOOKUP(C92,'MULTAS Y SANCIONES'!$C$19:$E$108,3,FALSE)</f>
        <v>NO</v>
      </c>
      <c r="K92" s="235" t="str">
        <f>VLOOKUP(C92,'HAB.GEN.'!$C$19:$L$108,7,FALSE)</f>
        <v>HÁBIL</v>
      </c>
      <c r="L92" s="235" t="str">
        <f ca="1">VLOOKUP(C92,'HAB.GEN.'!$C$19:$L$108,8,FALSE)</f>
        <v>HÁBIL</v>
      </c>
      <c r="M92" s="235" t="str">
        <f>VLOOKUP(C92,'HAB.GEN.'!$C$19:$L$108,9,FALSE)</f>
        <v>HÁBIL</v>
      </c>
      <c r="N92" s="235" t="str">
        <f t="shared" ca="1" si="6"/>
        <v>HÁBIL</v>
      </c>
      <c r="O92" s="236">
        <f>VLOOKUP(C92,'PONDERACION EXP.'!$C$44:$L$133,5,FALSE)</f>
        <v>4</v>
      </c>
      <c r="P92" s="264">
        <f>VLOOKUP(C92,'PONDERACION EXP.'!$C$44:$L$133,7,FALSE)</f>
        <v>334.64499999999998</v>
      </c>
      <c r="Q92" s="265">
        <f ca="1">VLOOKUP(C92,'PONDERACION EXP.'!$C$44:$K$133,9,FALSE)</f>
        <v>26.263466440271813</v>
      </c>
      <c r="R92" s="237" t="str">
        <f>VLOOKUP(C92,'EQUIPO DE TRABAJO'!$C$19:$F$108,4,FALSE)</f>
        <v>CUMPLE</v>
      </c>
      <c r="S92" s="238">
        <f>VLOOKUP(C92,'APOYO A IND. NAL.'!$C$19:$E$108,3,FALSE)</f>
        <v>20</v>
      </c>
      <c r="T92" s="237">
        <f>VLOOKUP(C92,'VIN.PERS.DISC.'!$C$19:$G$108,5,FALSE)</f>
        <v>1</v>
      </c>
      <c r="U92" s="238">
        <f>VLOOKUP(C92,RNOCI!$C$19:$F$108,4,FALSE)</f>
        <v>0</v>
      </c>
      <c r="V92" s="238">
        <f>VLOOKUP(C92,RESUMENGEN!$C$21:$M$110,10,FALSE)</f>
        <v>0</v>
      </c>
      <c r="W92" s="266">
        <f ca="1">VLOOKUP(C92,RESUMENGEN!$C$21:$M$110,11,FALSE)</f>
        <v>57.263466440271813</v>
      </c>
      <c r="X92" s="233"/>
      <c r="Y92" s="266" t="e">
        <f t="shared" ca="1" si="7"/>
        <v>#VALUE!</v>
      </c>
      <c r="Z92" s="239" t="e">
        <f t="shared" ca="1" si="8"/>
        <v>#VALUE!</v>
      </c>
    </row>
    <row r="93" spans="2:26">
      <c r="B93" s="234">
        <f t="shared" si="5"/>
        <v>89</v>
      </c>
      <c r="C93" s="234">
        <f>IF(VLOOKUP(B93,PROPONENTES!$B$19:$E$109,2,0)="","",VLOOKUP(B93,PROPONENTES!$B$19:$E$109,2,0))</f>
        <v>89</v>
      </c>
      <c r="D93" s="234" t="str">
        <f>VLOOKUP(C93,RESUMENGEN!$C$21:$E$110,2,FALSE)</f>
        <v>CONSORCIO INTER C&amp;R</v>
      </c>
      <c r="E93" s="235" t="str">
        <f>VLOOKUP(C93,'HAB.GEN.'!$C$19:$L$108,3,FALSE)</f>
        <v>HÁBIL</v>
      </c>
      <c r="F93" s="235" t="str">
        <f>VLOOKUP(C93,'HAB.GEN.'!$C$19:$L$108,4,FALSE)</f>
        <v>HÁBIL</v>
      </c>
      <c r="G93" s="235" t="str">
        <f>VLOOKUP(C93,'HAB.GEN.'!$C$19:$L$108,5,FALSE)</f>
        <v>HÁBIL</v>
      </c>
      <c r="H93" s="235" t="str">
        <f>VLOOKUP(C93,'HAB.GEN.'!$C$19:$L$108,6,FALSE)</f>
        <v>HÁBIL</v>
      </c>
      <c r="I93" s="235" t="str">
        <f>VLOOKUP(C93,RNOCI!$C$19:$F$108,3,FALSE)</f>
        <v>NO</v>
      </c>
      <c r="J93" s="235" t="str">
        <f>VLOOKUP(C93,'MULTAS Y SANCIONES'!$C$19:$E$108,3,FALSE)</f>
        <v>NO</v>
      </c>
      <c r="K93" s="235" t="str">
        <f>VLOOKUP(C93,'HAB.GEN.'!$C$19:$L$108,7,FALSE)</f>
        <v>HÁBIL</v>
      </c>
      <c r="L93" s="235" t="str">
        <f ca="1">VLOOKUP(C93,'HAB.GEN.'!$C$19:$L$108,8,FALSE)</f>
        <v>HÁBIL</v>
      </c>
      <c r="M93" s="235" t="str">
        <f ca="1">VLOOKUP(C93,'HAB.GEN.'!$C$19:$L$108,9,FALSE)</f>
        <v>HÁBIL</v>
      </c>
      <c r="N93" s="235" t="str">
        <f t="shared" ca="1" si="6"/>
        <v>HÁBIL</v>
      </c>
      <c r="O93" s="236">
        <f>VLOOKUP(C93,'PONDERACION EXP.'!$C$44:$L$133,5,FALSE)</f>
        <v>1</v>
      </c>
      <c r="P93" s="264">
        <f ca="1">VLOOKUP(C93,'PONDERACION EXP.'!$C$44:$L$133,7,FALSE)</f>
        <v>475.26049999999998</v>
      </c>
      <c r="Q93" s="265">
        <f ca="1">VLOOKUP(C93,'PONDERACION EXP.'!$C$44:$K$133,9,FALSE)</f>
        <v>37.299192254887423</v>
      </c>
      <c r="R93" s="237" t="str">
        <f>VLOOKUP(C93,'EQUIPO DE TRABAJO'!$C$19:$F$108,4,FALSE)</f>
        <v>CUMPLE</v>
      </c>
      <c r="S93" s="238">
        <f>VLOOKUP(C93,'APOYO A IND. NAL.'!$C$19:$E$108,3,FALSE)</f>
        <v>20</v>
      </c>
      <c r="T93" s="237">
        <f ca="1">VLOOKUP(C93,'VIN.PERS.DISC.'!$C$19:$G$108,5,FALSE)</f>
        <v>1</v>
      </c>
      <c r="U93" s="238">
        <f>VLOOKUP(C93,RNOCI!$C$19:$F$108,4,FALSE)</f>
        <v>0</v>
      </c>
      <c r="V93" s="238">
        <f>VLOOKUP(C93,RESUMENGEN!$C$21:$M$110,10,FALSE)</f>
        <v>0</v>
      </c>
      <c r="W93" s="266">
        <f ca="1">VLOOKUP(C93,RESUMENGEN!$C$21:$M$110,11,FALSE)</f>
        <v>68.29919225488743</v>
      </c>
      <c r="X93" s="233"/>
      <c r="Y93" s="266" t="e">
        <f t="shared" ca="1" si="7"/>
        <v>#VALUE!</v>
      </c>
      <c r="Z93" s="239" t="e">
        <f t="shared" ca="1" si="8"/>
        <v>#VALUE!</v>
      </c>
    </row>
    <row r="94" spans="2:26">
      <c r="B94" s="234">
        <f t="shared" si="5"/>
        <v>90</v>
      </c>
      <c r="C94" s="234">
        <f>IF(VLOOKUP(B94,PROPONENTES!$B$19:$E$109,2,0)="","",VLOOKUP(B94,PROPONENTES!$B$19:$E$109,2,0))</f>
        <v>90</v>
      </c>
      <c r="D94" s="234" t="str">
        <f>VLOOKUP(C94,RESUMENGEN!$C$21:$E$110,2,FALSE)</f>
        <v>GM SOLUTIONS S.A.S</v>
      </c>
      <c r="E94" s="235" t="str">
        <f>VLOOKUP(C94,'HAB.GEN.'!$C$19:$L$108,3,FALSE)</f>
        <v>HÁBIL</v>
      </c>
      <c r="F94" s="235" t="str">
        <f>VLOOKUP(C94,'HAB.GEN.'!$C$19:$L$108,4,FALSE)</f>
        <v>HÁBIL</v>
      </c>
      <c r="G94" s="235" t="str">
        <f>VLOOKUP(C94,'HAB.GEN.'!$C$19:$L$108,5,FALSE)</f>
        <v>HÁBIL</v>
      </c>
      <c r="H94" s="235" t="str">
        <f>VLOOKUP(C94,'HAB.GEN.'!$C$19:$L$108,6,FALSE)</f>
        <v>HÁBIL</v>
      </c>
      <c r="I94" s="235" t="str">
        <f>VLOOKUP(C94,RNOCI!$C$19:$F$108,3,FALSE)</f>
        <v>NO</v>
      </c>
      <c r="J94" s="235" t="str">
        <f>VLOOKUP(C94,'MULTAS Y SANCIONES'!$C$19:$E$108,3,FALSE)</f>
        <v>NO</v>
      </c>
      <c r="K94" s="235" t="str">
        <f>VLOOKUP(C94,'HAB.GEN.'!$C$19:$L$108,7,FALSE)</f>
        <v>HÁBIL</v>
      </c>
      <c r="L94" s="235" t="str">
        <f ca="1">VLOOKUP(C94,'HAB.GEN.'!$C$19:$L$108,8,FALSE)</f>
        <v>HÁBIL</v>
      </c>
      <c r="M94" s="235" t="str">
        <f>VLOOKUP(C94,'HAB.GEN.'!$C$19:$L$108,9,FALSE)</f>
        <v>HÁBIL</v>
      </c>
      <c r="N94" s="235" t="str">
        <f t="shared" ca="1" si="6"/>
        <v>HÁBIL</v>
      </c>
      <c r="O94" s="236">
        <f>VLOOKUP(C94,'PONDERACION EXP.'!$C$44:$L$133,5,FALSE)</f>
        <v>1</v>
      </c>
      <c r="P94" s="264">
        <f>VLOOKUP(C94,'PONDERACION EXP.'!$C$44:$L$133,7,FALSE)</f>
        <v>363.81</v>
      </c>
      <c r="Q94" s="265">
        <f ca="1">VLOOKUP(C94,'PONDERACION EXP.'!$C$44:$K$133,9,FALSE)</f>
        <v>28.552381555485024</v>
      </c>
      <c r="R94" s="237" t="str">
        <f>VLOOKUP(C94,'EQUIPO DE TRABAJO'!$C$19:$F$108,4,FALSE)</f>
        <v>CUMPLE</v>
      </c>
      <c r="S94" s="238">
        <f>VLOOKUP(C94,'APOYO A IND. NAL.'!$C$19:$E$108,3,FALSE)</f>
        <v>20</v>
      </c>
      <c r="T94" s="237">
        <f>VLOOKUP(C94,'VIN.PERS.DISC.'!$C$19:$G$108,5,FALSE)</f>
        <v>0</v>
      </c>
      <c r="U94" s="238">
        <f>VLOOKUP(C94,RNOCI!$C$19:$F$108,4,FALSE)</f>
        <v>0</v>
      </c>
      <c r="V94" s="238">
        <f>VLOOKUP(C94,RESUMENGEN!$C$21:$M$110,10,FALSE)</f>
        <v>0</v>
      </c>
      <c r="W94" s="266">
        <f ca="1">VLOOKUP(C94,RESUMENGEN!$C$21:$M$110,11,FALSE)</f>
        <v>58.552381555485027</v>
      </c>
      <c r="X94" s="233"/>
      <c r="Y94" s="266" t="e">
        <f t="shared" ca="1" si="7"/>
        <v>#VALUE!</v>
      </c>
      <c r="Z94" s="239" t="e">
        <f t="shared" ca="1" si="8"/>
        <v>#VALUE!</v>
      </c>
    </row>
    <row r="95" spans="2:26" ht="3.95" customHeight="1">
      <c r="B95" s="273" t="s">
        <v>134</v>
      </c>
      <c r="C95" s="273" t="s">
        <v>134</v>
      </c>
    </row>
  </sheetData>
  <mergeCells count="24">
    <mergeCell ref="B2:B4"/>
    <mergeCell ref="Z2:Z4"/>
    <mergeCell ref="G2:G4"/>
    <mergeCell ref="O2:O3"/>
    <mergeCell ref="P2:Q2"/>
    <mergeCell ref="U2:U4"/>
    <mergeCell ref="W2:W4"/>
    <mergeCell ref="Y2:Y4"/>
    <mergeCell ref="N2:N3"/>
    <mergeCell ref="R2:R4"/>
    <mergeCell ref="T2:T4"/>
    <mergeCell ref="H2:H4"/>
    <mergeCell ref="I2:I4"/>
    <mergeCell ref="S2:S4"/>
    <mergeCell ref="L2:M2"/>
    <mergeCell ref="L3:L4"/>
    <mergeCell ref="J2:J4"/>
    <mergeCell ref="K2:K4"/>
    <mergeCell ref="V2:V4"/>
    <mergeCell ref="C2:C4"/>
    <mergeCell ref="D2:D4"/>
    <mergeCell ref="E2:E4"/>
    <mergeCell ref="F2:F4"/>
    <mergeCell ref="M3:M4"/>
  </mergeCells>
  <conditionalFormatting sqref="E5:G94 M5:N94">
    <cfRule type="cellIs" dxfId="44" priority="148" operator="equal">
      <formula>"RECHAZO"</formula>
    </cfRule>
    <cfRule type="cellIs" dxfId="43" priority="149" operator="equal">
      <formula>"NO HÁBIL"</formula>
    </cfRule>
  </conditionalFormatting>
  <conditionalFormatting sqref="M70:N94">
    <cfRule type="cellIs" dxfId="42" priority="82" operator="equal">
      <formula>"RECHAZO"</formula>
    </cfRule>
    <cfRule type="cellIs" dxfId="41" priority="83" operator="equal">
      <formula>"NO HÁBIL"</formula>
    </cfRule>
  </conditionalFormatting>
  <conditionalFormatting sqref="M38:N69">
    <cfRule type="cellIs" dxfId="40" priority="80" operator="equal">
      <formula>"RECHAZO"</formula>
    </cfRule>
    <cfRule type="cellIs" dxfId="39" priority="81" operator="equal">
      <formula>"NO HÁBIL"</formula>
    </cfRule>
  </conditionalFormatting>
  <conditionalFormatting sqref="M6:N37">
    <cfRule type="cellIs" dxfId="38" priority="78" operator="equal">
      <formula>"RECHAZO"</formula>
    </cfRule>
    <cfRule type="cellIs" dxfId="37" priority="79" operator="equal">
      <formula>"NO HÁBIL"</formula>
    </cfRule>
  </conditionalFormatting>
  <conditionalFormatting sqref="C5:G94 M5:R94 T5:U94 W5:W94 Y5:Z94">
    <cfRule type="expression" dxfId="36" priority="73">
      <formula>ROW()=CELL("ROW")</formula>
    </cfRule>
  </conditionalFormatting>
  <conditionalFormatting sqref="H5:H94">
    <cfRule type="cellIs" dxfId="35" priority="71" operator="equal">
      <formula>"RECHAZO"</formula>
    </cfRule>
    <cfRule type="cellIs" dxfId="34" priority="72" operator="equal">
      <formula>"NO HÁBIL"</formula>
    </cfRule>
  </conditionalFormatting>
  <conditionalFormatting sqref="H5:H94">
    <cfRule type="expression" dxfId="33" priority="56">
      <formula>ROW()=CELL("ROW")</formula>
    </cfRule>
  </conditionalFormatting>
  <conditionalFormatting sqref="I5:I94">
    <cfRule type="cellIs" dxfId="32" priority="54" operator="equal">
      <formula>"RECHAZO"</formula>
    </cfRule>
    <cfRule type="cellIs" dxfId="31" priority="55" operator="equal">
      <formula>"NO HÁBIL"</formula>
    </cfRule>
  </conditionalFormatting>
  <conditionalFormatting sqref="L70:L94">
    <cfRule type="cellIs" dxfId="30" priority="30" operator="equal">
      <formula>"RECHAZO"</formula>
    </cfRule>
    <cfRule type="cellIs" dxfId="29" priority="31" operator="equal">
      <formula>"NO HÁBIL"</formula>
    </cfRule>
  </conditionalFormatting>
  <conditionalFormatting sqref="L38:L69">
    <cfRule type="cellIs" dxfId="28" priority="28" operator="equal">
      <formula>"RECHAZO"</formula>
    </cfRule>
    <cfRule type="cellIs" dxfId="27" priority="29" operator="equal">
      <formula>"NO HÁBIL"</formula>
    </cfRule>
  </conditionalFormatting>
  <conditionalFormatting sqref="L6:L37">
    <cfRule type="cellIs" dxfId="26" priority="26" operator="equal">
      <formula>"RECHAZO"</formula>
    </cfRule>
    <cfRule type="cellIs" dxfId="25" priority="27" operator="equal">
      <formula>"NO HÁBIL"</formula>
    </cfRule>
  </conditionalFormatting>
  <conditionalFormatting sqref="I5:I94">
    <cfRule type="expression" dxfId="24" priority="39">
      <formula>ROW()=CELL("ROW")</formula>
    </cfRule>
  </conditionalFormatting>
  <conditionalFormatting sqref="S5:S94">
    <cfRule type="expression" dxfId="23" priority="38">
      <formula>ROW()=CELL("ROW")</formula>
    </cfRule>
  </conditionalFormatting>
  <conditionalFormatting sqref="L5:L94">
    <cfRule type="cellIs" dxfId="22" priority="36" operator="equal">
      <formula>"RECHAZO"</formula>
    </cfRule>
    <cfRule type="cellIs" dxfId="21" priority="37" operator="equal">
      <formula>"NO HÁBIL"</formula>
    </cfRule>
  </conditionalFormatting>
  <conditionalFormatting sqref="L5:L94">
    <cfRule type="expression" dxfId="20" priority="21">
      <formula>ROW()=CELL("ROW")</formula>
    </cfRule>
  </conditionalFormatting>
  <conditionalFormatting sqref="B5:B94">
    <cfRule type="expression" dxfId="19" priority="20">
      <formula>ROW()=CELL("ROW")</formula>
    </cfRule>
  </conditionalFormatting>
  <conditionalFormatting sqref="K5:K94">
    <cfRule type="cellIs" dxfId="18" priority="18" operator="equal">
      <formula>"RECHAZO"</formula>
    </cfRule>
    <cfRule type="cellIs" dxfId="17" priority="19" operator="equal">
      <formula>"NO HÁBIL"</formula>
    </cfRule>
  </conditionalFormatting>
  <conditionalFormatting sqref="K70:K94">
    <cfRule type="cellIs" dxfId="16" priority="16" operator="equal">
      <formula>"RECHAZO"</formula>
    </cfRule>
    <cfRule type="cellIs" dxfId="15" priority="17" operator="equal">
      <formula>"NO HÁBIL"</formula>
    </cfRule>
  </conditionalFormatting>
  <conditionalFormatting sqref="K38:K69">
    <cfRule type="cellIs" dxfId="14" priority="14" operator="equal">
      <formula>"RECHAZO"</formula>
    </cfRule>
    <cfRule type="cellIs" dxfId="13" priority="15" operator="equal">
      <formula>"NO HÁBIL"</formula>
    </cfRule>
  </conditionalFormatting>
  <conditionalFormatting sqref="K6:K37">
    <cfRule type="cellIs" dxfId="12" priority="12" operator="equal">
      <formula>"RECHAZO"</formula>
    </cfRule>
    <cfRule type="cellIs" dxfId="11" priority="13" operator="equal">
      <formula>"NO HÁBIL"</formula>
    </cfRule>
  </conditionalFormatting>
  <conditionalFormatting sqref="K5:K94">
    <cfRule type="expression" dxfId="10" priority="11">
      <formula>ROW()=CELL("ROW")</formula>
    </cfRule>
  </conditionalFormatting>
  <conditionalFormatting sqref="J5:J94">
    <cfRule type="cellIs" dxfId="9" priority="9" operator="equal">
      <formula>"RECHAZO"</formula>
    </cfRule>
    <cfRule type="cellIs" dxfId="8" priority="10" operator="equal">
      <formula>"NO HÁBIL"</formula>
    </cfRule>
  </conditionalFormatting>
  <conditionalFormatting sqref="J70:J94">
    <cfRule type="cellIs" dxfId="7" priority="7" operator="equal">
      <formula>"RECHAZO"</formula>
    </cfRule>
    <cfRule type="cellIs" dxfId="6" priority="8" operator="equal">
      <formula>"NO HÁBIL"</formula>
    </cfRule>
  </conditionalFormatting>
  <conditionalFormatting sqref="J38:J69">
    <cfRule type="cellIs" dxfId="5" priority="5" operator="equal">
      <formula>"RECHAZO"</formula>
    </cfRule>
    <cfRule type="cellIs" dxfId="4" priority="6" operator="equal">
      <formula>"NO HÁBIL"</formula>
    </cfRule>
  </conditionalFormatting>
  <conditionalFormatting sqref="J6:J37">
    <cfRule type="cellIs" dxfId="3" priority="3" operator="equal">
      <formula>"RECHAZO"</formula>
    </cfRule>
    <cfRule type="cellIs" dxfId="2" priority="4" operator="equal">
      <formula>"NO HÁBIL"</formula>
    </cfRule>
  </conditionalFormatting>
  <conditionalFormatting sqref="J5:J94">
    <cfRule type="expression" dxfId="1" priority="2">
      <formula>ROW()=CELL("ROW")</formula>
    </cfRule>
  </conditionalFormatting>
  <conditionalFormatting sqref="V5:V94">
    <cfRule type="expression" dxfId="0" priority="1">
      <formula>ROW()=CELL("ROW")</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37</vt:i4>
      </vt:variant>
    </vt:vector>
  </HeadingPairs>
  <TitlesOfParts>
    <vt:vector size="55" baseType="lpstr">
      <vt:lpstr>PRESUPUESTOS</vt:lpstr>
      <vt:lpstr>PROPONENTES</vt:lpstr>
      <vt:lpstr>INTEGRANTES</vt:lpstr>
      <vt:lpstr>EXPERIENCIA</vt:lpstr>
      <vt:lpstr>EQUIPO DE TRABAJO</vt:lpstr>
      <vt:lpstr>APOYO A IND. NAL.</vt:lpstr>
      <vt:lpstr>VIN.PERS.DISC.</vt:lpstr>
      <vt:lpstr>RNOCI</vt:lpstr>
      <vt:lpstr>RESUMEN</vt:lpstr>
      <vt:lpstr>SMMLV</vt:lpstr>
      <vt:lpstr>MULTAS Y SANCIONES</vt:lpstr>
      <vt:lpstr>EVAL. ECONOMICA</vt:lpstr>
      <vt:lpstr>HAB.GEN.</vt:lpstr>
      <vt:lpstr>RESUMENGEN</vt:lpstr>
      <vt:lpstr>PONDERACION EXP.</vt:lpstr>
      <vt:lpstr>ELEGIBILIDAD</vt:lpstr>
      <vt:lpstr>LISTAS</vt:lpstr>
      <vt:lpstr>CUADRO INFORME</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SUBSANAR</vt:lpstr>
      <vt:lpstr>TAMAÑOEMP</vt:lpstr>
      <vt:lpstr>TIPODEVIA</vt:lpstr>
      <vt:lpstr>TIPOPAV</vt:lpstr>
      <vt:lpstr>TIPOPAVIMENTO</vt:lpstr>
      <vt:lpstr>RESUMEN!Títulos_a_imprimir</vt:lpstr>
      <vt:lpstr>TOTALPTJEEXES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Heydy Alejandra Raad Jaimes</cp:lastModifiedBy>
  <cp:revision/>
  <dcterms:created xsi:type="dcterms:W3CDTF">2021-02-14T01:50:18Z</dcterms:created>
  <dcterms:modified xsi:type="dcterms:W3CDTF">2022-11-17T22:42:39Z</dcterms:modified>
  <cp:category/>
  <cp:contentStatus/>
</cp:coreProperties>
</file>